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HEK293_cell_NP40_R2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5548" i="1" l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<sst xmlns="http://schemas.openxmlformats.org/spreadsheetml/2006/main" count="44388" uniqueCount="27576">
  <si>
    <t>Protein_ID</t>
  </si>
  <si>
    <t>plot</t>
  </si>
  <si>
    <t>gene_name</t>
  </si>
  <si>
    <t>uniprot_ac</t>
  </si>
  <si>
    <t>auc</t>
  </si>
  <si>
    <t>plot_link</t>
  </si>
  <si>
    <t>A0AVI4_TMEM129</t>
  </si>
  <si>
    <t>A0AVT1_UBA6</t>
  </si>
  <si>
    <t>A0FGR8-2_ESYT2</t>
  </si>
  <si>
    <t>A0JNW5_UHRF1BP1L</t>
  </si>
  <si>
    <t>A0MZ66_KIAA1598</t>
  </si>
  <si>
    <t>A0PJW6_TMEM223</t>
  </si>
  <si>
    <t>A1L0T0_ILVBL</t>
  </si>
  <si>
    <t>A1L188_C17orf89</t>
  </si>
  <si>
    <t>A1X283_SH3PXD2B</t>
  </si>
  <si>
    <t>A1Z1Q3-2_MACROD2</t>
  </si>
  <si>
    <t>A2A274_ACO2</t>
  </si>
  <si>
    <t>A2A2G5_GGT7</t>
  </si>
  <si>
    <t>A2A2Q9_AAR2</t>
  </si>
  <si>
    <t>A2AEA2_HLA-C</t>
  </si>
  <si>
    <t>A2RU67_KIAA1467</t>
  </si>
  <si>
    <t>A3KFL4_EXOSC2</t>
  </si>
  <si>
    <t>A3KN83-3_SBNO1</t>
  </si>
  <si>
    <t>A4D126-2_ISPD</t>
  </si>
  <si>
    <t>A4D1S0-2_KLRG2</t>
  </si>
  <si>
    <t>A4D1U4_LCHN</t>
  </si>
  <si>
    <t>A4D2B0_MBLAC1</t>
  </si>
  <si>
    <t>A6H8Z3_RAB3GAP1</t>
  </si>
  <si>
    <t>A6ND99_HS2ST1</t>
  </si>
  <si>
    <t>A6NDB9_PALM3</t>
  </si>
  <si>
    <t>A6NDG6_PGP</t>
  </si>
  <si>
    <t>A6NDU8_C5orf51</t>
  </si>
  <si>
    <t>A6NED2_RCCD1</t>
  </si>
  <si>
    <t>A6NEM2_HCFC1</t>
  </si>
  <si>
    <t>A6NEM5_PIGK</t>
  </si>
  <si>
    <t>A6NF31_OFD1</t>
  </si>
  <si>
    <t>A6NF48_ZNF281</t>
  </si>
  <si>
    <t>A6NG32_CHMP1A</t>
  </si>
  <si>
    <t>A6NG79_PRCC</t>
  </si>
  <si>
    <t>A6NGB9_WIPF3</t>
  </si>
  <si>
    <t>A6NGC4_TLCD2</t>
  </si>
  <si>
    <t>A6NGP5_HN1L</t>
  </si>
  <si>
    <t>A6NHL2-2_TUBAL3</t>
  </si>
  <si>
    <t>A6NHR9_SMCHD1</t>
  </si>
  <si>
    <t>A6NIH7_UNC119B</t>
  </si>
  <si>
    <t>A6NJ78_METTL15</t>
  </si>
  <si>
    <t>A6NK58_LIPT2</t>
  </si>
  <si>
    <t>A6NKB8_RNPEP</t>
  </si>
  <si>
    <t>A6NKD9_CCDC85C</t>
  </si>
  <si>
    <t>A6NKZ2_RENBP</t>
  </si>
  <si>
    <t>A6NL54_ZMYM3</t>
  </si>
  <si>
    <t>A6NLP3_TRIM5</t>
  </si>
  <si>
    <t>A6NMH6_SEPT8</t>
  </si>
  <si>
    <t>A6NML8_DIAPH2</t>
  </si>
  <si>
    <t>A6NMN0_PHKA1</t>
  </si>
  <si>
    <t>A6NMQ1_POLA1</t>
  </si>
  <si>
    <t>A6NN80_ANXA6</t>
  </si>
  <si>
    <t>A6NNI4_CD9</t>
  </si>
  <si>
    <t>A6ZKI3_FAM127A</t>
  </si>
  <si>
    <t>A8K0B5_ZBTB8OS</t>
  </si>
  <si>
    <t>A8K0M9_SELK</t>
  </si>
  <si>
    <t>A8MPS7_YDJC</t>
  </si>
  <si>
    <t>A8MQ02_MLLT4</t>
  </si>
  <si>
    <t>A8MRB1_S100B</t>
  </si>
  <si>
    <t>A8MSH5_RTFDC1</t>
  </si>
  <si>
    <t>A8MTE9_TTC12</t>
  </si>
  <si>
    <t>A8MTY9_DSCR3</t>
  </si>
  <si>
    <t>A8MUM1_TSSC1</t>
  </si>
  <si>
    <t>A8MVQ8_GGPS1</t>
  </si>
  <si>
    <t>A8MVW0_FAM171A2</t>
  </si>
  <si>
    <t>A8MWY0_KIAA1324L</t>
  </si>
  <si>
    <t>A8MX75_ERCC2</t>
  </si>
  <si>
    <t>A8MXE8_RAI1</t>
  </si>
  <si>
    <t>A8MXP9_MATR3</t>
  </si>
  <si>
    <t>A8MXQ1_PTTG1IP</t>
  </si>
  <si>
    <t>A8MXV4_NUDT19</t>
  </si>
  <si>
    <t>A8MYQ9_RAB34</t>
  </si>
  <si>
    <t>A8MYT4_PIK3C3</t>
  </si>
  <si>
    <t>A9UHW6_MIF4GD</t>
  </si>
  <si>
    <t>B0AZU2_KIAA0930</t>
  </si>
  <si>
    <t>B0FLL2_PFKFB2</t>
  </si>
  <si>
    <t>B0QY89_EIF3L</t>
  </si>
  <si>
    <t>B0QY95_SMCR7L</t>
  </si>
  <si>
    <t>B0QYI3_TBC1D22A</t>
  </si>
  <si>
    <t>B0QYK0_EWSR1</t>
  </si>
  <si>
    <t>B0QZ18_CPNE1</t>
  </si>
  <si>
    <t>B0QZ40_COMMD6</t>
  </si>
  <si>
    <t>B0UX83_BAG6</t>
  </si>
  <si>
    <t>B0UXB6_ABHD16A</t>
  </si>
  <si>
    <t>B0V043_VARS</t>
  </si>
  <si>
    <t>B0V109_FLOT1</t>
  </si>
  <si>
    <t>B0YIW2_APOC3</t>
  </si>
  <si>
    <t>B1AH87_TSPO</t>
  </si>
  <si>
    <t>B1AHD1_NHP2L1</t>
  </si>
  <si>
    <t>B1AHQ6_CENPM</t>
  </si>
  <si>
    <t>B1AK13_HMGCL</t>
  </si>
  <si>
    <t>B1AKC9_EPHB2</t>
  </si>
  <si>
    <t>B1AKJ5_NRD1</t>
  </si>
  <si>
    <t>B1AKR6_DYNLRB1</t>
  </si>
  <si>
    <t>B1AKZ5_PEA15</t>
  </si>
  <si>
    <t>B1ALH6_PHYH</t>
  </si>
  <si>
    <t>B1ALM5_TMEM9</t>
  </si>
  <si>
    <t>B1AMS2_SEPT6</t>
  </si>
  <si>
    <t>B1AMU7_EXOSC1</t>
  </si>
  <si>
    <t>B1AN99_PRSS3</t>
  </si>
  <si>
    <t>B1ANH0_GUK1</t>
  </si>
  <si>
    <t>B1AQP1_USF1</t>
  </si>
  <si>
    <t>B1AUU8_EPS15</t>
  </si>
  <si>
    <t>B3KP81_MEIS2</t>
  </si>
  <si>
    <t>B3KS98_EIF3S3</t>
  </si>
  <si>
    <t>B3KSH1_EIF3F</t>
  </si>
  <si>
    <t>B3KSI3_BCAT2</t>
  </si>
  <si>
    <t>B3KSI9_LZTFL1</t>
  </si>
  <si>
    <t>B3KSJ7_DCLRE1C</t>
  </si>
  <si>
    <t>B3KVH8_PHF23</t>
  </si>
  <si>
    <t>B3KVZ3_CENPH</t>
  </si>
  <si>
    <t>B3KWN8_PYROXD1</t>
  </si>
  <si>
    <t>B3KY83_RXRA</t>
  </si>
  <si>
    <t>B3KY94_CDIPT</t>
  </si>
  <si>
    <t>B3V0L1_ARL6IP4</t>
  </si>
  <si>
    <t>B4DDF4_CNN2</t>
  </si>
  <si>
    <t>B4DDY8_HARS2</t>
  </si>
  <si>
    <t>B4DE60_REEP2</t>
  </si>
  <si>
    <t>B4DEK4_SNX2</t>
  </si>
  <si>
    <t>B4DEZ3_NDUFA13</t>
  </si>
  <si>
    <t>B4DFF2_SLC17A5</t>
  </si>
  <si>
    <t>B4DFI9_HUS1</t>
  </si>
  <si>
    <t>B4DGU4_CTNNB1</t>
  </si>
  <si>
    <t>B4DGX2_PIP4K2A</t>
  </si>
  <si>
    <t>B4DH53_MAP1S</t>
  </si>
  <si>
    <t>B4DIG7_PIP5K1B</t>
  </si>
  <si>
    <t>B4DJA5_RAB5A</t>
  </si>
  <si>
    <t>B4DJN2_SLC25A14</t>
  </si>
  <si>
    <t>B4DJP7_SNRPD3</t>
  </si>
  <si>
    <t>B4DJV2_CS</t>
  </si>
  <si>
    <t>B4DK44_NAPB</t>
  </si>
  <si>
    <t>B4DKB2_ECE1</t>
  </si>
  <si>
    <t>B4DKF9_ZNF286A</t>
  </si>
  <si>
    <t>B4DKL4_LSR</t>
  </si>
  <si>
    <t>B4DL54_CHURC1-FNTB</t>
  </si>
  <si>
    <t>B4DL79_KIF20A</t>
  </si>
  <si>
    <t>B4DLH2_C2orf18</t>
  </si>
  <si>
    <t>B4DLN1_SLC25A10</t>
  </si>
  <si>
    <t>B4DLT4_RPS6KB1</t>
  </si>
  <si>
    <t>B4DLW8_DDX5</t>
  </si>
  <si>
    <t>B4DLZ9_RNF220</t>
  </si>
  <si>
    <t>B4DM89_BSDC1</t>
  </si>
  <si>
    <t>B4DME9_KLC4</t>
  </si>
  <si>
    <t>B4DMU4_FAM45A</t>
  </si>
  <si>
    <t>B4DMX0_KDSR</t>
  </si>
  <si>
    <t>B4DP21_PTGES3</t>
  </si>
  <si>
    <t>B4DP38_WDR77</t>
  </si>
  <si>
    <t>B4DP61_SMN1</t>
  </si>
  <si>
    <t>B4DPY5_SNX11</t>
  </si>
  <si>
    <t>B4DQJ8_PGD</t>
  </si>
  <si>
    <t>B4DR03_NAA40</t>
  </si>
  <si>
    <t>B4DR12_MGRN1</t>
  </si>
  <si>
    <t>B4DR61_SEC61A1</t>
  </si>
  <si>
    <t>B4DR80_STK24</t>
  </si>
  <si>
    <t>B4DR94_YKT6</t>
  </si>
  <si>
    <t>B4DRN7_C2CD5</t>
  </si>
  <si>
    <t>B4DSD4_C9orf41</t>
  </si>
  <si>
    <t>B4DT77_ANXA7</t>
  </si>
  <si>
    <t>B4DUS9_BPNT1</t>
  </si>
  <si>
    <t>B4DVE7_ANXA11</t>
  </si>
  <si>
    <t>B4DVY1_EIF3D</t>
  </si>
  <si>
    <t>B4DWA1_BAIAP2</t>
  </si>
  <si>
    <t>B4DWI1_HACL1</t>
  </si>
  <si>
    <t>B4DXZ6_FXR1</t>
  </si>
  <si>
    <t>B4DYB4_NUP35</t>
  </si>
  <si>
    <t>B4DZG7_ARL1</t>
  </si>
  <si>
    <t>B4DZH6_HDAC6</t>
  </si>
  <si>
    <t>B4DZP4_DYNC1LI2</t>
  </si>
  <si>
    <t>B4DZW6_RMDN1</t>
  </si>
  <si>
    <t>B4E0E3_TMEM134</t>
  </si>
  <si>
    <t>B4E0G4_PHF6</t>
  </si>
  <si>
    <t>B4E0T2_PEX5</t>
  </si>
  <si>
    <t>B4E0V0_PNPO</t>
  </si>
  <si>
    <t>B4E0Y9_MST4</t>
  </si>
  <si>
    <t>B4E241_SFRS3</t>
  </si>
  <si>
    <t>B4E2W0_HADHB</t>
  </si>
  <si>
    <t>B4E2X3_METTL13</t>
  </si>
  <si>
    <t>B4E3E5_DVL3</t>
  </si>
  <si>
    <t>B5AK60_ABCB1</t>
  </si>
  <si>
    <t>B5MBW9_CHCHD10</t>
  </si>
  <si>
    <t>B5MBX5_LBH</t>
  </si>
  <si>
    <t>B5MBZ0_EML4</t>
  </si>
  <si>
    <t>B5MCD7_SYNGR1</t>
  </si>
  <si>
    <t>B5MCF9_PES1</t>
  </si>
  <si>
    <t>B5MCN7_NCOA1</t>
  </si>
  <si>
    <t>B5MCX3_SEPT2</t>
  </si>
  <si>
    <t>B5MD46_TBC1D10A</t>
  </si>
  <si>
    <t>B5MDE0_RFT1</t>
  </si>
  <si>
    <t>B5MDU3_PLEKHA8</t>
  </si>
  <si>
    <t>B5MDU6_C2orf43</t>
  </si>
  <si>
    <t>B7WP27_CWC22</t>
  </si>
  <si>
    <t>B7Z254_PDIA6</t>
  </si>
  <si>
    <t>B7Z291_MTMR9</t>
  </si>
  <si>
    <t>B7Z2B2_MFSD8</t>
  </si>
  <si>
    <t>B7Z2V9_CYTH3</t>
  </si>
  <si>
    <t>B7Z382_NT5C2</t>
  </si>
  <si>
    <t>B7Z385_CAP2</t>
  </si>
  <si>
    <t>B7Z3I9_ALAD</t>
  </si>
  <si>
    <t>B7Z3P1_TBCE</t>
  </si>
  <si>
    <t>B7Z456_GGA3</t>
  </si>
  <si>
    <t>B7Z463_NPEPPS</t>
  </si>
  <si>
    <t>B7Z4K6_DNASE2</t>
  </si>
  <si>
    <t>B7Z4U0_TOMM40L</t>
  </si>
  <si>
    <t>B7Z4W5_CCBL1</t>
  </si>
  <si>
    <t>B7Z5G4_STMN3</t>
  </si>
  <si>
    <t>B7Z5N5_SMAD2</t>
  </si>
  <si>
    <t>B7Z5W1_F11R</t>
  </si>
  <si>
    <t>B7Z5X7_WARS2</t>
  </si>
  <si>
    <t>B7Z683_ABR</t>
  </si>
  <si>
    <t>B7Z6M4_TNFAIP1</t>
  </si>
  <si>
    <t>B7Z7F3_RANBP3</t>
  </si>
  <si>
    <t>B7Z7X8_ATL2</t>
  </si>
  <si>
    <t>B7Z815_USP7</t>
  </si>
  <si>
    <t>B7Z817_DHCR24</t>
  </si>
  <si>
    <t>B7Z860_CCDC117</t>
  </si>
  <si>
    <t>B7Z8H2_TRDMT1</t>
  </si>
  <si>
    <t>B7Z9I1_ACADM</t>
  </si>
  <si>
    <t>B7Z9S8_ATP1B1</t>
  </si>
  <si>
    <t>B7ZC38_SH3GLB2</t>
  </si>
  <si>
    <t>B7ZKK9_PPP2R5E</t>
  </si>
  <si>
    <t>B7ZKQ9_SCARB1</t>
  </si>
  <si>
    <t>B7ZL88_COX18</t>
  </si>
  <si>
    <t>B7ZLZ2_EDEM3</t>
  </si>
  <si>
    <t>B8X2Z3_RLTPR</t>
  </si>
  <si>
    <t>B8ZZB8_CNRIP1</t>
  </si>
  <si>
    <t>B8ZZJ1_FAM126A</t>
  </si>
  <si>
    <t>B8ZZN6_SUMO1</t>
  </si>
  <si>
    <t>B8ZZQ6_PTMA</t>
  </si>
  <si>
    <t>B8ZZT9_SNX13</t>
  </si>
  <si>
    <t>B8ZZU8_TCEB2</t>
  </si>
  <si>
    <t>B8ZZY2_AGFG1</t>
  </si>
  <si>
    <t>B9A018_USP39</t>
  </si>
  <si>
    <t>B9A067_IMMT</t>
  </si>
  <si>
    <t>B9EGE7_ZNF507</t>
  </si>
  <si>
    <t>B9EGH5_PLCB2</t>
  </si>
  <si>
    <t>C0H5Y7_BAK1</t>
  </si>
  <si>
    <t>C1IDX9_ATG12</t>
  </si>
  <si>
    <t>C4AMC7_WASH3P</t>
  </si>
  <si>
    <t>C6GKU9_MED30S</t>
  </si>
  <si>
    <t>C9IYZ1_ASNSD1</t>
  </si>
  <si>
    <t>C9IZF6_PNPLA4</t>
  </si>
  <si>
    <t>C9IZZ8_ITGB1BP1</t>
  </si>
  <si>
    <t>C9J0F2_PCMT1</t>
  </si>
  <si>
    <t>C9J0I9_ZC3HC1</t>
  </si>
  <si>
    <t>C9J0J7_PFN2</t>
  </si>
  <si>
    <t>C9J0K6_SRI</t>
  </si>
  <si>
    <t>C9J0V9_ZNF655</t>
  </si>
  <si>
    <t>C9J173_INPP1</t>
  </si>
  <si>
    <t>C9J1K8_MEGF9</t>
  </si>
  <si>
    <t>C9J212_UBE2F</t>
  </si>
  <si>
    <t>C9J2P0_UBE2E1</t>
  </si>
  <si>
    <t>C9J2U4_TAMM41</t>
  </si>
  <si>
    <t>C9J2V2_IKBKG</t>
  </si>
  <si>
    <t>C9J3D7_CROT</t>
  </si>
  <si>
    <t>C9J3L7_REPIN1</t>
  </si>
  <si>
    <t>C9J3L8_SSR1</t>
  </si>
  <si>
    <t>C9J4M6_POLR2B</t>
  </si>
  <si>
    <t>C9J5C3_PDCD10</t>
  </si>
  <si>
    <t>C9J5X1_IGF1R</t>
  </si>
  <si>
    <t>C9J695_TANGO2</t>
  </si>
  <si>
    <t>C9J6Q8_TMEM98</t>
  </si>
  <si>
    <t>C9J712_PFN2</t>
  </si>
  <si>
    <t>C9J715_NISCH</t>
  </si>
  <si>
    <t>C9J7B7_PSMD6</t>
  </si>
  <si>
    <t>C9J7E5_TNPO3</t>
  </si>
  <si>
    <t>C9J7H8_LDHB</t>
  </si>
  <si>
    <t>C9J8Q5_ALDH5A1</t>
  </si>
  <si>
    <t>C9J9K3_RPSA</t>
  </si>
  <si>
    <t>C9JA08_NMD3</t>
  </si>
  <si>
    <t>C9JA28_SSR3</t>
  </si>
  <si>
    <t>C9JAB2_SRSF7</t>
  </si>
  <si>
    <t>C9JCC6_DRAP1</t>
  </si>
  <si>
    <t>C9JE12_TMUB1</t>
  </si>
  <si>
    <t>C9JEZ4_CDC42EP3</t>
  </si>
  <si>
    <t>C9JF58_OSCP1</t>
  </si>
  <si>
    <t>C9JFL8_TAF6</t>
  </si>
  <si>
    <t>C9JFR7_CYCS</t>
  </si>
  <si>
    <t>C9JG97_AAMP</t>
  </si>
  <si>
    <t>C9JIF9_APEH</t>
  </si>
  <si>
    <t>C9JIM0_PBLD</t>
  </si>
  <si>
    <t>C9JIZ6_PSAP</t>
  </si>
  <si>
    <t>C9JK10_ITGA6</t>
  </si>
  <si>
    <t>C9JKQ7_GART</t>
  </si>
  <si>
    <t>C9JLU1_POLR2H</t>
  </si>
  <si>
    <t>C9JLV4_APAF1</t>
  </si>
  <si>
    <t>C9JN15_PPIG</t>
  </si>
  <si>
    <t>C9JNA8_IP6K1</t>
  </si>
  <si>
    <t>C9JNE2_OARD1</t>
  </si>
  <si>
    <t>C9JNG9_COL6A3</t>
  </si>
  <si>
    <t>C9JP00_MBNL1</t>
  </si>
  <si>
    <t>C9JP16_CRTAP</t>
  </si>
  <si>
    <t>C9JP85_NRF1</t>
  </si>
  <si>
    <t>C9JPM4_ARF4</t>
  </si>
  <si>
    <t>C9JPP2_NKIRAS2</t>
  </si>
  <si>
    <t>C9JQB1_NME6</t>
  </si>
  <si>
    <t>C9JQV3_STK11IP</t>
  </si>
  <si>
    <t>C9JRY4_SEC22A</t>
  </si>
  <si>
    <t>C9JRZ6_CHCHD3</t>
  </si>
  <si>
    <t>C9JSG1_DPP8</t>
  </si>
  <si>
    <t>C9JT28_IL1RAP</t>
  </si>
  <si>
    <t>C9JUU5_LIPT1</t>
  </si>
  <si>
    <t>C9JWJ3_ST3GAL6</t>
  </si>
  <si>
    <t>C9JXB8_RPL24</t>
  </si>
  <si>
    <t>C9JYJ0_RAD51B</t>
  </si>
  <si>
    <t>C9JYM0_POP7</t>
  </si>
  <si>
    <t>C9JYQ9_RPL22L1</t>
  </si>
  <si>
    <t>C9JYY6_NRCAM</t>
  </si>
  <si>
    <t>C9JYY9_NUDT5</t>
  </si>
  <si>
    <t>C9JZB0_INPP5K</t>
  </si>
  <si>
    <t>C9JZP6_DHRS2</t>
  </si>
  <si>
    <t>C9JZY3_PCBP4</t>
  </si>
  <si>
    <t>C9K0J5_RAPH1</t>
  </si>
  <si>
    <t>D3YTB1_RPL32</t>
  </si>
  <si>
    <t>D3YTB5_IRAK1</t>
  </si>
  <si>
    <t>D6R9G1_CDK7</t>
  </si>
  <si>
    <t>D6R9U7_POLR3G</t>
  </si>
  <si>
    <t>D6R9X7_ERCC6</t>
  </si>
  <si>
    <t>D6R9Z7_COX7C</t>
  </si>
  <si>
    <t>D6RA26_PLRG1</t>
  </si>
  <si>
    <t>D6RAT0_RPS3A</t>
  </si>
  <si>
    <t>D6RB01_FAM169A</t>
  </si>
  <si>
    <t>D6RB84_UBE2J2</t>
  </si>
  <si>
    <t>D6RBS5_ELMOD2</t>
  </si>
  <si>
    <t>D6RBW1_EIF4E</t>
  </si>
  <si>
    <t>D6RCD0_HSD17B11</t>
  </si>
  <si>
    <t>D6RCD9_TMEM175</t>
  </si>
  <si>
    <t>D6RD46_LIMCH1</t>
  </si>
  <si>
    <t>D6RDX7_EMB</t>
  </si>
  <si>
    <t>D6RE84_ALG13</t>
  </si>
  <si>
    <t>D6REA0_PET112</t>
  </si>
  <si>
    <t>D6REL0_CDC42SE2</t>
  </si>
  <si>
    <t>D6REX3_SEC31A</t>
  </si>
  <si>
    <t>D6RF85_ZNF652</t>
  </si>
  <si>
    <t>D6RFG8_DCK</t>
  </si>
  <si>
    <t>D6RFH4_CYB5B</t>
  </si>
  <si>
    <t>D6RGI3_SEPT11</t>
  </si>
  <si>
    <t>D6RGJ7_SLC9B2</t>
  </si>
  <si>
    <t>D6RH26_CXorf40A</t>
  </si>
  <si>
    <t>D6RHD2_SPRY1</t>
  </si>
  <si>
    <t>D6RHD3_CENPK</t>
  </si>
  <si>
    <t>D6RHI9_RNASET2</t>
  </si>
  <si>
    <t>D6RIE3_COX7A2</t>
  </si>
  <si>
    <t>D6RJG8_RFESD</t>
  </si>
  <si>
    <t>D6W592_HNRPLL</t>
  </si>
  <si>
    <t>E2QRB3_PYCR1</t>
  </si>
  <si>
    <t>E2QRD5_C15orf38-AP3S2</t>
  </si>
  <si>
    <t>E2QRF9_GMNN</t>
  </si>
  <si>
    <t>E5KLJ5_OPA1</t>
  </si>
  <si>
    <t>E5RFJ1_NSMCE2</t>
  </si>
  <si>
    <t>E5RFQ1_EBF1</t>
  </si>
  <si>
    <t>E5RG13_IMPA1</t>
  </si>
  <si>
    <t>E5RG17_TATDN1</t>
  </si>
  <si>
    <t>E5RG64_SLC36A1</t>
  </si>
  <si>
    <t>E5RGX5_STMN2</t>
  </si>
  <si>
    <t>E5RHG8_TCEB1</t>
  </si>
  <si>
    <t>E5RHG9_UQCRB</t>
  </si>
  <si>
    <t>E5RHK6_HEY1</t>
  </si>
  <si>
    <t>E5RHT1_PSEN2</t>
  </si>
  <si>
    <t>E5RIH5_TTI2</t>
  </si>
  <si>
    <t>E5RIJ0_POLB</t>
  </si>
  <si>
    <t>E5RIY0_TMEM55A</t>
  </si>
  <si>
    <t>E5RJ29_PSD3</t>
  </si>
  <si>
    <t>E5RJ68_AP3B1</t>
  </si>
  <si>
    <t>E5RJ97_TRPS1</t>
  </si>
  <si>
    <t>E5RJ99_ZFAND1</t>
  </si>
  <si>
    <t>E5RJB8_SDC2</t>
  </si>
  <si>
    <t>E5RJJ3_NUDT18</t>
  </si>
  <si>
    <t>E5RJR5_SKP1</t>
  </si>
  <si>
    <t>E5RJS5_MTFR1</t>
  </si>
  <si>
    <t>E5RK82_CETN3</t>
  </si>
  <si>
    <t>E7EM64_COPS6</t>
  </si>
  <si>
    <t>E7EM93_NUDT12</t>
  </si>
  <si>
    <t>E7EMA9_ATHL1</t>
  </si>
  <si>
    <t>E7EMB1_SWAP70</t>
  </si>
  <si>
    <t>E7EMD6_AKAP10</t>
  </si>
  <si>
    <t>E7EMM4_ASAH1</t>
  </si>
  <si>
    <t>E7EMW7_UBR5</t>
  </si>
  <si>
    <t>E7EMX7_RAI14</t>
  </si>
  <si>
    <t>E7EMZ9_TACC2</t>
  </si>
  <si>
    <t>E7EN86_ZNF143</t>
  </si>
  <si>
    <t>E7ENA9_NCSTN</t>
  </si>
  <si>
    <t>E7ENN3_SYNE1</t>
  </si>
  <si>
    <t>E7ENR4_HK1</t>
  </si>
  <si>
    <t>E7EP87_NARF</t>
  </si>
  <si>
    <t>E7EPB3_RPL14</t>
  </si>
  <si>
    <t>E7EPC6_CD44</t>
  </si>
  <si>
    <t>E7EPD0_TOM1</t>
  </si>
  <si>
    <t>E7EPL4_PDXDC1</t>
  </si>
  <si>
    <t>E7EPN9_PRRC2C</t>
  </si>
  <si>
    <t>E7EPT4_NDUFV2</t>
  </si>
  <si>
    <t>E7EPV7_SNCA</t>
  </si>
  <si>
    <t>E7EPY1_TNIP1</t>
  </si>
  <si>
    <t>E7EQ29_GLB1</t>
  </si>
  <si>
    <t>E7EQ69_NAA50</t>
  </si>
  <si>
    <t>E7EQ72_TMED2</t>
  </si>
  <si>
    <t>E7EQN6_SENP6</t>
  </si>
  <si>
    <t>E7EQR8_YIPF3</t>
  </si>
  <si>
    <t>E7EQR9_DMD</t>
  </si>
  <si>
    <t>E7EQT4_ACIN1</t>
  </si>
  <si>
    <t>E7EQX7_TP53</t>
  </si>
  <si>
    <t>E7EQY1_FAM136A</t>
  </si>
  <si>
    <t>E7ER60_SYNJ2</t>
  </si>
  <si>
    <t>E7ER77_ERMP1</t>
  </si>
  <si>
    <t>E7ER89_PAPSS2</t>
  </si>
  <si>
    <t>E7ERB7_GMIP</t>
  </si>
  <si>
    <t>E7ERC6_ATP2C1</t>
  </si>
  <si>
    <t>E7ERI8_CLASP2</t>
  </si>
  <si>
    <t>E7ERK9_EIF2B4</t>
  </si>
  <si>
    <t>E7ERL6_MAST2</t>
  </si>
  <si>
    <t>E7ERS3_ZC3H18</t>
  </si>
  <si>
    <t>E7ES35_TTC38</t>
  </si>
  <si>
    <t>E7ES43_HSPA4L</t>
  </si>
  <si>
    <t>E7ES96_PSEN1</t>
  </si>
  <si>
    <t>E7ESG2_CLSPN</t>
  </si>
  <si>
    <t>E7ESP4_ITGA2</t>
  </si>
  <si>
    <t>E7ESP9_NEFM</t>
  </si>
  <si>
    <t>E7EST9_USP19</t>
  </si>
  <si>
    <t>E7ESZ7_NDUFA10</t>
  </si>
  <si>
    <t>E7ET49_DAGLB</t>
  </si>
  <si>
    <t>E7ET89_DTX2</t>
  </si>
  <si>
    <t>E7ETB3_DNPEP</t>
  </si>
  <si>
    <t>E7ETE0_METTL8</t>
  </si>
  <si>
    <t>E7ETU5_RBMS1</t>
  </si>
  <si>
    <t>E7ETU9_PLOD2</t>
  </si>
  <si>
    <t>E7ETY4_MARK2</t>
  </si>
  <si>
    <t>E7ETY7_GPX8</t>
  </si>
  <si>
    <t>E7ETZ0_CALM1</t>
  </si>
  <si>
    <t>E7ETZ4_BZW2</t>
  </si>
  <si>
    <t>E7EU09_FGFR1</t>
  </si>
  <si>
    <t>E7EU23_GDI2</t>
  </si>
  <si>
    <t>E7EU96_CSNK2A1</t>
  </si>
  <si>
    <t>E7EUC7_UGP2</t>
  </si>
  <si>
    <t>E7EUL7_SSFA2</t>
  </si>
  <si>
    <t>E7EUM5_NUP54</t>
  </si>
  <si>
    <t>E7EUU4_EIF4G1</t>
  </si>
  <si>
    <t>E7EUY3_PCCB</t>
  </si>
  <si>
    <t>E7EV56_PCM1</t>
  </si>
  <si>
    <t>E7EVA0_MAP4</t>
  </si>
  <si>
    <t>E7EVC7_ATG16L1</t>
  </si>
  <si>
    <t>E7EVD6_LPHN3</t>
  </si>
  <si>
    <t>E7EVH7_KLC1</t>
  </si>
  <si>
    <t>E7EVH9_HDHD1</t>
  </si>
  <si>
    <t>E7EVJ5_CYFIP2</t>
  </si>
  <si>
    <t>E7EVX8_PRPF31</t>
  </si>
  <si>
    <t>E7EW05_SDAD1</t>
  </si>
  <si>
    <t>E7EW20_MYO6</t>
  </si>
  <si>
    <t>E7EW32_MON1B</t>
  </si>
  <si>
    <t>E7EW59_SALL2</t>
  </si>
  <si>
    <t>E7EW69_SEPT10</t>
  </si>
  <si>
    <t>E7EW77_ABI2</t>
  </si>
  <si>
    <t>E7EW84_EXOC6</t>
  </si>
  <si>
    <t>E7EWM3_ZMIZ2</t>
  </si>
  <si>
    <t>E7EWP0_NDUFB5</t>
  </si>
  <si>
    <t>E7EX01_MPP2</t>
  </si>
  <si>
    <t>E7EX53_RPL15</t>
  </si>
  <si>
    <t>E7EX90_DCTN1</t>
  </si>
  <si>
    <t>E9PAU2_RAVER1</t>
  </si>
  <si>
    <t>E9PAV9_GPATCH4</t>
  </si>
  <si>
    <t>E9PB28_HES4</t>
  </si>
  <si>
    <t>E9PB61_ALYREF</t>
  </si>
  <si>
    <t>E9PB90_HK2</t>
  </si>
  <si>
    <t>E9PC15_AGK</t>
  </si>
  <si>
    <t>E9PC47_LIMK1</t>
  </si>
  <si>
    <t>E9PC74_EIF2B5</t>
  </si>
  <si>
    <t>E9PC84_TNC</t>
  </si>
  <si>
    <t>E9PCH4_FNIP1</t>
  </si>
  <si>
    <t>E9PCN2_GUCY1B3</t>
  </si>
  <si>
    <t>E9PCW1_GOSR1</t>
  </si>
  <si>
    <t>E9PCX3_ELF2</t>
  </si>
  <si>
    <t>E9PCY7_HNRNPH1</t>
  </si>
  <si>
    <t>E9PD53_SMC4</t>
  </si>
  <si>
    <t>E9PD90_CKAP2</t>
  </si>
  <si>
    <t>E9PD99_LRCH3</t>
  </si>
  <si>
    <t>E9PDF6_MYO1B</t>
  </si>
  <si>
    <t>E9PDJ1_CACNA1C</t>
  </si>
  <si>
    <t>E9PE47_SLC2A13</t>
  </si>
  <si>
    <t>E9PE82_ACADS</t>
  </si>
  <si>
    <t>E9PEJ6_ATP11A</t>
  </si>
  <si>
    <t>E9PEK8_ATF2</t>
  </si>
  <si>
    <t>E9PEN8_XPO7</t>
  </si>
  <si>
    <t>E9PEP6_NRP1</t>
  </si>
  <si>
    <t>E9PER1_DIP2A</t>
  </si>
  <si>
    <t>E9PER6_PDPK1</t>
  </si>
  <si>
    <t>E9PEZ3_DIAPH1</t>
  </si>
  <si>
    <t>E9PEZ5_KIAA1107</t>
  </si>
  <si>
    <t>E9PF10_NUP155</t>
  </si>
  <si>
    <t>E9PF16_ACSF2</t>
  </si>
  <si>
    <t>E9PF18_HADH</t>
  </si>
  <si>
    <t>E9PF19_TBL2</t>
  </si>
  <si>
    <t>E9PFD7_EGFR</t>
  </si>
  <si>
    <t>E9PFN5_GSTK1</t>
  </si>
  <si>
    <t>E9PFR3_PPP2R5D</t>
  </si>
  <si>
    <t>E9PFW2_MANBA</t>
  </si>
  <si>
    <t>E9PFW8_SQSTM1</t>
  </si>
  <si>
    <t>E9PG19_FCHSD2</t>
  </si>
  <si>
    <t>E9PG22_CEP97</t>
  </si>
  <si>
    <t>E9PG40_APP</t>
  </si>
  <si>
    <t>E9PG71_EPHA4</t>
  </si>
  <si>
    <t>E9PGC0_RASA1</t>
  </si>
  <si>
    <t>E9PGQ0_SLC25A44</t>
  </si>
  <si>
    <t>E9PGT1_TSN</t>
  </si>
  <si>
    <t>E9PGT3_RPS6KA1</t>
  </si>
  <si>
    <t>E9PGT6_COPS8</t>
  </si>
  <si>
    <t>E9PGW7_MED22</t>
  </si>
  <si>
    <t>E9PH29_PRDX3</t>
  </si>
  <si>
    <t>E9PHA2_NCAPH</t>
  </si>
  <si>
    <t>E9PHG5_CYP20A1</t>
  </si>
  <si>
    <t>E9PHK9_TCOF1</t>
  </si>
  <si>
    <t>E9PHN7_GSTM2</t>
  </si>
  <si>
    <t>E9PHV4_POLR2D</t>
  </si>
  <si>
    <t>E9PIE4_MTCH2</t>
  </si>
  <si>
    <t>E9PIN3_NXF1</t>
  </si>
  <si>
    <t>E9PIR7_TXNRD1</t>
  </si>
  <si>
    <t>E9PJ55_TCP11L1</t>
  </si>
  <si>
    <t>E9PJ81_UBXN1</t>
  </si>
  <si>
    <t>E9PJB8_VIMP</t>
  </si>
  <si>
    <t>E9PJD7_CYHR1</t>
  </si>
  <si>
    <t>E9PJH1_MKNK1</t>
  </si>
  <si>
    <t>E9PJK1_CD81</t>
  </si>
  <si>
    <t>E9PJW9_OSBPL9</t>
  </si>
  <si>
    <t>E9PK01_EEF1D</t>
  </si>
  <si>
    <t>E9PK12_FUZ</t>
  </si>
  <si>
    <t>E9PK91_BCLAF1</t>
  </si>
  <si>
    <t>E9PKA7_RCE1</t>
  </si>
  <si>
    <t>E9PKG1_PRMT1</t>
  </si>
  <si>
    <t>E9PKS9_TRAPPC4</t>
  </si>
  <si>
    <t>E9PKT4_TMEM123</t>
  </si>
  <si>
    <t>E9PKV8_TTC9C</t>
  </si>
  <si>
    <t>E9PKZ0_RPL8</t>
  </si>
  <si>
    <t>E9PL01_SPCS2</t>
  </si>
  <si>
    <t>E9PL10_BTF3L4</t>
  </si>
  <si>
    <t>E9PL17_CLP1</t>
  </si>
  <si>
    <t>E9PL22_HYOU1</t>
  </si>
  <si>
    <t>E9PL40_TSPAN18</t>
  </si>
  <si>
    <t>E9PL57_NEDD8-MDP1</t>
  </si>
  <si>
    <t>E9PLB8_EI24</t>
  </si>
  <si>
    <t>E9PLK3_NPEPPS</t>
  </si>
  <si>
    <t>E9PLL6_RPL27A</t>
  </si>
  <si>
    <t>E9PLV6_GPAA1</t>
  </si>
  <si>
    <t>E9PM46_USP47</t>
  </si>
  <si>
    <t>E9PMI6_CLNS1A</t>
  </si>
  <si>
    <t>E9PMJ2_FAM118B</t>
  </si>
  <si>
    <t>E9PMQ6_HSF1</t>
  </si>
  <si>
    <t>E9PMR5_MBP</t>
  </si>
  <si>
    <t>E9PND3_EBAG9</t>
  </si>
  <si>
    <t>E9PNK6_TPD52L1</t>
  </si>
  <si>
    <t>E9PNN3_PTS</t>
  </si>
  <si>
    <t>E9PNP3_AAMDC</t>
  </si>
  <si>
    <t>E9PNT2_ARHGAP27</t>
  </si>
  <si>
    <t>E9PNW4_CD59</t>
  </si>
  <si>
    <t>E9PPM8_DERA</t>
  </si>
  <si>
    <t>E9PPU0_EPPK1</t>
  </si>
  <si>
    <t>E9PQ61_ZC3H11A</t>
  </si>
  <si>
    <t>E9PQQ5_GNPTG</t>
  </si>
  <si>
    <t>E9PQR7_VPS28</t>
  </si>
  <si>
    <t>E9PQY3_ACP2</t>
  </si>
  <si>
    <t>E9PR30_FAU</t>
  </si>
  <si>
    <t>E9PR76_MAF1</t>
  </si>
  <si>
    <t>E9PRJ3_CD151</t>
  </si>
  <si>
    <t>E9PS17_SCYL1</t>
  </si>
  <si>
    <t>E9PS38_NEDD8-MDP1</t>
  </si>
  <si>
    <t>E9PS97_PARVA</t>
  </si>
  <si>
    <t>E9PSD7_UPRT</t>
  </si>
  <si>
    <t>E9PSI1_TM9SF1</t>
  </si>
  <si>
    <t>F2Z2A7_KDM1B</t>
  </si>
  <si>
    <t>F2Z2E2_IQGAP3</t>
  </si>
  <si>
    <t>F2Z2U8_MYH14</t>
  </si>
  <si>
    <t>F2Z2W6_HMGN1</t>
  </si>
  <si>
    <t>F2Z2W7_TRMT2A</t>
  </si>
  <si>
    <t>F2Z2X4_XPO4</t>
  </si>
  <si>
    <t>F5GWE5_PITPNA</t>
  </si>
  <si>
    <t>F5GWI9_CCDC53</t>
  </si>
  <si>
    <t>F5GWU7_SMAD5</t>
  </si>
  <si>
    <t>F5GWX5_CHD4</t>
  </si>
  <si>
    <t>F5GWY5_PODXL</t>
  </si>
  <si>
    <t>F5GX09_FAM76B</t>
  </si>
  <si>
    <t>F5GXC8_SUCLA2</t>
  </si>
  <si>
    <t>F5GXE4_ATE1</t>
  </si>
  <si>
    <t>F5GXI4_PTPRK</t>
  </si>
  <si>
    <t>F5GXX5_DAD1</t>
  </si>
  <si>
    <t>F5GY92_GPBP1</t>
  </si>
  <si>
    <t>F5GY99_GALNT1</t>
  </si>
  <si>
    <t>F5GYC1_ABCD3</t>
  </si>
  <si>
    <t>F5GYE8_CEP112</t>
  </si>
  <si>
    <t>F5GYJ5_</t>
  </si>
  <si>
    <t>F5GYK2_STRN4</t>
  </si>
  <si>
    <t>F5GYN4_OTUB1</t>
  </si>
  <si>
    <t>F5GYQ1_ATP6V0D1</t>
  </si>
  <si>
    <t>F5GZ78_PXN</t>
  </si>
  <si>
    <t>F5GZ84_FARP2</t>
  </si>
  <si>
    <t>F5GZN3_MFGE8</t>
  </si>
  <si>
    <t>F5GZP3_TRIM59</t>
  </si>
  <si>
    <t>F5GZS0_DHX36</t>
  </si>
  <si>
    <t>F5GZS6_SLC3A2</t>
  </si>
  <si>
    <t>F5GZU5_MED15</t>
  </si>
  <si>
    <t>F5GZX9_FAM120B</t>
  </si>
  <si>
    <t>F5GZZ0_ALKBH2</t>
  </si>
  <si>
    <t>F5H012_TRIM21</t>
  </si>
  <si>
    <t>F5H0L8_SEC23IP</t>
  </si>
  <si>
    <t>F5H0R1_TUT1</t>
  </si>
  <si>
    <t>F5H0U5_GLTP</t>
  </si>
  <si>
    <t>F5H156_ARMC5</t>
  </si>
  <si>
    <t>F5H1G9_ABI1</t>
  </si>
  <si>
    <t>F5H1H0_L1CAM</t>
  </si>
  <si>
    <t>F5H1L4_TXNRD2</t>
  </si>
  <si>
    <t>F5H1N7_KIAA1211</t>
  </si>
  <si>
    <t>F5H1U9_MPDZ</t>
  </si>
  <si>
    <t>F5H1X8_LRBA</t>
  </si>
  <si>
    <t>F5H2H5_ANKLE2</t>
  </si>
  <si>
    <t>F5H2J3_VMP1</t>
  </si>
  <si>
    <t>F5H2M7_WNK1</t>
  </si>
  <si>
    <t>F5H2Q7_KIAA1715</t>
  </si>
  <si>
    <t>F5H2S7_DCTN2</t>
  </si>
  <si>
    <t>F5H2U7_NECAP1</t>
  </si>
  <si>
    <t>F5H2U8_HMGA2</t>
  </si>
  <si>
    <t>F5H2V5_FADS3</t>
  </si>
  <si>
    <t>F5H2X3_NRP2</t>
  </si>
  <si>
    <t>F5H365_SEC23A</t>
  </si>
  <si>
    <t>F5H450_FZD10</t>
  </si>
  <si>
    <t>F5H4F1_RAD9A</t>
  </si>
  <si>
    <t>F5H4G7_KPNA6</t>
  </si>
  <si>
    <t>F5H4I5_ITM2C</t>
  </si>
  <si>
    <t>F5H4J2_PEX14</t>
  </si>
  <si>
    <t>F5H4K0_WLS</t>
  </si>
  <si>
    <t>F5H4Q5_VPS37C</t>
  </si>
  <si>
    <t>F5H4R0_EVI5</t>
  </si>
  <si>
    <t>F5H4V9_PDCD2</t>
  </si>
  <si>
    <t>F5H4Z3_PSMF1</t>
  </si>
  <si>
    <t>F5H527_SSH2</t>
  </si>
  <si>
    <t>F5H564_EIF4G3</t>
  </si>
  <si>
    <t>F5H569_ATP6V0A1</t>
  </si>
  <si>
    <t>F5H5D3_TUBA1C</t>
  </si>
  <si>
    <t>F5H5K6_NOC4L</t>
  </si>
  <si>
    <t>F5H5N1_NDUFS7</t>
  </si>
  <si>
    <t>F5H5P2_BCKDHA</t>
  </si>
  <si>
    <t>F5H5R8_NAT1</t>
  </si>
  <si>
    <t>F5H620_OXNAD1</t>
  </si>
  <si>
    <t>F5H648_TAP1</t>
  </si>
  <si>
    <t>F5H685_MED23</t>
  </si>
  <si>
    <t>F5H698_LARS</t>
  </si>
  <si>
    <t>F5H6I7_ATL3</t>
  </si>
  <si>
    <t>F5H702_MRPL48</t>
  </si>
  <si>
    <t>F5H715_AIDA</t>
  </si>
  <si>
    <t>F5H721_WBP11</t>
  </si>
  <si>
    <t>F5H7C4_MSRB3</t>
  </si>
  <si>
    <t>F5H7J5_RPTOR</t>
  </si>
  <si>
    <t>F5H7K3_EFCAB14</t>
  </si>
  <si>
    <t>F5H7M3_DLAT</t>
  </si>
  <si>
    <t>F5H7Q8_MICB</t>
  </si>
  <si>
    <t>F5H7W5_EPB41L3</t>
  </si>
  <si>
    <t>F5H843_SLC16A7</t>
  </si>
  <si>
    <t>F5H860_INPP4A</t>
  </si>
  <si>
    <t>F5H897_TRAP1</t>
  </si>
  <si>
    <t>F5H8D7_XRCC1</t>
  </si>
  <si>
    <t>F5H8G1_STARD10</t>
  </si>
  <si>
    <t>F5H8J3_CLPTM1</t>
  </si>
  <si>
    <t>F5H8L0_RABGAP1L</t>
  </si>
  <si>
    <t>F6PQP6_EPN2</t>
  </si>
  <si>
    <t>F6RY50_SIPA1</t>
  </si>
  <si>
    <t>F6S0T5_KDM1A</t>
  </si>
  <si>
    <t>F6SS63_TAB3</t>
  </si>
  <si>
    <t>F6T1Q0_PDE12</t>
  </si>
  <si>
    <t>F6XY72_NME2</t>
  </si>
  <si>
    <t>F6YA60_ITFG2</t>
  </si>
  <si>
    <t>F8VP89_EIF4B</t>
  </si>
  <si>
    <t>F8VPD4_CAD</t>
  </si>
  <si>
    <t>F8VQ10_DDX39B</t>
  </si>
  <si>
    <t>F8VQD4_C12orf75</t>
  </si>
  <si>
    <t>F8VQX6_METTL7A</t>
  </si>
  <si>
    <t>F8VQY2_UIMC1</t>
  </si>
  <si>
    <t>F8VQZ7_METAP2</t>
  </si>
  <si>
    <t>F8VR76_PPP1R1A</t>
  </si>
  <si>
    <t>F8VS47_NEK3</t>
  </si>
  <si>
    <t>F8VSL3_NFYB</t>
  </si>
  <si>
    <t>F8VSZ4_PLXNA1</t>
  </si>
  <si>
    <t>F8VUA7_OSBPL8</t>
  </si>
  <si>
    <t>F8VUY8_SLC38A2</t>
  </si>
  <si>
    <t>F8VVA7_COPZ1</t>
  </si>
  <si>
    <t>F8VW96_CSRP2</t>
  </si>
  <si>
    <t>F8VWA5_CASP9</t>
  </si>
  <si>
    <t>F8VWA9_ALG10B</t>
  </si>
  <si>
    <t>F8VWE0_TSPAN31</t>
  </si>
  <si>
    <t>F8VWH9_ARFGAP1</t>
  </si>
  <si>
    <t>F8VWL0_TFCP2</t>
  </si>
  <si>
    <t>F8VX04_SLC38A1</t>
  </si>
  <si>
    <t>F8VXC8_SMARCC2</t>
  </si>
  <si>
    <t>F8VXG7_SCAF11</t>
  </si>
  <si>
    <t>F8VYZ4_COPZ1</t>
  </si>
  <si>
    <t>F8VZ44_AAAS</t>
  </si>
  <si>
    <t>F8VZJ2_NACA</t>
  </si>
  <si>
    <t>F8W038_C17orf49</t>
  </si>
  <si>
    <t>F8W0J4_YEATS4</t>
  </si>
  <si>
    <t>F8W0J6_NAP1L1</t>
  </si>
  <si>
    <t>F8W0W8_PPP1CC</t>
  </si>
  <si>
    <t>F8W145_CNOT2</t>
  </si>
  <si>
    <t>F8W181_RPL6</t>
  </si>
  <si>
    <t>F8W1R0_FGD4</t>
  </si>
  <si>
    <t>F8W1T9_RFX4</t>
  </si>
  <si>
    <t>F8W681_DPAGT1</t>
  </si>
  <si>
    <t>F8W6I7_HNRNPA1</t>
  </si>
  <si>
    <t>F8W6N3_BAP1</t>
  </si>
  <si>
    <t>F8W6N6_MYBL2</t>
  </si>
  <si>
    <t>F8W6T6_TLE4</t>
  </si>
  <si>
    <t>F8W6X9_SDK1</t>
  </si>
  <si>
    <t>F8W717_EML1</t>
  </si>
  <si>
    <t>F8W726_UBAP2L</t>
  </si>
  <si>
    <t>F8W782_ADIPOR1</t>
  </si>
  <si>
    <t>F8W7D6_GPHN</t>
  </si>
  <si>
    <t>F8W7Q4_FAM162A</t>
  </si>
  <si>
    <t>F8W7S1_FAM73A</t>
  </si>
  <si>
    <t>F8W810_</t>
  </si>
  <si>
    <t>F8W8I6_TIA1</t>
  </si>
  <si>
    <t>F8W8M4_ABLIM1</t>
  </si>
  <si>
    <t>F8W8P5_CADPS2</t>
  </si>
  <si>
    <t>F8W8Q9_STX5</t>
  </si>
  <si>
    <t>F8W8R3_POLD2</t>
  </si>
  <si>
    <t>F8W8Z9_TOMM5</t>
  </si>
  <si>
    <t>F8W930_IGF2BP2</t>
  </si>
  <si>
    <t>F8W9B8_EXOC5</t>
  </si>
  <si>
    <t>F8W9F9_WNK2</t>
  </si>
  <si>
    <t>F8W9R9_MED24</t>
  </si>
  <si>
    <t>F8W9Z6_STX16</t>
  </si>
  <si>
    <t>F8WA11_CLASP1</t>
  </si>
  <si>
    <t>F8WA86_CNN3</t>
  </si>
  <si>
    <t>F8WAC3_UCKL1</t>
  </si>
  <si>
    <t>F8WAD8_ADAM22</t>
  </si>
  <si>
    <t>F8WAE5_EIF2A</t>
  </si>
  <si>
    <t>F8WAK8_STAG2</t>
  </si>
  <si>
    <t>F8WAN1_</t>
  </si>
  <si>
    <t>F8WBH3_ALDH16A1</t>
  </si>
  <si>
    <t>F8WBK5_MRPL40</t>
  </si>
  <si>
    <t>F8WC68_DOM3Z</t>
  </si>
  <si>
    <t>F8WC89_SAC3D1</t>
  </si>
  <si>
    <t>F8WCX2_ZNF687</t>
  </si>
  <si>
    <t>F8WE91_DNMT3A</t>
  </si>
  <si>
    <t>F8WEE4_ZFAND2B</t>
  </si>
  <si>
    <t>F8WEG4_CBWD2</t>
  </si>
  <si>
    <t>F8WF93_ALG3</t>
  </si>
  <si>
    <t>G3V0I5_NDUFV1</t>
  </si>
  <si>
    <t>G3V0I6_OTUD4</t>
  </si>
  <si>
    <t>G3V130_MTERFD1</t>
  </si>
  <si>
    <t>G3V1D3_DPP3</t>
  </si>
  <si>
    <t>G3V1K3_PON2</t>
  </si>
  <si>
    <t>G3V1N2_HBA2</t>
  </si>
  <si>
    <t>G3V1P3_LOH12CR1</t>
  </si>
  <si>
    <t>G3V1R3_ZEB1</t>
  </si>
  <si>
    <t>G3V1R9_ISYNA1</t>
  </si>
  <si>
    <t>G3V1S6_GALNT2</t>
  </si>
  <si>
    <t>G3V1U0_ATF7IP</t>
  </si>
  <si>
    <t>G3V1U5_GOLT1B</t>
  </si>
  <si>
    <t>G3V203_RPL18</t>
  </si>
  <si>
    <t>G3V238_METTL10</t>
  </si>
  <si>
    <t>G3V2F7_TMEM189</t>
  </si>
  <si>
    <t>G3V2J7_CDKN3</t>
  </si>
  <si>
    <t>G3V2N2_SIX4</t>
  </si>
  <si>
    <t>G3V325_ATP5J2-PTCD1</t>
  </si>
  <si>
    <t>G3V3G9_DCAF8</t>
  </si>
  <si>
    <t>G3V3M6_APEX1</t>
  </si>
  <si>
    <t>G3V3R7_ATXN3</t>
  </si>
  <si>
    <t>G3V439_SIVA1</t>
  </si>
  <si>
    <t>G3V541_HAUS4</t>
  </si>
  <si>
    <t>G3V578_NDRG2</t>
  </si>
  <si>
    <t>G3V583_FAM177A1</t>
  </si>
  <si>
    <t>G3V599_CTAGE5</t>
  </si>
  <si>
    <t>G3V5E1_CCNK</t>
  </si>
  <si>
    <t>G3V5T0_GSTZ1</t>
  </si>
  <si>
    <t>G3V5T9_CDK2</t>
  </si>
  <si>
    <t>G3V5X4_SYNE2</t>
  </si>
  <si>
    <t>G3V5Z7_PSMA6</t>
  </si>
  <si>
    <t>G3XA81_TMEM48</t>
  </si>
  <si>
    <t>G3XAA0_ARID1B</t>
  </si>
  <si>
    <t>G3XAA2_MAP4K4</t>
  </si>
  <si>
    <t>G3XAI2_LAMB1</t>
  </si>
  <si>
    <t>G3XAN8_TIMM8B</t>
  </si>
  <si>
    <t>G3XAP3_ABCB8</t>
  </si>
  <si>
    <t>G5E979_ATG4A</t>
  </si>
  <si>
    <t>G5E994_GPR107</t>
  </si>
  <si>
    <t>G5E9A6_USP11</t>
  </si>
  <si>
    <t>G5E9C8_SOS1</t>
  </si>
  <si>
    <t>G5E9E7_TJP1</t>
  </si>
  <si>
    <t>G5E9T8_GOSR1</t>
  </si>
  <si>
    <t>G5E9Z4_PI4K2B</t>
  </si>
  <si>
    <t>G5EA30_CELF1</t>
  </si>
  <si>
    <t>G5EA42_TMOD2</t>
  </si>
  <si>
    <t>G5EA52_PDIA3</t>
  </si>
  <si>
    <t>G5EA54_MIPOL1</t>
  </si>
  <si>
    <t>G8JL86_COBLL1</t>
  </si>
  <si>
    <t>G8JL98_TDG</t>
  </si>
  <si>
    <t>G8JLA2_MYL6</t>
  </si>
  <si>
    <t>G8JLB3_PUS1</t>
  </si>
  <si>
    <t>G8JLC6_MIA3</t>
  </si>
  <si>
    <t>G8JLD3_ERC1</t>
  </si>
  <si>
    <t>G8JLH2_CDC25B</t>
  </si>
  <si>
    <t>G8JLI5_WDR45</t>
  </si>
  <si>
    <t>G8JLI6_LEPREL2</t>
  </si>
  <si>
    <t>G8JLK4_TACC1</t>
  </si>
  <si>
    <t>G8JLL2_PPT2</t>
  </si>
  <si>
    <t>G8JLL7_MVB12B</t>
  </si>
  <si>
    <t>H0UI80_TH1L</t>
  </si>
  <si>
    <t>H0Y2L5_ARFRP1</t>
  </si>
  <si>
    <t>H0Y2P9_PIGX</t>
  </si>
  <si>
    <t>H0Y2V6_CEP170</t>
  </si>
  <si>
    <t>H0Y327_MTHFD1L</t>
  </si>
  <si>
    <t>H0Y360_AMPD2</t>
  </si>
  <si>
    <t>H0Y362_SLC30A7</t>
  </si>
  <si>
    <t>H0Y384_ODF2</t>
  </si>
  <si>
    <t>H0Y3A0_RPL35</t>
  </si>
  <si>
    <t>H0Y3A3_DAB2IP</t>
  </si>
  <si>
    <t>H0Y3P2_EIF4G2</t>
  </si>
  <si>
    <t>H0Y3X6_NELFA</t>
  </si>
  <si>
    <t>H0Y4M8_ZNF185</t>
  </si>
  <si>
    <t>H0Y4R1_IMPDH2</t>
  </si>
  <si>
    <t>H0Y544_SLC23A2</t>
  </si>
  <si>
    <t>H0Y5C0_LPHN2</t>
  </si>
  <si>
    <t>H0Y5Y0_PREP</t>
  </si>
  <si>
    <t>H0Y612_TRIM33</t>
  </si>
  <si>
    <t>H0Y614_UFM1</t>
  </si>
  <si>
    <t>H0Y6A0_ARFGAP3</t>
  </si>
  <si>
    <t>H0Y6F5_ZHX3</t>
  </si>
  <si>
    <t>H0Y6I0_GOLGA4</t>
  </si>
  <si>
    <t>H0Y6J0_NME4</t>
  </si>
  <si>
    <t>H0Y6K2_BRD2</t>
  </si>
  <si>
    <t>H0Y6K5_SP3</t>
  </si>
  <si>
    <t>H0Y7L9_ABCD1</t>
  </si>
  <si>
    <t>H0Y860_STIM2</t>
  </si>
  <si>
    <t>H0Y8C3_MTCH1</t>
  </si>
  <si>
    <t>H0Y9S9_PPIP5K2</t>
  </si>
  <si>
    <t>H0Y9V2_UBE2B</t>
  </si>
  <si>
    <t>H0Y9X1_TMA16</t>
  </si>
  <si>
    <t>H0YA61_RBM24</t>
  </si>
  <si>
    <t>H0YAJ5_APBB2</t>
  </si>
  <si>
    <t>H0YAT2_MRPS28</t>
  </si>
  <si>
    <t>H0YB09_C14orf159</t>
  </si>
  <si>
    <t>H0YBS1_INTS8</t>
  </si>
  <si>
    <t>H0YCG2_LAMP2</t>
  </si>
  <si>
    <t>H0YCK3_ADAR</t>
  </si>
  <si>
    <t>H0YDQ1_ALG8</t>
  </si>
  <si>
    <t>H0YDR5_SIGIRR</t>
  </si>
  <si>
    <t>H0YDU8_PPP5C</t>
  </si>
  <si>
    <t>H0YE23_CD40</t>
  </si>
  <si>
    <t>H0YEB6_SSSCA1</t>
  </si>
  <si>
    <t>H0YEF3_RNASEH2C</t>
  </si>
  <si>
    <t>H0YEN5_RPS2</t>
  </si>
  <si>
    <t>H0YF29_C8orf82</t>
  </si>
  <si>
    <t>H0YGA7_CADM1</t>
  </si>
  <si>
    <t>H0YGR4_REXO2</t>
  </si>
  <si>
    <t>H0YGT9_JOSD1</t>
  </si>
  <si>
    <t>H0YH87_ATXN2</t>
  </si>
  <si>
    <t>H0YI02_RAB3IP</t>
  </si>
  <si>
    <t>H0YIE9_FBXO21</t>
  </si>
  <si>
    <t>H0YIV5_LETMD1</t>
  </si>
  <si>
    <t>H0YIV9_</t>
  </si>
  <si>
    <t>H0YK61_EMC4</t>
  </si>
  <si>
    <t>H0YKT5_TLE3</t>
  </si>
  <si>
    <t>H0YL72_IDH3A</t>
  </si>
  <si>
    <t>H0YLB5_POU2F1</t>
  </si>
  <si>
    <t>H0YLY9_PIGH</t>
  </si>
  <si>
    <t>H0YMB3_GMPR2</t>
  </si>
  <si>
    <t>H0YMF4_RPL28</t>
  </si>
  <si>
    <t>H0YMI8_TRAF3</t>
  </si>
  <si>
    <t>H0YMJ1_ASB7</t>
  </si>
  <si>
    <t>H0YMW2_AKAP13</t>
  </si>
  <si>
    <t>H0YNG3_SEC11A</t>
  </si>
  <si>
    <t>H2N331_ITGA7</t>
  </si>
  <si>
    <t>H3BLU7_AKR7A2</t>
  </si>
  <si>
    <t>H3BLW6_TMEM63B</t>
  </si>
  <si>
    <t>H3BLW9_SWI5</t>
  </si>
  <si>
    <t>H3BLZ2_DBNDD1</t>
  </si>
  <si>
    <t>H3BLZ8_DDX17</t>
  </si>
  <si>
    <t>H3BM14_NUB1</t>
  </si>
  <si>
    <t>H3BMD8_ARPP19</t>
  </si>
  <si>
    <t>H3BMF4_SPNS1</t>
  </si>
  <si>
    <t>H3BMJ2_C15orf39</t>
  </si>
  <si>
    <t>H3BMM5_</t>
  </si>
  <si>
    <t>H3BMS0_RNPS1</t>
  </si>
  <si>
    <t>H3BMV2_C17orf103</t>
  </si>
  <si>
    <t>H3BN87_SLC38A7</t>
  </si>
  <si>
    <t>H3BN98_</t>
  </si>
  <si>
    <t>H3BNA7_KIAA0513</t>
  </si>
  <si>
    <t>H3BP20_HEXA</t>
  </si>
  <si>
    <t>H3BPC4_UBE2I</t>
  </si>
  <si>
    <t>H3BPE1_MACF1</t>
  </si>
  <si>
    <t>H3BPK3_HAGH</t>
  </si>
  <si>
    <t>H3BPL0_CLN3</t>
  </si>
  <si>
    <t>H3BPQ3_NDRG4</t>
  </si>
  <si>
    <t>H3BPR3_SNX33</t>
  </si>
  <si>
    <t>H3BPS8_ALDOA</t>
  </si>
  <si>
    <t>H3BQA0_SNAPC5</t>
  </si>
  <si>
    <t>H3BQZ7_hCG_2044799</t>
  </si>
  <si>
    <t>H3BR06_TERF2</t>
  </si>
  <si>
    <t>H3BR94_DCTN5</t>
  </si>
  <si>
    <t>H3BRB6_ZNRF1</t>
  </si>
  <si>
    <t>H3BRD1_UBE2I</t>
  </si>
  <si>
    <t>H3BRD2_GFER</t>
  </si>
  <si>
    <t>H3BRF9_ZFYVE19</t>
  </si>
  <si>
    <t>H3BRL3_UBFD1</t>
  </si>
  <si>
    <t>H3BRQ8_NUDT7</t>
  </si>
  <si>
    <t>H3BRS1_NFATC3</t>
  </si>
  <si>
    <t>H3BRU1_FAM219B</t>
  </si>
  <si>
    <t>H3BRV0_EIF3C</t>
  </si>
  <si>
    <t>H3BRY6_VWA9</t>
  </si>
  <si>
    <t>H3BS42_ZNF768</t>
  </si>
  <si>
    <t>H3BS89_TMEM178B</t>
  </si>
  <si>
    <t>H3BSB6_SLC7A6</t>
  </si>
  <si>
    <t>H3BSH5_COG8</t>
  </si>
  <si>
    <t>H3BSM5_GABARAPL2</t>
  </si>
  <si>
    <t>H3BSM7_C16orf58</t>
  </si>
  <si>
    <t>H3BSW6_CTU2</t>
  </si>
  <si>
    <t>H3BT12_FEM1B</t>
  </si>
  <si>
    <t>H3BTH4_ADPGK</t>
  </si>
  <si>
    <t>H3BTL1_MAP1LC3B</t>
  </si>
  <si>
    <t>H3BTL2_BCKDK</t>
  </si>
  <si>
    <t>H3BTX0_</t>
  </si>
  <si>
    <t>H3BU49_ARL2BP</t>
  </si>
  <si>
    <t>H3BU63_PPCDC</t>
  </si>
  <si>
    <t>H3BUF6_ATXN2L</t>
  </si>
  <si>
    <t>H3BUQ2_OGFOD1</t>
  </si>
  <si>
    <t>H3BV23_UBL7</t>
  </si>
  <si>
    <t>H7BXD5_GCA</t>
  </si>
  <si>
    <t>H7BXH2_PPP6R3</t>
  </si>
  <si>
    <t>H7BXI5_ERGIC3</t>
  </si>
  <si>
    <t>H7BXT7_BET1L</t>
  </si>
  <si>
    <t>H7BXY6_TSPAN14</t>
  </si>
  <si>
    <t>H7BY58_PCMT1</t>
  </si>
  <si>
    <t>H7BYE5_WRB</t>
  </si>
  <si>
    <t>H7BYQ6_INTS9</t>
  </si>
  <si>
    <t>H7BYY1_TPM1</t>
  </si>
  <si>
    <t>H7BYY4_PSTK</t>
  </si>
  <si>
    <t>H7BZJ3_PDIA3</t>
  </si>
  <si>
    <t>H7C0G7_NHEJ1</t>
  </si>
  <si>
    <t>H7C0T2_ITPRIPL1</t>
  </si>
  <si>
    <t>H7C107_IQSEC1</t>
  </si>
  <si>
    <t>H7C112_FBXL19</t>
  </si>
  <si>
    <t>H7C173_MZT2B</t>
  </si>
  <si>
    <t>H7C1E4_AP1S1</t>
  </si>
  <si>
    <t>H7C1U3_CC2D1B</t>
  </si>
  <si>
    <t>H7C1U8_APOO</t>
  </si>
  <si>
    <t>H7C293_MZT2B</t>
  </si>
  <si>
    <t>H7C2E6_C1orf86</t>
  </si>
  <si>
    <t>H7C3C7_SNAP47</t>
  </si>
  <si>
    <t>H7C3D5_FAM134A</t>
  </si>
  <si>
    <t>H7C3D8_CMC1</t>
  </si>
  <si>
    <t>H7C3P4_GNS</t>
  </si>
  <si>
    <t>H7C3U2_ART5</t>
  </si>
  <si>
    <t>H7C444_IFRD2</t>
  </si>
  <si>
    <t>H7C484_ARV1</t>
  </si>
  <si>
    <t>H7C525_CCDC58</t>
  </si>
  <si>
    <t>H7C5G1_IAH1</t>
  </si>
  <si>
    <t>H7C5R4_GK5</t>
  </si>
  <si>
    <t>H9KV44_EFR3A</t>
  </si>
  <si>
    <t>H9KV59_PRC1</t>
  </si>
  <si>
    <t>H9KV61_PWWP2B</t>
  </si>
  <si>
    <t>H9KVB8_MICU1</t>
  </si>
  <si>
    <t>H9KVC5_CREB5</t>
  </si>
  <si>
    <t>H9ZYI9_GABPB1</t>
  </si>
  <si>
    <t>I3L097_</t>
  </si>
  <si>
    <t>I3L0A4_WASH6P</t>
  </si>
  <si>
    <t>I3L0K1_GOSR2</t>
  </si>
  <si>
    <t>I3L0L6_RNF167</t>
  </si>
  <si>
    <t>I3L0N3_NSF</t>
  </si>
  <si>
    <t>I3L0T6_RNMTL1</t>
  </si>
  <si>
    <t>I3L0U9_TBC1D16</t>
  </si>
  <si>
    <t>I3L1H5_DPH1</t>
  </si>
  <si>
    <t>I3L1P8_SLC25A11</t>
  </si>
  <si>
    <t>I3L2B0_CLUH</t>
  </si>
  <si>
    <t>I3L2C7_GEMIN4</t>
  </si>
  <si>
    <t>I3L2J8_AZI1</t>
  </si>
  <si>
    <t>I3L2L5_FAM195B</t>
  </si>
  <si>
    <t>I3L2N2_DVL2</t>
  </si>
  <si>
    <t>I3L3A8_PELP1</t>
  </si>
  <si>
    <t>I3L3B4_</t>
  </si>
  <si>
    <t>I3L448_ATPAF1</t>
  </si>
  <si>
    <t>I3L4V0_LSMD1</t>
  </si>
  <si>
    <t>I3L4X3_NFKBIB</t>
  </si>
  <si>
    <t>J3KMY5_NPC2</t>
  </si>
  <si>
    <t>J3KMZ8_DPF2</t>
  </si>
  <si>
    <t>J3KMZ9_LDLR</t>
  </si>
  <si>
    <t>J3KN16_KIAA0368</t>
  </si>
  <si>
    <t>J3KN27_FBRSL1</t>
  </si>
  <si>
    <t>J3KN29_PSMD9</t>
  </si>
  <si>
    <t>J3KN49_OBSL1</t>
  </si>
  <si>
    <t>J3KN59_BNIP2</t>
  </si>
  <si>
    <t>J3KN66_TOR1AIP1</t>
  </si>
  <si>
    <t>J3KN67_TPM3</t>
  </si>
  <si>
    <t>J3KN69_NCEH1</t>
  </si>
  <si>
    <t>J3KNA0_OXA1L</t>
  </si>
  <si>
    <t>J3KNC0_GTF2A1</t>
  </si>
  <si>
    <t>J3KNF4_CCS</t>
  </si>
  <si>
    <t>J3KNG8_FNIP1</t>
  </si>
  <si>
    <t>J3KNI1_COG4</t>
  </si>
  <si>
    <t>J3KNL3_CHID1</t>
  </si>
  <si>
    <t>J3KNL6_SEC16A</t>
  </si>
  <si>
    <t>J3KNL9_ZFYVE1</t>
  </si>
  <si>
    <t>J3KNN7_BRAP</t>
  </si>
  <si>
    <t>J3KNQ1_ZFP1</t>
  </si>
  <si>
    <t>J3KNR0_MARK3</t>
  </si>
  <si>
    <t>J3KNU8_ALDH6A1</t>
  </si>
  <si>
    <t>J3KNW4_FHL2</t>
  </si>
  <si>
    <t>J3KNY6_RGPD4</t>
  </si>
  <si>
    <t>J3KP15_SRSF2</t>
  </si>
  <si>
    <t>J3KP22_PTPRA</t>
  </si>
  <si>
    <t>J3KP26_ANKRD46</t>
  </si>
  <si>
    <t>J3KP29_NUP98</t>
  </si>
  <si>
    <t>J3KP30_DNTTIP2</t>
  </si>
  <si>
    <t>J3KP75_PHACTR2</t>
  </si>
  <si>
    <t>J3KP99_HS6ST2</t>
  </si>
  <si>
    <t>J3KPF9_KIF3A</t>
  </si>
  <si>
    <t>J3KPH8_HDAC7</t>
  </si>
  <si>
    <t>J3KPJ3_CAMKK1</t>
  </si>
  <si>
    <t>J3KPK1_SYNJ1</t>
  </si>
  <si>
    <t>J3KPN1_TESC</t>
  </si>
  <si>
    <t>J3KPP4_LUC7L3</t>
  </si>
  <si>
    <t>J3KPP7_ARRB1</t>
  </si>
  <si>
    <t>J3KPT4_TRABD</t>
  </si>
  <si>
    <t>J3KPV1_CHCHD7</t>
  </si>
  <si>
    <t>J3KPV7_MPST</t>
  </si>
  <si>
    <t>J3KPW1_SUDS3</t>
  </si>
  <si>
    <t>J3KPW7_HDAC2</t>
  </si>
  <si>
    <t>J3KPZ8_RFXANK</t>
  </si>
  <si>
    <t>J3KQ32_OLA1</t>
  </si>
  <si>
    <t>J3KQ48_PTRH2</t>
  </si>
  <si>
    <t>J3KQ88_C6orf203</t>
  </si>
  <si>
    <t>J3KQB0_THUMPD1</t>
  </si>
  <si>
    <t>J3KQE0_SUN2</t>
  </si>
  <si>
    <t>J3KQE5_RAN</t>
  </si>
  <si>
    <t>J3KQG4_GBA</t>
  </si>
  <si>
    <t>J3KQJ1_SUMF2</t>
  </si>
  <si>
    <t>J3KQL8_APOL2</t>
  </si>
  <si>
    <t>J3KQU9_AP1G1</t>
  </si>
  <si>
    <t>J3KR35_CCDC12</t>
  </si>
  <si>
    <t>J3KR97_TBCD</t>
  </si>
  <si>
    <t>J3KRC8_C16orf55</t>
  </si>
  <si>
    <t>J3KRH1_SUMO2</t>
  </si>
  <si>
    <t>J3KRN4_MAP3K3</t>
  </si>
  <si>
    <t>J3KS05_CBX1</t>
  </si>
  <si>
    <t>J3KS15_ICT1</t>
  </si>
  <si>
    <t>J3KS81_TMEM199</t>
  </si>
  <si>
    <t>J3KSD8_BLMH</t>
  </si>
  <si>
    <t>J3KSH1_AMZ2</t>
  </si>
  <si>
    <t>J3KTA1_FBXL20</t>
  </si>
  <si>
    <t>J3KTD6_AURKB</t>
  </si>
  <si>
    <t>J3KTL2_SRSF1</t>
  </si>
  <si>
    <t>J3QK89_CHERP</t>
  </si>
  <si>
    <t>J3QKS7_SMARCE1</t>
  </si>
  <si>
    <t>J3QL56_SCO1</t>
  </si>
  <si>
    <t>J3QL63_TVP23B</t>
  </si>
  <si>
    <t>J3QL71_SCRN2</t>
  </si>
  <si>
    <t>J3QLB2_SLC39A11</t>
  </si>
  <si>
    <t>J3QLD9_FLOT2</t>
  </si>
  <si>
    <t>J3QLR8_MRPS23</t>
  </si>
  <si>
    <t>J3QLS3_MRPS7</t>
  </si>
  <si>
    <t>J3QQJ0_SAP30BP</t>
  </si>
  <si>
    <t>J3QQT2_RPL17</t>
  </si>
  <si>
    <t>J3QQX3_FDXR</t>
  </si>
  <si>
    <t>J3QQY0_MSL1</t>
  </si>
  <si>
    <t>J3QR01_STRA13</t>
  </si>
  <si>
    <t>J3QR07_YTHDC1</t>
  </si>
  <si>
    <t>J3QR09_RPL19</t>
  </si>
  <si>
    <t>J3QRD1_ALDH3A2</t>
  </si>
  <si>
    <t>J3QRK9_</t>
  </si>
  <si>
    <t>J3QRM9_ORMDL3</t>
  </si>
  <si>
    <t>J3QRS3_MYL12A</t>
  </si>
  <si>
    <t>J3QRS9_ZNF207</t>
  </si>
  <si>
    <t>J3QRU1_YES1</t>
  </si>
  <si>
    <t>J3QRU4_VAMP2</t>
  </si>
  <si>
    <t>J3QS41_HELZ</t>
  </si>
  <si>
    <t>J3QSD7_CDK12</t>
  </si>
  <si>
    <t>J3QSR7_KIAA1549</t>
  </si>
  <si>
    <t>J3QT56_HYPK</t>
  </si>
  <si>
    <t>J3QT73_COPS7B</t>
  </si>
  <si>
    <t>J3QTA6_CHCHD6</t>
  </si>
  <si>
    <t>J3QTQ0_DST</t>
  </si>
  <si>
    <t>J9JIC5_C17orf75</t>
  </si>
  <si>
    <t>J9JID7_LMNB2</t>
  </si>
  <si>
    <t>J9JID9_PITPNC1</t>
  </si>
  <si>
    <t>J9JIE6_TMCO1</t>
  </si>
  <si>
    <t>J9JIG6_ARSG</t>
  </si>
  <si>
    <t>K4DI92_RWDD4</t>
  </si>
  <si>
    <t>K4DI93_CUL4B</t>
  </si>
  <si>
    <t>K7EID0_MLX</t>
  </si>
  <si>
    <t>K7EIE8_MBD3</t>
  </si>
  <si>
    <t>K7EIG1_CLUH</t>
  </si>
  <si>
    <t>K7EIK7_EML2</t>
  </si>
  <si>
    <t>K7EIL6_</t>
  </si>
  <si>
    <t>K7EIP7_YIPF2</t>
  </si>
  <si>
    <t>K7EIS0_TUBG1</t>
  </si>
  <si>
    <t>K7EIU8_SMAD4</t>
  </si>
  <si>
    <t>K7EJ08_SEC14L1</t>
  </si>
  <si>
    <t>K7EJ78_RPS15</t>
  </si>
  <si>
    <t>K7EJH0_SPC24</t>
  </si>
  <si>
    <t>K7EJL1_AP1M1</t>
  </si>
  <si>
    <t>K7EJQ7_SEC11C</t>
  </si>
  <si>
    <t>K7EK07_H3F3B</t>
  </si>
  <si>
    <t>K7EK99_LIN37</t>
  </si>
  <si>
    <t>K7EKE6_LONP1</t>
  </si>
  <si>
    <t>K7EKI4_MRPL4</t>
  </si>
  <si>
    <t>K7EKS3_POLRMT</t>
  </si>
  <si>
    <t>K7EKW3_TMUB2</t>
  </si>
  <si>
    <t>K7EL68_CDC37</t>
  </si>
  <si>
    <t>K7EL81_PPP1R12C</t>
  </si>
  <si>
    <t>K7ELC7_RPL27</t>
  </si>
  <si>
    <t>K7ELL7_PRKCSH</t>
  </si>
  <si>
    <t>K7ELY2_STX10</t>
  </si>
  <si>
    <t>K7EM02_KATNAL2</t>
  </si>
  <si>
    <t>K7EM09_TMEM205</t>
  </si>
  <si>
    <t>K7EM38_ACTG1</t>
  </si>
  <si>
    <t>K7EN05_ELOF1</t>
  </si>
  <si>
    <t>K7EN78_R3HDM4</t>
  </si>
  <si>
    <t>K7ENF0_NARS</t>
  </si>
  <si>
    <t>K7ENL9_C18orf8</t>
  </si>
  <si>
    <t>K7ENR1_ELK1</t>
  </si>
  <si>
    <t>K7EP31_ATP5SL</t>
  </si>
  <si>
    <t>K7EP32_UBXN6</t>
  </si>
  <si>
    <t>K7EPX7_MOB3A</t>
  </si>
  <si>
    <t>K7EQ77_NDUFA11</t>
  </si>
  <si>
    <t>K7EQG1_QPCTL</t>
  </si>
  <si>
    <t>K7EQL6_USP32</t>
  </si>
  <si>
    <t>K7ER00_FARSA</t>
  </si>
  <si>
    <t>K7ER93_C19orf55</t>
  </si>
  <si>
    <t>K7ERF1_EIF3K</t>
  </si>
  <si>
    <t>K7ERH7_DTNA</t>
  </si>
  <si>
    <t>K7ERQ0_YIF1B</t>
  </si>
  <si>
    <t>K7ERS5_</t>
  </si>
  <si>
    <t>K7ES11_UBE2O</t>
  </si>
  <si>
    <t>K7ES84_FAM86A</t>
  </si>
  <si>
    <t>K7ESA4_ATF7</t>
  </si>
  <si>
    <t>K7ESE3_RAD23A</t>
  </si>
  <si>
    <t>K7ESE6_G6PC3</t>
  </si>
  <si>
    <t>K7ESI9_DNM2</t>
  </si>
  <si>
    <t>K7ESL1_TXNL4A</t>
  </si>
  <si>
    <t>K7ESP4_DCAKD</t>
  </si>
  <si>
    <t>M0QWZ7_SARS2</t>
  </si>
  <si>
    <t>M0QX07_BABAM1</t>
  </si>
  <si>
    <t>M0QXA7_WIZ</t>
  </si>
  <si>
    <t>M0QXB4_COPE</t>
  </si>
  <si>
    <t>M0QXB5_ETHE1</t>
  </si>
  <si>
    <t>M0QXD0_MCOLN1</t>
  </si>
  <si>
    <t>M0QXN5_NUP62</t>
  </si>
  <si>
    <t>M0QXT0_USF2</t>
  </si>
  <si>
    <t>M0QXZ5_ZNF428</t>
  </si>
  <si>
    <t>M0QY77_KXD1</t>
  </si>
  <si>
    <t>M0QYA2_PIH1D1</t>
  </si>
  <si>
    <t>M0QYH2_PNKP</t>
  </si>
  <si>
    <t>M0QYM7_TUBB4A</t>
  </si>
  <si>
    <t>M0QYS1_RPL13A</t>
  </si>
  <si>
    <t>M0QYT5_USE1</t>
  </si>
  <si>
    <t>M0QZ12_GRAMD1A</t>
  </si>
  <si>
    <t>M0QZ21_AP2S1</t>
  </si>
  <si>
    <t>M0QZ23_C19orf44</t>
  </si>
  <si>
    <t>M0QZC7_SMG9</t>
  </si>
  <si>
    <t>M0QZM1_HNRNPM</t>
  </si>
  <si>
    <t>M0QZW1_PRKD2</t>
  </si>
  <si>
    <t>M0R042_TUBB4A</t>
  </si>
  <si>
    <t>M0R0E9_SPHK2</t>
  </si>
  <si>
    <t>M0R0F0_RPS5</t>
  </si>
  <si>
    <t>M0R116_ATP1A3</t>
  </si>
  <si>
    <t>M0R117_RPL18A</t>
  </si>
  <si>
    <t>M0R150_</t>
  </si>
  <si>
    <t>M0R1E0_RAB4B</t>
  </si>
  <si>
    <t>M0R226_MRPL34</t>
  </si>
  <si>
    <t>M0R299_FBL</t>
  </si>
  <si>
    <t>M0R2A0_EMC10</t>
  </si>
  <si>
    <t>M0R2B7_POLD1</t>
  </si>
  <si>
    <t>M0R2D3_TUBB4A</t>
  </si>
  <si>
    <t>M0R3D4_RABAC1</t>
  </si>
  <si>
    <t>O00116_AGPS</t>
  </si>
  <si>
    <t>O00124-3_UBXN8</t>
  </si>
  <si>
    <t>O00139-2_KIF2A</t>
  </si>
  <si>
    <t>O00148_DDX39A</t>
  </si>
  <si>
    <t>O00151_PDLIM1</t>
  </si>
  <si>
    <t>O00154-4_ACOT7</t>
  </si>
  <si>
    <t>O00159_MYO1C</t>
  </si>
  <si>
    <t>O00161_SNAP23</t>
  </si>
  <si>
    <t>O00165-5_HAX1</t>
  </si>
  <si>
    <t>O00170_AIP</t>
  </si>
  <si>
    <t>O00178_GTPBP1</t>
  </si>
  <si>
    <t>O00186_STXBP3</t>
  </si>
  <si>
    <t>O00193_SMAP</t>
  </si>
  <si>
    <t>O00213-2_APBB1</t>
  </si>
  <si>
    <t>O00217_NDUFS8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</si>
  <si>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</si>
  <si>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</si>
  <si>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</si>
  <si>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</si>
  <si>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</si>
  <si>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</si>
  <si>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</si>
  <si>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</si>
  <si>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</si>
  <si>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</si>
  <si>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</si>
  <si>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O00330_PDHX</t>
  </si>
  <si>
    <t>O00399_DCTN6</t>
  </si>
  <si>
    <t>O00400_SLC33A1</t>
  </si>
  <si>
    <t>O00401_WASL</t>
  </si>
  <si>
    <t>O00410_IPO5</t>
  </si>
  <si>
    <t>O00418_EEF2K</t>
  </si>
  <si>
    <t>O00425_IGF2BP3</t>
  </si>
  <si>
    <t>O00429-3_DNM1L</t>
  </si>
  <si>
    <t>O00429-4_DNM1L</t>
  </si>
  <si>
    <t>O00442_RTCA</t>
  </si>
  <si>
    <t>O00443_PIK3C2A</t>
  </si>
  <si>
    <t>O00451_GFRA2</t>
  </si>
  <si>
    <t>O00459_PIK3R2</t>
  </si>
  <si>
    <t>O00461_GOLIM4</t>
  </si>
  <si>
    <t>O00479_HMGN4</t>
  </si>
  <si>
    <t>O00483_NDUFA4</t>
  </si>
  <si>
    <t>O00487_PSMD14</t>
  </si>
  <si>
    <t>O00488_ZNF593</t>
  </si>
  <si>
    <t>O00506_STK25</t>
  </si>
  <si>
    <t>O00512_BCL9</t>
  </si>
  <si>
    <t>O00560-3_SDCBP</t>
  </si>
  <si>
    <t>O00571_DDX3X</t>
  </si>
  <si>
    <t>O00625_PIR</t>
  </si>
  <si>
    <t>O00629_KPNA4</t>
  </si>
  <si>
    <t>O00635_TRIM38</t>
  </si>
  <si>
    <t>O00716_E2F3</t>
  </si>
  <si>
    <t>O00743_PPP6C</t>
  </si>
  <si>
    <t>O00748_CES2</t>
  </si>
  <si>
    <t>O00754-2_MAN2B1</t>
  </si>
  <si>
    <t>O00762_UBE2C</t>
  </si>
  <si>
    <t>O00764_PDXK</t>
  </si>
  <si>
    <t>O00767_SCD</t>
  </si>
  <si>
    <t>O14497-2_ARID1A</t>
  </si>
  <si>
    <t>O14519-2_CDK2AP1</t>
  </si>
  <si>
    <t>O14523_C2CD2L</t>
  </si>
  <si>
    <t>O14524-2_TMEM194A</t>
  </si>
  <si>
    <t>O14545_TRAFD1</t>
  </si>
  <si>
    <t>O14613_CDC42EP2</t>
  </si>
  <si>
    <t>O14617-4_AP3D1</t>
  </si>
  <si>
    <t>O14640-2_DVL1</t>
  </si>
  <si>
    <t>O14657_TOR1B</t>
  </si>
  <si>
    <t>O14672_ADAM10</t>
  </si>
  <si>
    <t>O14686_MLL2</t>
  </si>
  <si>
    <t>O14732-2_IMPA2</t>
  </si>
  <si>
    <t>O14733_MAP2K7</t>
  </si>
  <si>
    <t>O14734_ACOT8</t>
  </si>
  <si>
    <t>O14737_PDCD5</t>
  </si>
  <si>
    <t>O14744_PRMT5</t>
  </si>
  <si>
    <t>O14745_SLC9A3R1</t>
  </si>
  <si>
    <t>O14757_CHEK1</t>
  </si>
  <si>
    <t>O14763-2_TNFRSF10B</t>
  </si>
  <si>
    <t>O14772_FPGT</t>
  </si>
  <si>
    <t>O14773-2_TPP1</t>
  </si>
  <si>
    <t>O14776-2_TCERG1</t>
  </si>
  <si>
    <t>O14777_NDC80</t>
  </si>
  <si>
    <t>O14787-2_TNPO2</t>
  </si>
  <si>
    <t>O14810_CPLX1</t>
  </si>
  <si>
    <t>O14818_PSMA7</t>
  </si>
  <si>
    <t>O14828_SCAMP3</t>
  </si>
  <si>
    <t>O14867_BACH1</t>
  </si>
  <si>
    <t>O14893-2_GEMIN2</t>
  </si>
  <si>
    <t>O14907_TAX1BP3</t>
  </si>
  <si>
    <t>O14908_GIPC1</t>
  </si>
  <si>
    <t>O14910_LIN7A</t>
  </si>
  <si>
    <t>O14920_IKBKB</t>
  </si>
  <si>
    <t>O14925_TIMM23</t>
  </si>
  <si>
    <t>O14929_HAT1</t>
  </si>
  <si>
    <t>O14936-3_CASK</t>
  </si>
  <si>
    <t>O14964_HGS</t>
  </si>
  <si>
    <t>O14965_AURKA</t>
  </si>
  <si>
    <t>O14966-2_RAB7L1</t>
  </si>
  <si>
    <t>O14967_CLGN</t>
  </si>
  <si>
    <t>O14974-2_PPP1R12A</t>
  </si>
  <si>
    <t>O14976_GAK</t>
  </si>
  <si>
    <t>O14979-3_HNRPDL</t>
  </si>
  <si>
    <t>O14980_XPO1</t>
  </si>
  <si>
    <t>O14981_BTAF1</t>
  </si>
  <si>
    <t>O15013-4_ARHGEF10</t>
  </si>
  <si>
    <t>O15014_ZNF609</t>
  </si>
  <si>
    <t>O15031_PLXNB2</t>
  </si>
  <si>
    <t>O15047_SETD1A</t>
  </si>
  <si>
    <t>O15067_PFAS</t>
  </si>
  <si>
    <t>O15085_ARHGEF11</t>
  </si>
  <si>
    <t>O15091-4_KIAA0391</t>
  </si>
  <si>
    <t>O15111_CHUK</t>
  </si>
  <si>
    <t>O15116_LSM1</t>
  </si>
  <si>
    <t>O15118_NPC1</t>
  </si>
  <si>
    <t>O15121_DEGS1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</si>
  <si>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</si>
  <si>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</si>
  <si>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</si>
  <si>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</si>
  <si>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</si>
  <si>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</si>
  <si>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</si>
  <si>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O15164-2_TRIM24</t>
  </si>
  <si>
    <t>O15169-2_AXIN1</t>
  </si>
  <si>
    <t>O15173_PGRMC2</t>
  </si>
  <si>
    <t>O15212_PFDN6</t>
  </si>
  <si>
    <t>O15228_GNPAT</t>
  </si>
  <si>
    <t>O15234_CASC3</t>
  </si>
  <si>
    <t>O15239_NDUFA1</t>
  </si>
  <si>
    <t>O15258_RER1</t>
  </si>
  <si>
    <t>O15269_SPTLC1</t>
  </si>
  <si>
    <t>O15270_SPTLC2</t>
  </si>
  <si>
    <t>O15294-3_OGT</t>
  </si>
  <si>
    <t>O15305_PMM2</t>
  </si>
  <si>
    <t>O15344_MID1</t>
  </si>
  <si>
    <t>O15347_HMGB3</t>
  </si>
  <si>
    <t>O15355_PPM1G</t>
  </si>
  <si>
    <t>O15357_INPPL1</t>
  </si>
  <si>
    <t>O15397_IPO8</t>
  </si>
  <si>
    <t>O15400-2_STX7</t>
  </si>
  <si>
    <t>O15439-2_ABCC4</t>
  </si>
  <si>
    <t>O15446_CD3EAP</t>
  </si>
  <si>
    <t>O15460-2_P4HA2</t>
  </si>
  <si>
    <t>O15511_ARPC5</t>
  </si>
  <si>
    <t>O15541_RNF113A</t>
  </si>
  <si>
    <t>O43143_DHX15</t>
  </si>
  <si>
    <t>O43148_RNMT</t>
  </si>
  <si>
    <t>O43150-2_ASAP2</t>
  </si>
  <si>
    <t>O43155_FLRT2</t>
  </si>
  <si>
    <t>O43156_TTI1</t>
  </si>
  <si>
    <t>O43164-2_PJA2</t>
  </si>
  <si>
    <t>O43172-2_PRPF4</t>
  </si>
  <si>
    <t>O43175_PHGDH</t>
  </si>
  <si>
    <t>O43242_PSMD3</t>
  </si>
  <si>
    <t>O43251-6_RBFOX2</t>
  </si>
  <si>
    <t>O43252_PAPSS1</t>
  </si>
  <si>
    <t>O43257_ZNHIT1</t>
  </si>
  <si>
    <t>O43264_ZW10</t>
  </si>
  <si>
    <t>O43290_SART1</t>
  </si>
  <si>
    <t>O43301_HSPA12A</t>
  </si>
  <si>
    <t>O43310_CTIF</t>
  </si>
  <si>
    <t>O43314-2_PPIP5K2</t>
  </si>
  <si>
    <t>O43318-2_MAP3K7</t>
  </si>
  <si>
    <t>O43353_RIPK2</t>
  </si>
  <si>
    <t>O43379_WDR62</t>
  </si>
  <si>
    <t>O43395_PRPF3</t>
  </si>
  <si>
    <t>O43396_TXNL1</t>
  </si>
  <si>
    <t>O43399_TPD52L2</t>
  </si>
  <si>
    <t>O43399-2_TPD52L2</t>
  </si>
  <si>
    <t>O43402_EMC8</t>
  </si>
  <si>
    <t>O43435-3_TBX1</t>
  </si>
  <si>
    <t>O43447_PPIH</t>
  </si>
  <si>
    <t>O43464-3_HTRA2</t>
  </si>
  <si>
    <t>O43474-1_KLF4</t>
  </si>
  <si>
    <t>O43482_OIP5</t>
  </si>
  <si>
    <t>O43491_EPB41L2</t>
  </si>
  <si>
    <t>O43493-2_TGOLN2</t>
  </si>
  <si>
    <t>O43502_RAD51C</t>
  </si>
  <si>
    <t>O43505_B3GNT1</t>
  </si>
  <si>
    <t>O43516_WIPF1</t>
  </si>
  <si>
    <t>O43521-6_BCL2L11</t>
  </si>
  <si>
    <t>O43524_FOXO3</t>
  </si>
  <si>
    <t>O43567_RNF13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</si>
  <si>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</si>
  <si>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</si>
  <si>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</si>
  <si>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</si>
  <si>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</si>
  <si>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</si>
  <si>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</si>
  <si>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O43657_TSPAN6</t>
  </si>
  <si>
    <t>O43665-2_RGS10</t>
  </si>
  <si>
    <t>O43676_NDUFB3</t>
  </si>
  <si>
    <t>O43677_NDUFC1</t>
  </si>
  <si>
    <t>O43678_NDUFA2</t>
  </si>
  <si>
    <t>O43681_ASNA1</t>
  </si>
  <si>
    <t>O43684_BUB3</t>
  </si>
  <si>
    <t>O43684-2_BUB3</t>
  </si>
  <si>
    <t>O43707_ACTN4</t>
  </si>
  <si>
    <t>O43709_WBSCR22</t>
  </si>
  <si>
    <t>O43715_TRIAP1</t>
  </si>
  <si>
    <t>O43719_HTATSF1</t>
  </si>
  <si>
    <t>O43752_STX6</t>
  </si>
  <si>
    <t>O43765_SGTA</t>
  </si>
  <si>
    <t>O43766_LIAS</t>
  </si>
  <si>
    <t>O43768_ENSA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</si>
  <si>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</si>
  <si>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</si>
  <si>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</si>
  <si>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</si>
  <si>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</si>
  <si>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</si>
  <si>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</si>
  <si>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</si>
  <si>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</si>
  <si>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O43824_GTPBP6</t>
  </si>
  <si>
    <t>O43826_SLC37A4</t>
  </si>
  <si>
    <t>O43837_IDH3B</t>
  </si>
  <si>
    <t>O43852_CALU</t>
  </si>
  <si>
    <t>O43865_AHCYL1</t>
  </si>
  <si>
    <t>O43896_KIF1C</t>
  </si>
  <si>
    <t>O43913-2_ORC5</t>
  </si>
  <si>
    <t>O43920_NDUFS5</t>
  </si>
  <si>
    <t>O43929_ORC4</t>
  </si>
  <si>
    <t>O43933_PEX1</t>
  </si>
  <si>
    <t>O60220_TIMM8A</t>
  </si>
  <si>
    <t>O60231_DHX16</t>
  </si>
  <si>
    <t>O60256_PRPSAP2</t>
  </si>
  <si>
    <t>O60262_GNG7</t>
  </si>
  <si>
    <t>O60271-4_SPAG9</t>
  </si>
  <si>
    <t>O60279_SUSD5</t>
  </si>
  <si>
    <t>O60282_KIF5C</t>
  </si>
  <si>
    <t>O60333-2_KIF1B</t>
  </si>
  <si>
    <t>O60343-2_TBC1D4</t>
  </si>
  <si>
    <t>O60344-4_ECE2</t>
  </si>
  <si>
    <t>O60347_TBC1D12</t>
  </si>
  <si>
    <t>O60353-2_FZD6</t>
  </si>
  <si>
    <t>O60361_NME2P1</t>
  </si>
  <si>
    <t>O60427_FADS1</t>
  </si>
  <si>
    <t>O60449-3_LY75</t>
  </si>
  <si>
    <t>O60476_MAN1A2</t>
  </si>
  <si>
    <t>O60488-2_ACSL4</t>
  </si>
  <si>
    <t>O60493_SNX3</t>
  </si>
  <si>
    <t>O60502_MGEA5</t>
  </si>
  <si>
    <t>O60503_ADCY9</t>
  </si>
  <si>
    <t>O60504-2_SORBS3</t>
  </si>
  <si>
    <t>O60506-4_SYNCRIP</t>
  </si>
  <si>
    <t>O60518_RANBP6</t>
  </si>
  <si>
    <t>O60524-4_NEMF</t>
  </si>
  <si>
    <t>O60547_GMDS</t>
  </si>
  <si>
    <t>O60548_FOXD2</t>
  </si>
  <si>
    <t>O60566_BUB1B</t>
  </si>
  <si>
    <t>O60568_PLOD3</t>
  </si>
  <si>
    <t>O60613_SEP15</t>
  </si>
  <si>
    <t>O60645-3_EXOC3</t>
  </si>
  <si>
    <t>O60664_PLIN3</t>
  </si>
  <si>
    <t>O60678_PRMT3</t>
  </si>
  <si>
    <t>O60701_UGDH</t>
  </si>
  <si>
    <t>O60704_TPST2</t>
  </si>
  <si>
    <t>O60716-5_CTNND1</t>
  </si>
  <si>
    <t>O60725_ICMT</t>
  </si>
  <si>
    <t>O60749_SNX2</t>
  </si>
  <si>
    <t>O60763_USO1</t>
  </si>
  <si>
    <t>O60826_CCDC22</t>
  </si>
  <si>
    <t>O60828_PQBP1</t>
  </si>
  <si>
    <t>O60830_TIMM17B</t>
  </si>
  <si>
    <t>O60831_PRAF2</t>
  </si>
  <si>
    <t>O60832_DKC1</t>
  </si>
  <si>
    <t>O60841_EIF5B</t>
  </si>
  <si>
    <t>O60869_EDF1</t>
  </si>
  <si>
    <t>O60884_DNAJA2</t>
  </si>
  <si>
    <t>O60885_BRD4</t>
  </si>
  <si>
    <t>O60888-3_CUTA</t>
  </si>
  <si>
    <t>O60906_SMPD2</t>
  </si>
  <si>
    <t>O60925_PFDN1</t>
  </si>
  <si>
    <t>O60927_PPP1R11</t>
  </si>
  <si>
    <t>O60934_NBN</t>
  </si>
  <si>
    <t>O60942_RNGTT</t>
  </si>
  <si>
    <t>O75027_ABCB7</t>
  </si>
  <si>
    <t>O75044_SRGAP2</t>
  </si>
  <si>
    <t>O75051_PLXNA2</t>
  </si>
  <si>
    <t>O75063_FAM20B</t>
  </si>
  <si>
    <t>O75083_WDR1</t>
  </si>
  <si>
    <t>O75084_FZD7</t>
  </si>
  <si>
    <t>O75110_ATP9A</t>
  </si>
  <si>
    <t>O75113_N4BP1</t>
  </si>
  <si>
    <t>O75116_ROCK2</t>
  </si>
  <si>
    <t>O75131_CPNE3</t>
  </si>
  <si>
    <t>O75143-2_ATG13</t>
  </si>
  <si>
    <t>O75146_HIP1R</t>
  </si>
  <si>
    <t>O75150_RNF40</t>
  </si>
  <si>
    <t>O75153_CLUH</t>
  </si>
  <si>
    <t>O75155_CAND2</t>
  </si>
  <si>
    <t>O75157-2_TSC22D2</t>
  </si>
  <si>
    <t>O75164_KDM4A</t>
  </si>
  <si>
    <t>O75170-6_PPP6R2</t>
  </si>
  <si>
    <t>O75175_CNOT3</t>
  </si>
  <si>
    <t>O75179-2_ANKRD17</t>
  </si>
  <si>
    <t>O75191_XYLB</t>
  </si>
  <si>
    <t>O75208_COQ9</t>
  </si>
  <si>
    <t>O75223_GGCT</t>
  </si>
  <si>
    <t>O75306-2_NDUFS2</t>
  </si>
  <si>
    <t>O75312_ZNF259</t>
  </si>
  <si>
    <t>O75323_GBAS</t>
  </si>
  <si>
    <t>O75330-2_HMMR</t>
  </si>
  <si>
    <t>O75340_PDCD6</t>
  </si>
  <si>
    <t>O75347_TBCA</t>
  </si>
  <si>
    <t>O75348_ATP6V1G1</t>
  </si>
  <si>
    <t>O75351_VPS4B</t>
  </si>
  <si>
    <t>O75368_SH3BGRL</t>
  </si>
  <si>
    <t>O75369-8_FLNB</t>
  </si>
  <si>
    <t>O75376_NCOR1</t>
  </si>
  <si>
    <t>O75379_VAMP4</t>
  </si>
  <si>
    <t>O75380_NDUFS6</t>
  </si>
  <si>
    <t>O75391_SPAG7</t>
  </si>
  <si>
    <t>O75396_SEC22B</t>
  </si>
  <si>
    <t>O75400-2_PRPF40A</t>
  </si>
  <si>
    <t>O75419-2_CDC45</t>
  </si>
  <si>
    <t>O75420_GIGYF1</t>
  </si>
  <si>
    <t>O75427_LRCH4</t>
  </si>
  <si>
    <t>O75436_VPS26A</t>
  </si>
  <si>
    <t>O75438_NDUFB1</t>
  </si>
  <si>
    <t>O75439_PMPCB</t>
  </si>
  <si>
    <t>O75449_KATNA1</t>
  </si>
  <si>
    <t>O75475_PSIP1</t>
  </si>
  <si>
    <t>O75489_NDUFS3</t>
  </si>
  <si>
    <t>O75506_HSBP1</t>
  </si>
  <si>
    <t>O75521-2_ECI2</t>
  </si>
  <si>
    <t>O75526_RBMXL2</t>
  </si>
  <si>
    <t>O75528_TADA3</t>
  </si>
  <si>
    <t>O75531_BANF1</t>
  </si>
  <si>
    <t>O75533_SF3B1</t>
  </si>
  <si>
    <t>O75534-2_CSDE1</t>
  </si>
  <si>
    <t>O75554_WBP4</t>
  </si>
  <si>
    <t>O75570_MTRF1</t>
  </si>
  <si>
    <t>O75582_RPS6KA5</t>
  </si>
  <si>
    <t>O75600_GCAT</t>
  </si>
  <si>
    <t>O75607_NPM3</t>
  </si>
  <si>
    <t>O75608-2_LYPLA1</t>
  </si>
  <si>
    <t>O75616_ERAL1</t>
  </si>
  <si>
    <t>O75629_CREG1</t>
  </si>
  <si>
    <t>O75643_SNRNP200</t>
  </si>
  <si>
    <t>O75648_TRMU</t>
  </si>
  <si>
    <t>O75663_TIPRL</t>
  </si>
  <si>
    <t>O75688_PPM1B</t>
  </si>
  <si>
    <t>O75689_ADAP1</t>
  </si>
  <si>
    <t>O75695_RP2</t>
  </si>
  <si>
    <t>O75717_WDHD1</t>
  </si>
  <si>
    <t>O75746_SLC25A12</t>
  </si>
  <si>
    <t>O75781_PALM</t>
  </si>
  <si>
    <t>O75792_RNASEH2A</t>
  </si>
  <si>
    <t>O75794_CDC123</t>
  </si>
  <si>
    <t>O75808_SOLH</t>
  </si>
  <si>
    <t>O75818-2_RPP40</t>
  </si>
  <si>
    <t>O75821_EIF3G</t>
  </si>
  <si>
    <t>O75822_EIF3J</t>
  </si>
  <si>
    <t>O75828_CBR3</t>
  </si>
  <si>
    <t>O75832_PSMD10</t>
  </si>
  <si>
    <t>O75844_ZMPSTE24</t>
  </si>
  <si>
    <t>O75874_IDH1</t>
  </si>
  <si>
    <t>O75884_RBBP9</t>
  </si>
  <si>
    <t>O75886_STAM2</t>
  </si>
  <si>
    <t>O75915_ARL6IP5</t>
  </si>
  <si>
    <t>O75920-2_SERF1A</t>
  </si>
  <si>
    <t>O75928-3_PIAS2</t>
  </si>
  <si>
    <t>O75934_BCAS2</t>
  </si>
  <si>
    <t>O75937_DNAJC8</t>
  </si>
  <si>
    <t>O75940_SMNDC1</t>
  </si>
  <si>
    <t>O75947_ATP5H</t>
  </si>
  <si>
    <t>O75964_ATP5L</t>
  </si>
  <si>
    <t>O75976_CPD</t>
  </si>
  <si>
    <t>O76003_GLRX3</t>
  </si>
  <si>
    <t>O76024_WFS1</t>
  </si>
  <si>
    <t>O76031_CLPX</t>
  </si>
  <si>
    <t>O76041-2_NEBL</t>
  </si>
  <si>
    <t>O76070_SNCG</t>
  </si>
  <si>
    <t>O76071_CIAO1</t>
  </si>
  <si>
    <t>O76075-2_DFFB</t>
  </si>
  <si>
    <t>O76080_ZFAND5</t>
  </si>
  <si>
    <t>O76094_SRP72</t>
  </si>
  <si>
    <t>O76095-2_JTB</t>
  </si>
  <si>
    <t>O94760_DDAH1</t>
  </si>
  <si>
    <t>O94761_RECQL4</t>
  </si>
  <si>
    <t>O94766_B3GAT3</t>
  </si>
  <si>
    <t>O94776_MTA2</t>
  </si>
  <si>
    <t>O94782_USP1</t>
  </si>
  <si>
    <t>O94788-2_ALDH1A2</t>
  </si>
  <si>
    <t>O94804_STK10</t>
  </si>
  <si>
    <t>O94811_TPPP</t>
  </si>
  <si>
    <t>O94813-3_SLIT2</t>
  </si>
  <si>
    <t>O94819_KBTBD11</t>
  </si>
  <si>
    <t>O94822_LTN1</t>
  </si>
  <si>
    <t>O94826_TOMM70A</t>
  </si>
  <si>
    <t>O94829_IPO13</t>
  </si>
  <si>
    <t>O94830_DDHD2</t>
  </si>
  <si>
    <t>O94832_MYO1D</t>
  </si>
  <si>
    <t>O94851-5_MICAL2</t>
  </si>
  <si>
    <t>O94855_SEC24D</t>
  </si>
  <si>
    <t>O94864-2_SUPT7L</t>
  </si>
  <si>
    <t>O94874_UFL1</t>
  </si>
  <si>
    <t>O94885_SASH1</t>
  </si>
  <si>
    <t>O94888_UBXN7</t>
  </si>
  <si>
    <t>O94898_LRIG2</t>
  </si>
  <si>
    <t>O94903_PROSC</t>
  </si>
  <si>
    <t>O94905_ERLIN2</t>
  </si>
  <si>
    <t>O94919_ENDOD1</t>
  </si>
  <si>
    <t>O94921_CDK14</t>
  </si>
  <si>
    <t>O94925-3_GLS</t>
  </si>
  <si>
    <t>O94927_HAUS5</t>
  </si>
  <si>
    <t>O94967-2_WDR47</t>
  </si>
  <si>
    <t>O94973_AP2A2</t>
  </si>
  <si>
    <t>O94973-2_AP2A2</t>
  </si>
  <si>
    <t>O94992_HEXIM1</t>
  </si>
  <si>
    <t>O95067_CCNB2</t>
  </si>
  <si>
    <t>O95081_AGFG2</t>
  </si>
  <si>
    <t>O95104-3_SCAF4</t>
  </si>
  <si>
    <t>O95136_S1PR2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</si>
  <si>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</si>
  <si>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</si>
  <si>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</si>
  <si>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</si>
  <si>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</si>
  <si>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</si>
  <si>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</si>
  <si>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O95197-7_RTN3</t>
  </si>
  <si>
    <t>O95202_LETM1</t>
  </si>
  <si>
    <t>O95218-2_ZRANB2</t>
  </si>
  <si>
    <t>O95219_SNX4</t>
  </si>
  <si>
    <t>O95229_ZWINT</t>
  </si>
  <si>
    <t>O95251-4_KAT7</t>
  </si>
  <si>
    <t>O95273_CCNDBP1</t>
  </si>
  <si>
    <t>O95292_VAPB</t>
  </si>
  <si>
    <t>O95295_SNAPIN</t>
  </si>
  <si>
    <t>O95297-2_MPZL1</t>
  </si>
  <si>
    <t>O95298-2_NDUFC2</t>
  </si>
  <si>
    <t>O95302_FKBP9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</si>
  <si>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</si>
  <si>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</si>
  <si>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</si>
  <si>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</si>
  <si>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</si>
  <si>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</si>
  <si>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</si>
  <si>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</si>
  <si>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</si>
  <si>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</si>
  <si>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</si>
  <si>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</si>
  <si>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O95405_ZFYVE9</t>
  </si>
  <si>
    <t>O95429-2_BAG4</t>
  </si>
  <si>
    <t>O95433_AHSA1</t>
  </si>
  <si>
    <t>O95453-2_PARN</t>
  </si>
  <si>
    <t>O95455_TGDS</t>
  </si>
  <si>
    <t>O95456_PSMG1</t>
  </si>
  <si>
    <t>O95470_SGPL1</t>
  </si>
  <si>
    <t>O95486_SEC24A</t>
  </si>
  <si>
    <t>O95487-2_SEC24B</t>
  </si>
  <si>
    <t>O95544_NADK</t>
  </si>
  <si>
    <t>O95551_TDP2</t>
  </si>
  <si>
    <t>O95573_ACSL3</t>
  </si>
  <si>
    <t>O95600_KLF8</t>
  </si>
  <si>
    <t>O95613-2_PCNT</t>
  </si>
  <si>
    <t>O95620_DUS4L</t>
  </si>
  <si>
    <t>O95628-5_CNOT4</t>
  </si>
  <si>
    <t>O95630_STAMBP</t>
  </si>
  <si>
    <t>O95671-2_ASMTL</t>
  </si>
  <si>
    <t>O95684_FGFR1OP</t>
  </si>
  <si>
    <t>O95716_RAB3D</t>
  </si>
  <si>
    <t>O95721_SNAP29</t>
  </si>
  <si>
    <t>O95747_OXSR1</t>
  </si>
  <si>
    <t>O95751_LDOC1</t>
  </si>
  <si>
    <t>O95755-2_RAB36</t>
  </si>
  <si>
    <t>O95758-1_PTBP3</t>
  </si>
  <si>
    <t>O95777_NAA38</t>
  </si>
  <si>
    <t>O95782-2_AP2A1</t>
  </si>
  <si>
    <t>O95816_BAG2</t>
  </si>
  <si>
    <t>O95817_BAG3</t>
  </si>
  <si>
    <t>O95822_MLYCD</t>
  </si>
  <si>
    <t>O95825_CRYZL1</t>
  </si>
  <si>
    <t>O95831-3_AIFM1</t>
  </si>
  <si>
    <t>O95835_LATS1</t>
  </si>
  <si>
    <t>O95857_TSPAN13</t>
  </si>
  <si>
    <t>O95865_DDAH2</t>
  </si>
  <si>
    <t>O95873_C6orf47</t>
  </si>
  <si>
    <t>O95881_TXNDC12</t>
  </si>
  <si>
    <t>O95905_ECD</t>
  </si>
  <si>
    <t>O95926_SYF2</t>
  </si>
  <si>
    <t>O95989_NUDT3</t>
  </si>
  <si>
    <t>O95997_PTTG1</t>
  </si>
  <si>
    <t>O95999_BCL10</t>
  </si>
  <si>
    <t>O96000_NDUFB10</t>
  </si>
  <si>
    <t>O96006_ZBED1</t>
  </si>
  <si>
    <t>O96008_TOMM40</t>
  </si>
  <si>
    <t>O96011_PEX11B</t>
  </si>
  <si>
    <t>O96013_PAK4</t>
  </si>
  <si>
    <t>O96017_CHEK2</t>
  </si>
  <si>
    <t>O96019_ACTL6A</t>
  </si>
  <si>
    <t>O96033_MOCS2</t>
  </si>
  <si>
    <t>P00167-2_CYB5A</t>
  </si>
  <si>
    <t>P00338_LDHA</t>
  </si>
  <si>
    <t>P00367_GLUD1</t>
  </si>
  <si>
    <t>P00374_DHFR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</si>
  <si>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</si>
  <si>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</si>
  <si>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</si>
  <si>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</si>
  <si>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</si>
  <si>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</si>
  <si>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</si>
  <si>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P00519-2_ABL1</t>
  </si>
  <si>
    <t>P00558_PGK1</t>
  </si>
  <si>
    <t>P00813_ADA</t>
  </si>
  <si>
    <t>P00918_CA2</t>
  </si>
  <si>
    <t>P01034_CST3</t>
  </si>
  <si>
    <t>P01111_NRAS</t>
  </si>
  <si>
    <t>P01112_HRAS</t>
  </si>
  <si>
    <t>P01116_KRAS</t>
  </si>
  <si>
    <t>P01116-2_KRAS</t>
  </si>
  <si>
    <t>P01814_</t>
  </si>
  <si>
    <t>P01889_HLA-B</t>
  </si>
  <si>
    <t>P02008_HBZ</t>
  </si>
  <si>
    <t>P02100_HBE1</t>
  </si>
  <si>
    <t>P02545_LMNA</t>
  </si>
  <si>
    <t>P02786_TFRC</t>
  </si>
  <si>
    <t>P02794_FTH1</t>
  </si>
  <si>
    <t>P02795_MT2A</t>
  </si>
  <si>
    <t>P03928_MT-ATP8</t>
  </si>
  <si>
    <t>P04040_CAT</t>
  </si>
  <si>
    <t>P04066_FUCA1</t>
  </si>
  <si>
    <t>P04075_ALDOA</t>
  </si>
  <si>
    <t>P04080_CSTB</t>
  </si>
  <si>
    <t>P04083_ANXA1</t>
  </si>
  <si>
    <t>P04150-9_NR3C1</t>
  </si>
  <si>
    <t>P04181_OAT</t>
  </si>
  <si>
    <t>P04183_TK1</t>
  </si>
  <si>
    <t>P04350_TUBB4A</t>
  </si>
  <si>
    <t>P04406_GAPDH</t>
  </si>
  <si>
    <t>P04626-4_ERBB2</t>
  </si>
  <si>
    <t>P04632_CAPNS1</t>
  </si>
  <si>
    <t>P04792_HSPB1</t>
  </si>
  <si>
    <t>P04818_TYMS</t>
  </si>
  <si>
    <t>P04843_RPN1</t>
  </si>
  <si>
    <t>P04844-2_RPN2</t>
  </si>
  <si>
    <t>P04899_GNAI2</t>
  </si>
  <si>
    <t>P04920-2_SLC4A2</t>
  </si>
  <si>
    <t>P05023-4_ATP1A1</t>
  </si>
  <si>
    <t>P05091_ALDH2</t>
  </si>
  <si>
    <t>P05141_SLC25A5</t>
  </si>
  <si>
    <t>P05198_EIF2S1</t>
  </si>
  <si>
    <t>P05204_HMGN2</t>
  </si>
  <si>
    <t>P05386_RPLP1</t>
  </si>
  <si>
    <t>P05387_RPLP2</t>
  </si>
  <si>
    <t>P05388_RPLP0</t>
  </si>
  <si>
    <t>P05412_JUN</t>
  </si>
  <si>
    <t>P05455_SSB</t>
  </si>
  <si>
    <t>P05556_ITGB1</t>
  </si>
  <si>
    <t>P05771-2_PRKCB</t>
  </si>
  <si>
    <t>P05783_KRT18</t>
  </si>
  <si>
    <t>P05976-2_MYL1</t>
  </si>
  <si>
    <t>P06132_UROD</t>
  </si>
  <si>
    <t>P06241_FYN</t>
  </si>
  <si>
    <t>P06280_GLA</t>
  </si>
  <si>
    <t>P06400_RB1</t>
  </si>
  <si>
    <t>P06493_CDK1</t>
  </si>
  <si>
    <t>P06576_ATP5B</t>
  </si>
  <si>
    <t>P06733_ENO1</t>
  </si>
  <si>
    <t>P06737-2_PYGL</t>
  </si>
  <si>
    <t>P06744_GPI</t>
  </si>
  <si>
    <t>P06748_NPM1</t>
  </si>
  <si>
    <t>P06753-2_TPM3</t>
  </si>
  <si>
    <t>P06756-3_ITGAV</t>
  </si>
  <si>
    <t>P07108_DBI</t>
  </si>
  <si>
    <t>P07195_LDHB</t>
  </si>
  <si>
    <t>P07196_NEFL</t>
  </si>
  <si>
    <t>P07203_GPX1</t>
  </si>
  <si>
    <t>P07204_THBD</t>
  </si>
  <si>
    <t>P07205_PGK2</t>
  </si>
  <si>
    <t>P07237_P4HB</t>
  </si>
  <si>
    <t>P07339_CTSD</t>
  </si>
  <si>
    <t>P07355_ANXA2</t>
  </si>
  <si>
    <t>P07384_CAPN1</t>
  </si>
  <si>
    <t>P07686_HEXB</t>
  </si>
  <si>
    <t>P07711_CTSL1</t>
  </si>
  <si>
    <t>P07737_PFN1</t>
  </si>
  <si>
    <t>P07738_BPGM</t>
  </si>
  <si>
    <t>P07741_APRT</t>
  </si>
  <si>
    <t>P07858_CTSB</t>
  </si>
  <si>
    <t>P07900_HSP90AA1</t>
  </si>
  <si>
    <t>P07902_GALT</t>
  </si>
  <si>
    <t>P07919_UQCRH</t>
  </si>
  <si>
    <t>P07948_LYN</t>
  </si>
  <si>
    <t>P07954-2_FH</t>
  </si>
  <si>
    <t>P07992_ERCC1</t>
  </si>
  <si>
    <t>P08047_SP1</t>
  </si>
  <si>
    <t>P08107_HSPA1A</t>
  </si>
  <si>
    <t>P08133_ANXA6</t>
  </si>
  <si>
    <t>P08237_PFKM</t>
  </si>
  <si>
    <t>P08238_HSP90AB1</t>
  </si>
  <si>
    <t>P08240_SRPR</t>
  </si>
  <si>
    <t>P08243-2_ASNS</t>
  </si>
  <si>
    <t>P08397-2_HMBS</t>
  </si>
  <si>
    <t>P08559-3_PDHA1</t>
  </si>
  <si>
    <t>P08574_CYC1</t>
  </si>
  <si>
    <t>P08579_SNRPB2</t>
  </si>
  <si>
    <t>P08581_MET</t>
  </si>
  <si>
    <t>P08582_MFI2</t>
  </si>
  <si>
    <t>P08648_ITGA5</t>
  </si>
  <si>
    <t>P08670_VIM</t>
  </si>
  <si>
    <t>P08754_GNAI3</t>
  </si>
  <si>
    <t>P08758_ANXA5</t>
  </si>
  <si>
    <t>P09104_ENO2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</si>
  <si>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</si>
  <si>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</si>
  <si>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</si>
  <si>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</si>
  <si>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</si>
  <si>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</si>
  <si>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</si>
  <si>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P09486_SPARC</t>
  </si>
  <si>
    <t>P09493-4_TPM1</t>
  </si>
  <si>
    <t>P09496-2_CLTA</t>
  </si>
  <si>
    <t>P09497-2_CLTB</t>
  </si>
  <si>
    <t>P09525_ANXA4</t>
  </si>
  <si>
    <t>P09543-2_CNP</t>
  </si>
  <si>
    <t>P09601_HMOX1</t>
  </si>
  <si>
    <t>P09622_DLD</t>
  </si>
  <si>
    <t>P09661_SNRPA1</t>
  </si>
  <si>
    <t>P09874_PARP1</t>
  </si>
  <si>
    <t>P09936_UCHL1</t>
  </si>
  <si>
    <t>P09958_FURIN</t>
  </si>
  <si>
    <t>P09960_LTA4H</t>
  </si>
  <si>
    <t>P09972_ALDOC</t>
  </si>
  <si>
    <t>P0C2W1_FBXO45</t>
  </si>
  <si>
    <t>P0C7P0_CISD3</t>
  </si>
  <si>
    <t>P0C7T5_ATXN1L</t>
  </si>
  <si>
    <t>P0CG12_CHTF8</t>
  </si>
  <si>
    <t>P0CG35_TMSB15B</t>
  </si>
  <si>
    <t>P0CW22_RPS17L</t>
  </si>
  <si>
    <t>P0DI83_RAB34</t>
  </si>
  <si>
    <t>P0DJ93_SMIM13</t>
  </si>
  <si>
    <t>P10109_FDX1</t>
  </si>
  <si>
    <t>P10155-3_TROVE2</t>
  </si>
  <si>
    <t>P10253_GAA</t>
  </si>
  <si>
    <t>P10301_RRAS</t>
  </si>
  <si>
    <t>P10398_ARAF</t>
  </si>
  <si>
    <t>P10586-2_PTPRF</t>
  </si>
  <si>
    <t>P10588_NR2F6</t>
  </si>
  <si>
    <t>P10599_TXN</t>
  </si>
  <si>
    <t>P10606_COX5B</t>
  </si>
  <si>
    <t>P10619_CTSA</t>
  </si>
  <si>
    <t>P10636_MAPT</t>
  </si>
  <si>
    <t>P10644_PRKAR1A</t>
  </si>
  <si>
    <t>P10746_UROS</t>
  </si>
  <si>
    <t>P10768_ESD</t>
  </si>
  <si>
    <t>P10809_HSPD1</t>
  </si>
  <si>
    <t>P10909-4_CLU</t>
  </si>
  <si>
    <t>P11021_HSPA5</t>
  </si>
  <si>
    <t>P11047_LAMC1</t>
  </si>
  <si>
    <t>P11142_HSPA8</t>
  </si>
  <si>
    <t>P11166_SLC2A1</t>
  </si>
  <si>
    <t>P11169_SLC2A3</t>
  </si>
  <si>
    <t>P11171_EPB41</t>
  </si>
  <si>
    <t>P11171-4_EPB41</t>
  </si>
  <si>
    <t>P11172_UMPS</t>
  </si>
  <si>
    <t>P11177-2_PDHB</t>
  </si>
  <si>
    <t>P11216_PYGB</t>
  </si>
  <si>
    <t>P11233_RALA</t>
  </si>
  <si>
    <t>P11234_RALB</t>
  </si>
  <si>
    <t>P11274-2_BCR</t>
  </si>
  <si>
    <t>P11279_LAMP1</t>
  </si>
  <si>
    <t>P11387_TOP1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</si>
  <si>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</si>
  <si>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</si>
  <si>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</si>
  <si>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</si>
  <si>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</si>
  <si>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</si>
  <si>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</si>
  <si>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P11831_SRF</t>
  </si>
  <si>
    <t>P11940_PABPC1</t>
  </si>
  <si>
    <t>P12004_PCNA</t>
  </si>
  <si>
    <t>P12081_HARS</t>
  </si>
  <si>
    <t>P12109_COL6A1</t>
  </si>
  <si>
    <t>P12235_SLC25A4</t>
  </si>
  <si>
    <t>P12236_SLC25A6</t>
  </si>
  <si>
    <t>P12270_TPR</t>
  </si>
  <si>
    <t>P12277_CKB</t>
  </si>
  <si>
    <t>P12429_ANXA3</t>
  </si>
  <si>
    <t>P12532_CKMT1A</t>
  </si>
  <si>
    <t>P12814-2_ACTN1</t>
  </si>
  <si>
    <t>P12882_MYH1</t>
  </si>
  <si>
    <t>P12931_SRC</t>
  </si>
  <si>
    <t>P12955-3_PEPD</t>
  </si>
  <si>
    <t>P12956_XRCC6</t>
  </si>
  <si>
    <t>P13010_XRCC5</t>
  </si>
  <si>
    <t>P13051_UNG</t>
  </si>
  <si>
    <t>P13056_NR2C1</t>
  </si>
  <si>
    <t>P13073_COX4I1</t>
  </si>
  <si>
    <t>P13196_ALAS1</t>
  </si>
  <si>
    <t>P13489_RNH1</t>
  </si>
  <si>
    <t>P13498_CYBA</t>
  </si>
  <si>
    <t>P13591-1_NCAM1</t>
  </si>
  <si>
    <t>P13612_ITGA4</t>
  </si>
  <si>
    <t>P13639_EEF2</t>
  </si>
  <si>
    <t>P13667_PDIA4</t>
  </si>
  <si>
    <t>P13674-2_P4HA1</t>
  </si>
  <si>
    <t>P13693_TPT1</t>
  </si>
  <si>
    <t>P13797_PLS3</t>
  </si>
  <si>
    <t>P13804_ETFA</t>
  </si>
  <si>
    <t>P13861_PRKAR2A</t>
  </si>
  <si>
    <t>P13984_GTF2F2</t>
  </si>
  <si>
    <t>P13995_MTHFD2</t>
  </si>
  <si>
    <t>P14174_MIF</t>
  </si>
  <si>
    <t>P14209-3_CD99</t>
  </si>
  <si>
    <t>P14324-2_FDPS</t>
  </si>
  <si>
    <t>P14550_AKR1A1</t>
  </si>
  <si>
    <t>P14618_PKM</t>
  </si>
  <si>
    <t>P14618-2_PKM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</si>
  <si>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</si>
  <si>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</si>
  <si>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</si>
  <si>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</si>
  <si>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</si>
  <si>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</si>
  <si>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</si>
  <si>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</si>
  <si>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</si>
  <si>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</si>
  <si>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P15104_GLUL</t>
  </si>
  <si>
    <t>P15121_AKR1B1</t>
  </si>
  <si>
    <t>P15151-3_PVR</t>
  </si>
  <si>
    <t>P15170-2_GSPT1</t>
  </si>
  <si>
    <t>P15289_ARSA</t>
  </si>
  <si>
    <t>P15311_EZR</t>
  </si>
  <si>
    <t>P15374_UCHL3</t>
  </si>
  <si>
    <t>P15529-16_CD46</t>
  </si>
  <si>
    <t>P15531_NME1</t>
  </si>
  <si>
    <t>P15848_ARSB</t>
  </si>
  <si>
    <t>P15882_CHN1</t>
  </si>
  <si>
    <t>P15923_TCF3</t>
  </si>
  <si>
    <t>P15923-2_TCF3</t>
  </si>
  <si>
    <t>P15924_DSP</t>
  </si>
  <si>
    <t>P15927_RPA2</t>
  </si>
  <si>
    <t>P16152_CBR1</t>
  </si>
  <si>
    <t>P16220-3_CREB1</t>
  </si>
  <si>
    <t>P16298_PPP3CB</t>
  </si>
  <si>
    <t>P16383_GCFC2</t>
  </si>
  <si>
    <t>P16403_HIST1H1C</t>
  </si>
  <si>
    <t>P16435_POR</t>
  </si>
  <si>
    <t>P16591-3_FER</t>
  </si>
  <si>
    <t>P16615_ATP2A2</t>
  </si>
  <si>
    <t>P16930_FAH</t>
  </si>
  <si>
    <t>P16949_STMN1</t>
  </si>
  <si>
    <t>P16989_YBX3</t>
  </si>
  <si>
    <t>P16989-2_YBX3</t>
  </si>
  <si>
    <t>P17028_ZNF24</t>
  </si>
  <si>
    <t>P17050_NAGA</t>
  </si>
  <si>
    <t>P17066_HSPA6</t>
  </si>
  <si>
    <t>P17096-2_HMGA1</t>
  </si>
  <si>
    <t>P17152_TMEM11</t>
  </si>
  <si>
    <t>P17174_GOT1</t>
  </si>
  <si>
    <t>P17252_PRKCA</t>
  </si>
  <si>
    <t>P17302_GJA1</t>
  </si>
  <si>
    <t>P17509_HOXB6</t>
  </si>
  <si>
    <t>P17535_JUND</t>
  </si>
  <si>
    <t>P17568_NDUFB7</t>
  </si>
  <si>
    <t>P17612_PRKACA</t>
  </si>
  <si>
    <t>P17655_CAPN2</t>
  </si>
  <si>
    <t>P17677_GAP43</t>
  </si>
  <si>
    <t>P17706-2_PTPN2</t>
  </si>
  <si>
    <t>P17812_CTPS1</t>
  </si>
  <si>
    <t>P17858_PFKL</t>
  </si>
  <si>
    <t>P17987_TCP1</t>
  </si>
  <si>
    <t>P18031_PTPN1</t>
  </si>
  <si>
    <t>P18065_IGFBP2</t>
  </si>
  <si>
    <t>P18084_ITGB5</t>
  </si>
  <si>
    <t>P18124_RPL7</t>
  </si>
  <si>
    <t>P18206-2_VCL</t>
  </si>
  <si>
    <t>P18583-6_SON</t>
  </si>
  <si>
    <t>P18615_NELFE</t>
  </si>
  <si>
    <t>P18669_PGAM1</t>
  </si>
  <si>
    <t>P18754_RCC1</t>
  </si>
  <si>
    <t>P18846_ATF1</t>
  </si>
  <si>
    <t>P18858_LIG1</t>
  </si>
  <si>
    <t>P18859_ATP5J</t>
  </si>
  <si>
    <t>P19022_CDH2</t>
  </si>
  <si>
    <t>P19174-2_PLCG1</t>
  </si>
  <si>
    <t>P19338_NCL</t>
  </si>
  <si>
    <t>P19387_POLR2C</t>
  </si>
  <si>
    <t>P19388_POLR2E</t>
  </si>
  <si>
    <t>P19623_SRM</t>
  </si>
  <si>
    <t>P19784_CSNK2A2</t>
  </si>
  <si>
    <t>P19838_NFKB1</t>
  </si>
  <si>
    <t>P20020-6_ATP2B1</t>
  </si>
  <si>
    <t>P20042_EIF2S2</t>
  </si>
  <si>
    <t>P20248_CCNA2</t>
  </si>
  <si>
    <t>P20290_BTF3</t>
  </si>
  <si>
    <t>P20290-2_BTF3</t>
  </si>
  <si>
    <t>P20336_RAB3A</t>
  </si>
  <si>
    <t>P20337_RAB3B</t>
  </si>
  <si>
    <t>P20338_RAB4A</t>
  </si>
  <si>
    <t>P20340_RAB6A</t>
  </si>
  <si>
    <t>P20340-2_RAB6A</t>
  </si>
  <si>
    <t>P20618_PSMB1</t>
  </si>
  <si>
    <t>P20645_M6PR</t>
  </si>
  <si>
    <t>P20674_COX5A</t>
  </si>
  <si>
    <t>P20700_LMNB1</t>
  </si>
  <si>
    <t>P20810-5_CAST</t>
  </si>
  <si>
    <t>P20962_PTMS</t>
  </si>
  <si>
    <t>P21127-8_CDK11B</t>
  </si>
  <si>
    <t>P21266_GSTM3</t>
  </si>
  <si>
    <t>P21281_ATP6V1B2</t>
  </si>
  <si>
    <t>P21283_ATP6V1C1</t>
  </si>
  <si>
    <t>P21399_ACO1</t>
  </si>
  <si>
    <t>P21796_VDAC1</t>
  </si>
  <si>
    <t>P21912_SDHB</t>
  </si>
  <si>
    <t>P21953_BCKDHB</t>
  </si>
  <si>
    <t>P21964-2_COMT</t>
  </si>
  <si>
    <t>P22033_MUT</t>
  </si>
  <si>
    <t>P22059_OSBP</t>
  </si>
  <si>
    <t>P22102_GART</t>
  </si>
  <si>
    <t>P22234_PAICS</t>
  </si>
  <si>
    <t>P22307-7_SCP2</t>
  </si>
  <si>
    <t>P22314_UBA1</t>
  </si>
  <si>
    <t>P22413_ENPP1</t>
  </si>
  <si>
    <t>P22466_GAL</t>
  </si>
  <si>
    <t>P22570_FDXR</t>
  </si>
  <si>
    <t>P22626_HNRNPA2B1</t>
  </si>
  <si>
    <t>P22681_CBL</t>
  </si>
  <si>
    <t>P22695_UQCRC2</t>
  </si>
  <si>
    <t>P22830_FECH</t>
  </si>
  <si>
    <t>P23025_XPA</t>
  </si>
  <si>
    <t>P23193_TCEA1</t>
  </si>
  <si>
    <t>P23246_SFPQ</t>
  </si>
  <si>
    <t>P23284_PPIB</t>
  </si>
  <si>
    <t>P23368_ME2</t>
  </si>
  <si>
    <t>P23378_GLDC</t>
  </si>
  <si>
    <t>P23381_WARS</t>
  </si>
  <si>
    <t>P23396_RPS3</t>
  </si>
  <si>
    <t>P23434_GCSH</t>
  </si>
  <si>
    <t>P23470-2_PTPRG</t>
  </si>
  <si>
    <t>P23497_SP100</t>
  </si>
  <si>
    <t>P23508_MCC</t>
  </si>
  <si>
    <t>P23511-2_NFYA</t>
  </si>
  <si>
    <t>P23526_AHCY</t>
  </si>
  <si>
    <t>P23527_HIST1H2BO</t>
  </si>
  <si>
    <t>P23528_CFL1</t>
  </si>
  <si>
    <t>P23588_EIF4B</t>
  </si>
  <si>
    <t>P23634-6_ATP2B4</t>
  </si>
  <si>
    <t>P23786_CPT2</t>
  </si>
  <si>
    <t>P23919_DTYMK</t>
  </si>
  <si>
    <t>P23921_RRM1</t>
  </si>
  <si>
    <t>P24534_EEF1B2</t>
  </si>
  <si>
    <t>P24666_ACP1</t>
  </si>
  <si>
    <t>P24666-2_ACP1</t>
  </si>
  <si>
    <t>P24752_ACAT1</t>
  </si>
  <si>
    <t>P24928_POLR2A</t>
  </si>
  <si>
    <t>P25098_ADRBK1</t>
  </si>
  <si>
    <t>P25205_MCM3</t>
  </si>
  <si>
    <t>P25398_RPS12</t>
  </si>
  <si>
    <t>P25445-6_FAS</t>
  </si>
  <si>
    <t>P25490_YY1</t>
  </si>
  <si>
    <t>P25685_DNAJB1</t>
  </si>
  <si>
    <t>P25705_ATP5A1</t>
  </si>
  <si>
    <t>P25786_PSMA1</t>
  </si>
  <si>
    <t>P25787_PSMA2</t>
  </si>
  <si>
    <t>P25788-2_PSMA3</t>
  </si>
  <si>
    <t>P25789_PSMA4</t>
  </si>
  <si>
    <t>P25815_S100P</t>
  </si>
  <si>
    <t>P26006_ITGA3</t>
  </si>
  <si>
    <t>P26038_MSN</t>
  </si>
  <si>
    <t>P26196_DDX6</t>
  </si>
  <si>
    <t>P26358_DNMT1</t>
  </si>
  <si>
    <t>P26368-2_U2AF2</t>
  </si>
  <si>
    <t>P26373_RPL13</t>
  </si>
  <si>
    <t>P26374_CHML</t>
  </si>
  <si>
    <t>P26440_IVD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</si>
  <si>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</si>
  <si>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</si>
  <si>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</si>
  <si>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</si>
  <si>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</si>
  <si>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</si>
  <si>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</si>
  <si>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P27348_YWHAQ</t>
  </si>
  <si>
    <t>P27361_MAPK3</t>
  </si>
  <si>
    <t>P27540-3_ARNT</t>
  </si>
  <si>
    <t>P27544-2_CERS1</t>
  </si>
  <si>
    <t>P27635_RPL10</t>
  </si>
  <si>
    <t>P27694_RPA1</t>
  </si>
  <si>
    <t>P27797_CALR</t>
  </si>
  <si>
    <t>P27824_CANX</t>
  </si>
  <si>
    <t>P28066_PSMA5</t>
  </si>
  <si>
    <t>P28070_PSMB4</t>
  </si>
  <si>
    <t>P28072_PSMB6</t>
  </si>
  <si>
    <t>P28074_PSMB5</t>
  </si>
  <si>
    <t>P28289_TMOD1</t>
  </si>
  <si>
    <t>P28331-4_NDUFS1</t>
  </si>
  <si>
    <t>P28482_MAPK1</t>
  </si>
  <si>
    <t>P28702_RXRB</t>
  </si>
  <si>
    <t>P28715_ERCC5</t>
  </si>
  <si>
    <t>P28799_GRN</t>
  </si>
  <si>
    <t>P28838-2_LAP3</t>
  </si>
  <si>
    <t>P29083_GTF2E1</t>
  </si>
  <si>
    <t>P29084_GTF2E2</t>
  </si>
  <si>
    <t>P29218_IMPA1</t>
  </si>
  <si>
    <t>P29317_EPHA2</t>
  </si>
  <si>
    <t>P29353-7_SHC1</t>
  </si>
  <si>
    <t>P29373_CRABP2</t>
  </si>
  <si>
    <t>P29401_TKT</t>
  </si>
  <si>
    <t>P29590_PML</t>
  </si>
  <si>
    <t>P29966_MARCKS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</si>
  <si>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</si>
  <si>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</si>
  <si>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</si>
  <si>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</si>
  <si>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</si>
  <si>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</si>
  <si>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</si>
  <si>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</si>
  <si>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</si>
  <si>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</si>
  <si>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</si>
  <si>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</si>
  <si>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</si>
  <si>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</si>
  <si>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</si>
  <si>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P30307-2_CDC25C</t>
  </si>
  <si>
    <t>P30405_PPIF</t>
  </si>
  <si>
    <t>P30419_NMT1</t>
  </si>
  <si>
    <t>P30519_HMOX2</t>
  </si>
  <si>
    <t>P30520_ADSS</t>
  </si>
  <si>
    <t>P30533_LRPAP1</t>
  </si>
  <si>
    <t>P30566_ADSL</t>
  </si>
  <si>
    <t>P30613-2_PKLR</t>
  </si>
  <si>
    <t>P30622-1_CLIP1</t>
  </si>
  <si>
    <t>P30740_SERPINB1</t>
  </si>
  <si>
    <t>P30825_SLC7A1</t>
  </si>
  <si>
    <t>P30837_ALDH1B1</t>
  </si>
  <si>
    <t>P31040_SDHA</t>
  </si>
  <si>
    <t>P31146_CORO1A</t>
  </si>
  <si>
    <t>P31150_GDI1</t>
  </si>
  <si>
    <t>P31153_MAT2A</t>
  </si>
  <si>
    <t>P31323_PRKAR2B</t>
  </si>
  <si>
    <t>P31327_CPS1</t>
  </si>
  <si>
    <t>P31350_RRM2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</si>
  <si>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</si>
  <si>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</si>
  <si>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</si>
  <si>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</si>
  <si>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</si>
  <si>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</si>
  <si>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</si>
  <si>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</si>
  <si>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P31947-2_SFN</t>
  </si>
  <si>
    <t>P31948_STIP1</t>
  </si>
  <si>
    <t>P31949_S100A11</t>
  </si>
  <si>
    <t>P32019-3_INPP5B</t>
  </si>
  <si>
    <t>P32119_PRDX2</t>
  </si>
  <si>
    <t>P32121-5_ARRB2</t>
  </si>
  <si>
    <t>P32321-2_DCTD</t>
  </si>
  <si>
    <t>P32519-2_ELF1</t>
  </si>
  <si>
    <t>P32856-3_STX2</t>
  </si>
  <si>
    <t>P32929_CTH</t>
  </si>
  <si>
    <t>P33121-2_ACSL1</t>
  </si>
  <si>
    <t>P33176_KIF5B</t>
  </si>
  <si>
    <t>P33240-2_CSTF2</t>
  </si>
  <si>
    <t>P33316_DUT</t>
  </si>
  <si>
    <t>P33316-2_DUT</t>
  </si>
  <si>
    <t>P33527-7_ABCC1</t>
  </si>
  <si>
    <t>P33552_CKS2</t>
  </si>
  <si>
    <t>P33908_MAN1A1</t>
  </si>
  <si>
    <t>P33981-2_TTK</t>
  </si>
  <si>
    <t>P33991_MCM4</t>
  </si>
  <si>
    <t>P33992_MCM5</t>
  </si>
  <si>
    <t>P33993_MCM7</t>
  </si>
  <si>
    <t>P34896-2_SHMT1</t>
  </si>
  <si>
    <t>P34897-3_SHMT2</t>
  </si>
  <si>
    <t>P34931_HSPA1L</t>
  </si>
  <si>
    <t>P34932_HSPA4</t>
  </si>
  <si>
    <t>P34949_MPI</t>
  </si>
  <si>
    <t>P35219_CA8</t>
  </si>
  <si>
    <t>P35221_CTNNA1</t>
  </si>
  <si>
    <t>P35232_PHB</t>
  </si>
  <si>
    <t>P35237_SERPINB6</t>
  </si>
  <si>
    <t>P35240-5_NF2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</si>
  <si>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</si>
  <si>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</si>
  <si>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</si>
  <si>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</si>
  <si>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</si>
  <si>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</si>
  <si>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</si>
  <si>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</si>
  <si>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P35520_CBS</t>
  </si>
  <si>
    <t>P35556_FBN2</t>
  </si>
  <si>
    <t>P35573_AGL</t>
  </si>
  <si>
    <t>P35579_MYH9</t>
  </si>
  <si>
    <t>P35580_MYH10</t>
  </si>
  <si>
    <t>P35606_COPB2</t>
  </si>
  <si>
    <t>P35611-2_ADD1</t>
  </si>
  <si>
    <t>P35612_ADD2</t>
  </si>
  <si>
    <t>P35613-2_BSG</t>
  </si>
  <si>
    <t>P35637-2_FUS</t>
  </si>
  <si>
    <t>P35658-2_NUP214</t>
  </si>
  <si>
    <t>P35659_DEK</t>
  </si>
  <si>
    <t>P35754_GLRX</t>
  </si>
  <si>
    <t>P35790-2_CHKA</t>
  </si>
  <si>
    <t>P35813_PPM1A</t>
  </si>
  <si>
    <t>P35998_PSMC2</t>
  </si>
  <si>
    <t>P36404_ARL2</t>
  </si>
  <si>
    <t>P36405_ARL3</t>
  </si>
  <si>
    <t>P36406-3_TRIM23</t>
  </si>
  <si>
    <t>P36507_MAP2K2</t>
  </si>
  <si>
    <t>P36542_ATP5C1</t>
  </si>
  <si>
    <t>P36543_ATP6V1E1</t>
  </si>
  <si>
    <t>P36551_CPOX</t>
  </si>
  <si>
    <t>P36639-4_NUDT1</t>
  </si>
  <si>
    <t>P36871_PGM1</t>
  </si>
  <si>
    <t>P36915_GNL1</t>
  </si>
  <si>
    <t>P36954_POLR2I</t>
  </si>
  <si>
    <t>P36957_DLST</t>
  </si>
  <si>
    <t>P36969-2_GPX4</t>
  </si>
  <si>
    <t>P37108_SRP14</t>
  </si>
  <si>
    <t>P37268_FDFT1</t>
  </si>
  <si>
    <t>P37287-3_PIGA</t>
  </si>
  <si>
    <t>P37802_TAGLN2</t>
  </si>
  <si>
    <t>P37837_TALDO1</t>
  </si>
  <si>
    <t>P38117_ETFB</t>
  </si>
  <si>
    <t>P38606_ATP6V1A</t>
  </si>
  <si>
    <t>P38646_HSPA9</t>
  </si>
  <si>
    <t>P38919_EIF4A3</t>
  </si>
  <si>
    <t>P39019_RPS19</t>
  </si>
  <si>
    <t>P39023_RPL3</t>
  </si>
  <si>
    <t>P39656_DDOST</t>
  </si>
  <si>
    <t>P39687_ANP32A</t>
  </si>
  <si>
    <t>P39748_FEN1</t>
  </si>
  <si>
    <t>P39880-3_CUX1</t>
  </si>
  <si>
    <t>P40121-2_CAPG</t>
  </si>
  <si>
    <t>P40189-3_IL6ST</t>
  </si>
  <si>
    <t>P40222_TXLNA</t>
  </si>
  <si>
    <t>P40227_CCT6A</t>
  </si>
  <si>
    <t>P40763_STAT3</t>
  </si>
  <si>
    <t>P40763-2_STAT3</t>
  </si>
  <si>
    <t>P40818_USP8</t>
  </si>
  <si>
    <t>P40925_MDH1</t>
  </si>
  <si>
    <t>P40926_MDH2</t>
  </si>
  <si>
    <t>P40937_RFC5</t>
  </si>
  <si>
    <t>P40938-2_RFC3</t>
  </si>
  <si>
    <t>P40939_HADHA</t>
  </si>
  <si>
    <t>P41091_EIF2S3</t>
  </si>
  <si>
    <t>P41208_CETN2</t>
  </si>
  <si>
    <t>P41214_EIF2D</t>
  </si>
  <si>
    <t>P41219_PRPH</t>
  </si>
  <si>
    <t>P41223_BUD31</t>
  </si>
  <si>
    <t>P41227-2_NAA10</t>
  </si>
  <si>
    <t>P41229-2_KDM5C</t>
  </si>
  <si>
    <t>P41236_PPP1R2</t>
  </si>
  <si>
    <t>P41240_CSK</t>
  </si>
  <si>
    <t>P41250_GARS</t>
  </si>
  <si>
    <t>P41440_SLC19A1</t>
  </si>
  <si>
    <t>P41567_EIF1</t>
  </si>
  <si>
    <t>P41743_PRKCI</t>
  </si>
  <si>
    <t>P42126-2_ECI1</t>
  </si>
  <si>
    <t>P42166_TMPO</t>
  </si>
  <si>
    <t>P42167_TMPO</t>
  </si>
  <si>
    <t>P42224_STAT1</t>
  </si>
  <si>
    <t>P42226_STAT6</t>
  </si>
  <si>
    <t>P42285_SKIV2L2</t>
  </si>
  <si>
    <t>P42330_AKR1C3</t>
  </si>
  <si>
    <t>P42336_PIK3CA</t>
  </si>
  <si>
    <t>P42345_MTOR</t>
  </si>
  <si>
    <t>P42574_CASP3</t>
  </si>
  <si>
    <t>P42575_CASP2</t>
  </si>
  <si>
    <t>P42677_RPS27</t>
  </si>
  <si>
    <t>P42684-6_ABL2</t>
  </si>
  <si>
    <t>P42695_NCAPD3</t>
  </si>
  <si>
    <t>P42702_LIFR</t>
  </si>
  <si>
    <t>P42704_LRPPRC</t>
  </si>
  <si>
    <t>P42765_ACAA2</t>
  </si>
  <si>
    <t>P42771_CDKN2A</t>
  </si>
  <si>
    <t>P42773_CDKN2C</t>
  </si>
  <si>
    <t>P42785_PRCP</t>
  </si>
  <si>
    <t>P42898_MTHFR</t>
  </si>
  <si>
    <t>P43003-2_SLC1A3</t>
  </si>
  <si>
    <t>P43007_SLC1A4</t>
  </si>
  <si>
    <t>P43034_PAFAH1B1</t>
  </si>
  <si>
    <t>P43121_MCAM</t>
  </si>
  <si>
    <t>P43155-2_CRAT</t>
  </si>
  <si>
    <t>P43246_MSH2</t>
  </si>
  <si>
    <t>P43250-2_GRK6</t>
  </si>
  <si>
    <t>P43304_GPD2</t>
  </si>
  <si>
    <t>P43378_PTPN9</t>
  </si>
  <si>
    <t>P43405-2_SYK</t>
  </si>
  <si>
    <t>P43487_RANBP1</t>
  </si>
  <si>
    <t>P43490_NAMPT</t>
  </si>
  <si>
    <t>P43686_PSMC4</t>
  </si>
  <si>
    <t>P43897_TSFM</t>
  </si>
  <si>
    <t>P45880_VDAC2</t>
  </si>
  <si>
    <t>P45880-2_VDAC2</t>
  </si>
  <si>
    <t>P45954_ACADSB</t>
  </si>
  <si>
    <t>P45973_CBX5</t>
  </si>
  <si>
    <t>P45974-2_USP5</t>
  </si>
  <si>
    <t>P45983-3_MAPK8</t>
  </si>
  <si>
    <t>P45984-3_MAPK9</t>
  </si>
  <si>
    <t>P45985_MAP2K4</t>
  </si>
  <si>
    <t>P46013_MKI67</t>
  </si>
  <si>
    <t>P46013-2_MKI67</t>
  </si>
  <si>
    <t>P46060_RANGAP1</t>
  </si>
  <si>
    <t>P46063_RECQL</t>
  </si>
  <si>
    <t>P46087-2_NOP2</t>
  </si>
  <si>
    <t>P46108_CRK</t>
  </si>
  <si>
    <t>P46108-2_CRK</t>
  </si>
  <si>
    <t>P46109_CRKL</t>
  </si>
  <si>
    <t>P46199_MTIF2</t>
  </si>
  <si>
    <t>P46531_NOTCH1</t>
  </si>
  <si>
    <t>P46734_MAP2K3</t>
  </si>
  <si>
    <t>P46736-2_BRCC3</t>
  </si>
  <si>
    <t>P46777_RPL5</t>
  </si>
  <si>
    <t>P46778_RPL21</t>
  </si>
  <si>
    <t>P46781_RPS9</t>
  </si>
  <si>
    <t>P46783_RPS10</t>
  </si>
  <si>
    <t>P46821_MAP1B</t>
  </si>
  <si>
    <t>P46926_GNPDA1</t>
  </si>
  <si>
    <t>P46934-4_NEDD4</t>
  </si>
  <si>
    <t>P46937_YAP1</t>
  </si>
  <si>
    <t>P46939_UTRN</t>
  </si>
  <si>
    <t>P46940_IQGAP1</t>
  </si>
  <si>
    <t>P46976-2_GYG1</t>
  </si>
  <si>
    <t>P46977_STT3A</t>
  </si>
  <si>
    <t>P47224_RABIF</t>
  </si>
  <si>
    <t>P47712_PLA2G4A</t>
  </si>
  <si>
    <t>P47755_CAPZA2</t>
  </si>
  <si>
    <t>P47756-2_CAPZB</t>
  </si>
  <si>
    <t>P47813_EIF1AX</t>
  </si>
  <si>
    <t>P47914_RPL29</t>
  </si>
  <si>
    <t>P47928_ID4</t>
  </si>
  <si>
    <t>P47985_UQCRFS1</t>
  </si>
  <si>
    <t>P48029-3_SLC6A8</t>
  </si>
  <si>
    <t>P48047_ATP5O</t>
  </si>
  <si>
    <t>P48050_KCNJ4</t>
  </si>
  <si>
    <t>P48059_LIMS1</t>
  </si>
  <si>
    <t>P48066_SLC6A11</t>
  </si>
  <si>
    <t>P48147_PREP</t>
  </si>
  <si>
    <t>P48163_ME1</t>
  </si>
  <si>
    <t>P48200_IREB2</t>
  </si>
  <si>
    <t>P48444_ARCN1</t>
  </si>
  <si>
    <t>P48449-3_LSS</t>
  </si>
  <si>
    <t>P48506_GCLC</t>
  </si>
  <si>
    <t>P48507_GCLM</t>
  </si>
  <si>
    <t>P48634_PRRC2A</t>
  </si>
  <si>
    <t>P48637_GSS</t>
  </si>
  <si>
    <t>P48643_CCT5</t>
  </si>
  <si>
    <t>P48723_HSPA13</t>
  </si>
  <si>
    <t>P48729_CSNK1A1</t>
  </si>
  <si>
    <t>P48735_IDH2</t>
  </si>
  <si>
    <t>P48739_PITPNB</t>
  </si>
  <si>
    <t>P48745_NOV</t>
  </si>
  <si>
    <t>P48960-2_CD97</t>
  </si>
  <si>
    <t>P49006_MARCKSL1</t>
  </si>
  <si>
    <t>P49069_CAMLG</t>
  </si>
  <si>
    <t>P49116_NR2C2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</si>
  <si>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</si>
  <si>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</si>
  <si>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</si>
  <si>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</si>
  <si>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</si>
  <si>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</si>
  <si>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</si>
  <si>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P49354_FNTA</t>
  </si>
  <si>
    <t>P49356_FNTB</t>
  </si>
  <si>
    <t>P49366_DHPS</t>
  </si>
  <si>
    <t>P49368_CCT3</t>
  </si>
  <si>
    <t>P49411_TUFM</t>
  </si>
  <si>
    <t>P49419-2_ALDH7A1</t>
  </si>
  <si>
    <t>P49427_CDC34</t>
  </si>
  <si>
    <t>P49454_CENPF</t>
  </si>
  <si>
    <t>P49458_SRP9</t>
  </si>
  <si>
    <t>P49459_UBE2A</t>
  </si>
  <si>
    <t>P49585_PCYT1A</t>
  </si>
  <si>
    <t>P49588_AARS</t>
  </si>
  <si>
    <t>P49589-3_CARS</t>
  </si>
  <si>
    <t>P49593_PPM1F</t>
  </si>
  <si>
    <t>P49642_PRIM1</t>
  </si>
  <si>
    <t>P49643_PRIM2</t>
  </si>
  <si>
    <t>P49674_CSNK1E</t>
  </si>
  <si>
    <t>P49721_PSMB2</t>
  </si>
  <si>
    <t>P49736_MCM2</t>
  </si>
  <si>
    <t>P49748-2_ACADVL</t>
  </si>
  <si>
    <t>P49750-3_YLPM1</t>
  </si>
  <si>
    <t>P49755_TMED10</t>
  </si>
  <si>
    <t>P49756_RBM25</t>
  </si>
  <si>
    <t>P49757-4_NUMB</t>
  </si>
  <si>
    <t>P49770_EIF2B2</t>
  </si>
  <si>
    <t>P49773_HINT1</t>
  </si>
  <si>
    <t>P49790_NUP153</t>
  </si>
  <si>
    <t>P49792_RANBP2</t>
  </si>
  <si>
    <t>P49840_GSK3A</t>
  </si>
  <si>
    <t>P49841_GSK3B</t>
  </si>
  <si>
    <t>P49903_SEPHS1</t>
  </si>
  <si>
    <t>P49914_MTHFS</t>
  </si>
  <si>
    <t>P49915_GMPS</t>
  </si>
  <si>
    <t>P49959_MRE11A</t>
  </si>
  <si>
    <t>P50053_KHK</t>
  </si>
  <si>
    <t>P50148_GNAQ</t>
  </si>
  <si>
    <t>P50150_GNG4</t>
  </si>
  <si>
    <t>P50151_GNG10</t>
  </si>
  <si>
    <t>P50219_MNX1</t>
  </si>
  <si>
    <t>P50224_SULT1A3</t>
  </si>
  <si>
    <t>P50225_SULT1A1</t>
  </si>
  <si>
    <t>P50336_PPOX</t>
  </si>
  <si>
    <t>P50402_EMD</t>
  </si>
  <si>
    <t>P50416-2_CPT1A</t>
  </si>
  <si>
    <t>P50452_SERPINB8</t>
  </si>
  <si>
    <t>P50454_SERPINH1</t>
  </si>
  <si>
    <t>P50479_PDLIM4</t>
  </si>
  <si>
    <t>P50502_ST13</t>
  </si>
  <si>
    <t>P50552_VASP</t>
  </si>
  <si>
    <t>P50579_METAP2</t>
  </si>
  <si>
    <t>P50583_NUDT2</t>
  </si>
  <si>
    <t>P50747_HLCS</t>
  </si>
  <si>
    <t>P50748_KNTC1</t>
  </si>
  <si>
    <t>P50749_RASSF2</t>
  </si>
  <si>
    <t>P50895_BCAM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</si>
  <si>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</si>
  <si>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</si>
  <si>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</si>
  <si>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</si>
  <si>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</si>
  <si>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</si>
  <si>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</si>
  <si>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</si>
  <si>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P51153_RAB13</t>
  </si>
  <si>
    <t>P51157_RAB28</t>
  </si>
  <si>
    <t>P51397_DAP</t>
  </si>
  <si>
    <t>P51398-2_DAP3</t>
  </si>
  <si>
    <t>P51452_DUSP3</t>
  </si>
  <si>
    <t>P51511_MMP15</t>
  </si>
  <si>
    <t>P51513-4_NOVA1</t>
  </si>
  <si>
    <t>P51531-2_SMARCA2</t>
  </si>
  <si>
    <t>P51553_IDH3G</t>
  </si>
  <si>
    <t>P51570_GALK1</t>
  </si>
  <si>
    <t>P51571_SSR4</t>
  </si>
  <si>
    <t>P51572_BCAP31</t>
  </si>
  <si>
    <t>P51580_TPMT</t>
  </si>
  <si>
    <t>P51610-2_HCFC1</t>
  </si>
  <si>
    <t>P51659_HSD17B4</t>
  </si>
  <si>
    <t>P51665_PSMD7</t>
  </si>
  <si>
    <t>P51668_UBE2D1</t>
  </si>
  <si>
    <t>P51687_SUOX</t>
  </si>
  <si>
    <t>P51692_STAT5B</t>
  </si>
  <si>
    <t>P51790-4_CLCN3</t>
  </si>
  <si>
    <t>P51795_CLCN5</t>
  </si>
  <si>
    <t>P51798-2_CLCN7</t>
  </si>
  <si>
    <t>P51809_VAMP7</t>
  </si>
  <si>
    <t>P51812_RPS6KA3</t>
  </si>
  <si>
    <t>P51817_PRKX</t>
  </si>
  <si>
    <t>P51858_HDGF</t>
  </si>
  <si>
    <t>P51946_CCNH</t>
  </si>
  <si>
    <t>P51948_MNAT1</t>
  </si>
  <si>
    <t>P51970_NDUFA8</t>
  </si>
  <si>
    <t>P51991_HNRNPA3</t>
  </si>
  <si>
    <t>P52272-2_HNRNPM</t>
  </si>
  <si>
    <t>P52292_KPNA2</t>
  </si>
  <si>
    <t>P52294_KPNA1</t>
  </si>
  <si>
    <t>P52298_NCBP2</t>
  </si>
  <si>
    <t>P52306_RAP1GDS1</t>
  </si>
  <si>
    <t>P52565_ARHGDIA</t>
  </si>
  <si>
    <t>P52569_SLC7A2</t>
  </si>
  <si>
    <t>P52597_HNRNPF</t>
  </si>
  <si>
    <t>P52630-4_STAT2</t>
  </si>
  <si>
    <t>P52657_GTF2A2</t>
  </si>
  <si>
    <t>P52701_MSH6</t>
  </si>
  <si>
    <t>P52732_KIF11</t>
  </si>
  <si>
    <t>P52735-3_VAV2</t>
  </si>
  <si>
    <t>P52758_HRSP12</t>
  </si>
  <si>
    <t>P52788_SMS</t>
  </si>
  <si>
    <t>P52799_EFNB2</t>
  </si>
  <si>
    <t>P52815_MRPL12</t>
  </si>
  <si>
    <t>P52888_THOP1</t>
  </si>
  <si>
    <t>P52907_CAPZA1</t>
  </si>
  <si>
    <t>P52943_CRIP2</t>
  </si>
  <si>
    <t>P53004_BLVRA</t>
  </si>
  <si>
    <t>P53007_SLC25A1</t>
  </si>
  <si>
    <t>P53350_PLK1</t>
  </si>
  <si>
    <t>P53365_ARFIP2</t>
  </si>
  <si>
    <t>P53367_ARFIP1</t>
  </si>
  <si>
    <t>P53367-2_ARFIP1</t>
  </si>
  <si>
    <t>P53384-2_NUBP1</t>
  </si>
  <si>
    <t>P53396_ACLY</t>
  </si>
  <si>
    <t>P53582_METAP1</t>
  </si>
  <si>
    <t>P53597_SUCLG1</t>
  </si>
  <si>
    <t>P53602_MVD</t>
  </si>
  <si>
    <t>P53609_PGGT1B</t>
  </si>
  <si>
    <t>P53618_COPB1</t>
  </si>
  <si>
    <t>P53621_COPA</t>
  </si>
  <si>
    <t>P53634_CTSC</t>
  </si>
  <si>
    <t>P53701_HCCS</t>
  </si>
  <si>
    <t>P53778_MAPK12</t>
  </si>
  <si>
    <t>P53794_SLC5A3</t>
  </si>
  <si>
    <t>P53803_POLR2K</t>
  </si>
  <si>
    <t>P53814-5_SMTN</t>
  </si>
  <si>
    <t>P53985_SLC16A1</t>
  </si>
  <si>
    <t>P53990-2_IST1</t>
  </si>
  <si>
    <t>P53992_SEC24C</t>
  </si>
  <si>
    <t>P53999_SUB1</t>
  </si>
  <si>
    <t>P54136_RARS</t>
  </si>
  <si>
    <t>P54136-2_RARS</t>
  </si>
  <si>
    <t>P54259_ATN1</t>
  </si>
  <si>
    <t>P54289-4_CACNA2D1</t>
  </si>
  <si>
    <t>P54577_YARS</t>
  </si>
  <si>
    <t>P54578-2_USP14</t>
  </si>
  <si>
    <t>P54619-2_PRKAG1</t>
  </si>
  <si>
    <t>P54646_PRKAA2</t>
  </si>
  <si>
    <t>P54687_BCAT1</t>
  </si>
  <si>
    <t>P54707_ATP12A</t>
  </si>
  <si>
    <t>P54709_ATP1B3</t>
  </si>
  <si>
    <t>P54727_RAD23B</t>
  </si>
  <si>
    <t>P54802_NAGLU</t>
  </si>
  <si>
    <t>P54819_AK2</t>
  </si>
  <si>
    <t>P54826_GAS1</t>
  </si>
  <si>
    <t>P54886-2_ALDH18A1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</si>
  <si>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</si>
  <si>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</si>
  <si>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</si>
  <si>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</si>
  <si>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</si>
  <si>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</si>
  <si>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</si>
  <si>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</si>
  <si>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P55082-2_MFAP3</t>
  </si>
  <si>
    <t>P55145_MANF</t>
  </si>
  <si>
    <t>P55210-4_CASP7</t>
  </si>
  <si>
    <t>P55212_CASP6</t>
  </si>
  <si>
    <t>P55263-2_ADK</t>
  </si>
  <si>
    <t>P55268_LAMB2</t>
  </si>
  <si>
    <t>P55327-2_TPD52</t>
  </si>
  <si>
    <t>P55735_SEC13</t>
  </si>
  <si>
    <t>P55884_EIF3B</t>
  </si>
  <si>
    <t>P55957_BID</t>
  </si>
  <si>
    <t>P56181-2_NDUFV3</t>
  </si>
  <si>
    <t>P56182_RRP1</t>
  </si>
  <si>
    <t>P56192_MARS</t>
  </si>
  <si>
    <t>P56270-2_MAZ</t>
  </si>
  <si>
    <t>P56277_CMC4</t>
  </si>
  <si>
    <t>P56377_AP1S2</t>
  </si>
  <si>
    <t>P56385_ATP5I</t>
  </si>
  <si>
    <t>P56524_HDAC4</t>
  </si>
  <si>
    <t>P56537_EIF6</t>
  </si>
  <si>
    <t>P56589_PEX3</t>
  </si>
  <si>
    <t>P56937-3_HSD17B7</t>
  </si>
  <si>
    <t>P56945-4_BCAR1</t>
  </si>
  <si>
    <t>P56962_STX17</t>
  </si>
  <si>
    <t>P57054-3_PIGP</t>
  </si>
  <si>
    <t>P57060_RWDD2B</t>
  </si>
  <si>
    <t>P57076_C21orf59</t>
  </si>
  <si>
    <t>P57081-2_WDR4</t>
  </si>
  <si>
    <t>P57088_TMEM33</t>
  </si>
  <si>
    <t>P57105_SYNJ2BP</t>
  </si>
  <si>
    <t>P57737-3_CORO7</t>
  </si>
  <si>
    <t>P57740_NUP107</t>
  </si>
  <si>
    <t>P57772_EEFSEC</t>
  </si>
  <si>
    <t>P58004_SESN2</t>
  </si>
  <si>
    <t>P58005_SESN3</t>
  </si>
  <si>
    <t>P58107_EPPK1</t>
  </si>
  <si>
    <t>P58397-3_ADAMTS12</t>
  </si>
  <si>
    <t>P58546_MTPN</t>
  </si>
  <si>
    <t>P58557_YBEY</t>
  </si>
  <si>
    <t>P59998_ARPC4</t>
  </si>
  <si>
    <t>P60059_SEC61G</t>
  </si>
  <si>
    <t>P60174-1_TPI1</t>
  </si>
  <si>
    <t>P60228_EIF3E</t>
  </si>
  <si>
    <t>P60468_SEC61B</t>
  </si>
  <si>
    <t>P60510_PPP4C</t>
  </si>
  <si>
    <t>P60602_ROMO1</t>
  </si>
  <si>
    <t>P60604-2_UBE2G2</t>
  </si>
  <si>
    <t>P60709_ACTB</t>
  </si>
  <si>
    <t>P60763_RAC3</t>
  </si>
  <si>
    <t>P60842_EIF4A1</t>
  </si>
  <si>
    <t>P60866_RPS20</t>
  </si>
  <si>
    <t>P60891_PRPS1</t>
  </si>
  <si>
    <t>P60896_SHFM1</t>
  </si>
  <si>
    <t>P60903_S100A10</t>
  </si>
  <si>
    <t>P60953_CDC42</t>
  </si>
  <si>
    <t>P60953-1_CDC42</t>
  </si>
  <si>
    <t>P60981_DSTN</t>
  </si>
  <si>
    <t>P60983_GMFB</t>
  </si>
  <si>
    <t>P61006_RAB8A</t>
  </si>
  <si>
    <t>P61009_SPCS3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</si>
  <si>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</si>
  <si>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</si>
  <si>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</si>
  <si>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</si>
  <si>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</si>
  <si>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</si>
  <si>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</si>
  <si>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</si>
  <si>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</si>
  <si>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</si>
  <si>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</si>
  <si>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</si>
  <si>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</si>
  <si>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</si>
  <si>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</si>
  <si>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</si>
  <si>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</si>
  <si>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</si>
  <si>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</si>
  <si>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P61254_RPL26</t>
  </si>
  <si>
    <t>P61289_PSME3</t>
  </si>
  <si>
    <t>P61326_MAGOH</t>
  </si>
  <si>
    <t>P61586_RHOA</t>
  </si>
  <si>
    <t>P61587_RND3</t>
  </si>
  <si>
    <t>P61599_NAA20</t>
  </si>
  <si>
    <t>P61604_HSPE1</t>
  </si>
  <si>
    <t>P61758_VBP1</t>
  </si>
  <si>
    <t>P61764_STXBP1</t>
  </si>
  <si>
    <t>P61925_PKIA</t>
  </si>
  <si>
    <t>P61956_SUMO2</t>
  </si>
  <si>
    <t>P61960-2_UFM1</t>
  </si>
  <si>
    <t>P61962_DCAF7</t>
  </si>
  <si>
    <t>P61964_WDR5</t>
  </si>
  <si>
    <t>P61970_NUTF2</t>
  </si>
  <si>
    <t>P61978-2_HNRNPK</t>
  </si>
  <si>
    <t>P61981_YWHAG</t>
  </si>
  <si>
    <t>P62070_RRAS2</t>
  </si>
  <si>
    <t>P62072_TIMM10</t>
  </si>
  <si>
    <t>P62081_RPS7</t>
  </si>
  <si>
    <t>P62136_PPP1CA</t>
  </si>
  <si>
    <t>P62140_PPP1CB</t>
  </si>
  <si>
    <t>P62191_PSMC1</t>
  </si>
  <si>
    <t>P62195-2_PSMC5</t>
  </si>
  <si>
    <t>P62249_RPS16</t>
  </si>
  <si>
    <t>P62258_YWHAE</t>
  </si>
  <si>
    <t>P62263_RPS14</t>
  </si>
  <si>
    <t>P62266_RPS23</t>
  </si>
  <si>
    <t>P62269_RPS18</t>
  </si>
  <si>
    <t>P62273_RPS29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</si>
  <si>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</si>
  <si>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</si>
  <si>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</si>
  <si>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</si>
  <si>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</si>
  <si>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</si>
  <si>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</si>
  <si>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</si>
  <si>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</si>
  <si>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</si>
  <si>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</si>
  <si>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</si>
  <si>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</si>
  <si>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</si>
  <si>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</si>
  <si>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</si>
  <si>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P62633-3_CNBP</t>
  </si>
  <si>
    <t>P62633-4_CNBP</t>
  </si>
  <si>
    <t>P62701_RPS4X</t>
  </si>
  <si>
    <t>P62714_PPP2CB</t>
  </si>
  <si>
    <t>P62745_RHOB</t>
  </si>
  <si>
    <t>P62750_RPL23A</t>
  </si>
  <si>
    <t>P62753_RPS6</t>
  </si>
  <si>
    <t>P62805_HIST1H4A</t>
  </si>
  <si>
    <t>P62807_HIST1H2BC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</si>
  <si>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</si>
  <si>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</si>
  <si>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</si>
  <si>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</si>
  <si>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</si>
  <si>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</si>
  <si>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</si>
  <si>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</si>
  <si>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P62879_GNB2</t>
  </si>
  <si>
    <t>P62888_RPL30</t>
  </si>
  <si>
    <t>P62899_RPL31</t>
  </si>
  <si>
    <t>P62906_RPL10A</t>
  </si>
  <si>
    <t>P62913-2_RPL11</t>
  </si>
  <si>
    <t>P62937_PPIA</t>
  </si>
  <si>
    <t>P62942_FKBP1A</t>
  </si>
  <si>
    <t>P62979_RPS27A</t>
  </si>
  <si>
    <t>P62987_UBA52</t>
  </si>
  <si>
    <t>P62993_GRB2</t>
  </si>
  <si>
    <t>P63000_RAC1</t>
  </si>
  <si>
    <t>P63010_AP2B1</t>
  </si>
  <si>
    <t>P63092_GNAS</t>
  </si>
  <si>
    <t>P63096_GNAI1</t>
  </si>
  <si>
    <t>P63104_YWHAZ</t>
  </si>
  <si>
    <t>P63151_PPP2R2A</t>
  </si>
  <si>
    <t>P63167_DYNLL1</t>
  </si>
  <si>
    <t>P63173_RPL38</t>
  </si>
  <si>
    <t>P63218_GNG5</t>
  </si>
  <si>
    <t>P63220_RPS21</t>
  </si>
  <si>
    <t>P63241_EIF5A</t>
  </si>
  <si>
    <t>P63244_GNB2L1</t>
  </si>
  <si>
    <t>P63261_ACTG1</t>
  </si>
  <si>
    <t>P63272_SUPT4H1</t>
  </si>
  <si>
    <t>P67775_PPP2CA</t>
  </si>
  <si>
    <t>P67809_YBX1</t>
  </si>
  <si>
    <t>P67936_TPM4</t>
  </si>
  <si>
    <t>P68032_ACTC1</t>
  </si>
  <si>
    <t>P68036_UBE2L3</t>
  </si>
  <si>
    <t>P68104_EEF1A1</t>
  </si>
  <si>
    <t>P68106_FKBP1B</t>
  </si>
  <si>
    <t>P68133_ACTA1</t>
  </si>
  <si>
    <t>P68363_TUBA1B</t>
  </si>
  <si>
    <t>P68371_TUBB4B</t>
  </si>
  <si>
    <t>P68402_PAFAH1B2</t>
  </si>
  <si>
    <t>P69892_HBG2</t>
  </si>
  <si>
    <t>P78310_CXADR</t>
  </si>
  <si>
    <t>P78318_IGBP1</t>
  </si>
  <si>
    <t>P78324_SIRPA</t>
  </si>
  <si>
    <t>P78330_PSPH</t>
  </si>
  <si>
    <t>P78347-2_GTF2I</t>
  </si>
  <si>
    <t>P78371_CCT2</t>
  </si>
  <si>
    <t>P78406_RAE1</t>
  </si>
  <si>
    <t>P78417_GSTO1</t>
  </si>
  <si>
    <t>P78527_PRKDC</t>
  </si>
  <si>
    <t>P78536_ADAM17</t>
  </si>
  <si>
    <t>P78537_BLOC1S1</t>
  </si>
  <si>
    <t>P78540_ARG2</t>
  </si>
  <si>
    <t>P80217_IFI35</t>
  </si>
  <si>
    <t>P80297_MT1X</t>
  </si>
  <si>
    <t>P80303_NUCB2</t>
  </si>
  <si>
    <t>P80723_BASP1</t>
  </si>
  <si>
    <t>P81274_GPSM2</t>
  </si>
  <si>
    <t>P82094_TMF1</t>
  </si>
  <si>
    <t>P82664_MRPS10</t>
  </si>
  <si>
    <t>P82909_MRPS36</t>
  </si>
  <si>
    <t>P82979_SARNP</t>
  </si>
  <si>
    <t>P83436_COG7</t>
  </si>
  <si>
    <t>P84074_HPCA</t>
  </si>
  <si>
    <t>P84077_ARF1</t>
  </si>
  <si>
    <t>P84085_ARF5</t>
  </si>
  <si>
    <t>P84090_ERH</t>
  </si>
  <si>
    <t>P84095_RHOG</t>
  </si>
  <si>
    <t>P84101_SERF2</t>
  </si>
  <si>
    <t>P84157_MXRA7</t>
  </si>
  <si>
    <t>P84157-2_MXRA7</t>
  </si>
  <si>
    <t>P84157-3_MXRA7</t>
  </si>
  <si>
    <t>P85037_FOXK1</t>
  </si>
  <si>
    <t>P86397_RPP14</t>
  </si>
  <si>
    <t>P86791_CCZ1</t>
  </si>
  <si>
    <t>P98082-3_DAB2</t>
  </si>
  <si>
    <t>P98172_EFNB1</t>
  </si>
  <si>
    <t>P98173-3_FAM3A</t>
  </si>
  <si>
    <t>P98175-2_RBM10</t>
  </si>
  <si>
    <t>P98179_RBM3</t>
  </si>
  <si>
    <t>Q00013-2_MPP1</t>
  </si>
  <si>
    <t>Q00059_TFAM</t>
  </si>
  <si>
    <t>Q00325-2_SLC25A3</t>
  </si>
  <si>
    <t>Q00341_HDLBP</t>
  </si>
  <si>
    <t>Q00403_GTF2B</t>
  </si>
  <si>
    <t>Q00534_CDK6</t>
  </si>
  <si>
    <t>Q00535_CDK5</t>
  </si>
  <si>
    <t>Q00536_CDK16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</si>
  <si>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</si>
  <si>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</si>
  <si>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</si>
  <si>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</si>
  <si>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</si>
  <si>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</si>
  <si>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</si>
  <si>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Q01081_U2AF1</t>
  </si>
  <si>
    <t>Q01082_SPTBN1</t>
  </si>
  <si>
    <t>Q01085-2_TIAL1</t>
  </si>
  <si>
    <t>Q01105_SET</t>
  </si>
  <si>
    <t>Q01167_FOXK2</t>
  </si>
  <si>
    <t>Q01415_GALK2</t>
  </si>
  <si>
    <t>Q01469_FABP5</t>
  </si>
  <si>
    <t>Q01518-2_CAP1</t>
  </si>
  <si>
    <t>Q01543-2_FLI1</t>
  </si>
  <si>
    <t>Q01581_HMGCS1</t>
  </si>
  <si>
    <t>Q01650_SLC7A5</t>
  </si>
  <si>
    <t>Q01658_DR1</t>
  </si>
  <si>
    <t>Q01813_PFKP</t>
  </si>
  <si>
    <t>Q01968_OCRL</t>
  </si>
  <si>
    <t>Q01970_PLCB3</t>
  </si>
  <si>
    <t>Q02078-3_MEF2A</t>
  </si>
  <si>
    <t>Q02083-2_NAAA</t>
  </si>
  <si>
    <t>Q02086-2_SP2</t>
  </si>
  <si>
    <t>Q02127_DHODH</t>
  </si>
  <si>
    <t>Q02156_PRKCE</t>
  </si>
  <si>
    <t>Q02241_KIF23</t>
  </si>
  <si>
    <t>Q02446_SP4</t>
  </si>
  <si>
    <t>Q02487-2_DSC2</t>
  </si>
  <si>
    <t>Q02535_ID3</t>
  </si>
  <si>
    <t>Q02750_MAP2K1</t>
  </si>
  <si>
    <t>Q02763-2_TEK</t>
  </si>
  <si>
    <t>Q02790_FKBP4</t>
  </si>
  <si>
    <t>Q02809_PLOD1</t>
  </si>
  <si>
    <t>Q02818_NUCB1</t>
  </si>
  <si>
    <t>Q02952-3_AKAP12</t>
  </si>
  <si>
    <t>Q03154_ACY1</t>
  </si>
  <si>
    <t>Q03519_TAP2</t>
  </si>
  <si>
    <t>Q04446_GBE1</t>
  </si>
  <si>
    <t>Q04721_NOTCH2</t>
  </si>
  <si>
    <t>Q04724_TLE1</t>
  </si>
  <si>
    <t>Q04760_GLO1</t>
  </si>
  <si>
    <t>Q04828_AKR1C1</t>
  </si>
  <si>
    <t>Q04837_SSBP1</t>
  </si>
  <si>
    <t>Q04917_YWHAH</t>
  </si>
  <si>
    <t>Q04941_PLP2</t>
  </si>
  <si>
    <t>Q05048_CSTF1</t>
  </si>
  <si>
    <t>Q05086-3_UBE3A</t>
  </si>
  <si>
    <t>Q05209_PTPN12</t>
  </si>
  <si>
    <t>Q05519-2_SRSF11</t>
  </si>
  <si>
    <t>Q05639_EEF1A2</t>
  </si>
  <si>
    <t>Q05655_PRKCD</t>
  </si>
  <si>
    <t>Q05682-4_CALD1</t>
  </si>
  <si>
    <t>Q05682-5_CALD1</t>
  </si>
  <si>
    <t>Q05932-3_FPGS</t>
  </si>
  <si>
    <t>Q06124_PTPN11</t>
  </si>
  <si>
    <t>Q06203_PPAT</t>
  </si>
  <si>
    <t>Q06210-2_GFPT1</t>
  </si>
  <si>
    <t>Q06265_EXOSC9</t>
  </si>
  <si>
    <t>Q06323_PSME1</t>
  </si>
  <si>
    <t>Q06330-5_RBPJ</t>
  </si>
  <si>
    <t>Q06481_APLP2</t>
  </si>
  <si>
    <t>Q06546_GABPA</t>
  </si>
  <si>
    <t>Q06547-2_GABPB1</t>
  </si>
  <si>
    <t>Q06609-3_RAD51</t>
  </si>
  <si>
    <t>Q06830_PRDX1</t>
  </si>
  <si>
    <t>Q07021_C1QBP</t>
  </si>
  <si>
    <t>Q07065_CKAP4</t>
  </si>
  <si>
    <t>Q07075_ENPEP</t>
  </si>
  <si>
    <t>Q07666_KHDRBS1</t>
  </si>
  <si>
    <t>Q07812-5_BAX</t>
  </si>
  <si>
    <t>Q07820-2_MCL1</t>
  </si>
  <si>
    <t>Q07866-6_KLC1</t>
  </si>
  <si>
    <t>Q07912_TNK2</t>
  </si>
  <si>
    <t>Q07960_ARHGAP1</t>
  </si>
  <si>
    <t>Q08209-2_PPP3CA</t>
  </si>
  <si>
    <t>Q08257_CRYZ</t>
  </si>
  <si>
    <t>Q08289-6_CACNB2</t>
  </si>
  <si>
    <t>Q08357_SLC20A2</t>
  </si>
  <si>
    <t>Q08378-2_GOLGA3</t>
  </si>
  <si>
    <t>Q08379_GOLGA2</t>
  </si>
  <si>
    <t>Q08426_EHHADH</t>
  </si>
  <si>
    <t>Q08722-2_CD47</t>
  </si>
  <si>
    <t>Q08752_PPID</t>
  </si>
  <si>
    <t>Q08945_SSRP1</t>
  </si>
  <si>
    <t>Q08AD1-2_CAMSAP2</t>
  </si>
  <si>
    <t>Q08AE8-2_SPIRE1</t>
  </si>
  <si>
    <t>Q08AG7_MZT1</t>
  </si>
  <si>
    <t>Q08AM6_VAC14</t>
  </si>
  <si>
    <t>Q08E86_KIAA0100</t>
  </si>
  <si>
    <t>Q08J23_NSUN2</t>
  </si>
  <si>
    <t>Q09028-3_RBBP4</t>
  </si>
  <si>
    <t>Q09161_NCBP1</t>
  </si>
  <si>
    <t>Q09472_EP300</t>
  </si>
  <si>
    <t>Q09666_AHNAK</t>
  </si>
  <si>
    <t>Q0JRZ9-3_FCHO2</t>
  </si>
  <si>
    <t>Q0VDF9_HSPA14</t>
  </si>
  <si>
    <t>Q0VDG4_SCRN3</t>
  </si>
  <si>
    <t>Q10469_MGAT2</t>
  </si>
  <si>
    <t>Q10567-2_AP1B1</t>
  </si>
  <si>
    <t>Q10713_PMPCA</t>
  </si>
  <si>
    <t>Q12765_SCRN1</t>
  </si>
  <si>
    <t>Q12769_NUP160</t>
  </si>
  <si>
    <t>Q12788_TBL3</t>
  </si>
  <si>
    <t>Q12792_TWF1</t>
  </si>
  <si>
    <t>Q12834_CDC20</t>
  </si>
  <si>
    <t>Q12841_FSTL1</t>
  </si>
  <si>
    <t>Q12846_STX4</t>
  </si>
  <si>
    <t>Q12849_GRSF1</t>
  </si>
  <si>
    <t>Q12860-2_CNTN1</t>
  </si>
  <si>
    <t>Q12872_SFSWAP</t>
  </si>
  <si>
    <t>Q12874_SF3A3</t>
  </si>
  <si>
    <t>Q12888_TP53BP1</t>
  </si>
  <si>
    <t>Q12893_TMEM115</t>
  </si>
  <si>
    <t>Q12904_AIMP1</t>
  </si>
  <si>
    <t>Q12905_ILF2</t>
  </si>
  <si>
    <t>Q12906_ILF3</t>
  </si>
  <si>
    <t>Q12907_LMAN2</t>
  </si>
  <si>
    <t>Q12929_EPS8</t>
  </si>
  <si>
    <t>Q12933-3_TRAF2</t>
  </si>
  <si>
    <t>Q12948_FOXC1</t>
  </si>
  <si>
    <t>Q12955-6_ANK3</t>
  </si>
  <si>
    <t>Q12959-5_DLG1</t>
  </si>
  <si>
    <t>Q12962_TAF10</t>
  </si>
  <si>
    <t>Q12965_MYO1E</t>
  </si>
  <si>
    <t>Q12972_PPP1R8</t>
  </si>
  <si>
    <t>Q12981_BNIP1</t>
  </si>
  <si>
    <t>Q12996_CSTF3</t>
  </si>
  <si>
    <t>Q13011_ECH1</t>
  </si>
  <si>
    <t>Q13015_MLLT11</t>
  </si>
  <si>
    <t>Q13017-2_ARHGAP5</t>
  </si>
  <si>
    <t>Q13033-2_STRN3</t>
  </si>
  <si>
    <t>Q13043_STK4</t>
  </si>
  <si>
    <t>Q13045_FLII</t>
  </si>
  <si>
    <t>Q13045-2_FLII</t>
  </si>
  <si>
    <t>Q13057_COASY</t>
  </si>
  <si>
    <t>Q13098_GPS1</t>
  </si>
  <si>
    <t>Q13111-2_CHAF1A</t>
  </si>
  <si>
    <t>Q13112_CHAF1B</t>
  </si>
  <si>
    <t>Q13123_IK</t>
  </si>
  <si>
    <t>Q13126_MTAP</t>
  </si>
  <si>
    <t>Q13131_PRKAA1</t>
  </si>
  <si>
    <t>Q13136-2_PPFIA1</t>
  </si>
  <si>
    <t>Q13137-4_CALCOCO2</t>
  </si>
  <si>
    <t>Q13148_TARDBP</t>
  </si>
  <si>
    <t>Q13151_HNRNPA0</t>
  </si>
  <si>
    <t>Q13153_PAK1</t>
  </si>
  <si>
    <t>Q13158_FADD</t>
  </si>
  <si>
    <t>Q13162_PRDX4</t>
  </si>
  <si>
    <t>Q13164-2_MAPK7</t>
  </si>
  <si>
    <t>Q13177_PAK2</t>
  </si>
  <si>
    <t>Q13185_CBX3</t>
  </si>
  <si>
    <t>Q13188_STK3</t>
  </si>
  <si>
    <t>Q13200_PSMD2</t>
  </si>
  <si>
    <t>Q13217_DNAJC3</t>
  </si>
  <si>
    <t>Q13228-2_SELENBP1</t>
  </si>
  <si>
    <t>Q13232_NME3</t>
  </si>
  <si>
    <t>Q13243-3_SRSF5</t>
  </si>
  <si>
    <t>Q13247-3_SRSF6</t>
  </si>
  <si>
    <t>Q13257_MAD2L1</t>
  </si>
  <si>
    <t>Q13263_TRIM28</t>
  </si>
  <si>
    <t>Q13277-2_STX3</t>
  </si>
  <si>
    <t>Q13283_G3BP1</t>
  </si>
  <si>
    <t>Q13308_PTK7</t>
  </si>
  <si>
    <t>Q13309_SKP2</t>
  </si>
  <si>
    <t>Q13310-3_PABPC4</t>
  </si>
  <si>
    <t>Q13322-2_GRB10</t>
  </si>
  <si>
    <t>Q13325_IFIT5</t>
  </si>
  <si>
    <t>Q13347_EIF3I</t>
  </si>
  <si>
    <t>Q13356_PPIL2</t>
  </si>
  <si>
    <t>Q13362-4_PPP2R5C</t>
  </si>
  <si>
    <t>Q13363_CTBP1</t>
  </si>
  <si>
    <t>Q13395_TARBP1</t>
  </si>
  <si>
    <t>Q13405_MRPL49</t>
  </si>
  <si>
    <t>Q13409-6_DYNC1I2</t>
  </si>
  <si>
    <t>Q13416_ORC2</t>
  </si>
  <si>
    <t>Q13418_ILK</t>
  </si>
  <si>
    <t>Q13423_NNT</t>
  </si>
  <si>
    <t>Q13424_SNTA1</t>
  </si>
  <si>
    <t>Q13426_XRCC4</t>
  </si>
  <si>
    <t>Q13432-2_UNC119</t>
  </si>
  <si>
    <t>Q13435_SF3B2</t>
  </si>
  <si>
    <t>Q13438-5_OS9</t>
  </si>
  <si>
    <t>Q13442_PDAP1</t>
  </si>
  <si>
    <t>Q13443_ADAM9</t>
  </si>
  <si>
    <t>Q13444-8_ADAM15</t>
  </si>
  <si>
    <t>Q13445_TMED1</t>
  </si>
  <si>
    <t>Q13451_FKBP5</t>
  </si>
  <si>
    <t>Q13464_ROCK1</t>
  </si>
  <si>
    <t>Q13480-2_GAB1</t>
  </si>
  <si>
    <t>Q13492-3_PICALM</t>
  </si>
  <si>
    <t>Q13503_MED21</t>
  </si>
  <si>
    <t>Q13505-3_MTX1</t>
  </si>
  <si>
    <t>Q13509_TUBB3</t>
  </si>
  <si>
    <t>Q13526_PIN1</t>
  </si>
  <si>
    <t>Q13541_EIF4EBP1</t>
  </si>
  <si>
    <t>Q13542_EIF4EBP2</t>
  </si>
  <si>
    <t>Q13546-2_RIPK1</t>
  </si>
  <si>
    <t>Q13564-2_NAE1</t>
  </si>
  <si>
    <t>Q13572_ITPK1</t>
  </si>
  <si>
    <t>Q13573_SNW1</t>
  </si>
  <si>
    <t>Q13576_IQGAP2</t>
  </si>
  <si>
    <t>Q13586_STIM1</t>
  </si>
  <si>
    <t>Q13596-2_SNX1</t>
  </si>
  <si>
    <t>Q13614_MTMR2</t>
  </si>
  <si>
    <t>Q13616_CUL1</t>
  </si>
  <si>
    <t>Q13617_CUL2</t>
  </si>
  <si>
    <t>Q13618-2_CUL3</t>
  </si>
  <si>
    <t>Q13625_TP53BP2</t>
  </si>
  <si>
    <t>Q13630_TSTA3</t>
  </si>
  <si>
    <t>Q13636_RAB31</t>
  </si>
  <si>
    <t>Q13641_TPBG</t>
  </si>
  <si>
    <t>Q13642-5_FHL1</t>
  </si>
  <si>
    <t>Q13643_FHL3</t>
  </si>
  <si>
    <t>Q13686_ALKBH1</t>
  </si>
  <si>
    <t>Q13724_MOGS</t>
  </si>
  <si>
    <t>Q13740-2_ALCAM</t>
  </si>
  <si>
    <t>Q13796_SHROOM2</t>
  </si>
  <si>
    <t>Q13813-3_SPTAN1</t>
  </si>
  <si>
    <t>Q13825_AUH</t>
  </si>
  <si>
    <t>Q13884_SNTB1</t>
  </si>
  <si>
    <t>Q13885_TUBB2A</t>
  </si>
  <si>
    <t>Q13895_BYSL</t>
  </si>
  <si>
    <t>Q13907_IDI1</t>
  </si>
  <si>
    <t>Q13951-2_CBFB</t>
  </si>
  <si>
    <t>Q13952-3_NFYC</t>
  </si>
  <si>
    <t>Q14008-2_CKAP5</t>
  </si>
  <si>
    <t>Q14011_CIRBP</t>
  </si>
  <si>
    <t>Q14012_CAMK1</t>
  </si>
  <si>
    <t>Q14019_COTL1</t>
  </si>
  <si>
    <t>Q14050_COL9A3</t>
  </si>
  <si>
    <t>Q14061_COX17</t>
  </si>
  <si>
    <t>Q14103-3_HNRNPD</t>
  </si>
  <si>
    <t>Q14108_SCARB2</t>
  </si>
  <si>
    <t>Q14118_DAG1</t>
  </si>
  <si>
    <t>Q14126_DSG2</t>
  </si>
  <si>
    <t>Q14129_DGCR6</t>
  </si>
  <si>
    <t>Q14135_VGLL4</t>
  </si>
  <si>
    <t>Q14137_BOP1</t>
  </si>
  <si>
    <t>Q14139_UBE4A</t>
  </si>
  <si>
    <t>Q14145_KEAP1</t>
  </si>
  <si>
    <t>Q14149_MORC3</t>
  </si>
  <si>
    <t>Q14151_SAFB2</t>
  </si>
  <si>
    <t>Q14152_EIF3A</t>
  </si>
  <si>
    <t>Q14157_UBAP2L</t>
  </si>
  <si>
    <t>Q14157-1_UBAP2L</t>
  </si>
  <si>
    <t>Q14160_SCRIB</t>
  </si>
  <si>
    <t>Q14165_MLEC</t>
  </si>
  <si>
    <t>Q14166_TTLL12</t>
  </si>
  <si>
    <t>Q14181_POLA2</t>
  </si>
  <si>
    <t>Q14195-2_DPYSL3</t>
  </si>
  <si>
    <t>Q14204_DYNC1H1</t>
  </si>
  <si>
    <t>Q14232_EIF2B1</t>
  </si>
  <si>
    <t>Q14240_EIF4A2</t>
  </si>
  <si>
    <t>Q14244_MAP7</t>
  </si>
  <si>
    <t>Q14247_CTTN</t>
  </si>
  <si>
    <t>Q14257_RCN2</t>
  </si>
  <si>
    <t>Q14315-2_FLNC</t>
  </si>
  <si>
    <t>Q14318-2_FKBP8</t>
  </si>
  <si>
    <t>Q14320_FAM50A</t>
  </si>
  <si>
    <t>Q14331_FRG1</t>
  </si>
  <si>
    <t>Q14344_GNA13</t>
  </si>
  <si>
    <t>Q14353_GAMT</t>
  </si>
  <si>
    <t>Q14376_GALE</t>
  </si>
  <si>
    <t>Q14409_GK3P</t>
  </si>
  <si>
    <t>Q14444-2_CAPRIN1</t>
  </si>
  <si>
    <t>Q14469_HES1</t>
  </si>
  <si>
    <t>Q14498-2_RBM39</t>
  </si>
  <si>
    <t>Q14520-2_HABP2</t>
  </si>
  <si>
    <t>Q14527-2_HLTF</t>
  </si>
  <si>
    <t>Q14534_SQLE</t>
  </si>
  <si>
    <t>Q14554_PDIA5</t>
  </si>
  <si>
    <t>Q14558_PRPSAP1</t>
  </si>
  <si>
    <t>Q14566_MCM6</t>
  </si>
  <si>
    <t>Q14651_PLS1</t>
  </si>
  <si>
    <t>Q14653_IRF3</t>
  </si>
  <si>
    <t>Q14657_LAGE3</t>
  </si>
  <si>
    <t>Q14669-2_TRIP12</t>
  </si>
  <si>
    <t>Q14671_PUM1</t>
  </si>
  <si>
    <t>Q14674_ESPL1</t>
  </si>
  <si>
    <t>Q14676-3_MDC1</t>
  </si>
  <si>
    <t>Q14677_CLINT1</t>
  </si>
  <si>
    <t>Q14681_KCTD2</t>
  </si>
  <si>
    <t>Q14683_SMC1A</t>
  </si>
  <si>
    <t>Q14686_NCOA6</t>
  </si>
  <si>
    <t>Q14687-2_GSE1</t>
  </si>
  <si>
    <t>Q14691_GINS1</t>
  </si>
  <si>
    <t>Q14694_USP10</t>
  </si>
  <si>
    <t>Q14696_MESDC2</t>
  </si>
  <si>
    <t>Q14697_GANAB</t>
  </si>
  <si>
    <t>Q14699_RFTN1</t>
  </si>
  <si>
    <t>Q14739_LBR</t>
  </si>
  <si>
    <t>Q14746-2_COG2</t>
  </si>
  <si>
    <t>Q14789_GOLGB1</t>
  </si>
  <si>
    <t>Q14790_CASP8</t>
  </si>
  <si>
    <t>Q147X3_NAA30</t>
  </si>
  <si>
    <t>Q14814-4_MEF2D</t>
  </si>
  <si>
    <t>Q14847_LASP1</t>
  </si>
  <si>
    <t>Q14872_MTF1</t>
  </si>
  <si>
    <t>Q14964_RAB39A</t>
  </si>
  <si>
    <t>Q14966_ZNF638</t>
  </si>
  <si>
    <t>Q14974_KPNB1</t>
  </si>
  <si>
    <t>Q14978_NOLC1</t>
  </si>
  <si>
    <t>Q14980-2_NUMA1</t>
  </si>
  <si>
    <t>Q14C86-6_GAPVD1</t>
  </si>
  <si>
    <t>Q14CS0_UBXN2B</t>
  </si>
  <si>
    <t>Q14CX7-2_NAA25</t>
  </si>
  <si>
    <t>Q14CZ7_FASTKD3</t>
  </si>
  <si>
    <t>Q15004_KIAA0101</t>
  </si>
  <si>
    <t>Q15006_EMC2</t>
  </si>
  <si>
    <t>Q15007_WTAP</t>
  </si>
  <si>
    <t>Q15008_PSMD6</t>
  </si>
  <si>
    <t>Q15011-3_HERPUD1</t>
  </si>
  <si>
    <t>Q15012_LAPTM4A</t>
  </si>
  <si>
    <t>Q15013_MAD2L1BP</t>
  </si>
  <si>
    <t>Q15018_FAM175B</t>
  </si>
  <si>
    <t>Q15019_SEPT2</t>
  </si>
  <si>
    <t>Q15021_NCAPD2</t>
  </si>
  <si>
    <t>Q15024_EXOSC7</t>
  </si>
  <si>
    <t>Q15029-2_EFTUD2</t>
  </si>
  <si>
    <t>Q15031_LARS2</t>
  </si>
  <si>
    <t>Q15032-2_R3HDM1</t>
  </si>
  <si>
    <t>Q15036-2_SNX17</t>
  </si>
  <si>
    <t>Q15038-2_DAZAP2</t>
  </si>
  <si>
    <t>Q15043-2_SLC39A14</t>
  </si>
  <si>
    <t>Q15046_KARS</t>
  </si>
  <si>
    <t>Q15047-3_SETDB1</t>
  </si>
  <si>
    <t>Q15051_IQCB1</t>
  </si>
  <si>
    <t>Q15056_EIF4H</t>
  </si>
  <si>
    <t>Q15056-2_EIF4H</t>
  </si>
  <si>
    <t>Q15057_ACAP2</t>
  </si>
  <si>
    <t>Q15059_BRD3</t>
  </si>
  <si>
    <t>Q15061_WDR43</t>
  </si>
  <si>
    <t>Q15067-2_ACOX1</t>
  </si>
  <si>
    <t>Q15075_EEA1</t>
  </si>
  <si>
    <t>Q15102_PAFAH1B3</t>
  </si>
  <si>
    <t>Q15111_PLCL1</t>
  </si>
  <si>
    <t>Q15118_PDK1</t>
  </si>
  <si>
    <t>Q15120_PDK3</t>
  </si>
  <si>
    <t>Q15125_EBP</t>
  </si>
  <si>
    <t>Q15126_PMVK</t>
  </si>
  <si>
    <t>Q15149-4_PLEC</t>
  </si>
  <si>
    <t>Q15155_NOMO1</t>
  </si>
  <si>
    <t>Q15170-2_TCEAL1</t>
  </si>
  <si>
    <t>Q15172_PPP2R5A</t>
  </si>
  <si>
    <t>Q15173-2_PPP2R5B</t>
  </si>
  <si>
    <t>Q15181_PPA1</t>
  </si>
  <si>
    <t>Q15208_STK38</t>
  </si>
  <si>
    <t>Q15233_NONO</t>
  </si>
  <si>
    <t>Q15257_PPP2R4</t>
  </si>
  <si>
    <t>Q15276_RABEP1</t>
  </si>
  <si>
    <t>Q15286_RAB35</t>
  </si>
  <si>
    <t>Q15291_RBBP5</t>
  </si>
  <si>
    <t>Q15293_RCN1</t>
  </si>
  <si>
    <t>Q15311_RALBP1</t>
  </si>
  <si>
    <t>Q15334_LLGL1</t>
  </si>
  <si>
    <t>Q15345_LRRC41</t>
  </si>
  <si>
    <t>Q15365_PCBP1</t>
  </si>
  <si>
    <t>Q15366-2_PCBP2</t>
  </si>
  <si>
    <t>Q15366-3_PCBP2</t>
  </si>
  <si>
    <t>Q15375_EPHA7</t>
  </si>
  <si>
    <t>Q15382_RHEB</t>
  </si>
  <si>
    <t>Q15386_UBE3C</t>
  </si>
  <si>
    <t>Q15388_TOMM20</t>
  </si>
  <si>
    <t>Q15393_SF3B3</t>
  </si>
  <si>
    <t>Q15398-3_DLGAP5</t>
  </si>
  <si>
    <t>Q15404_RSU1</t>
  </si>
  <si>
    <t>Q15424-2_SAFB</t>
  </si>
  <si>
    <t>Q15428_SF3A2</t>
  </si>
  <si>
    <t>Q15435_PPP1R7</t>
  </si>
  <si>
    <t>Q15437_SEC23B</t>
  </si>
  <si>
    <t>Q15438-2_CYTH1</t>
  </si>
  <si>
    <t>Q15459_SF3A1</t>
  </si>
  <si>
    <t>Q15464_SHB</t>
  </si>
  <si>
    <t>Q15506_SPA17</t>
  </si>
  <si>
    <t>Q15526-2_SURF1</t>
  </si>
  <si>
    <t>Q15527_SURF2</t>
  </si>
  <si>
    <t>Q15543_TAF13</t>
  </si>
  <si>
    <t>Q15545_TAF7</t>
  </si>
  <si>
    <t>Q15555_MAPRE2</t>
  </si>
  <si>
    <t>Q15596_NCOA2</t>
  </si>
  <si>
    <t>Q15599-2_SLC9A3R2</t>
  </si>
  <si>
    <t>Q15628_TRADD</t>
  </si>
  <si>
    <t>Q15637-5_SF1</t>
  </si>
  <si>
    <t>Q15642-2_TRIP10</t>
  </si>
  <si>
    <t>Q15643_TRIP11</t>
  </si>
  <si>
    <t>Q15645_TRIP13</t>
  </si>
  <si>
    <t>Q15648_MED1</t>
  </si>
  <si>
    <t>Q15649_ZNHIT3</t>
  </si>
  <si>
    <t>Q15652-2_JMJD1C</t>
  </si>
  <si>
    <t>Q15654_TRIP6</t>
  </si>
  <si>
    <t>Q15691_MAPRE1</t>
  </si>
  <si>
    <t>Q15714_TSC22D1</t>
  </si>
  <si>
    <t>Q15738_NSDHL</t>
  </si>
  <si>
    <t>Q15750_TAB1</t>
  </si>
  <si>
    <t>Q15758_SLC1A5</t>
  </si>
  <si>
    <t>Q15759_MAPK11</t>
  </si>
  <si>
    <t>Q15768_EFNB3</t>
  </si>
  <si>
    <t>Q15773_MLF2</t>
  </si>
  <si>
    <t>Q15785_TOMM34</t>
  </si>
  <si>
    <t>Q15797_SMAD1</t>
  </si>
  <si>
    <t>Q15800-2_MSMO1</t>
  </si>
  <si>
    <t>Q15814_TBCC</t>
  </si>
  <si>
    <t>Q15818_NPTX1</t>
  </si>
  <si>
    <t>Q15819_UBE2V2</t>
  </si>
  <si>
    <t>Q15831_STK11</t>
  </si>
  <si>
    <t>Q15833-2_STXBP2</t>
  </si>
  <si>
    <t>Q15836_VAMP3</t>
  </si>
  <si>
    <t>Q15904_ATP6AP1</t>
  </si>
  <si>
    <t>Q15907_RAB11B</t>
  </si>
  <si>
    <t>Q15942_ZYX</t>
  </si>
  <si>
    <t>Q16134_ETFDH</t>
  </si>
  <si>
    <t>Q16143_SNCB</t>
  </si>
  <si>
    <t>Q16181_SEPT7</t>
  </si>
  <si>
    <t>Q16186_ADRM1</t>
  </si>
  <si>
    <t>Q16204_CCDC6</t>
  </si>
  <si>
    <t>Q16222-2_UAP1</t>
  </si>
  <si>
    <t>Q16254_E2F4</t>
  </si>
  <si>
    <t>Q16401-2_PSMD5</t>
  </si>
  <si>
    <t>Q16512_PKN1</t>
  </si>
  <si>
    <t>Q16513_PKN2</t>
  </si>
  <si>
    <t>Q16514-2_TAF12</t>
  </si>
  <si>
    <t>Q16531_DDB1</t>
  </si>
  <si>
    <t>Q16539_MAPK14</t>
  </si>
  <si>
    <t>Q16539-2_MAPK14</t>
  </si>
  <si>
    <t>Q16543_CDC37</t>
  </si>
  <si>
    <t>Q16555_DPYSL2</t>
  </si>
  <si>
    <t>Q16566_CAMK4</t>
  </si>
  <si>
    <t>Q16576_RBBP7</t>
  </si>
  <si>
    <t>Q16576-2_RBBP7</t>
  </si>
  <si>
    <t>Q16587-5_ZNF74</t>
  </si>
  <si>
    <t>Q16594_TAF9</t>
  </si>
  <si>
    <t>Q16625-4_OCLN</t>
  </si>
  <si>
    <t>Q16626_MEA1</t>
  </si>
  <si>
    <t>Q16630_CPSF6</t>
  </si>
  <si>
    <t>Q16643_DBN1</t>
  </si>
  <si>
    <t>Q16658_FSCN1</t>
  </si>
  <si>
    <t>Q16706_MAN2A1</t>
  </si>
  <si>
    <t>Q16718_NDUFA5</t>
  </si>
  <si>
    <t>Q16740_CLPP</t>
  </si>
  <si>
    <t>Q16762_TST</t>
  </si>
  <si>
    <t>Q16763_UBE2S</t>
  </si>
  <si>
    <t>Q16799_RTN1</t>
  </si>
  <si>
    <t>Q16822_PCK2</t>
  </si>
  <si>
    <t>Q16831_UPP1</t>
  </si>
  <si>
    <t>Q16850_CYP51A1</t>
  </si>
  <si>
    <t>Q16864_ATP6V1F</t>
  </si>
  <si>
    <t>Q17R31-2_TATDN3</t>
  </si>
  <si>
    <t>Q17RN3_FAM98C</t>
  </si>
  <si>
    <t>Q17RU2_REL</t>
  </si>
  <si>
    <t>Q24JP5_TMEM132A</t>
  </si>
  <si>
    <t>Q27J81-2_INF2</t>
  </si>
  <si>
    <t>Q29RF7_PDS5A</t>
  </si>
  <si>
    <t>Q2KHR3_QSER1</t>
  </si>
  <si>
    <t>Q2KHT3-2_CLEC16A</t>
  </si>
  <si>
    <t>Q2M1P5_KIF7</t>
  </si>
  <si>
    <t>Q2M2I8-2_AAK1</t>
  </si>
  <si>
    <t>Q2NKX8_ERCC6L</t>
  </si>
  <si>
    <t>Q2NL82_TSR1</t>
  </si>
  <si>
    <t>Q2T9J0_TYSND1</t>
  </si>
  <si>
    <t>Q2TAL8_QRICH1</t>
  </si>
  <si>
    <t>Q2TAM5_RELA</t>
  </si>
  <si>
    <t>Q2TAP0_GOLGA7B</t>
  </si>
  <si>
    <t>Q2TAY7_SMU1</t>
  </si>
  <si>
    <t>Q32MZ4_LRRFIP1</t>
  </si>
  <si>
    <t>Q32MZ4-3_LRRFIP1</t>
  </si>
  <si>
    <t>Q32MZ4-4_LRRFIP1</t>
  </si>
  <si>
    <t>Q32N00_POLD3</t>
  </si>
  <si>
    <t>Q32NB8_PGS1</t>
  </si>
  <si>
    <t>Q32P28_LEPRE1</t>
  </si>
  <si>
    <t>Q32P41_TRMT5</t>
  </si>
  <si>
    <t>Q32Q12_NME1-NME2</t>
  </si>
  <si>
    <t>Q3KQV9_UAP1L1</t>
  </si>
  <si>
    <t>Q3KRA9_ALKBH6</t>
  </si>
  <si>
    <t>Q3LXA3_DAK</t>
  </si>
  <si>
    <t>Q3MHD2_LSM12</t>
  </si>
  <si>
    <t>Q3MII6_TBC1D25</t>
  </si>
  <si>
    <t>Q3MIT2_PUS10</t>
  </si>
  <si>
    <t>Q3SXM5_HSDL1</t>
  </si>
  <si>
    <t>Q3SXY8-2_ARL13B</t>
  </si>
  <si>
    <t>Q3V6T2-2_CCDC88A</t>
  </si>
  <si>
    <t>Q3YEC7_RABL6</t>
  </si>
  <si>
    <t>Q3ZAQ7_VMA21</t>
  </si>
  <si>
    <t>Q3ZCM7_TUBB8</t>
  </si>
  <si>
    <t>Q3ZCQ8_TIMM50</t>
  </si>
  <si>
    <t>Q3ZCV1_USP38</t>
  </si>
  <si>
    <t>Q3ZCW2_LGALSL</t>
  </si>
  <si>
    <t>Q495W5-2_FUT11</t>
  </si>
  <si>
    <t>Q49AH0-2_CDNF</t>
  </si>
  <si>
    <t>Q49AR2_C5orf22</t>
  </si>
  <si>
    <t>Q49B96_COX19</t>
  </si>
  <si>
    <t>Q4G0F5_VPS26B</t>
  </si>
  <si>
    <t>Q4G0I0_CCSMST1</t>
  </si>
  <si>
    <t>Q4G0J3_LARP7</t>
  </si>
  <si>
    <t>Q4G0N4_NADKD1</t>
  </si>
  <si>
    <t>Q4G148-2_GXYLT1</t>
  </si>
  <si>
    <t>Q4G176_ACSF3</t>
  </si>
  <si>
    <t>Q4J6C6-4_PREPL</t>
  </si>
  <si>
    <t>Q4KMP7_TBC1D10B</t>
  </si>
  <si>
    <t>Q4KMQ2-3_ANO6</t>
  </si>
  <si>
    <t>Q4LDG9_DNAL1</t>
  </si>
  <si>
    <t>Q4V328_GRIPAP1</t>
  </si>
  <si>
    <t>Q4VC05_BCL7A</t>
  </si>
  <si>
    <t>Q4ZIN3-2_TMEM259</t>
  </si>
  <si>
    <t>Q504Q3-2_PAN2</t>
  </si>
  <si>
    <t>Q504U0_C4orf46</t>
  </si>
  <si>
    <t>Q52LJ0-2_FAM98B</t>
  </si>
  <si>
    <t>Q52LW3_ARHGAP29</t>
  </si>
  <si>
    <t>Q53EL6-2_PDCD4</t>
  </si>
  <si>
    <t>Q53ET0_CRTC2</t>
  </si>
  <si>
    <t>Q53EZ4_CEP55</t>
  </si>
  <si>
    <t>Q53GG5-2_PDLIM3</t>
  </si>
  <si>
    <t>Q53GQ0_HSD17B12</t>
  </si>
  <si>
    <t>Q53H80_AKIRIN2</t>
  </si>
  <si>
    <t>Q53H82_LACTB2</t>
  </si>
  <si>
    <t>Q53H96_PYCRL</t>
  </si>
  <si>
    <t>Q53HV7_SMUG1</t>
  </si>
  <si>
    <t>Q53S33_BOLA3</t>
  </si>
  <si>
    <t>Q53S58_TMEM177</t>
  </si>
  <si>
    <t>Q53T59_HS1BP3</t>
  </si>
  <si>
    <t>Q562R1_ACTBL2</t>
  </si>
  <si>
    <t>Q587I9_SFT2D3</t>
  </si>
  <si>
    <t>Q58FF8_HSP90AB2P</t>
  </si>
  <si>
    <t>Q58FG1_HSP90AA4P</t>
  </si>
  <si>
    <t>Q58WW2_DCAF6</t>
  </si>
  <si>
    <t>Q5BKX5_C19orf54</t>
  </si>
  <si>
    <t>Q5EBL4_RILPL1</t>
  </si>
  <si>
    <t>Q5EBL8_PDZD11</t>
  </si>
  <si>
    <t>Q5GLZ8-3_HERC4</t>
  </si>
  <si>
    <t>Q5H937_PKIG</t>
  </si>
  <si>
    <t>Q5H9A7_TIMP1</t>
  </si>
  <si>
    <t>Q5HY54_FLNA</t>
  </si>
  <si>
    <t>Q5HY92_FIGN</t>
  </si>
  <si>
    <t>Q5HYI7_MTX3</t>
  </si>
  <si>
    <t>Q5HYI8_RABL3</t>
  </si>
  <si>
    <t>Q5HYK3_COQ5</t>
  </si>
  <si>
    <t>Q5HYK7-2_SH3D19</t>
  </si>
  <si>
    <t>Q5JP53_TUBB</t>
  </si>
  <si>
    <t>Q5JPE7-2_NOMO2</t>
  </si>
  <si>
    <t>Q5JPH6_EARS2</t>
  </si>
  <si>
    <t>Q5JR01_EEF1A1</t>
  </si>
  <si>
    <t>Q5JR08_RHOC</t>
  </si>
  <si>
    <t>Q5JR95_RPS8</t>
  </si>
  <si>
    <t>Q5JRG1_NUPL1</t>
  </si>
  <si>
    <t>Q5JRS3_UBA1</t>
  </si>
  <si>
    <t>Q5JRX3_PITRM1</t>
  </si>
  <si>
    <t>Q5JS54_PSMG4</t>
  </si>
  <si>
    <t>Q5JSH3-2_WDR44</t>
  </si>
  <si>
    <t>Q5JSK7_HMGN5</t>
  </si>
  <si>
    <t>Q5JSZ5_PRRC2B</t>
  </si>
  <si>
    <t>Q5JTD0-2_TJAP1</t>
  </si>
  <si>
    <t>Q5JTH9-2_RRP12</t>
  </si>
  <si>
    <t>Q5JTJ3-3_COA6</t>
  </si>
  <si>
    <t>Q5JTV1_GMEB2</t>
  </si>
  <si>
    <t>Q5JTV8_TOR1AIP1</t>
  </si>
  <si>
    <t>Q5JTZ9_AARS2</t>
  </si>
  <si>
    <t>Q5JU69_TOR2A</t>
  </si>
  <si>
    <t>Q5JUA8_VPS16</t>
  </si>
  <si>
    <t>Q5JUE6_RAPGEF1</t>
  </si>
  <si>
    <t>Q5JUW8_DLG3</t>
  </si>
  <si>
    <t>Q5JV61_FRMD3</t>
  </si>
  <si>
    <t>Q5JV73_FRMPD3</t>
  </si>
  <si>
    <t>Q5JVF3-3_PCID2</t>
  </si>
  <si>
    <t>Q5JVS0_HABP4</t>
  </si>
  <si>
    <t>Q5JW30_STAU1</t>
  </si>
  <si>
    <t>Q5JWB9_TMEM230</t>
  </si>
  <si>
    <t>Q5JXX2_MORF4L2</t>
  </si>
  <si>
    <t>Q5JY65_CRNKL1</t>
  </si>
  <si>
    <t>Q5JZH3_SNX21</t>
  </si>
  <si>
    <t>Q5K4L6_SLC27A3</t>
  </si>
  <si>
    <t>Q5M775_SPECC1</t>
  </si>
  <si>
    <t>Q5MNZ6_WDR45B</t>
  </si>
  <si>
    <t>Q5NDL2_EOGT</t>
  </si>
  <si>
    <t>Q5QJ74_TBCEL</t>
  </si>
  <si>
    <t>Q5QNY5_PEX19</t>
  </si>
  <si>
    <t>Q5QNZ2_ATP5F1</t>
  </si>
  <si>
    <t>Q5QPK2_DPM1</t>
  </si>
  <si>
    <t>Q5R363_SRPK1</t>
  </si>
  <si>
    <t>Q5R372-4_RABGAP1L</t>
  </si>
  <si>
    <t>Q5RGS4_PLEKHA1</t>
  </si>
  <si>
    <t>Q5RI15_COX20</t>
  </si>
  <si>
    <t>Q5RKV6_EXOSC6</t>
  </si>
  <si>
    <t>Q5SPY9_NPDC1</t>
  </si>
  <si>
    <t>Q5SQI0-5_ATAT1</t>
  </si>
  <si>
    <t>Q5SQP8_CTBP2</t>
  </si>
  <si>
    <t>Q5SQU3_PRKG1</t>
  </si>
  <si>
    <t>Q5SRE7-2_PHYHD1</t>
  </si>
  <si>
    <t>Q5SRQ6_CSNK2B</t>
  </si>
  <si>
    <t>Q5SSJ5_HP1BP3</t>
  </si>
  <si>
    <t>Q5ST30_VARS2</t>
  </si>
  <si>
    <t>Q5SVK8_DNMBP</t>
  </si>
  <si>
    <t>Q5SW96_LDLRAP1</t>
  </si>
  <si>
    <t>Q5SWX8_ODR4</t>
  </si>
  <si>
    <t>Q5SXM8_DNLZ</t>
  </si>
  <si>
    <t>Q5SYE7-2_NHSL1</t>
  </si>
  <si>
    <t>Q5SYW2_CIZ1</t>
  </si>
  <si>
    <t>Q5SZR4_TDRKH</t>
  </si>
  <si>
    <t>Q5T0D9_TPRG1L</t>
  </si>
  <si>
    <t>Q5T0N5-3_FNBP1L</t>
  </si>
  <si>
    <t>Q5T0Z6_PKIB</t>
  </si>
  <si>
    <t>Q5T123_SH3BGRL3</t>
  </si>
  <si>
    <t>Q5T160_RARS2</t>
  </si>
  <si>
    <t>Q5T171_PYGO2</t>
  </si>
  <si>
    <t>Q5T1C6_THEM4</t>
  </si>
  <si>
    <t>Q5T1M5_FKBP15</t>
  </si>
  <si>
    <t>Q5T1V6_DDX59</t>
  </si>
  <si>
    <t>Q5T1Z0_LHPP</t>
  </si>
  <si>
    <t>Q5T200-2_ZC3H13</t>
  </si>
  <si>
    <t>Q5T2R2-3_PDSS1</t>
  </si>
  <si>
    <t>Q5T321_NBEA</t>
  </si>
  <si>
    <t>Q5T370_ARRDC1</t>
  </si>
  <si>
    <t>Q5T3Q7_HEATR1</t>
  </si>
  <si>
    <t>Q5T3U5-2_ABCC10</t>
  </si>
  <si>
    <t>Q5T440_IBA57</t>
  </si>
  <si>
    <t>Q5T481_RBM20</t>
  </si>
  <si>
    <t>Q5T4F4-7_ZFYVE27</t>
  </si>
  <si>
    <t>Q5T4U8_RABGGTB</t>
  </si>
  <si>
    <t>Q5T5C7_SARS</t>
  </si>
  <si>
    <t>Q5T5P2-3_KIAA1217</t>
  </si>
  <si>
    <t>Q5T5U3_ARHGAP21</t>
  </si>
  <si>
    <t>Q5T5Y3-2_CAMSAP1</t>
  </si>
  <si>
    <t>Q5T6F2_UBAP2</t>
  </si>
  <si>
    <t>Q5T6V5_C9orf64</t>
  </si>
  <si>
    <t>Q5T7M9_FAM69A</t>
  </si>
  <si>
    <t>Q5T7V8_GORAB</t>
  </si>
  <si>
    <t>Q5T8D3-2_ACBD5</t>
  </si>
  <si>
    <t>Q5T8P6-2_RBM26</t>
  </si>
  <si>
    <t>Q5T8U5_SURF4</t>
  </si>
  <si>
    <t>Q5T9B7_AK1</t>
  </si>
  <si>
    <t>Q5TA45-2_CPSF3L</t>
  </si>
  <si>
    <t>Q5TA50_GLTPD1</t>
  </si>
  <si>
    <t>Q5TA95_TTC4</t>
  </si>
  <si>
    <t>Q5TAX3_ZCCHC11</t>
  </si>
  <si>
    <t>Q5TBB1_RNASEH2B</t>
  </si>
  <si>
    <t>Q5TCQ9-3_MAGI3</t>
  </si>
  <si>
    <t>Q5TD07_NQO2</t>
  </si>
  <si>
    <t>Q5TDC5_C6orf89</t>
  </si>
  <si>
    <t>Q5TDH0_DDI2</t>
  </si>
  <si>
    <t>Q5TEU4-2_NDUFAF5</t>
  </si>
  <si>
    <t>Q5TFE4_NT5DC1</t>
  </si>
  <si>
    <t>Q5TGE2_TMEM189</t>
  </si>
  <si>
    <t>Q5TH30_NDRG3</t>
  </si>
  <si>
    <t>Q5THK1-3_PRR14L</t>
  </si>
  <si>
    <t>Q5TIE1_SLC19A2</t>
  </si>
  <si>
    <t>Q5TZA2_CROCC</t>
  </si>
  <si>
    <t>Q5U5X0_LYRM7</t>
  </si>
  <si>
    <t>Q5UIP0-2_RIF1</t>
  </si>
  <si>
    <t>Q5VIR6-4_VPS53</t>
  </si>
  <si>
    <t>Q5VSL9_STRIP1</t>
  </si>
  <si>
    <t>Q5VT52_RPRD2</t>
  </si>
  <si>
    <t>Q5VT66_MARC1</t>
  </si>
  <si>
    <t>Q5VT94_GHITM</t>
  </si>
  <si>
    <t>Q5VTL8_PRPF38B</t>
  </si>
  <si>
    <t>Q5VTR2_RNF20</t>
  </si>
  <si>
    <t>Q5VU58_TPM3</t>
  </si>
  <si>
    <t>Q5VUA4_ZNF318</t>
  </si>
  <si>
    <t>Q5VUD6-2_FAM69B</t>
  </si>
  <si>
    <t>Q5VV41_ARHGEF16</t>
  </si>
  <si>
    <t>Q5VV42_CDKAL1</t>
  </si>
  <si>
    <t>Q5VV50_ZNF691</t>
  </si>
  <si>
    <t>Q5VVD7_PLEKHM2</t>
  </si>
  <si>
    <t>Q5VVQ6_YOD1</t>
  </si>
  <si>
    <t>Q5VVW5_SLC2A8</t>
  </si>
  <si>
    <t>Q5VW27_NFIB</t>
  </si>
  <si>
    <t>Q5VW32_BROX</t>
  </si>
  <si>
    <t>Q5VWJ9_SNX30</t>
  </si>
  <si>
    <t>Q5VWZ2_LYPLAL1</t>
  </si>
  <si>
    <t>Q5VY30_RBP4</t>
  </si>
  <si>
    <t>Q5VY93_ARHGEF2</t>
  </si>
  <si>
    <t>Q5VZE5_NAA35</t>
  </si>
  <si>
    <t>Q5VZI3-2_C9orf91</t>
  </si>
  <si>
    <t>Q5VZK9_LRRC16A</t>
  </si>
  <si>
    <t>Q5VZR0_GLIPR2</t>
  </si>
  <si>
    <t>Q5VZU9_TPP2</t>
  </si>
  <si>
    <t>Q5W015_PFKFB3</t>
  </si>
  <si>
    <t>Q5W0V3-2_FAM160B1</t>
  </si>
  <si>
    <t>Q5W0Z9-3_ZDHHC20</t>
  </si>
  <si>
    <t>Q5W111_SPRYD7</t>
  </si>
  <si>
    <t>Q5W145_NDUFB8</t>
  </si>
  <si>
    <t>Q5XKP0_QIL1</t>
  </si>
  <si>
    <t>Q5XUX1-3_FBXW9</t>
  </si>
  <si>
    <t>Q5ZPR3_CD276</t>
  </si>
  <si>
    <t>Q641Q2-2_FAM21A</t>
  </si>
  <si>
    <t>Q643R3_LPCAT4</t>
  </si>
  <si>
    <t>Q658P3-3_STEAP3</t>
  </si>
  <si>
    <t>Q66GS9_CEP135</t>
  </si>
  <si>
    <t>Q66K14-2_TBC1D9B</t>
  </si>
  <si>
    <t>Q66K64_DCAF15</t>
  </si>
  <si>
    <t>Q66LE6_PPP2R2D</t>
  </si>
  <si>
    <t>Q66PJ3_ARL6IP4</t>
  </si>
  <si>
    <t>Q67FW5_B3GNTL1</t>
  </si>
  <si>
    <t>Q68CQ4_DIEXF</t>
  </si>
  <si>
    <t>Q68D85_NCR3LG1</t>
  </si>
  <si>
    <t>Q68D91_MBLAC2</t>
  </si>
  <si>
    <t>Q68DH5_LMBRD2</t>
  </si>
  <si>
    <t>Q68E01-2_INTS3</t>
  </si>
  <si>
    <t>Q68EM7_ARHGAP17</t>
  </si>
  <si>
    <t>Q69YL0_</t>
  </si>
  <si>
    <t>Q69YN2_CWF19L1</t>
  </si>
  <si>
    <t>Q69YU5_C12orf73</t>
  </si>
  <si>
    <t>Q6AI08_HEATR6</t>
  </si>
  <si>
    <t>Q6AI46_DKFZp781D08126</t>
  </si>
  <si>
    <t>Q6DD87_ZNF787</t>
  </si>
  <si>
    <t>Q6DKJ4_NXN</t>
  </si>
  <si>
    <t>Q6DKK2_TTC19</t>
  </si>
  <si>
    <t>Q6EEV4-2_POLR2M</t>
  </si>
  <si>
    <t>Q6EMK4_VASN</t>
  </si>
  <si>
    <t>Q6FI81-3_CIAPIN1</t>
  </si>
  <si>
    <t>Q6FIF0-2_ZFAND6</t>
  </si>
  <si>
    <t>Q6GMV2_SMYD5</t>
  </si>
  <si>
    <t>Q6GMV3_PTRHD1</t>
  </si>
  <si>
    <t>Q6GQQ9_OTUD7B</t>
  </si>
  <si>
    <t>Q6I9Y2_THOC7</t>
  </si>
  <si>
    <t>Q6IA69_NADSYN1</t>
  </si>
  <si>
    <t>Q6IA86-4_ELP2</t>
  </si>
  <si>
    <t>Q6IAA8_LAMTOR1</t>
  </si>
  <si>
    <t>Q6IAN0_DHRS7B</t>
  </si>
  <si>
    <t>Q6IBS0_TWF2</t>
  </si>
  <si>
    <t>Q6ICB0_DESI1</t>
  </si>
  <si>
    <t>Q6IEE7_TMEM132E</t>
  </si>
  <si>
    <t>Q6IN85-2_SMEK1</t>
  </si>
  <si>
    <t>Q6IQ22_RAB12</t>
  </si>
  <si>
    <t>Q6IQ49-2_SDE2</t>
  </si>
  <si>
    <t>Q6IS14_EIF5AL1</t>
  </si>
  <si>
    <t>Q6IV72_ZNF425</t>
  </si>
  <si>
    <t>Q6JHV3_USP3</t>
  </si>
  <si>
    <t>Q6JQN1_ACAD10</t>
  </si>
  <si>
    <t>Q6KC79-2_NIPBL</t>
  </si>
  <si>
    <t>Q6N063_OGFOD2</t>
  </si>
  <si>
    <t>Q6N069_NAA16</t>
  </si>
  <si>
    <t>Q6NSI4-4_CXorf57</t>
  </si>
  <si>
    <t>Q6NSJ2-2_PHLDB3</t>
  </si>
  <si>
    <t>Q6NT16_SLC18B1</t>
  </si>
  <si>
    <t>Q6NUK1_SLC25A24</t>
  </si>
  <si>
    <t>Q6NUK4-2_REEP3</t>
  </si>
  <si>
    <t>Q6NUM9_RETSAT</t>
  </si>
  <si>
    <t>Q6NUP7_PPP4R4</t>
  </si>
  <si>
    <t>Q6NUQ1_RINT1</t>
  </si>
  <si>
    <t>Q6NUQ4-2_TMEM214</t>
  </si>
  <si>
    <t>Q6NUS6-3_TCTN3</t>
  </si>
  <si>
    <t>Q6NVU6_UFSP1</t>
  </si>
  <si>
    <t>Q6NVY1_HIBCH</t>
  </si>
  <si>
    <t>Q6NXE6_ARMC6</t>
  </si>
  <si>
    <t>Q6NXT1_ANKRD54</t>
  </si>
  <si>
    <t>Q6NXT6-2_TAPT1</t>
  </si>
  <si>
    <t>Q6NYC1_JMJD6</t>
  </si>
  <si>
    <t>Q6NYC8_PPP1R18</t>
  </si>
  <si>
    <t>Q6NZI2_PTRF</t>
  </si>
  <si>
    <t>Q6NZY4_ZCCHC8</t>
  </si>
  <si>
    <t>Q6P087-2_RPUSD3</t>
  </si>
  <si>
    <t>Q6P161_MRPL54</t>
  </si>
  <si>
    <t>Q6P1J9_CDC73</t>
  </si>
  <si>
    <t>Q6P1K2-4_PMF1</t>
  </si>
  <si>
    <t>Q6P1L5_FAM117B</t>
  </si>
  <si>
    <t>Q6P1L8_MRPL14</t>
  </si>
  <si>
    <t>Q6P1M0_SLC27A4</t>
  </si>
  <si>
    <t>Q6P1N0_CC2D1A</t>
  </si>
  <si>
    <t>Q6P1Q9_METTL2B</t>
  </si>
  <si>
    <t>Q6P1R4_DUS1L</t>
  </si>
  <si>
    <t>Q6P2C8-2_MED27</t>
  </si>
  <si>
    <t>Q6P2E9_EDC4</t>
  </si>
  <si>
    <t>Q6P2H3-2_CEP85</t>
  </si>
  <si>
    <t>Q6P2P2_PRMT10</t>
  </si>
  <si>
    <t>Q6P3S6_FBXO42</t>
  </si>
  <si>
    <t>Q6P3W7_SCYL2</t>
  </si>
  <si>
    <t>Q6P3X3_TTC27</t>
  </si>
  <si>
    <t>Q6P444_MTFR2</t>
  </si>
  <si>
    <t>Q6P4A7_SFXN4</t>
  </si>
  <si>
    <t>Q6P4E1_CASC4</t>
  </si>
  <si>
    <t>Q6P4F2_FDX1L</t>
  </si>
  <si>
    <t>Q6P4I2_WDR73</t>
  </si>
  <si>
    <t>Q6P4R8-3_NFRKB</t>
  </si>
  <si>
    <t>Q6P582_MZT2A</t>
  </si>
  <si>
    <t>Q6P587_FAHD1</t>
  </si>
  <si>
    <t>Q6P6B1_C8orf47</t>
  </si>
  <si>
    <t>Q6P6B7-2_ANKRD16</t>
  </si>
  <si>
    <t>Q6P6C2_ALKBH5</t>
  </si>
  <si>
    <t>Q6P9B6_KIAA1609</t>
  </si>
  <si>
    <t>Q6PCE3_PGM2L1</t>
  </si>
  <si>
    <t>Q6PD62_CTR9</t>
  </si>
  <si>
    <t>Q6PD74_AAGAB</t>
  </si>
  <si>
    <t>Q6PGN9-2_PSRC1</t>
  </si>
  <si>
    <t>Q6PGP7_TTC37</t>
  </si>
  <si>
    <t>Q6PH81_C16orf87</t>
  </si>
  <si>
    <t>Q6PHR2-3_ULK3</t>
  </si>
  <si>
    <t>Q6PI48_DARS2</t>
  </si>
  <si>
    <t>Q6PI78_TMEM65</t>
  </si>
  <si>
    <t>Q6PID6_TTC33</t>
  </si>
  <si>
    <t>Q6PII5-2_HAGHL</t>
  </si>
  <si>
    <t>Q6PIW4-2_FIGNL1</t>
  </si>
  <si>
    <t>Q6PJ69_TRIM65</t>
  </si>
  <si>
    <t>Q6PJF5-2_RHBDF2</t>
  </si>
  <si>
    <t>Q6PJG6_BRAT1</t>
  </si>
  <si>
    <t>Q6PJT7-5_ZC3H14</t>
  </si>
  <si>
    <t>Q6PKG0_LARP1</t>
  </si>
  <si>
    <t>Q6PL24_TMED8</t>
  </si>
  <si>
    <t>Q6PML9_SLC30A9</t>
  </si>
  <si>
    <t>Q6QNY0_BLOC1S3</t>
  </si>
  <si>
    <t>Q6QNY1_BLOC1S2</t>
  </si>
  <si>
    <t>Q6RW13-2_AGTRAP</t>
  </si>
  <si>
    <t>Q6SPF0_SAMD1</t>
  </si>
  <si>
    <t>Q6UB28_METAP1D</t>
  </si>
  <si>
    <t>Q6UB35_MTHFD1L</t>
  </si>
  <si>
    <t>Q6ULP2-3_AFTPH</t>
  </si>
  <si>
    <t>Q6UN15-3_FIP1L1</t>
  </si>
  <si>
    <t>Q6UUV9-3_CRTC1</t>
  </si>
  <si>
    <t>Q6UVJ0_SASS6</t>
  </si>
  <si>
    <t>Q6UW63_KDELC1</t>
  </si>
  <si>
    <t>Q6UWE0_LRSAM1</t>
  </si>
  <si>
    <t>Q6UWI4_SHISA2</t>
  </si>
  <si>
    <t>Q6UWP2_DHRS11</t>
  </si>
  <si>
    <t>Q6UWP7-3_LCLAT1</t>
  </si>
  <si>
    <t>Q6UWS5_PET117</t>
  </si>
  <si>
    <t>Q6UX04_CWC27</t>
  </si>
  <si>
    <t>Q6UX71_PLXDC2</t>
  </si>
  <si>
    <t>Q6UXD5-6_SEZ6L2</t>
  </si>
  <si>
    <t>Q6UXH1-4_CRELD2</t>
  </si>
  <si>
    <t>Q6UXN9_WDR82</t>
  </si>
  <si>
    <t>Q6UXV4_APOOL</t>
  </si>
  <si>
    <t>Q6VY07_PACS1</t>
  </si>
  <si>
    <t>Q6WCQ1_MPRIP</t>
  </si>
  <si>
    <t>Q6WKZ4_RAB11FIP1</t>
  </si>
  <si>
    <t>Q6XQN6_NAPRT1</t>
  </si>
  <si>
    <t>Q6XUX3-2_DSTYK</t>
  </si>
  <si>
    <t>Q6Y288_B3GALTL</t>
  </si>
  <si>
    <t>Q6Y7W6-4_GIGYF2</t>
  </si>
  <si>
    <t>Q6YHU6-3_THADA</t>
  </si>
  <si>
    <t>Q6YN16_HSDL2</t>
  </si>
  <si>
    <t>Q6YP21-3_CCBL2</t>
  </si>
  <si>
    <t>Q6ZMG9_CERS6</t>
  </si>
  <si>
    <t>Q6ZMR3_LDHAL6A</t>
  </si>
  <si>
    <t>Q6ZN17_LIN28B</t>
  </si>
  <si>
    <t>Q6ZN18-2_AEBP2</t>
  </si>
  <si>
    <t>Q6ZNB6_NFXL1</t>
  </si>
  <si>
    <t>Q6ZNW5_GDPGP1</t>
  </si>
  <si>
    <t>Q6ZPD9_DPY19L3</t>
  </si>
  <si>
    <t>Q6ZRP7_QSOX2</t>
  </si>
  <si>
    <t>Q6ZS17-2_FAM65A</t>
  </si>
  <si>
    <t>Q6ZSJ8_C1orf122</t>
  </si>
  <si>
    <t>Q6ZT21-2_TMPPE</t>
  </si>
  <si>
    <t>Q6ZT62_SH3BP1</t>
  </si>
  <si>
    <t>Q6ZTW0_TPGS1</t>
  </si>
  <si>
    <t>Q6ZU65_UBN2</t>
  </si>
  <si>
    <t>Q6ZVM7-2_TOM1L2</t>
  </si>
  <si>
    <t>Q6ZW49-4_PAXIP1</t>
  </si>
  <si>
    <t>Q6ZWJ1_STXBP4</t>
  </si>
  <si>
    <t>Q6ZWT7_MBOAT2</t>
  </si>
  <si>
    <t>Q6ZXV5-2_TMTC3</t>
  </si>
  <si>
    <t>Q709F0_ACAD11</t>
  </si>
  <si>
    <t>Q70CQ2-3_USP34</t>
  </si>
  <si>
    <t>Q70E73-7_RAPH1</t>
  </si>
  <si>
    <t>Q70IA6_MOB2</t>
  </si>
  <si>
    <t>Q70UQ0_IKBIP</t>
  </si>
  <si>
    <t>Q70UQ0-4_IKBIP</t>
  </si>
  <si>
    <t>Q70Z53-3_FRA10AC1</t>
  </si>
  <si>
    <t>Q712K3_UBE2R2</t>
  </si>
  <si>
    <t>Q71UI9_H2AFV</t>
  </si>
  <si>
    <t>Q765P7_MTSS1L</t>
  </si>
  <si>
    <t>Q7KYR7_BTN2A1</t>
  </si>
  <si>
    <t>Q7KZ85_SUPT6H</t>
  </si>
  <si>
    <t>Q7KZF4_SND1</t>
  </si>
  <si>
    <t>Q7KZN9-2_COX15</t>
  </si>
  <si>
    <t>Q7L014_DDX46</t>
  </si>
  <si>
    <t>Q7L099-4_RUFY3</t>
  </si>
  <si>
    <t>Q7L0J3-2_SV2A</t>
  </si>
  <si>
    <t>Q7L0Y3_TRMT10C</t>
  </si>
  <si>
    <t>Q7L1Q6_BZW1</t>
  </si>
  <si>
    <t>Q7L266_ASRGL1</t>
  </si>
  <si>
    <t>Q7L273_KCTD9</t>
  </si>
  <si>
    <t>Q7L2H7_EIF3M</t>
  </si>
  <si>
    <t>Q7L2J0_MEPCE</t>
  </si>
  <si>
    <t>Q7L3S4_ZNF771</t>
  </si>
  <si>
    <t>Q7L3T8_PARS2</t>
  </si>
  <si>
    <t>Q7L4I2_RSRC2</t>
  </si>
  <si>
    <t>Q7L523_RRAGA</t>
  </si>
  <si>
    <t>Q7L592_NDUFAF7</t>
  </si>
  <si>
    <t>Q7L5N7_LPCAT2</t>
  </si>
  <si>
    <t>Q7L5Y1_ENOSF1</t>
  </si>
  <si>
    <t>Q7L7X3_TAOK1</t>
  </si>
  <si>
    <t>Q7L804_RAB11FIP2</t>
  </si>
  <si>
    <t>Q7L8J4_SH3BP5L</t>
  </si>
  <si>
    <t>Q7L8W6_ATPBD4</t>
  </si>
  <si>
    <t>Q7LBC6_KDM3B</t>
  </si>
  <si>
    <t>Q7LBR1_CHMP1B</t>
  </si>
  <si>
    <t>Q7LG56_RRM2B</t>
  </si>
  <si>
    <t>Q7RTP0_NIPA1</t>
  </si>
  <si>
    <t>Q7RTP6_MICAL3</t>
  </si>
  <si>
    <t>Q7RTS9_DYM</t>
  </si>
  <si>
    <t>Q7RTV0_PHF5A</t>
  </si>
  <si>
    <t>Q7Z2K8_GPRIN1</t>
  </si>
  <si>
    <t>Q7Z2W4_ZC3HAV1</t>
  </si>
  <si>
    <t>Q7Z2Z2_EFTUD1</t>
  </si>
  <si>
    <t>Q7Z3C6-2_ATG9A</t>
  </si>
  <si>
    <t>Q7Z3D4_LYSMD3</t>
  </si>
  <si>
    <t>Q7Z3E2_C10orf118</t>
  </si>
  <si>
    <t>Q7Z3K3-5_POGZ</t>
  </si>
  <si>
    <t>Q7Z3T8_ZFYVE16</t>
  </si>
  <si>
    <t>Q7Z417_NUFIP2</t>
  </si>
  <si>
    <t>Q7Z422-2_SZRD1</t>
  </si>
  <si>
    <t>Q7Z434_MAVS</t>
  </si>
  <si>
    <t>Q7Z4G4-2_TRMT11</t>
  </si>
  <si>
    <t>Q7Z4H3_HDDC2</t>
  </si>
  <si>
    <t>Q7Z4H8_KDELC2</t>
  </si>
  <si>
    <t>Q7Z4I7-4_LIMS2</t>
  </si>
  <si>
    <t>Q7Z4K8-4_TRIM46</t>
  </si>
  <si>
    <t>Q7Z4Q2_HEATR3</t>
  </si>
  <si>
    <t>Q7Z4V5_HDGFRP2</t>
  </si>
  <si>
    <t>Q7Z4W1_DCXR</t>
  </si>
  <si>
    <t>Q7Z5G4-3_GOLGA7</t>
  </si>
  <si>
    <t>Q7Z5K2_WAPAL</t>
  </si>
  <si>
    <t>Q7Z5L2-2_R3HCC1L</t>
  </si>
  <si>
    <t>Q7Z5L9_IRF2BP2</t>
  </si>
  <si>
    <t>Q7Z5U6_WDR53</t>
  </si>
  <si>
    <t>Q7Z5W3_BCDIN3D</t>
  </si>
  <si>
    <t>Q7Z5Y7_KCTD20</t>
  </si>
  <si>
    <t>Q7Z624_CAMKMT</t>
  </si>
  <si>
    <t>Q7Z674_DKFZp779C2259</t>
  </si>
  <si>
    <t>Q7Z6B0-2_CCDC91</t>
  </si>
  <si>
    <t>Q7Z6E9-2_RBBP6</t>
  </si>
  <si>
    <t>Q7Z6I8_C5orf24</t>
  </si>
  <si>
    <t>Q7Z6J0_SH3RF1</t>
  </si>
  <si>
    <t>Q7Z6J8_UBE3D</t>
  </si>
  <si>
    <t>Q7Z6J9_TSEN54</t>
  </si>
  <si>
    <t>Q7Z6L1_TECPR1</t>
  </si>
  <si>
    <t>Q7Z6M1_RABEPK</t>
  </si>
  <si>
    <t>Q7Z6M4_MTERFD2</t>
  </si>
  <si>
    <t>Q7Z6V5-2_ADAT2</t>
  </si>
  <si>
    <t>Q7Z6Z7-2_HUWE1</t>
  </si>
  <si>
    <t>Q7Z7A3_CTU1</t>
  </si>
  <si>
    <t>Q7Z7C8_TAF8</t>
  </si>
  <si>
    <t>Q7Z7E8_UBE2Q1</t>
  </si>
  <si>
    <t>Q7Z7F0-2_KIAA0907</t>
  </si>
  <si>
    <t>Q7Z7H5-3_TMED4</t>
  </si>
  <si>
    <t>Q7Z7L1_SLFN11</t>
  </si>
  <si>
    <t>Q7Z7L8_C11orf96</t>
  </si>
  <si>
    <t>Q7Z7N9_TMEM179B</t>
  </si>
  <si>
    <t>Q86SF2_GALNT7</t>
  </si>
  <si>
    <t>Q86SQ7_SDCCAG8</t>
  </si>
  <si>
    <t>Q86SQ9-3_DHDDS</t>
  </si>
  <si>
    <t>Q86SX6_GLRX5</t>
  </si>
  <si>
    <t>Q86T03_TMEM55B</t>
  </si>
  <si>
    <t>Q86TA1_MOB3B</t>
  </si>
  <si>
    <t>Q86TB9-4_PATL1</t>
  </si>
  <si>
    <t>Q86TG7-2_PEG10</t>
  </si>
  <si>
    <t>Q86TI2_DPP9</t>
  </si>
  <si>
    <t>Q86TN4_TRPT1</t>
  </si>
  <si>
    <t>Q86TP1_PRUNE</t>
  </si>
  <si>
    <t>Q86TU7_SETD3</t>
  </si>
  <si>
    <t>Q86TV3_LGMN</t>
  </si>
  <si>
    <t>Q86TW2-3_ADCK1</t>
  </si>
  <si>
    <t>Q86U28_ISCA2</t>
  </si>
  <si>
    <t>Q86U44_METTL3</t>
  </si>
  <si>
    <t>Q86U70-3_LDB1</t>
  </si>
  <si>
    <t>Q86U90_YRDC</t>
  </si>
  <si>
    <t>Q86UA1_PRPF39</t>
  </si>
  <si>
    <t>Q86UD0_SAPCD2</t>
  </si>
  <si>
    <t>Q86UE4_MTDH</t>
  </si>
  <si>
    <t>Q86UE8-2_TLK2</t>
  </si>
  <si>
    <t>Q86UK7-3_ZNF598</t>
  </si>
  <si>
    <t>Q86UL3_AGPAT6</t>
  </si>
  <si>
    <t>Q86UN3_RTN4RL2</t>
  </si>
  <si>
    <t>Q86UP2_KTN1</t>
  </si>
  <si>
    <t>Q86UT6-2_NLRX1</t>
  </si>
  <si>
    <t>Q86UU0-4_BCL9L</t>
  </si>
  <si>
    <t>Q86UU1-2_PHLDB1</t>
  </si>
  <si>
    <t>Q86UV5_USP48</t>
  </si>
  <si>
    <t>Q86UX3_ABCC5</t>
  </si>
  <si>
    <t>Q86UX7-2_FERMT3</t>
  </si>
  <si>
    <t>Q86UY0_TXNDC5</t>
  </si>
  <si>
    <t>Q86UY8-2_NT5DC3</t>
  </si>
  <si>
    <t>Q86V21_AACS</t>
  </si>
  <si>
    <t>Q86V48_LUZP1</t>
  </si>
  <si>
    <t>Q86V85_GPR180</t>
  </si>
  <si>
    <t>Q86VG3_C11orf74</t>
  </si>
  <si>
    <t>Q86VN1-2_VPS36</t>
  </si>
  <si>
    <t>Q86VP6_CAND1</t>
  </si>
  <si>
    <t>Q86VQ1_GLCCI1</t>
  </si>
  <si>
    <t>Q86VR2_FAM134C</t>
  </si>
  <si>
    <t>Q86VS8_HOOK3</t>
  </si>
  <si>
    <t>Q86VU5_COMTD1</t>
  </si>
  <si>
    <t>Q86VW0_SESTD1</t>
  </si>
  <si>
    <t>Q86VX9_MON1A</t>
  </si>
  <si>
    <t>Q86W33_TPRA1</t>
  </si>
  <si>
    <t>Q86W42_THOC6</t>
  </si>
  <si>
    <t>Q86W50_METTL16</t>
  </si>
  <si>
    <t>Q86W56_PARG</t>
  </si>
  <si>
    <t>Q86W92-4_PPFIBP1</t>
  </si>
  <si>
    <t>Q86WA6-2_BPHL</t>
  </si>
  <si>
    <t>Q86WJ1-2_CHD1L</t>
  </si>
  <si>
    <t>Q86WQ0_NR2C2AP</t>
  </si>
  <si>
    <t>Q86WR0_CCDC25</t>
  </si>
  <si>
    <t>Q86WR7_PROSER2</t>
  </si>
  <si>
    <t>Q86WV6_TMEM173</t>
  </si>
  <si>
    <t>Q86WV7_CCDC43</t>
  </si>
  <si>
    <t>Q86X02_CDR2L</t>
  </si>
  <si>
    <t>Q86X27_RALGPS2</t>
  </si>
  <si>
    <t>Q86X53_ERICH1</t>
  </si>
  <si>
    <t>Q86X55-1_CARM1</t>
  </si>
  <si>
    <t>Q86X76-2_NIT1</t>
  </si>
  <si>
    <t>Q86X83_COMMD2</t>
  </si>
  <si>
    <t>Q86XK3-3_SFR1</t>
  </si>
  <si>
    <t>Q86XP3_DDX42</t>
  </si>
  <si>
    <t>Q86Y37_CACUL1</t>
  </si>
  <si>
    <t>Q86Y56_HEATR2</t>
  </si>
  <si>
    <t>Q86Y79_PTRH1</t>
  </si>
  <si>
    <t>Q86Y82_STX12</t>
  </si>
  <si>
    <t>Q86YC8_STRADA</t>
  </si>
  <si>
    <t>Q86YH6_PDSS2</t>
  </si>
  <si>
    <t>Q86YP4-2_GATAD2A</t>
  </si>
  <si>
    <t>Q86YR5-4_GPSM1</t>
  </si>
  <si>
    <t>Q86YS3-2_RAB11FIP4</t>
  </si>
  <si>
    <t>Q86YV9_HPS6</t>
  </si>
  <si>
    <t>Q8IU81_IRF2BP1</t>
  </si>
  <si>
    <t>Q8IUC8-2_GALNT13</t>
  </si>
  <si>
    <t>Q8IUH4_ZDHHC13</t>
  </si>
  <si>
    <t>Q8IUI8_CRLF3</t>
  </si>
  <si>
    <t>Q8IUR0_TRAPPC5</t>
  </si>
  <si>
    <t>Q8IUW3_SPATA2L</t>
  </si>
  <si>
    <t>Q8IUW5_RELL1</t>
  </si>
  <si>
    <t>Q8IV08_PLD3</t>
  </si>
  <si>
    <t>Q8IV38_ANKMY2</t>
  </si>
  <si>
    <t>Q8IV63-3_VRK3</t>
  </si>
  <si>
    <t>Q8IVB5_LIX1L</t>
  </si>
  <si>
    <t>Q8IVD9_NUDCD3</t>
  </si>
  <si>
    <t>Q8IVF2-3_AHNAK2</t>
  </si>
  <si>
    <t>Q8IVH4_MMAA</t>
  </si>
  <si>
    <t>Q8IVM0_CCDC50</t>
  </si>
  <si>
    <t>Q8IVS2_MCAT</t>
  </si>
  <si>
    <t>Q8IVS8_GLYCTK</t>
  </si>
  <si>
    <t>Q8IVW6-4_ARID3B</t>
  </si>
  <si>
    <t>Q8IW45_CARKD</t>
  </si>
  <si>
    <t>Q8IWA0_WDR75</t>
  </si>
  <si>
    <t>Q8IWA4_MFN1</t>
  </si>
  <si>
    <t>Q8IWB1_ITPRIP</t>
  </si>
  <si>
    <t>Q8IWB7_WDFY1</t>
  </si>
  <si>
    <t>Q8IWB9_TEX2</t>
  </si>
  <si>
    <t>Q8IWC1-2_MAP7D3</t>
  </si>
  <si>
    <t>Q8IWF6_DENND6A</t>
  </si>
  <si>
    <t>Q8IWI9_MGA</t>
  </si>
  <si>
    <t>Q8IWJ2_GCC2</t>
  </si>
  <si>
    <t>Q8IWL3_HSCB</t>
  </si>
  <si>
    <t>Q8IWP9_CCDC28A</t>
  </si>
  <si>
    <t>Q8IWV8-4_UBR2</t>
  </si>
  <si>
    <t>Q8IWW6-4_ARHGAP12</t>
  </si>
  <si>
    <t>Q8IWZ3-6_ANKHD1</t>
  </si>
  <si>
    <t>Q8IWZ8_SUGP1</t>
  </si>
  <si>
    <t>Q8IX04-6_UEVLD</t>
  </si>
  <si>
    <t>Q8IX12-2_CCAR1</t>
  </si>
  <si>
    <t>Q8IX18-3_DHX40</t>
  </si>
  <si>
    <t>Q8IX90_SKA3</t>
  </si>
  <si>
    <t>Q8IXB1-2_DNAJC10</t>
  </si>
  <si>
    <t>Q8IXI1_RHOT2</t>
  </si>
  <si>
    <t>Q8IXI2-4_RHOT1</t>
  </si>
  <si>
    <t>Q8IXJ6-2_SIRT2</t>
  </si>
  <si>
    <t>Q8IXQ3_C9orf40</t>
  </si>
  <si>
    <t>Q8IXQ4_KIAA1704</t>
  </si>
  <si>
    <t>Q8IXW5-2_RPAP2</t>
  </si>
  <si>
    <t>Q8IY47_KBTBD2</t>
  </si>
  <si>
    <t>Q8IY63-2_AMOTL1</t>
  </si>
  <si>
    <t>Q8IY95-2_TMEM192</t>
  </si>
  <si>
    <t>Q8IYB1_MB21D2</t>
  </si>
  <si>
    <t>Q8IYB5-3_SMAP1</t>
  </si>
  <si>
    <t>Q8IYB7_DIS3L2</t>
  </si>
  <si>
    <t>Q8IYB8_SUPV3L1</t>
  </si>
  <si>
    <t>Q8IYB9_ZNF595</t>
  </si>
  <si>
    <t>Q8IYD1_GSPT2</t>
  </si>
  <si>
    <t>Q8IYH5-4_ZZZ3</t>
  </si>
  <si>
    <t>Q8IYI6_EXOC8</t>
  </si>
  <si>
    <t>Q8IYL3_C1orf174</t>
  </si>
  <si>
    <t>Q8IYQ7_THNSL1</t>
  </si>
  <si>
    <t>Q8IYR2_SMYD4</t>
  </si>
  <si>
    <t>Q8IYS1_PM20D2</t>
  </si>
  <si>
    <t>Q8IYS2_KIAA2013</t>
  </si>
  <si>
    <t>Q8IYU2-4_HACE1</t>
  </si>
  <si>
    <t>Q8IYU8_MICU2</t>
  </si>
  <si>
    <t>Q8IZ07_ANKRD13A</t>
  </si>
  <si>
    <t>Q8IZ21-3_PHACTR4</t>
  </si>
  <si>
    <t>Q8IZ41_RASEF</t>
  </si>
  <si>
    <t>Q8IZ68_MTX2</t>
  </si>
  <si>
    <t>Q8IZ73_RPUSD2</t>
  </si>
  <si>
    <t>Q8IZA0_KIAA0319L</t>
  </si>
  <si>
    <t>Q8IZD4_DCP1B</t>
  </si>
  <si>
    <t>Q8IZJ1-2_UNC5B</t>
  </si>
  <si>
    <t>Q8IZN3-2_ZDHHC14</t>
  </si>
  <si>
    <t>Q8IZR5-3_CMTM4</t>
  </si>
  <si>
    <t>Q8IZV5_RDH10</t>
  </si>
  <si>
    <t>Q8N0T1_C8orf59</t>
  </si>
  <si>
    <t>Q8N0U4-3_FAM185A</t>
  </si>
  <si>
    <t>Q8N0U8_VKORC1L1</t>
  </si>
  <si>
    <t>Q8N0X4-2_CLYBL</t>
  </si>
  <si>
    <t>Q8N0X7_SPG20</t>
  </si>
  <si>
    <t>Q8N0Y2-2_ZNF444</t>
  </si>
  <si>
    <t>Q8N0Z6_TTC5</t>
  </si>
  <si>
    <t>Q8N108-17_MIER1</t>
  </si>
  <si>
    <t>Q8N118-3_CYP4X1</t>
  </si>
  <si>
    <t>Q8N129_CNPY4</t>
  </si>
  <si>
    <t>Q8N163_KIAA1967</t>
  </si>
  <si>
    <t>Q8N183_NDUFAF2</t>
  </si>
  <si>
    <t>Q8N1B4_VPS52</t>
  </si>
  <si>
    <t>Q8N1F7_NUP93</t>
  </si>
  <si>
    <t>Q8N1G2_FTSJD2</t>
  </si>
  <si>
    <t>Q8N1G4_LRRC47</t>
  </si>
  <si>
    <t>Q8N1Q1_CA13</t>
  </si>
  <si>
    <t>Q8N2F6-3_ARMC10</t>
  </si>
  <si>
    <t>Q8N2G8-3_GHDC</t>
  </si>
  <si>
    <t>Q8N2K0_ABHD12</t>
  </si>
  <si>
    <t>Q8N2W9_PIAS4</t>
  </si>
  <si>
    <t>Q8N2Z9_APITD1</t>
  </si>
  <si>
    <t>Q8N300_CCDC23</t>
  </si>
  <si>
    <t>Q8N335_GPD1L</t>
  </si>
  <si>
    <t>Q8N344_MIER2</t>
  </si>
  <si>
    <t>Q8N371_KDM8</t>
  </si>
  <si>
    <t>Q8N392-2_ARHGAP18</t>
  </si>
  <si>
    <t>Q8N3F8_MICALL1</t>
  </si>
  <si>
    <t>Q8N3J3-3_C17orf53</t>
  </si>
  <si>
    <t>Q8N3X1_FNBP4</t>
  </si>
  <si>
    <t>Q8N442_GUF1</t>
  </si>
  <si>
    <t>Q8N465_D2HGDH</t>
  </si>
  <si>
    <t>Q8N488_RYBP</t>
  </si>
  <si>
    <t>Q8N490-2_PNKD</t>
  </si>
  <si>
    <t>Q8N490-4_PNKD</t>
  </si>
  <si>
    <t>Q8N4C8-2_MINK1</t>
  </si>
  <si>
    <t>Q8N4N3-2_KLHL36</t>
  </si>
  <si>
    <t>Q8N4P3_HDDC3</t>
  </si>
  <si>
    <t>Q8N4Q0_ZADH2</t>
  </si>
  <si>
    <t>Q8N4V1_MMGT1</t>
  </si>
  <si>
    <t>Q8N573-2_OXR1</t>
  </si>
  <si>
    <t>Q8N573-8_OXR1</t>
  </si>
  <si>
    <t>Q8N584_TTC39C</t>
  </si>
  <si>
    <t>Q8N5A5-3_ZGPAT</t>
  </si>
  <si>
    <t>Q8N5C7_DTWD1</t>
  </si>
  <si>
    <t>Q8N5G0-2_SMIM20</t>
  </si>
  <si>
    <t>Q8N5I9_C12orf45</t>
  </si>
  <si>
    <t>Q8N5J2_FAM63A</t>
  </si>
  <si>
    <t>Q8N5K1_CISD2</t>
  </si>
  <si>
    <t>Q8N5L8_RPP25L</t>
  </si>
  <si>
    <t>Q8N5M1_ATPAF2</t>
  </si>
  <si>
    <t>Q8N5M9_JAGN1</t>
  </si>
  <si>
    <t>Q8N5N7_MRPL50</t>
  </si>
  <si>
    <t>Q8N5X7_EIF4E3</t>
  </si>
  <si>
    <t>Q8N5Z5-2_KCTD17</t>
  </si>
  <si>
    <t>Q8N612_FAM160A2</t>
  </si>
  <si>
    <t>Q8N655_C10orf12</t>
  </si>
  <si>
    <t>Q8N684-2_CPSF7</t>
  </si>
  <si>
    <t>Q8N697_SLC15A4</t>
  </si>
  <si>
    <t>Q8N6B5_FOXP2</t>
  </si>
  <si>
    <t>Q8N6H7_ARFGAP2</t>
  </si>
  <si>
    <t>Q8N6M0_OTUD6B</t>
  </si>
  <si>
    <t>Q8N6N3_C1orf52</t>
  </si>
  <si>
    <t>Q8N6N7_ACBD7</t>
  </si>
  <si>
    <t>Q8N6Q8_METTL25</t>
  </si>
  <si>
    <t>Q8N6S4-2_ANKRD13C</t>
  </si>
  <si>
    <t>Q8N749_TOM1L1</t>
  </si>
  <si>
    <t>Q8N766-3_EMC1</t>
  </si>
  <si>
    <t>Q8N7H5_PAF1</t>
  </si>
  <si>
    <t>Q8N7R7-3_CCNYL1</t>
  </si>
  <si>
    <t>Q8N806_UBR7</t>
  </si>
  <si>
    <t>Q8N8J7_C4orf32</t>
  </si>
  <si>
    <t>Q8N8L6_ARL10</t>
  </si>
  <si>
    <t>Q8N8N7_PTGR2</t>
  </si>
  <si>
    <t>Q8N8R5_C2orf69</t>
  </si>
  <si>
    <t>Q8N8R7_ARL14EP</t>
  </si>
  <si>
    <t>Q8N8S7_ENAH</t>
  </si>
  <si>
    <t>Q8N8S7-2_ENAH</t>
  </si>
  <si>
    <t>Q8N954_GPATCH11</t>
  </si>
  <si>
    <t>Q8N983-4_MRPL43</t>
  </si>
  <si>
    <t>Q8N999_C12orf29</t>
  </si>
  <si>
    <t>Q8N9B5-2_JMY</t>
  </si>
  <si>
    <t>Q8N9D7_PTK2</t>
  </si>
  <si>
    <t>Q8N9F7_GDPD1</t>
  </si>
  <si>
    <t>Q8N9N7_LRRC57</t>
  </si>
  <si>
    <t>Q8N9N8_EIF1AD</t>
  </si>
  <si>
    <t>Q8N9U0-2_TC2N</t>
  </si>
  <si>
    <t>Q8N9V3-2_WDSUB1</t>
  </si>
  <si>
    <t>Q8NAF0_ZNF579</t>
  </si>
  <si>
    <t>Q8NAV1_PRPF38A</t>
  </si>
  <si>
    <t>Q8NB15-2_ZNF511</t>
  </si>
  <si>
    <t>Q8NB37_PDDC1</t>
  </si>
  <si>
    <t>Q8NB49_ATP11C</t>
  </si>
  <si>
    <t>Q8NBA8_DTWD2</t>
  </si>
  <si>
    <t>Q8NBF2_NHLRC2</t>
  </si>
  <si>
    <t>Q8NBF6_AVL9</t>
  </si>
  <si>
    <t>Q8NBI6_XXYLT1</t>
  </si>
  <si>
    <t>Q8NBJ4-2_GOLM1</t>
  </si>
  <si>
    <t>Q8NBJ5_COLGALT1</t>
  </si>
  <si>
    <t>Q8NBK3-4_SUMF1</t>
  </si>
  <si>
    <t>Q8NBL1_POGLUT1</t>
  </si>
  <si>
    <t>Q8NBM4-2_UBAC2</t>
  </si>
  <si>
    <t>Q8NBM8_PCYOX1L</t>
  </si>
  <si>
    <t>Q8NBN3_TMEM87A</t>
  </si>
  <si>
    <t>Q8NBN7_RDH13</t>
  </si>
  <si>
    <t>Q8NBU5_ATAD1</t>
  </si>
  <si>
    <t>Q8NBX0_SCCPDH</t>
  </si>
  <si>
    <t>Q8NC51-2_SERBP1</t>
  </si>
  <si>
    <t>Q8NC54_KCT2</t>
  </si>
  <si>
    <t>Q8NC56_LEMD2</t>
  </si>
  <si>
    <t>Q8NCC3_PLA2G15</t>
  </si>
  <si>
    <t>Q8NCE2-2_MTMR14</t>
  </si>
  <si>
    <t>Q8NCF5_NFATC2IP</t>
  </si>
  <si>
    <t>Q8NCH0_CHST14</t>
  </si>
  <si>
    <t>Q8NCN5_PDPR</t>
  </si>
  <si>
    <t>Q8NCW5_APOA1BP</t>
  </si>
  <si>
    <t>Q8ND24_RNF214</t>
  </si>
  <si>
    <t>Q8ND56-2_LSM14A</t>
  </si>
  <si>
    <t>Q8ND76-3_CCNY</t>
  </si>
  <si>
    <t>Q8NDC0_MAPK1IP1L</t>
  </si>
  <si>
    <t>Q8NDH3-5_NPEPL1</t>
  </si>
  <si>
    <t>Q8NDI1-3_EHBP1</t>
  </si>
  <si>
    <t>Q8NDZ4_C3orf58</t>
  </si>
  <si>
    <t>Q8NE01_CNNM3</t>
  </si>
  <si>
    <t>Q8NE62_CHDH</t>
  </si>
  <si>
    <t>Q8NE71-2_ABCF1</t>
  </si>
  <si>
    <t>Q8NE86-3_MCU</t>
  </si>
  <si>
    <t>Q8NEC6_MTMR1</t>
  </si>
  <si>
    <t>Q8NEC7_GSTCD</t>
  </si>
  <si>
    <t>Q8NEN9_PDZD8</t>
  </si>
  <si>
    <t>Q8NEU8_APPL2</t>
  </si>
  <si>
    <t>Q8NEZ5_FBXO22</t>
  </si>
  <si>
    <t>Q8NF37_LPCAT1</t>
  </si>
  <si>
    <t>Q8NF67_</t>
  </si>
  <si>
    <t>Q8NFC6_BOD1L1</t>
  </si>
  <si>
    <t>Q8NFF5-2_FLAD1</t>
  </si>
  <si>
    <t>Q8NFG4_FLCN</t>
  </si>
  <si>
    <t>Q8NFH3_NUP43</t>
  </si>
  <si>
    <t>Q8NFH4_NUP37</t>
  </si>
  <si>
    <t>Q8NFH8-4_REPS2</t>
  </si>
  <si>
    <t>Q8NFI3_ENGASE</t>
  </si>
  <si>
    <t>Q8NFP7_NUDT10</t>
  </si>
  <si>
    <t>Q8NFQ8_TOR1AIP2</t>
  </si>
  <si>
    <t>Q8NFU5_IPMK</t>
  </si>
  <si>
    <t>Q8NFV4_ABHD11</t>
  </si>
  <si>
    <t>Q8NFX7-2_STXBP6</t>
  </si>
  <si>
    <t>Q8NFZ4_NLGN2</t>
  </si>
  <si>
    <t>Q8NFZ8_CADM4</t>
  </si>
  <si>
    <t>Q8NG08_HELB</t>
  </si>
  <si>
    <t>Q8NG31-2_CASC5</t>
  </si>
  <si>
    <t>Q8NG68_TTL</t>
  </si>
  <si>
    <t>Q8NHG7_SVIP</t>
  </si>
  <si>
    <t>Q8NHG8_ZNRF2</t>
  </si>
  <si>
    <t>Q8NHP8_PLBD2</t>
  </si>
  <si>
    <t>Q8NHU6_TDRD7</t>
  </si>
  <si>
    <t>Q8NHV1_GIMAP7</t>
  </si>
  <si>
    <t>Q8NHV4_NEDD1</t>
  </si>
  <si>
    <t>Q8NHZ8_CDC26</t>
  </si>
  <si>
    <t>Q8NI27_THOC2</t>
  </si>
  <si>
    <t>Q8NI37_PPTC7</t>
  </si>
  <si>
    <t>Q8NI60_ADCK3</t>
  </si>
  <si>
    <t>Q8TAA5_GRPEL2</t>
  </si>
  <si>
    <t>Q8TAE6_PPP1R14C</t>
  </si>
  <si>
    <t>Q8TAE8_GADD45GIP1</t>
  </si>
  <si>
    <t>Q8TAP8_PPP1R35</t>
  </si>
  <si>
    <t>Q8TAT6_NPLOC4</t>
  </si>
  <si>
    <t>Q8TB03_CXorf38</t>
  </si>
  <si>
    <t>Q8TB36_GDAP1</t>
  </si>
  <si>
    <t>Q8TB37_NUBPL</t>
  </si>
  <si>
    <t>Q8TB52_FBXO30</t>
  </si>
  <si>
    <t>Q8TB61-3_SLC35B2</t>
  </si>
  <si>
    <t>Q8TB72-3_PUM2</t>
  </si>
  <si>
    <t>Q8TBA6-2_GOLGA5</t>
  </si>
  <si>
    <t>Q8TBB5-3_KLHDC4</t>
  </si>
  <si>
    <t>Q8TBC4_UBA3</t>
  </si>
  <si>
    <t>Q8TBE9_NANP</t>
  </si>
  <si>
    <t>Q8TBP6_SLC25A40</t>
  </si>
  <si>
    <t>Q8TBX8_PIP4K2C</t>
  </si>
  <si>
    <t>Q8TBZ6_TRMT10A</t>
  </si>
  <si>
    <t>Q8TC07-2_TBC1D15</t>
  </si>
  <si>
    <t>Q8TC12_RDH11</t>
  </si>
  <si>
    <t>Q8TC26_TMEM163</t>
  </si>
  <si>
    <t>Q8TC71-2_SPATA18</t>
  </si>
  <si>
    <t>Q8TCD1_C18orf32</t>
  </si>
  <si>
    <t>Q8TCD5_NT5C</t>
  </si>
  <si>
    <t>Q8TCG1_KIAA1524</t>
  </si>
  <si>
    <t>Q8TCJ2_STT3B</t>
  </si>
  <si>
    <t>Q8TCS8_PNPT1</t>
  </si>
  <si>
    <t>Q8TCT9-5_HM13</t>
  </si>
  <si>
    <t>Q8TD16_BICD2</t>
  </si>
  <si>
    <t>Q8TD19_NEK9</t>
  </si>
  <si>
    <t>Q8TD30_GPT2</t>
  </si>
  <si>
    <t>Q8TD55-2_PLEKHO2</t>
  </si>
  <si>
    <t>Q8TDD1_DDX54</t>
  </si>
  <si>
    <t>Q8TDH9_BLOC1S5</t>
  </si>
  <si>
    <t>Q8TDQ7_GNPDA2</t>
  </si>
  <si>
    <t>Q8TDX7_NEK7</t>
  </si>
  <si>
    <t>Q8TDY2-2_RB1CC1</t>
  </si>
  <si>
    <t>Q8TDZ2_MICAL1</t>
  </si>
  <si>
    <t>Q8TE04-2_PANK1</t>
  </si>
  <si>
    <t>Q8TE77_SSH3</t>
  </si>
  <si>
    <t>Q8TEA1_NSUN6</t>
  </si>
  <si>
    <t>Q8TEA8_DTD1</t>
  </si>
  <si>
    <t>Q8TEB7-2_RNF128</t>
  </si>
  <si>
    <t>Q8TEH3_DENND1A</t>
  </si>
  <si>
    <t>Q8TEM1_NUP210</t>
  </si>
  <si>
    <t>Q8TEQ6_GEMIN5</t>
  </si>
  <si>
    <t>Q8TEQ8-2_PIGO</t>
  </si>
  <si>
    <t>Q8TEW0-4_PARD3</t>
  </si>
  <si>
    <t>Q8TEX9_IPO4</t>
  </si>
  <si>
    <t>Q8TEY7-2_USP33</t>
  </si>
  <si>
    <t>Q8TF01_PNISR</t>
  </si>
  <si>
    <t>Q8TF05-2_PPP4R1</t>
  </si>
  <si>
    <t>Q8TF71_SLC16A10</t>
  </si>
  <si>
    <t>Q8TF74_WIPF2</t>
  </si>
  <si>
    <t>Q8WTR2-2_DUSP19</t>
  </si>
  <si>
    <t>Q8WTS1_ABHD5</t>
  </si>
  <si>
    <t>Q8WTS6_SETD7</t>
  </si>
  <si>
    <t>Q8WTW3_COG1</t>
  </si>
  <si>
    <t>Q8WU58_FAM222B</t>
  </si>
  <si>
    <t>Q8WU68-3_U2AF1L4</t>
  </si>
  <si>
    <t>Q8WU79-2_SMAP2</t>
  </si>
  <si>
    <t>Q8WU90_ZC3H15</t>
  </si>
  <si>
    <t>Q8WUA2_PPIL4</t>
  </si>
  <si>
    <t>Q8WUB8-3_PHF10</t>
  </si>
  <si>
    <t>Q8WUD1_RAB2B</t>
  </si>
  <si>
    <t>Q8WUD6_CHPT1</t>
  </si>
  <si>
    <t>Q8WUF5_PPP1R13L</t>
  </si>
  <si>
    <t>Q8WUF8-2_FAM172A</t>
  </si>
  <si>
    <t>Q8WUH1_CHURC1</t>
  </si>
  <si>
    <t>Q8WUH6_C12orf23</t>
  </si>
  <si>
    <t>Q8WUJ0_STYX</t>
  </si>
  <si>
    <t>Q8WUK0_PTPMT1</t>
  </si>
  <si>
    <t>Q8WUM0_NUP133</t>
  </si>
  <si>
    <t>Q8WUM4_PDCD6IP</t>
  </si>
  <si>
    <t>Q8WUN7_UBTD2</t>
  </si>
  <si>
    <t>Q8WUP2_FBLIM1</t>
  </si>
  <si>
    <t>Q8WUR7_C15orf40</t>
  </si>
  <si>
    <t>Q8WUX2_CHAC2</t>
  </si>
  <si>
    <t>Q8WUX9_CHMP7</t>
  </si>
  <si>
    <t>Q8WUY1_THEM6</t>
  </si>
  <si>
    <t>Q8WV22_NSMCE1</t>
  </si>
  <si>
    <t>Q8WV92_MITD1</t>
  </si>
  <si>
    <t>Q8WVC0_LEO1</t>
  </si>
  <si>
    <t>Q8WVD3_RNF138</t>
  </si>
  <si>
    <t>Q8WVE0_N6AMT2</t>
  </si>
  <si>
    <t>Q8WVJ2_NUDCD2</t>
  </si>
  <si>
    <t>Q8WVK2_SNRNP27</t>
  </si>
  <si>
    <t>Q8WVL7_ANKRD49</t>
  </si>
  <si>
    <t>Q8WVM8_SCFD1</t>
  </si>
  <si>
    <t>Q8WVN8-3_UBE2Q2</t>
  </si>
  <si>
    <t>Q8WVT3_TRAPPC12</t>
  </si>
  <si>
    <t>Q8WVX9_FAR1</t>
  </si>
  <si>
    <t>Q8WVY7_UBLCP1</t>
  </si>
  <si>
    <t>Q8WW01_TSEN15</t>
  </si>
  <si>
    <t>Q8WW12_PCNP</t>
  </si>
  <si>
    <t>Q8WW59_SPRYD4</t>
  </si>
  <si>
    <t>Q8WWB7-2_C1orf85</t>
  </si>
  <si>
    <t>Q8WWC4_C2orf47</t>
  </si>
  <si>
    <t>Q8WWH5_TRUB1</t>
  </si>
  <si>
    <t>Q8WWI5_SLC44A1</t>
  </si>
  <si>
    <t>Q8WWM7_ATXN2L</t>
  </si>
  <si>
    <t>Q8WWV3_RTN4IP1</t>
  </si>
  <si>
    <t>Q8WWX9_SELM</t>
  </si>
  <si>
    <t>Q8WX92_NELFB</t>
  </si>
  <si>
    <t>Q8WX93-3_PALLD</t>
  </si>
  <si>
    <t>Q8WXA3_RUFY2</t>
  </si>
  <si>
    <t>Q8WXA9-2_SREK1</t>
  </si>
  <si>
    <t>Q8WXD5_GEMIN6</t>
  </si>
  <si>
    <t>Q8WXE0_CASKIN2</t>
  </si>
  <si>
    <t>Q8WXE1-2_ATRIP</t>
  </si>
  <si>
    <t>Q8WXF1_PSPC1</t>
  </si>
  <si>
    <t>Q8WXI9_GATAD2B</t>
  </si>
  <si>
    <t>Q8WXX5_DNAJC9</t>
  </si>
  <si>
    <t>Q8WY22_BRI3BP</t>
  </si>
  <si>
    <t>Q8WY54-2_PPM1E</t>
  </si>
  <si>
    <t>Q8WY91_THAP4</t>
  </si>
  <si>
    <t>Q8WYA6-3_CTNNBL1</t>
  </si>
  <si>
    <t>Q8WYP5_AHCTF1</t>
  </si>
  <si>
    <t>Q8WZ82_OVCA2</t>
  </si>
  <si>
    <t>Q8WZA9_IRGQ</t>
  </si>
  <si>
    <t>Q92466-4_DDB2</t>
  </si>
  <si>
    <t>Q92499_DDX1</t>
  </si>
  <si>
    <t>Q92506_HSD17B8</t>
  </si>
  <si>
    <t>Q92520_FAM3C</t>
  </si>
  <si>
    <t>Q92522_H1FX</t>
  </si>
  <si>
    <t>Q92526-3_CCT6B</t>
  </si>
  <si>
    <t>Q92538_GBF1</t>
  </si>
  <si>
    <t>Q92541_RTF1</t>
  </si>
  <si>
    <t>Q92544_TM9SF4</t>
  </si>
  <si>
    <t>Q92547_TOPBP1</t>
  </si>
  <si>
    <t>Q92552_MRPS27</t>
  </si>
  <si>
    <t>Q92558_WASF1</t>
  </si>
  <si>
    <t>Q92572_AP3S1</t>
  </si>
  <si>
    <t>Q92575_UBXN4</t>
  </si>
  <si>
    <t>Q92576-2_PHF3</t>
  </si>
  <si>
    <t>Q92581-3_SLC9A6</t>
  </si>
  <si>
    <t>Q92585_MAML1</t>
  </si>
  <si>
    <t>Q92597_NDRG1</t>
  </si>
  <si>
    <t>Q92598-2_HSPH1</t>
  </si>
  <si>
    <t>Q92604_LPGAT1</t>
  </si>
  <si>
    <t>Q92615_LARP4B</t>
  </si>
  <si>
    <t>Q92616_GCN1L1</t>
  </si>
  <si>
    <t>Q92620_DHX38</t>
  </si>
  <si>
    <t>Q92621_NUP205</t>
  </si>
  <si>
    <t>Q92623_TTC9</t>
  </si>
  <si>
    <t>Q92625_ANKS1A</t>
  </si>
  <si>
    <t>Q92665_MRPS31</t>
  </si>
  <si>
    <t>Q92667_AKAP1</t>
  </si>
  <si>
    <t>Q92686_NRGN</t>
  </si>
  <si>
    <t>Q92688_ANP32B</t>
  </si>
  <si>
    <t>Q92692_PVRL2</t>
  </si>
  <si>
    <t>Q92692-2_PVRL2</t>
  </si>
  <si>
    <t>Q92696_RABGGTA</t>
  </si>
  <si>
    <t>Q92734-2_TFG</t>
  </si>
  <si>
    <t>Q92738_USP6NL</t>
  </si>
  <si>
    <t>Q92747_ARPC1A</t>
  </si>
  <si>
    <t>Q92783-2_STAM</t>
  </si>
  <si>
    <t>Q92793-2_CREBBP</t>
  </si>
  <si>
    <t>Q92797_SYMPK</t>
  </si>
  <si>
    <t>Q92804-2_TAF15</t>
  </si>
  <si>
    <t>Q92805_GOLGA1</t>
  </si>
  <si>
    <t>Q92820_GGH</t>
  </si>
  <si>
    <t>Q92834-4_RPGR</t>
  </si>
  <si>
    <t>Q92843-2_BCL2L2</t>
  </si>
  <si>
    <t>Q92845-4_KIFAP3</t>
  </si>
  <si>
    <t>Q92871_PMM1</t>
  </si>
  <si>
    <t>Q92878_RAD50</t>
  </si>
  <si>
    <t>Q92882_OSTF1</t>
  </si>
  <si>
    <t>Q92888-3_ARHGEF1</t>
  </si>
  <si>
    <t>Q92889_ERCC4</t>
  </si>
  <si>
    <t>Q92890_UFD1L</t>
  </si>
  <si>
    <t>Q92896_GLG1</t>
  </si>
  <si>
    <t>Q92900-2_UPF1</t>
  </si>
  <si>
    <t>Q92905_COPS5</t>
  </si>
  <si>
    <t>Q92917_GPKOW</t>
  </si>
  <si>
    <t>Q92930_RAB8B</t>
  </si>
  <si>
    <t>Q92934_BAD</t>
  </si>
  <si>
    <t>Q92945_KHSRP</t>
  </si>
  <si>
    <t>Q92947_GCDH</t>
  </si>
  <si>
    <t>Q92968_PEX13</t>
  </si>
  <si>
    <t>Q92973-2_TNPO1</t>
  </si>
  <si>
    <t>Q92979_EMG1</t>
  </si>
  <si>
    <t>Q92990_GLMN</t>
  </si>
  <si>
    <t>Q92995_USP13</t>
  </si>
  <si>
    <t>Q93008-1_USP9X</t>
  </si>
  <si>
    <t>Q93015-2_NAT6</t>
  </si>
  <si>
    <t>Q93034_CUL5</t>
  </si>
  <si>
    <t>Q93052_LPP</t>
  </si>
  <si>
    <t>Q93077_HIST1H2AC</t>
  </si>
  <si>
    <t>Q93079_HIST1H2BH</t>
  </si>
  <si>
    <t>Q969E2-2_SCAMP4</t>
  </si>
  <si>
    <t>Q969E4_TCEAL3</t>
  </si>
  <si>
    <t>Q969E8_TSR2</t>
  </si>
  <si>
    <t>Q969F2-2_NKD2</t>
  </si>
  <si>
    <t>Q969G6_RFK</t>
  </si>
  <si>
    <t>Q969H8_C19orf10</t>
  </si>
  <si>
    <t>Q969K3_RNF34</t>
  </si>
  <si>
    <t>Q969M3_YIPF5</t>
  </si>
  <si>
    <t>Q969N2-4_PIGT</t>
  </si>
  <si>
    <t>Q969P0-3_IGSF8</t>
  </si>
  <si>
    <t>Q969Q0_RPL36AL</t>
  </si>
  <si>
    <t>Q969Q5_RAB24</t>
  </si>
  <si>
    <t>Q969S3_ZNF622</t>
  </si>
  <si>
    <t>Q969S9-2_GFM2</t>
  </si>
  <si>
    <t>Q969T7-2_NT5C3B</t>
  </si>
  <si>
    <t>Q969U7_PSMG2</t>
  </si>
  <si>
    <t>Q969V3-2_NCLN</t>
  </si>
  <si>
    <t>Q969X5-2_ERGIC1</t>
  </si>
  <si>
    <t>Q969Y2-3_GTPBP3</t>
  </si>
  <si>
    <t>Q969Z0_TBRG4</t>
  </si>
  <si>
    <t>Q96A19_CCDC102A</t>
  </si>
  <si>
    <t>Q96A33_CCDC47</t>
  </si>
  <si>
    <t>Q96A49_SYAP1</t>
  </si>
  <si>
    <t>Q96A65_EXOC4</t>
  </si>
  <si>
    <t>Q96A73_KIAA1191</t>
  </si>
  <si>
    <t>Q96AB3_ISOC2</t>
  </si>
  <si>
    <t>Q96AB6_NTAN1</t>
  </si>
  <si>
    <t>Q96AC1_FERMT2</t>
  </si>
  <si>
    <t>Q96AD5_PNPLA2</t>
  </si>
  <si>
    <t>Q96AE4_FUBP1</t>
  </si>
  <si>
    <t>Q96AE4-2_FUBP1</t>
  </si>
  <si>
    <t>Q96AG4_LRRC59</t>
  </si>
  <si>
    <t>Q96AJ9-1_VTI1A</t>
  </si>
  <si>
    <t>Q96AQ8_MCUR1</t>
  </si>
  <si>
    <t>Q96AT1_KIAA1143</t>
  </si>
  <si>
    <t>Q96AT9_RPE</t>
  </si>
  <si>
    <t>Q96AY3_FKBP10</t>
  </si>
  <si>
    <t>Q96B01-2_RAD51AP1</t>
  </si>
  <si>
    <t>Q96B23-2_C18orf25</t>
  </si>
  <si>
    <t>Q96B26_EXOSC8</t>
  </si>
  <si>
    <t>Q96B36_AKT1S1</t>
  </si>
  <si>
    <t>Q96B45_C10orf32</t>
  </si>
  <si>
    <t>Q96B49_TOMM6</t>
  </si>
  <si>
    <t>Q96B70_LENG9</t>
  </si>
  <si>
    <t>Q96B97_SH3KBP1</t>
  </si>
  <si>
    <t>Q96BD8-2_SKA1</t>
  </si>
  <si>
    <t>Q96BF6_NACC2</t>
  </si>
  <si>
    <t>Q96BH1_RNF25</t>
  </si>
  <si>
    <t>Q96BK5_PINX1</t>
  </si>
  <si>
    <t>Q96BN8_FAM105B</t>
  </si>
  <si>
    <t>Q96BP2_CHCHD1</t>
  </si>
  <si>
    <t>Q96BP3_PPWD1</t>
  </si>
  <si>
    <t>Q96BR5_SELRC1</t>
  </si>
  <si>
    <t>Q96BW5-2_PTER</t>
  </si>
  <si>
    <t>Q96BY7_ATG2B</t>
  </si>
  <si>
    <t>Q96BZ8_LENG1</t>
  </si>
  <si>
    <t>Q96C19_EFHD2</t>
  </si>
  <si>
    <t>Q96C23_GALM</t>
  </si>
  <si>
    <t>Q96C34-2_RUNDC1</t>
  </si>
  <si>
    <t>Q96C36_PYCR2</t>
  </si>
  <si>
    <t>Q96C57_C12orf43</t>
  </si>
  <si>
    <t>Q96C86_DCPS</t>
  </si>
  <si>
    <t>Q96C90_PPP1R14B</t>
  </si>
  <si>
    <t>Q96C92-2_SDCCAG3</t>
  </si>
  <si>
    <t>Q96C92-4_SDCCAG3</t>
  </si>
  <si>
    <t>Q96CB9-4_NSUN4</t>
  </si>
  <si>
    <t>Q96CF2_CHMP4C</t>
  </si>
  <si>
    <t>Q96CG3_TIFA</t>
  </si>
  <si>
    <t>Q96CN7_ISOC1</t>
  </si>
  <si>
    <t>Q96CN9_GCC1</t>
  </si>
  <si>
    <t>Q96CP2_FLYWCH2</t>
  </si>
  <si>
    <t>Q96CS2_HAUS1</t>
  </si>
  <si>
    <t>Q96CS3_FAF2</t>
  </si>
  <si>
    <t>Q96CT7_CCDC124</t>
  </si>
  <si>
    <t>Q96CU9-3_FOXRED1</t>
  </si>
  <si>
    <t>Q96CV9-3_OPTN</t>
  </si>
  <si>
    <t>Q96CW1-2_AP2M1</t>
  </si>
  <si>
    <t>Q96CW5-2_TUBGCP3</t>
  </si>
  <si>
    <t>Q96CW6_SLC7A6OS</t>
  </si>
  <si>
    <t>Q96CX2_KCTD12</t>
  </si>
  <si>
    <t>Q96CX6_LRRC58</t>
  </si>
  <si>
    <t>Q96D05_C10orf35</t>
  </si>
  <si>
    <t>Q96D53_ADCK4</t>
  </si>
  <si>
    <t>Q96D71-3_REPS1</t>
  </si>
  <si>
    <t>Q96DA2_RAB39B</t>
  </si>
  <si>
    <t>Q96DA6-2_DNAJC19</t>
  </si>
  <si>
    <t>Q96DE0_NUDT16</t>
  </si>
  <si>
    <t>Q96DE5_ANAPC16</t>
  </si>
  <si>
    <t>Q96DF8_DGCR14</t>
  </si>
  <si>
    <t>Q96DG6_CMBL</t>
  </si>
  <si>
    <t>Q96DR7_ARHGEF26</t>
  </si>
  <si>
    <t>Q96DT6_ATG4C</t>
  </si>
  <si>
    <t>Q96DT7-2_ZBTB10</t>
  </si>
  <si>
    <t>Q96DU7_ITPKC</t>
  </si>
  <si>
    <t>Q96DX7_TRIM44</t>
  </si>
  <si>
    <t>Q96DZ1-2_ERLEC1</t>
  </si>
  <si>
    <t>Q96E09_FAM122A</t>
  </si>
  <si>
    <t>Q96E11-3_MRRF</t>
  </si>
  <si>
    <t>Q96E22_NUS1</t>
  </si>
  <si>
    <t>Q96E52_OMA1</t>
  </si>
  <si>
    <t>Q96EA4_SPDL1</t>
  </si>
  <si>
    <t>Q96EB6_SIRT1</t>
  </si>
  <si>
    <t>Q96EC8_YIPF6</t>
  </si>
  <si>
    <t>Q96EE3_SEH1L</t>
  </si>
  <si>
    <t>Q96EH3_MALSU1</t>
  </si>
  <si>
    <t>Q96EI5_TCEAL4</t>
  </si>
  <si>
    <t>Q96EK5_KIAA1279</t>
  </si>
  <si>
    <t>Q96EK6_GNPNAT1</t>
  </si>
  <si>
    <t>Q96EK9_KTI12</t>
  </si>
  <si>
    <t>Q96EL3_MRPL53</t>
  </si>
  <si>
    <t>Q96EM0_L3HYPDH</t>
  </si>
  <si>
    <t>Q96EP5_DAZAP1</t>
  </si>
  <si>
    <t>Q96EQ0_SGTB</t>
  </si>
  <si>
    <t>Q96ER3_SAAL1</t>
  </si>
  <si>
    <t>Q96ER9_CCDC51</t>
  </si>
  <si>
    <t>Q96EU6_RRP36</t>
  </si>
  <si>
    <t>Q96EU7_C1GALT1C1</t>
  </si>
  <si>
    <t>Q96EV2_RBM33</t>
  </si>
  <si>
    <t>Q96EV8_DTNBP1</t>
  </si>
  <si>
    <t>Q96EX3_WDR34</t>
  </si>
  <si>
    <t>Q96EY1_DNAJA3</t>
  </si>
  <si>
    <t>Q96EY5_MVB12A</t>
  </si>
  <si>
    <t>Q96EY8_MMAB</t>
  </si>
  <si>
    <t>Q96EY9_ADAT3</t>
  </si>
  <si>
    <t>Q96F10_SAT2</t>
  </si>
  <si>
    <t>Q96F24-2_NRBF2</t>
  </si>
  <si>
    <t>Q96F44-3_TRIM11</t>
  </si>
  <si>
    <t>Q96F45_ZNF503</t>
  </si>
  <si>
    <t>Q96F46_IL17RA</t>
  </si>
  <si>
    <t>Q96F63_CCDC97</t>
  </si>
  <si>
    <t>Q96F86_EDC3</t>
  </si>
  <si>
    <t>Q96FC9-4_DDX11</t>
  </si>
  <si>
    <t>Q96FH0-2_MEF2BNB</t>
  </si>
  <si>
    <t>Q96FJ0_STAMBPL1</t>
  </si>
  <si>
    <t>Q96FK6_WDR89</t>
  </si>
  <si>
    <t>Q96FN4_CPNE2</t>
  </si>
  <si>
    <t>Q96FV9_THOC1</t>
  </si>
  <si>
    <t>Q96FX7_TRMT61A</t>
  </si>
  <si>
    <t>Q96FZ2_C3orf37</t>
  </si>
  <si>
    <t>Q96FZ7_CHMP6</t>
  </si>
  <si>
    <t>Q96G03_PGM2</t>
  </si>
  <si>
    <t>Q96G23_CERS2</t>
  </si>
  <si>
    <t>Q96G25_MED8</t>
  </si>
  <si>
    <t>Q96G28_CCDC104</t>
  </si>
  <si>
    <t>Q96G46_DUS3L</t>
  </si>
  <si>
    <t>Q96G61_NUDT11</t>
  </si>
  <si>
    <t>Q96G74-3_OTUD5</t>
  </si>
  <si>
    <t>Q96GA7_SDSL</t>
  </si>
  <si>
    <t>Q96GD0_PDXP</t>
  </si>
  <si>
    <t>Q96GF1_RNF185</t>
  </si>
  <si>
    <t>Q96GG9_DCUN1D1</t>
  </si>
  <si>
    <t>Q96GK7_FAHD2A</t>
  </si>
  <si>
    <t>Q96GP6-2_SCARF2</t>
  </si>
  <si>
    <t>Q96GS4_C17orf59</t>
  </si>
  <si>
    <t>Q96GW9_MARS2</t>
  </si>
  <si>
    <t>Q96GX2_ATXN7L3B</t>
  </si>
  <si>
    <t>Q96GX5-2_MASTL</t>
  </si>
  <si>
    <t>Q96GX9_APIP</t>
  </si>
  <si>
    <t>Q96GY0_ZC2HC1A</t>
  </si>
  <si>
    <t>Q96H20_SNF8</t>
  </si>
  <si>
    <t>Q96H55-3_MYO19</t>
  </si>
  <si>
    <t>Q96H79_ZC3HAV1L</t>
  </si>
  <si>
    <t>Q96HA1-2_POM121</t>
  </si>
  <si>
    <t>Q96HA4-4_C1orf159</t>
  </si>
  <si>
    <t>Q96HC4_PDLIM5</t>
  </si>
  <si>
    <t>Q96HD1_CRELD1</t>
  </si>
  <si>
    <t>Q96HE7_ERO1L</t>
  </si>
  <si>
    <t>Q96HJ9-2_C7orf55</t>
  </si>
  <si>
    <t>Q96HN2-2_AHCYL2</t>
  </si>
  <si>
    <t>Q96HQ2-2_CDKN2AIPNL</t>
  </si>
  <si>
    <t>Q96HW7-2_INTS4</t>
  </si>
  <si>
    <t>Q96HY6_DDRGK1</t>
  </si>
  <si>
    <t>Q96I15_SCLY</t>
  </si>
  <si>
    <t>Q96I24_FUBP3</t>
  </si>
  <si>
    <t>Q96I25_RBM17</t>
  </si>
  <si>
    <t>Q96I36_COX14</t>
  </si>
  <si>
    <t>Q96I51_WBSCR16</t>
  </si>
  <si>
    <t>Q96I59_NARS2</t>
  </si>
  <si>
    <t>Q96I82-2_KAZALD1</t>
  </si>
  <si>
    <t>Q96I99_SUCLG2</t>
  </si>
  <si>
    <t>Q96IF1_AJUBA</t>
  </si>
  <si>
    <t>Q96IJ6_GMPPA</t>
  </si>
  <si>
    <t>Q96IK1_BOD1</t>
  </si>
  <si>
    <t>Q96IQ9-2_ZNF414</t>
  </si>
  <si>
    <t>Q96IU4_ABHD14B</t>
  </si>
  <si>
    <t>Q96IV0-3_NGLY1</t>
  </si>
  <si>
    <t>Q96IX5_USMG5</t>
  </si>
  <si>
    <t>Q96IY1_NSL1</t>
  </si>
  <si>
    <t>Q96IZ0_PAWR</t>
  </si>
  <si>
    <t>Q96IZ7-2_RSRC1</t>
  </si>
  <si>
    <t>Q96J01_THOC3</t>
  </si>
  <si>
    <t>Q96J02-2_ITCH</t>
  </si>
  <si>
    <t>Q96J84_KIRREL</t>
  </si>
  <si>
    <t>Q96JA1_LRIG1</t>
  </si>
  <si>
    <t>Q96JB5-2_CDK5RAP3</t>
  </si>
  <si>
    <t>Q96JC1-2_VPS39</t>
  </si>
  <si>
    <t>Q96JC9_EAF1</t>
  </si>
  <si>
    <t>Q96JG6-3_CCDC132</t>
  </si>
  <si>
    <t>Q96JH7_VCPIP1</t>
  </si>
  <si>
    <t>Q96JJ7_TMX3</t>
  </si>
  <si>
    <t>Q96JM3_CHAMP1</t>
  </si>
  <si>
    <t>Q96JP5_ZFP91</t>
  </si>
  <si>
    <t>Q96JQ2_CLMN</t>
  </si>
  <si>
    <t>Q96JY6_PDLIM2</t>
  </si>
  <si>
    <t>Q96K31_C8orf76</t>
  </si>
  <si>
    <t>Q96KA5-2_CLPTM1L</t>
  </si>
  <si>
    <t>Q96KB5_PBK</t>
  </si>
  <si>
    <t>Q96KC2_ARL5B</t>
  </si>
  <si>
    <t>Q96KC8_DNAJC1</t>
  </si>
  <si>
    <t>Q96KN1_FAM84B</t>
  </si>
  <si>
    <t>Q96KP1_EXOC2</t>
  </si>
  <si>
    <t>Q96KP4_CNDP2</t>
  </si>
  <si>
    <t>Q96KR1_ZFR</t>
  </si>
  <si>
    <t>Q96L35_EPHB4</t>
  </si>
  <si>
    <t>Q96L91-4_EP400</t>
  </si>
  <si>
    <t>Q96L92-3_SNX27</t>
  </si>
  <si>
    <t>Q96L93-6_KIF16B</t>
  </si>
  <si>
    <t>Q96LA8-2_PRMT6</t>
  </si>
  <si>
    <t>Q96LB3_IFT74</t>
  </si>
  <si>
    <t>Q96LR5_UBE2E2</t>
  </si>
  <si>
    <t>Q96M27_PRRC1</t>
  </si>
  <si>
    <t>Q96ME1-4_FBXL18</t>
  </si>
  <si>
    <t>Q96MG7_NDNL2</t>
  </si>
  <si>
    <t>Q96MH2_HEXIM2</t>
  </si>
  <si>
    <t>Q96N21-2_ENTHD2</t>
  </si>
  <si>
    <t>Q96N66-2_MBOAT7</t>
  </si>
  <si>
    <t>Q96NB1_FOPNL</t>
  </si>
  <si>
    <t>Q96NB2_SFXN2</t>
  </si>
  <si>
    <t>Q96NB3_ZNF830</t>
  </si>
  <si>
    <t>Q96NC0_ZMAT2</t>
  </si>
  <si>
    <t>Q96NL1_TMEM74</t>
  </si>
  <si>
    <t>Q96NL8_C8orf37</t>
  </si>
  <si>
    <t>Q96P11-2_NSUN5</t>
  </si>
  <si>
    <t>Q96P16-3_RPRD1A</t>
  </si>
  <si>
    <t>Q96P47_AGAP3</t>
  </si>
  <si>
    <t>Q96P48-3_ARAP1</t>
  </si>
  <si>
    <t>Q96P50_ACAP3</t>
  </si>
  <si>
    <t>Q96P70_IPO9</t>
  </si>
  <si>
    <t>Q96PE7_MCEE</t>
  </si>
  <si>
    <t>Q96PG8_BBC3</t>
  </si>
  <si>
    <t>Q96PK6_RBM14</t>
  </si>
  <si>
    <t>Q96PM5_RCHY1</t>
  </si>
  <si>
    <t>Q96PU5-2_NEDD4L</t>
  </si>
  <si>
    <t>Q96PU8_QKI</t>
  </si>
  <si>
    <t>Q96PZ0_PUS7</t>
  </si>
  <si>
    <t>Q96Q11-2_TRNT1</t>
  </si>
  <si>
    <t>Q96Q83_ALKBH3</t>
  </si>
  <si>
    <t>Q96QC0_PPP1R10</t>
  </si>
  <si>
    <t>Q96QD5-2_DEPDC7</t>
  </si>
  <si>
    <t>Q96QK1_VPS35</t>
  </si>
  <si>
    <t>Q96QR8_PURB</t>
  </si>
  <si>
    <t>Q96QU8_XPO6</t>
  </si>
  <si>
    <t>Q96R06_SPAG5</t>
  </si>
  <si>
    <t>Q96RD7-2_PANX1</t>
  </si>
  <si>
    <t>Q96RE7_NACC1</t>
  </si>
  <si>
    <t>Q96RF0-3_SNX18</t>
  </si>
  <si>
    <t>Q96RG2_PASK</t>
  </si>
  <si>
    <t>Q96RP9_GFM1</t>
  </si>
  <si>
    <t>Q96RR1_PEO1</t>
  </si>
  <si>
    <t>Q96RR4-2_CAMKK2</t>
  </si>
  <si>
    <t>Q96RS6_NUDCD1</t>
  </si>
  <si>
    <t>Q96RT1-7_ERBB2IP</t>
  </si>
  <si>
    <t>Q96RU2-2_USP28</t>
  </si>
  <si>
    <t>Q96RU3-4_FNBP1</t>
  </si>
  <si>
    <t>Q96S19_C16orf13</t>
  </si>
  <si>
    <t>Q96S38-2_RPS6KC1</t>
  </si>
  <si>
    <t>Q96S44_TP53RK</t>
  </si>
  <si>
    <t>Q96S52_PIGS</t>
  </si>
  <si>
    <t>Q96S55-2_WRNIP1</t>
  </si>
  <si>
    <t>Q96S59_RANBP9</t>
  </si>
  <si>
    <t>Q96S66_CLCC1</t>
  </si>
  <si>
    <t>Q96S90-2_LYSMD1</t>
  </si>
  <si>
    <t>Q96S99_PLEKHF1</t>
  </si>
  <si>
    <t>Q96SB3_PPP1R9B</t>
  </si>
  <si>
    <t>Q96SI1_KCTD15</t>
  </si>
  <si>
    <t>Q96SK2-2_TMEM209</t>
  </si>
  <si>
    <t>Q96ST2_IWS1</t>
  </si>
  <si>
    <t>Q96ST3_SIN3A</t>
  </si>
  <si>
    <t>Q96SZ5_ADO</t>
  </si>
  <si>
    <t>Q96SZ6-2_CDK5RAP1</t>
  </si>
  <si>
    <t>Q96T51_RUFY1</t>
  </si>
  <si>
    <t>Q96T58_SPEN</t>
  </si>
  <si>
    <t>Q96T76-9_MMS19</t>
  </si>
  <si>
    <t>Q96TA1-2_FAM129B</t>
  </si>
  <si>
    <t>Q96TA2-3_YME1L1</t>
  </si>
  <si>
    <t>Q99081_TCF12</t>
  </si>
  <si>
    <t>Q99417_MYCBP</t>
  </si>
  <si>
    <t>Q99426_TBCB</t>
  </si>
  <si>
    <t>Q99436_PSMB7</t>
  </si>
  <si>
    <t>Q99442_SEC62</t>
  </si>
  <si>
    <t>Q99447_PCYT2</t>
  </si>
  <si>
    <t>Q99459_CDC5L</t>
  </si>
  <si>
    <t>Q99460_PSMD1</t>
  </si>
  <si>
    <t>Q99470_SDF2</t>
  </si>
  <si>
    <t>Q99471_PFDN5</t>
  </si>
  <si>
    <t>Q99487_PAFAH2</t>
  </si>
  <si>
    <t>Q99496_RNF2</t>
  </si>
  <si>
    <t>Q99497_PARK7</t>
  </si>
  <si>
    <t>Q99504-2_EYA3</t>
  </si>
  <si>
    <t>Q99519_NEU1</t>
  </si>
  <si>
    <t>Q99523_SORT1</t>
  </si>
  <si>
    <t>Q99536_VAT1</t>
  </si>
  <si>
    <t>Q99543_DNAJC2</t>
  </si>
  <si>
    <t>Q99567_NUP88</t>
  </si>
  <si>
    <t>Q99575_POP1</t>
  </si>
  <si>
    <t>Q99583_MNT</t>
  </si>
  <si>
    <t>Q99584_S100A13</t>
  </si>
  <si>
    <t>Q99595_TIMM17A</t>
  </si>
  <si>
    <t>Q99598_TSNAX</t>
  </si>
  <si>
    <t>Q99611_SEPHS2</t>
  </si>
  <si>
    <t>Q99614_TTC1</t>
  </si>
  <si>
    <t>Q99615_DNAJC7</t>
  </si>
  <si>
    <t>Q99618_CDCA3</t>
  </si>
  <si>
    <t>Q99622_C12orf57</t>
  </si>
  <si>
    <t>Q99623_PHB2</t>
  </si>
  <si>
    <t>Q99633_PRPF18</t>
  </si>
  <si>
    <t>Q99640-3_PKMYT1</t>
  </si>
  <si>
    <t>Q99653_CHP1</t>
  </si>
  <si>
    <t>Q99661_KIF2C</t>
  </si>
  <si>
    <t>Q99704_DOK1</t>
  </si>
  <si>
    <t>Q99707_MTR</t>
  </si>
  <si>
    <t>Q99714_HSD17B10</t>
  </si>
  <si>
    <t>Q99720-4_SIGMAR1</t>
  </si>
  <si>
    <t>Q99729-3_HNRNPAB</t>
  </si>
  <si>
    <t>Q99733_NAP1L4</t>
  </si>
  <si>
    <t>Q99735-2_MGST2</t>
  </si>
  <si>
    <t>Q99747_NAPG</t>
  </si>
  <si>
    <t>Q99757_TXN2</t>
  </si>
  <si>
    <t>Q99766_ATP5S</t>
  </si>
  <si>
    <t>Q99767-2_APBA2</t>
  </si>
  <si>
    <t>Q99797_MIPEP</t>
  </si>
  <si>
    <t>Q99805_TM9SF2</t>
  </si>
  <si>
    <t>Q99807_COQ7</t>
  </si>
  <si>
    <t>Q99816_TSG101</t>
  </si>
  <si>
    <t>Q99832_CCT7</t>
  </si>
  <si>
    <t>Q99856_ARID3A</t>
  </si>
  <si>
    <t>Q99878_HIST1H2AJ</t>
  </si>
  <si>
    <t>Q99952-2_PTPN18</t>
  </si>
  <si>
    <t>Q99956_DUSP9</t>
  </si>
  <si>
    <t>Q99961_SH3GL1</t>
  </si>
  <si>
    <t>Q99963-4_SH3GL3</t>
  </si>
  <si>
    <t>Q99986_VRK1</t>
  </si>
  <si>
    <t>Q9BPU6_DPYSL5</t>
  </si>
  <si>
    <t>Q9BPW8_NIPSNAP1</t>
  </si>
  <si>
    <t>Q9BPX3_NCAPG</t>
  </si>
  <si>
    <t>Q9BPX5_ARPC5L</t>
  </si>
  <si>
    <t>Q9BPX7_C7orf25</t>
  </si>
  <si>
    <t>Q9BPZ3_PAIP2</t>
  </si>
  <si>
    <t>Q9BQ52_ELAC2</t>
  </si>
  <si>
    <t>Q9BQ61_C19orf43</t>
  </si>
  <si>
    <t>Q9BQ69_MACROD1</t>
  </si>
  <si>
    <t>Q9BQ70_TCF25</t>
  </si>
  <si>
    <t>Q9BQ95_ECSIT</t>
  </si>
  <si>
    <t>Q9BQC3_DPH2</t>
  </si>
  <si>
    <t>Q9BQG0_MYBBP1A</t>
  </si>
  <si>
    <t>Q9BQI3-2_EIF2AK1</t>
  </si>
  <si>
    <t>Q9BQP7_MGME1</t>
  </si>
  <si>
    <t>Q9BQS8_FYCO1</t>
  </si>
  <si>
    <t>Q9BQT8-2_SLC25A21</t>
  </si>
  <si>
    <t>Q9BR61_ACBD6</t>
  </si>
  <si>
    <t>Q9BR76_CORO1B</t>
  </si>
  <si>
    <t>Q9BRA2_TXNDC17</t>
  </si>
  <si>
    <t>Q9BRD0-2_BUD13</t>
  </si>
  <si>
    <t>Q9BRF8_CPPED1</t>
  </si>
  <si>
    <t>Q9BRG1_VPS25</t>
  </si>
  <si>
    <t>Q9BRJ2_MRPL45</t>
  </si>
  <si>
    <t>Q9BRK5_SDF4</t>
  </si>
  <si>
    <t>Q9BRP1_PDCD2L</t>
  </si>
  <si>
    <t>Q9BRP4_PAAF1</t>
  </si>
  <si>
    <t>Q9BRP8-2_WIBG</t>
  </si>
  <si>
    <t>Q9BRR6-2_ADPGK</t>
  </si>
  <si>
    <t>Q9BRS2_RIOK1</t>
  </si>
  <si>
    <t>Q9BRT2_MNF1</t>
  </si>
  <si>
    <t>Q9BRT9_GINS4</t>
  </si>
  <si>
    <t>Q9BRV8_SIKE1</t>
  </si>
  <si>
    <t>Q9BRX2_PELO</t>
  </si>
  <si>
    <t>Q9BRX5_GINS3</t>
  </si>
  <si>
    <t>Q9BS26_ERP44</t>
  </si>
  <si>
    <t>Q9BS40_LXN</t>
  </si>
  <si>
    <t>Q9BSB4_ATG101</t>
  </si>
  <si>
    <t>Q9BSD7_NTPCR</t>
  </si>
  <si>
    <t>Q9BSF4_C19orf52</t>
  </si>
  <si>
    <t>Q9BSH4_TACO1</t>
  </si>
  <si>
    <t>Q9BSH5_HDHD3</t>
  </si>
  <si>
    <t>Q9BSJ2_TUBGCP2</t>
  </si>
  <si>
    <t>Q9BSJ5-3_C17orf80</t>
  </si>
  <si>
    <t>Q9BSJ8_ESYT1</t>
  </si>
  <si>
    <t>Q9BSK2_SLC25A33</t>
  </si>
  <si>
    <t>Q9BSK4_FEM1A</t>
  </si>
  <si>
    <t>Q9BSL1_UBAC1</t>
  </si>
  <si>
    <t>Q9BSR8_YIPF4</t>
  </si>
  <si>
    <t>Q9BST9-2_RTKN</t>
  </si>
  <si>
    <t>Q9BSU1_C16orf70</t>
  </si>
  <si>
    <t>Q9BSV6_TSEN34</t>
  </si>
  <si>
    <t>Q9BSY4_CHCHD5</t>
  </si>
  <si>
    <t>Q9BT09_CNPY3</t>
  </si>
  <si>
    <t>Q9BT17_MTG1</t>
  </si>
  <si>
    <t>Q9BT22_ALG1</t>
  </si>
  <si>
    <t>Q9BT23_LIMD2</t>
  </si>
  <si>
    <t>Q9BT30_ALKBH7</t>
  </si>
  <si>
    <t>Q9BT73_PSMG3</t>
  </si>
  <si>
    <t>Q9BT78_COPS4</t>
  </si>
  <si>
    <t>Q9BTA9-5_WAC</t>
  </si>
  <si>
    <t>Q9BTC0_DIDO1</t>
  </si>
  <si>
    <t>Q9BTE3-2_MCMBP</t>
  </si>
  <si>
    <t>Q9BTE6_AARSD1</t>
  </si>
  <si>
    <t>Q9BTE7_DCUN1D5</t>
  </si>
  <si>
    <t>Q9BTL3_FAM103A1</t>
  </si>
  <si>
    <t>Q9BTT0_ANP32E</t>
  </si>
  <si>
    <t>Q9BTT6_LRRC1</t>
  </si>
  <si>
    <t>Q9BTU6_PI4K2A</t>
  </si>
  <si>
    <t>Q9BTV5_FSD1</t>
  </si>
  <si>
    <t>Q9BTY2_FUCA2</t>
  </si>
  <si>
    <t>Q9BTY7_FAM203A</t>
  </si>
  <si>
    <t>Q9BTZ2-8_DHRS4</t>
  </si>
  <si>
    <t>Q9BU02_THTPA</t>
  </si>
  <si>
    <t>Q9BU23-3_LMF2</t>
  </si>
  <si>
    <t>Q9BU61_NDUFAF3</t>
  </si>
  <si>
    <t>Q9BU76-2_MMTAG2</t>
  </si>
  <si>
    <t>Q9BU89_DOHH</t>
  </si>
  <si>
    <t>Q9BUA3_C11orf84</t>
  </si>
  <si>
    <t>Q9BUB4_ADAT1</t>
  </si>
  <si>
    <t>Q9BUB7-2_TMEM70</t>
  </si>
  <si>
    <t>Q9BUE0_MED18</t>
  </si>
  <si>
    <t>Q9BUF5_TUBB6</t>
  </si>
  <si>
    <t>Q9BUH6_C9orf142</t>
  </si>
  <si>
    <t>Q9BUI4_POLR3C</t>
  </si>
  <si>
    <t>Q9BUJ2-2_HNRNPUL1</t>
  </si>
  <si>
    <t>Q9BUK6-3_MSTO1</t>
  </si>
  <si>
    <t>Q9BUL9_RPP25</t>
  </si>
  <si>
    <t>Q9BUP3-3_HTATIP2</t>
  </si>
  <si>
    <t>Q9BUR4_WRAP53</t>
  </si>
  <si>
    <t>Q9BUT1_BDH2</t>
  </si>
  <si>
    <t>Q9BUT9_FAM195A</t>
  </si>
  <si>
    <t>Q9BUW7_C9orf16</t>
  </si>
  <si>
    <t>Q9BV20_MRI1</t>
  </si>
  <si>
    <t>Q9BV23_ABHD6</t>
  </si>
  <si>
    <t>Q9BV38_WDR18</t>
  </si>
  <si>
    <t>Q9BV40_VAMP8</t>
  </si>
  <si>
    <t>Q9BV44_THUMPD3</t>
  </si>
  <si>
    <t>Q9BV57_ADI1</t>
  </si>
  <si>
    <t>Q9BV68-2_RNF126</t>
  </si>
  <si>
    <t>Q9BV73-2_CEP250</t>
  </si>
  <si>
    <t>Q9BV79_MECR</t>
  </si>
  <si>
    <t>Q9BV86_NTMT1</t>
  </si>
  <si>
    <t>Q9BVA0_KATNB1</t>
  </si>
  <si>
    <t>Q9BVA1_TUBB2B</t>
  </si>
  <si>
    <t>Q9BVC3_DSCC1</t>
  </si>
  <si>
    <t>Q9BVC4_MLST8</t>
  </si>
  <si>
    <t>Q9BVC6_TMEM109</t>
  </si>
  <si>
    <t>Q9BVG4_PBDC1</t>
  </si>
  <si>
    <t>Q9BVG9_PTDSS2</t>
  </si>
  <si>
    <t>Q9BVJ6-3_UTP14A</t>
  </si>
  <si>
    <t>Q9BVK6_TMED9</t>
  </si>
  <si>
    <t>Q9BVL4_SELO</t>
  </si>
  <si>
    <t>Q9BVM2_DPCD</t>
  </si>
  <si>
    <t>Q9BVM4_GGACT</t>
  </si>
  <si>
    <t>Q9BVN2-2_RUSC1</t>
  </si>
  <si>
    <t>Q9BVP2-2_GNL3</t>
  </si>
  <si>
    <t>Q9BVV7_TIMM21</t>
  </si>
  <si>
    <t>Q9BVW5_TIPIN</t>
  </si>
  <si>
    <t>Q9BW19_KIFC1</t>
  </si>
  <si>
    <t>Q9BW27_NUP85</t>
  </si>
  <si>
    <t>Q9BW30_TPPP3</t>
  </si>
  <si>
    <t>Q9BW60_ELOVL1</t>
  </si>
  <si>
    <t>Q9BW61_DDA1</t>
  </si>
  <si>
    <t>Q9BW62_KATNAL1</t>
  </si>
  <si>
    <t>Q9BW71_HIRIP3</t>
  </si>
  <si>
    <t>Q9BW83_IFT27</t>
  </si>
  <si>
    <t>Q9BW85_CCDC94</t>
  </si>
  <si>
    <t>Q9BW91-2_NUDT9</t>
  </si>
  <si>
    <t>Q9BW92_TARS2</t>
  </si>
  <si>
    <t>Q9BWD1_ACAT2</t>
  </si>
  <si>
    <t>Q9BWF3_RBM4</t>
  </si>
  <si>
    <t>Q9BWG6-2_SCNM1</t>
  </si>
  <si>
    <t>Q9BWH2_FUNDC2</t>
  </si>
  <si>
    <t>Q9BWH6-2_RPAP1</t>
  </si>
  <si>
    <t>Q9BWJ5_SF3B5</t>
  </si>
  <si>
    <t>Q9BWM7_SFXN3</t>
  </si>
  <si>
    <t>Q9BWT6_MND1</t>
  </si>
  <si>
    <t>Q9BWT7_CARD10</t>
  </si>
  <si>
    <t>Q9BWU0_SLC4A1AP</t>
  </si>
  <si>
    <t>Q9BX40_LSM14B</t>
  </si>
  <si>
    <t>Q9BX63_BRIP1</t>
  </si>
  <si>
    <t>Q9BX66-9_SORBS1</t>
  </si>
  <si>
    <t>Q9BX67_JAM3</t>
  </si>
  <si>
    <t>Q9BX68_HINT2</t>
  </si>
  <si>
    <t>Q9BX95_SGPP1</t>
  </si>
  <si>
    <t>Q9BXF6_RAB11FIP5</t>
  </si>
  <si>
    <t>Q9BXH1_BBC3</t>
  </si>
  <si>
    <t>Q9BXJ9_NAA15</t>
  </si>
  <si>
    <t>Q9BXK1_KLF16</t>
  </si>
  <si>
    <t>Q9BXP2_SLC12A9</t>
  </si>
  <si>
    <t>Q9BXP5-4_SRRT</t>
  </si>
  <si>
    <t>Q9BXR0_QTRT1</t>
  </si>
  <si>
    <t>Q9BXV9_C14orf142</t>
  </si>
  <si>
    <t>Q9BXW6_OSBPL1A</t>
  </si>
  <si>
    <t>Q9BXW7-2_CECR5</t>
  </si>
  <si>
    <t>Q9BXW9-2_FANCD2</t>
  </si>
  <si>
    <t>Q9BY27_DGCR6L</t>
  </si>
  <si>
    <t>Q9BY32_ITPA</t>
  </si>
  <si>
    <t>Q9BY77_POLDIP3</t>
  </si>
  <si>
    <t>Q9BYB4_GNB1L</t>
  </si>
  <si>
    <t>Q9BYG5_PARD6B</t>
  </si>
  <si>
    <t>Q9BYM8_RBCK1</t>
  </si>
  <si>
    <t>Q9BYP7-3_WNK3</t>
  </si>
  <si>
    <t>Q9BYT3_STK33</t>
  </si>
  <si>
    <t>Q9BYT8_NLN</t>
  </si>
  <si>
    <t>Q9BYV8_CEP41</t>
  </si>
  <si>
    <t>Q9BYW2_SETD2</t>
  </si>
  <si>
    <t>Q9BZ23-3_PANK2</t>
  </si>
  <si>
    <t>Q9BZ67-2_FRMD8</t>
  </si>
  <si>
    <t>Q9BZD4_NUF2</t>
  </si>
  <si>
    <t>Q9BZE2_PUS3</t>
  </si>
  <si>
    <t>Q9BZE9_ASPSCR1</t>
  </si>
  <si>
    <t>Q9BZK7_TBL1XR1</t>
  </si>
  <si>
    <t>Q9BZL1_UBL5</t>
  </si>
  <si>
    <t>Q9BZM1_PLA2G12A</t>
  </si>
  <si>
    <t>Q9BZM4_ULBP3</t>
  </si>
  <si>
    <t>Q9BZM5_ULBP2</t>
  </si>
  <si>
    <t>Q9BZX2_UCK2</t>
  </si>
  <si>
    <t>Q9BZZ5_API5</t>
  </si>
  <si>
    <t>Q9BZZ5-2_API5</t>
  </si>
  <si>
    <t>Q9C005_DPY30</t>
  </si>
  <si>
    <t>Q9C037-2_TRIM4</t>
  </si>
  <si>
    <t>Q9C040_TRIM2</t>
  </si>
  <si>
    <t>Q9C0B0_UNK</t>
  </si>
  <si>
    <t>Q9C0B1_FTO</t>
  </si>
  <si>
    <t>Q9C0B5-2_ZDHHC5</t>
  </si>
  <si>
    <t>Q9C0B7_TANGO6</t>
  </si>
  <si>
    <t>Q9C0C2_TNKS1BP1</t>
  </si>
  <si>
    <t>Q9C0C4_SEMA4C</t>
  </si>
  <si>
    <t>Q9C0C7-4_AMBRA1</t>
  </si>
  <si>
    <t>Q9C0C9_UBE2O</t>
  </si>
  <si>
    <t>Q9C0D3_ZYG11B</t>
  </si>
  <si>
    <t>Q9C0D5-2_TANC1</t>
  </si>
  <si>
    <t>Q9C0F1_CEP44</t>
  </si>
  <si>
    <t>Q9C0H2-2_TTYH3</t>
  </si>
  <si>
    <t>Q9C0I1-3_MTMR12</t>
  </si>
  <si>
    <t>Q9GZL7_WDR12</t>
  </si>
  <si>
    <t>Q9GZN1_ACTR6</t>
  </si>
  <si>
    <t>Q9GZN8-2_C20orf27</t>
  </si>
  <si>
    <t>Q9GZP4_PITHD1</t>
  </si>
  <si>
    <t>Q9GZP9_DERL2</t>
  </si>
  <si>
    <t>Q9GZS3_WDR61</t>
  </si>
  <si>
    <t>Q9GZT3_SLIRP</t>
  </si>
  <si>
    <t>Q9GZT4_SRR</t>
  </si>
  <si>
    <t>Q9GZT6-2_CCDC90B</t>
  </si>
  <si>
    <t>Q9GZT8-2_NIF3L1</t>
  </si>
  <si>
    <t>Q9GZT9_EGLN1</t>
  </si>
  <si>
    <t>Q9GZU8_FAM192A</t>
  </si>
  <si>
    <t>Q9GZX9_TWSG1</t>
  </si>
  <si>
    <t>Q9GZY8_MFF</t>
  </si>
  <si>
    <t>Q9GZY8-2_MFF</t>
  </si>
  <si>
    <t>Q9GZZ9_UBA5</t>
  </si>
  <si>
    <t>Q9H019-3_MTFR1L</t>
  </si>
  <si>
    <t>Q9H061_TMEM126A</t>
  </si>
  <si>
    <t>Q9H074_PAIP1</t>
  </si>
  <si>
    <t>Q9H078-2_CLPB</t>
  </si>
  <si>
    <t>Q9H082_RAB33B</t>
  </si>
  <si>
    <t>Q9H089_LSG1</t>
  </si>
  <si>
    <t>Q9H098_FAM107B</t>
  </si>
  <si>
    <t>Q9H0B6_KLC2</t>
  </si>
  <si>
    <t>Q9H0C8_ILKAP</t>
  </si>
  <si>
    <t>Q9H0D6_XRN2</t>
  </si>
  <si>
    <t>Q9H0E2_TOLLIP</t>
  </si>
  <si>
    <t>Q9H0E9-2_BRD8</t>
  </si>
  <si>
    <t>Q9H0G5_NSRP1</t>
  </si>
  <si>
    <t>Q9H0H5_RACGAP1</t>
  </si>
  <si>
    <t>Q9H0K6_PUS7L</t>
  </si>
  <si>
    <t>Q9H0L4_CSTF2T</t>
  </si>
  <si>
    <t>Q9H0P0_NT5C3A</t>
  </si>
  <si>
    <t>Q9H0R4_HDHD2</t>
  </si>
  <si>
    <t>Q9H0R6_QRSL1</t>
  </si>
  <si>
    <t>Q9H0U3_MAGT1</t>
  </si>
  <si>
    <t>Q9H0U4_RAB1B</t>
  </si>
  <si>
    <t>Q9H0V1_TMEM168</t>
  </si>
  <si>
    <t>Q9H0V9_LMAN2L</t>
  </si>
  <si>
    <t>Q9H0W9_C11orf54</t>
  </si>
  <si>
    <t>Q9H0X4_ITFG3</t>
  </si>
  <si>
    <t>Q9H173_SIL1</t>
  </si>
  <si>
    <t>Q9H1B7_IRF2BPL</t>
  </si>
  <si>
    <t>Q9H1E3_NUCKS1</t>
  </si>
  <si>
    <t>Q9H1K0_ZFYVE20</t>
  </si>
  <si>
    <t>Q9H1K1_ISCU</t>
  </si>
  <si>
    <t>Q9H1P3-2_OSBPL2</t>
  </si>
  <si>
    <t>Q9H1X3_DNAJC25</t>
  </si>
  <si>
    <t>Q9H1Y0_ATG5</t>
  </si>
  <si>
    <t>Q9H1Z4_WDR13</t>
  </si>
  <si>
    <t>Q9H211_CDT1</t>
  </si>
  <si>
    <t>Q9H223_EHD4</t>
  </si>
  <si>
    <t>Q9H246_C1orf21</t>
  </si>
  <si>
    <t>Q9H267_VPS33B</t>
  </si>
  <si>
    <t>Q9H270_VPS11</t>
  </si>
  <si>
    <t>Q9H2C0_GAN</t>
  </si>
  <si>
    <t>Q9H2D6-5_TRIOBP</t>
  </si>
  <si>
    <t>Q9H2G2-2_SLK</t>
  </si>
  <si>
    <t>Q9H2H8_PPIL3</t>
  </si>
  <si>
    <t>Q9H2J7_SLC6A15</t>
  </si>
  <si>
    <t>Q9H2K0_MTIF3</t>
  </si>
  <si>
    <t>Q9H2M9_RAB3GAP2</t>
  </si>
  <si>
    <t>Q9H2P9-3_DPH5</t>
  </si>
  <si>
    <t>Q9H2T7_RANBP17</t>
  </si>
  <si>
    <t>Q9H2U2_PPA2</t>
  </si>
  <si>
    <t>Q9H2W6_MRPL46</t>
  </si>
  <si>
    <t>Q9H300_PARL</t>
  </si>
  <si>
    <t>Q9H307_PNN</t>
  </si>
  <si>
    <t>Q9H330-2_TMEM245</t>
  </si>
  <si>
    <t>Q9H3C7_GGNBP2</t>
  </si>
  <si>
    <t>Q9H3G5_CPVL</t>
  </si>
  <si>
    <t>Q9H3H1-4_TRIT1</t>
  </si>
  <si>
    <t>Q9H3H3_C11orf68</t>
  </si>
  <si>
    <t>Q9H3K6_BOLA2</t>
  </si>
  <si>
    <t>Q9H3N1_TMX1</t>
  </si>
  <si>
    <t>Q9H3P7_ACBD3</t>
  </si>
  <si>
    <t>Q9H3Q1_CDC42EP4</t>
  </si>
  <si>
    <t>Q9H3S7_PTPN23</t>
  </si>
  <si>
    <t>Q9H3U1_UNC45A</t>
  </si>
  <si>
    <t>Q9H3U5-4_MFSD1</t>
  </si>
  <si>
    <t>Q9H3Y8_PPDPF</t>
  </si>
  <si>
    <t>Q9H410_DSN1</t>
  </si>
  <si>
    <t>Q9H425_C1orf198</t>
  </si>
  <si>
    <t>Q9H444_CHMP4B</t>
  </si>
  <si>
    <t>Q9H461_FZD8</t>
  </si>
  <si>
    <t>Q9H467_CUEDC2</t>
  </si>
  <si>
    <t>Q9H469_FBXL15</t>
  </si>
  <si>
    <t>Q9H488_POFUT1</t>
  </si>
  <si>
    <t>Q9H496_IFRG15</t>
  </si>
  <si>
    <t>Q9H4A5_GOLPH3L</t>
  </si>
  <si>
    <t>Q9H4A6_GOLPH3</t>
  </si>
  <si>
    <t>Q9H4B0_OSGEPL1</t>
  </si>
  <si>
    <t>Q9H4H8_FAM83D</t>
  </si>
  <si>
    <t>Q9H4K7_GTPBP5</t>
  </si>
  <si>
    <t>Q9H4L5-2_OSBPL3</t>
  </si>
  <si>
    <t>Q9H4L7_SMARCAD1</t>
  </si>
  <si>
    <t>Q9H4M9_EHD1</t>
  </si>
  <si>
    <t>Q9H4P4-2_RNF41</t>
  </si>
  <si>
    <t>Q9H4Z3_PCIF1</t>
  </si>
  <si>
    <t>Q9H553_ALG2</t>
  </si>
  <si>
    <t>Q9H5J0_ZBTB3</t>
  </si>
  <si>
    <t>Q9H5N1_RABEP2</t>
  </si>
  <si>
    <t>Q9H5Q4_TFB2M</t>
  </si>
  <si>
    <t>Q9H5V9-2_CXorf56</t>
  </si>
  <si>
    <t>Q9H5X1_FAM96A</t>
  </si>
  <si>
    <t>Q9H609_ZNF576</t>
  </si>
  <si>
    <t>Q9H6E4_CCDC134</t>
  </si>
  <si>
    <t>Q9H6F5_CCDC86</t>
  </si>
  <si>
    <t>Q9H6H4_REEP4</t>
  </si>
  <si>
    <t>Q9H6K1-2_C6orf106</t>
  </si>
  <si>
    <t>Q9H6K4_OPA3</t>
  </si>
  <si>
    <t>Q9H6Q4_NARFL</t>
  </si>
  <si>
    <t>Q9H6S0_YTHDC2</t>
  </si>
  <si>
    <t>Q9H6T3-2_RPAP3</t>
  </si>
  <si>
    <t>Q9H6U6-7_BCAS3</t>
  </si>
  <si>
    <t>Q9H6U8_ALG9</t>
  </si>
  <si>
    <t>Q9H6X2_ANTXR1</t>
  </si>
  <si>
    <t>Q9H6Y2_WDR55</t>
  </si>
  <si>
    <t>Q9H773_DCTPP1</t>
  </si>
  <si>
    <t>Q9H7B4_SMYD3</t>
  </si>
  <si>
    <t>Q9H7F0_ATP13A3</t>
  </si>
  <si>
    <t>Q9H7J1_PPP1R3E</t>
  </si>
  <si>
    <t>Q9H7N4_SCAF1</t>
  </si>
  <si>
    <t>Q9H7S9_ZNF703</t>
  </si>
  <si>
    <t>Q9H7X3_ZNF696</t>
  </si>
  <si>
    <t>Q9H7Z6_KAT8</t>
  </si>
  <si>
    <t>Q9H7Z7_PTGES2</t>
  </si>
  <si>
    <t>Q9H813_TMEM206</t>
  </si>
  <si>
    <t>Q9H814_PHAX</t>
  </si>
  <si>
    <t>Q9H832_UBE2Z</t>
  </si>
  <si>
    <t>Q9H840_GEMIN7</t>
  </si>
  <si>
    <t>Q9H845_ACAD9</t>
  </si>
  <si>
    <t>Q9H857-2_NT5DC2</t>
  </si>
  <si>
    <t>Q9H8G2_CAAP1</t>
  </si>
  <si>
    <t>Q9H8H0_NOL11</t>
  </si>
  <si>
    <t>Q9H8M7_FAM188A</t>
  </si>
  <si>
    <t>Q9H8S9_MOB1A</t>
  </si>
  <si>
    <t>Q9H8U3_ZFAND3</t>
  </si>
  <si>
    <t>Q9H8W4_PLEKHF2</t>
  </si>
  <si>
    <t>Q9H8Y5_ANKZF1</t>
  </si>
  <si>
    <t>Q9H8Y8_GORASP2</t>
  </si>
  <si>
    <t>Q9H910-2_HN1L</t>
  </si>
  <si>
    <t>Q9H936_SLC25A22</t>
  </si>
  <si>
    <t>Q9H939_PSTPIP2</t>
  </si>
  <si>
    <t>Q9H944_MED20</t>
  </si>
  <si>
    <t>Q9H974-4_QTRTD1</t>
  </si>
  <si>
    <t>Q9H977_WDR54</t>
  </si>
  <si>
    <t>Q9H981_ACTR8</t>
  </si>
  <si>
    <t>Q9H993_C6orf211</t>
  </si>
  <si>
    <t>Q9H9A6_LRRC40</t>
  </si>
  <si>
    <t>Q9H9B1-3_EHMT1</t>
  </si>
  <si>
    <t>Q9H9B4_SFXN1</t>
  </si>
  <si>
    <t>Q9H9F9_ACTR5</t>
  </si>
  <si>
    <t>Q9H9H4_VPS37B</t>
  </si>
  <si>
    <t>Q9H9P8_L2HGDH</t>
  </si>
  <si>
    <t>Q9H9S5_FKRP</t>
  </si>
  <si>
    <t>Q9H9T3-2_ELP3</t>
  </si>
  <si>
    <t>Q9H9V9-2_JMJD4</t>
  </si>
  <si>
    <t>Q9HA47-3_UCK1</t>
  </si>
  <si>
    <t>Q9HA64_FN3KRP</t>
  </si>
  <si>
    <t>Q9HA77_CARS2</t>
  </si>
  <si>
    <t>Q9HAB8_PPCS</t>
  </si>
  <si>
    <t>Q9HAD4_WDR41</t>
  </si>
  <si>
    <t>Q9HAF1-2_MEAF6</t>
  </si>
  <si>
    <t>Q9HAT8_PELI2</t>
  </si>
  <si>
    <t>Q9HAV0_GNB4</t>
  </si>
  <si>
    <t>Q9HAV4_XPO5</t>
  </si>
  <si>
    <t>Q9HAV5_EDA2R</t>
  </si>
  <si>
    <t>Q9HAV7_GRPEL1</t>
  </si>
  <si>
    <t>Q9HB07_C12orf10</t>
  </si>
  <si>
    <t>Q9HB09_BCL2L12</t>
  </si>
  <si>
    <t>Q9HB20_PLEKHA3</t>
  </si>
  <si>
    <t>Q9HB40_SCPEP1</t>
  </si>
  <si>
    <t>Q9HB71_CACYBP</t>
  </si>
  <si>
    <t>Q9HB90_RRAGC</t>
  </si>
  <si>
    <t>Q9HBD4_SMARCA4</t>
  </si>
  <si>
    <t>Q9HBH1_PDF</t>
  </si>
  <si>
    <t>Q9HBH5_RDH14</t>
  </si>
  <si>
    <t>Q9HBI1-3_PARVB</t>
  </si>
  <si>
    <t>Q9HBK9_AS3MT</t>
  </si>
  <si>
    <t>Q9HBL7_PLGRKT</t>
  </si>
  <si>
    <t>Q9HBM1_SPC25</t>
  </si>
  <si>
    <t>Q9HBM6_TAF9B</t>
  </si>
  <si>
    <t>Q9HBM8_AGPAT1</t>
  </si>
  <si>
    <t>Q9HBN3_POLL</t>
  </si>
  <si>
    <t>Q9HBR0_SLC38A10</t>
  </si>
  <si>
    <t>Q9HC21_SLC25A19</t>
  </si>
  <si>
    <t>Q9HC38-2_GLOD4</t>
  </si>
  <si>
    <t>Q9HC44_GPBP1L1</t>
  </si>
  <si>
    <t>Q9HCC0_MCCC2</t>
  </si>
  <si>
    <t>Q9HCD6_TANC2</t>
  </si>
  <si>
    <t>Q9HCE5_METTL14</t>
  </si>
  <si>
    <t>Q9HCJ3-2_RAVER2</t>
  </si>
  <si>
    <t>Q9HCN4-3_GPN1</t>
  </si>
  <si>
    <t>Q9HCN8_SDF2L1</t>
  </si>
  <si>
    <t>Q9HCU5_PREB</t>
  </si>
  <si>
    <t>Q9HD15_SRA1</t>
  </si>
  <si>
    <t>Q9HD20-2_ATP13A1</t>
  </si>
  <si>
    <t>Q9HD26-2_GOPC</t>
  </si>
  <si>
    <t>Q9HD40-3_SEPSECS</t>
  </si>
  <si>
    <t>Q9HD42_CHMP1A</t>
  </si>
  <si>
    <t>Q9HD45_TM9SF3</t>
  </si>
  <si>
    <t>Q9HD47-2_RANGRF</t>
  </si>
  <si>
    <t>Q9HDC5_JPH1</t>
  </si>
  <si>
    <t>Q9HDC9_APMAP</t>
  </si>
  <si>
    <t>Q9NNW7-2_TXNRD2</t>
  </si>
  <si>
    <t>Q9NNX1-2_TUFT1</t>
  </si>
  <si>
    <t>Q9NP58-4_ABCB6</t>
  </si>
  <si>
    <t>Q9NP61_ARFGAP3</t>
  </si>
  <si>
    <t>Q9NP72_RAB18</t>
  </si>
  <si>
    <t>Q9NP77_SSU72</t>
  </si>
  <si>
    <t>Q9NP79_VTA1</t>
  </si>
  <si>
    <t>Q9NP80-3_PNPLA8</t>
  </si>
  <si>
    <t>Q9NPA0_EMC7</t>
  </si>
  <si>
    <t>Q9NPA3_MID1IP1</t>
  </si>
  <si>
    <t>Q9NPA8-2_ENY2</t>
  </si>
  <si>
    <t>Q9NPB8_GPCPD1</t>
  </si>
  <si>
    <t>Q9NPD3_EXOSC4</t>
  </si>
  <si>
    <t>Q9NPD8_UBE2T</t>
  </si>
  <si>
    <t>Q9NPF0_CD320</t>
  </si>
  <si>
    <t>Q9NPF4_OSGEP</t>
  </si>
  <si>
    <t>Q9NPG8_ZDHHC4</t>
  </si>
  <si>
    <t>Q9NPI6_DCP1A</t>
  </si>
  <si>
    <t>Q9NPJ3_ACOT13</t>
  </si>
  <si>
    <t>Q9NPJ6_MED4</t>
  </si>
  <si>
    <t>Q9NPL8_TIMMDC1</t>
  </si>
  <si>
    <t>Q9NPQ8-4_RIC8A</t>
  </si>
  <si>
    <t>Q9NPR9_GPR108</t>
  </si>
  <si>
    <t>Q9NQ11-3_ATP13A2</t>
  </si>
  <si>
    <t>Q9NQ29_LUC7L</t>
  </si>
  <si>
    <t>Q9NQ88_TIGAR</t>
  </si>
  <si>
    <t>Q9NQC3_RTN4</t>
  </si>
  <si>
    <t>Q9NQE9_HINT3</t>
  </si>
  <si>
    <t>Q9NQG5_RPRD1B</t>
  </si>
  <si>
    <t>Q9NQG7-3_HPS4</t>
  </si>
  <si>
    <t>Q9NQH7-2_XPNPEP3</t>
  </si>
  <si>
    <t>Q9NQL2_RRAGD</t>
  </si>
  <si>
    <t>Q9NQP4_PFDN4</t>
  </si>
  <si>
    <t>Q9NQR4_NIT2</t>
  </si>
  <si>
    <t>Q9NQS1_AVEN</t>
  </si>
  <si>
    <t>Q9NQT4_EXOSC5</t>
  </si>
  <si>
    <t>Q9NQT8_KIF13B</t>
  </si>
  <si>
    <t>Q9NQW6_ANLN</t>
  </si>
  <si>
    <t>Q9NQW7-3_XPNPEP1</t>
  </si>
  <si>
    <t>Q9NQZ5_STARD7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</si>
  <si>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</si>
  <si>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</si>
  <si>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</si>
  <si>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</si>
  <si>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</si>
  <si>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</si>
  <si>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</si>
  <si>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</si>
  <si>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Q9NRA8_EIF4ENIF1</t>
  </si>
  <si>
    <t>Q9NRC6_SPTBN5</t>
  </si>
  <si>
    <t>Q9NRD5_PICK1</t>
  </si>
  <si>
    <t>Q9NRF2-3_SH2B1</t>
  </si>
  <si>
    <t>Q9NRF8_CTPS2</t>
  </si>
  <si>
    <t>Q9NRF9_POLE3</t>
  </si>
  <si>
    <t>Q9NRG0_CHRAC1</t>
  </si>
  <si>
    <t>Q9NRG4_SMYD2</t>
  </si>
  <si>
    <t>Q9NRG7-2_SDR39U1</t>
  </si>
  <si>
    <t>Q9NRH1_YAE1D1</t>
  </si>
  <si>
    <t>Q9NRK6_ABCB10</t>
  </si>
  <si>
    <t>Q9NRN7_AASDHPPT</t>
  </si>
  <si>
    <t>Q9NRN9_METTL5</t>
  </si>
  <si>
    <t>Q9NRP0_OSTC</t>
  </si>
  <si>
    <t>Q9NRP2_CMC2</t>
  </si>
  <si>
    <t>Q9NRP4_ACN9</t>
  </si>
  <si>
    <t>Q9NRR5_UBQLN4</t>
  </si>
  <si>
    <t>Q9NRR8_CDC42SE1</t>
  </si>
  <si>
    <t>Q9NRS6-2_SNX15</t>
  </si>
  <si>
    <t>Q9NRV9_HEBP1</t>
  </si>
  <si>
    <t>Q9NRW1_RAB6B</t>
  </si>
  <si>
    <t>Q9NRW4_DUSP22</t>
  </si>
  <si>
    <t>Q9NRW7_VPS45</t>
  </si>
  <si>
    <t>Q9NRX4_PHPT1</t>
  </si>
  <si>
    <t>Q9NRX5_SERINC1</t>
  </si>
  <si>
    <t>Q9NRY4_ARHGAP35</t>
  </si>
  <si>
    <t>Q9NRY5_FAM114A2</t>
  </si>
  <si>
    <t>Q9NRY6_PLSCR3</t>
  </si>
  <si>
    <t>Q9NRZ5_AGPAT4</t>
  </si>
  <si>
    <t>Q9NRZ7-2_AGPAT3</t>
  </si>
  <si>
    <t>Q9NRZ9-3_HELLS</t>
  </si>
  <si>
    <t>Q9NS18_GLRX2</t>
  </si>
  <si>
    <t>Q9NS69_TOMM22</t>
  </si>
  <si>
    <t>Q9NS86_LANCL2</t>
  </si>
  <si>
    <t>Q9NSA3_CTNNBIP1</t>
  </si>
  <si>
    <t>Q9NSD9_FARSB</t>
  </si>
  <si>
    <t>Q9NSE4_IARS2</t>
  </si>
  <si>
    <t>Q9NSG2-3_C1orf112</t>
  </si>
  <si>
    <t>Q9NSI2-2_FAM207A</t>
  </si>
  <si>
    <t>Q9NT62_ATG3</t>
  </si>
  <si>
    <t>Q9NTG7_SIRT3</t>
  </si>
  <si>
    <t>Q9NTJ5_SACM1L</t>
  </si>
  <si>
    <t>Q9NTM9_CUTC</t>
  </si>
  <si>
    <t>Q9NTX5-3_ECHDC1</t>
  </si>
  <si>
    <t>Q9NTX7-2_RNF146</t>
  </si>
  <si>
    <t>Q9NTZ6_RBM12</t>
  </si>
  <si>
    <t>Q9NU19_TBC1D22B</t>
  </si>
  <si>
    <t>Q9NU22_MDN1</t>
  </si>
  <si>
    <t>Q9NU23_LYRM2</t>
  </si>
  <si>
    <t>Q9NUB1-2_ACSS1</t>
  </si>
  <si>
    <t>Q9NUE0_ZDHHC18</t>
  </si>
  <si>
    <t>Q9NUG6_PDRG1</t>
  </si>
  <si>
    <t>Q9NUJ1_ABHD10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</si>
  <si>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</si>
  <si>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</si>
  <si>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</si>
  <si>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</si>
  <si>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</si>
  <si>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</si>
  <si>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</si>
  <si>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</si>
  <si>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</si>
  <si>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</si>
  <si>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Q9NUU7_DDX19A</t>
  </si>
  <si>
    <t>Q9NUW8_TDP1</t>
  </si>
  <si>
    <t>Q9NUY8-2_TBC1D23</t>
  </si>
  <si>
    <t>Q9NV06_DCAF13</t>
  </si>
  <si>
    <t>Q9NV29_TMEM100</t>
  </si>
  <si>
    <t>Q9NV56_MRGBP</t>
  </si>
  <si>
    <t>Q9NV70-2_EXOC1</t>
  </si>
  <si>
    <t>Q9NV96-3_TMEM30A</t>
  </si>
  <si>
    <t>Q9NVC6_MED17</t>
  </si>
  <si>
    <t>Q9NVE7_PANK4</t>
  </si>
  <si>
    <t>Q9NVG8_TBC1D13</t>
  </si>
  <si>
    <t>Q9NVH0_EXD2</t>
  </si>
  <si>
    <t>Q9NVH1-3_DNAJC11</t>
  </si>
  <si>
    <t>Q9NVH2-4_INTS7</t>
  </si>
  <si>
    <t>Q9NVI1_FANCI</t>
  </si>
  <si>
    <t>Q9NVI7-2_ATAD3A</t>
  </si>
  <si>
    <t>Q9NVJ2_ARL8B</t>
  </si>
  <si>
    <t>Q9NVM1_EVA1B</t>
  </si>
  <si>
    <t>Q9NVM4_PRMT7</t>
  </si>
  <si>
    <t>Q9NVM6_DNAJC17</t>
  </si>
  <si>
    <t>Q9NVM9_ASUN</t>
  </si>
  <si>
    <t>Q9NVQ4_FAIM</t>
  </si>
  <si>
    <t>Q9NVR0_KLHL11</t>
  </si>
  <si>
    <t>Q9NVR5_DNAAF2</t>
  </si>
  <si>
    <t>Q9NVT9_ARMC1</t>
  </si>
  <si>
    <t>Q9NVV0_TMEM38B</t>
  </si>
  <si>
    <t>Q9NVX2_NLE1</t>
  </si>
  <si>
    <t>Q9NVX7_KBTBD4</t>
  </si>
  <si>
    <t>Q9NVZ3_NECAP2</t>
  </si>
  <si>
    <t>Q9NW64_RBM22</t>
  </si>
  <si>
    <t>Q9NW82_WDR70</t>
  </si>
  <si>
    <t>Q9NWA0_MED9</t>
  </si>
  <si>
    <t>Q9NWB6_ARGLU1</t>
  </si>
  <si>
    <t>Q9NWH9_SLTM</t>
  </si>
  <si>
    <t>Q9NWK9-2_ZNHIT6</t>
  </si>
  <si>
    <t>Q9NWM3_CUEDC1</t>
  </si>
  <si>
    <t>Q9NWM8_FKBP14</t>
  </si>
  <si>
    <t>Q9NWQ8_PAG1</t>
  </si>
  <si>
    <t>Q9NWQ9_C14orf119</t>
  </si>
  <si>
    <t>Q9NWR8_CCDC109B</t>
  </si>
  <si>
    <t>Q9NWS6_FAM118A</t>
  </si>
  <si>
    <t>Q9NWT6_HIF1AN</t>
  </si>
  <si>
    <t>Q9NWU1_OXSM</t>
  </si>
  <si>
    <t>Q9NWV4_C1orf123</t>
  </si>
  <si>
    <t>Q9NWX5_ASB6</t>
  </si>
  <si>
    <t>Q9NWX6_THG1L</t>
  </si>
  <si>
    <t>Q9NWY4_C4orf27</t>
  </si>
  <si>
    <t>Q9NWZ3_IRAK4</t>
  </si>
  <si>
    <t>Q9NX01_TXNL4B</t>
  </si>
  <si>
    <t>Q9NX08_COMMD8</t>
  </si>
  <si>
    <t>Q9NX14_NDUFB11</t>
  </si>
  <si>
    <t>Q9NX24_NHP2</t>
  </si>
  <si>
    <t>Q9NX38_FAM206A</t>
  </si>
  <si>
    <t>Q9NX40_OCIAD1</t>
  </si>
  <si>
    <t>Q9NX46_ADPRHL2</t>
  </si>
  <si>
    <t>Q9NX47_MARCH5</t>
  </si>
  <si>
    <t>Q9NX55_HYPK</t>
  </si>
  <si>
    <t>Q9NX62_IMPAD1</t>
  </si>
  <si>
    <t>Q9NX70_MED29</t>
  </si>
  <si>
    <t>Q9NX74_DUS2L</t>
  </si>
  <si>
    <t>Q9NXA8_SIRT5</t>
  </si>
  <si>
    <t>Q9NXF7_DCAF16</t>
  </si>
  <si>
    <t>Q9NXH9_TRMT1</t>
  </si>
  <si>
    <t>Q9NXN4-2_GDAP2</t>
  </si>
  <si>
    <t>Q9NXR1-2_NDE1</t>
  </si>
  <si>
    <t>Q9NXR7_BRE</t>
  </si>
  <si>
    <t>Q9NXU5_ARL15</t>
  </si>
  <si>
    <t>Q9NXV2_KCTD5</t>
  </si>
  <si>
    <t>Q9NXV6_CDKN2AIP</t>
  </si>
  <si>
    <t>Q9NXW9_ALKBH4</t>
  </si>
  <si>
    <t>Q9NY27_PPP4R2</t>
  </si>
  <si>
    <t>Q9NYB0_TERF2IP</t>
  </si>
  <si>
    <t>Q9NYH9_UTP6</t>
  </si>
  <si>
    <t>Q9NYJ1_COA4</t>
  </si>
  <si>
    <t>Q9NYJ8_TAB2</t>
  </si>
  <si>
    <t>Q9NYK5_MRPL39</t>
  </si>
  <si>
    <t>Q9NYL2-2_MLTK</t>
  </si>
  <si>
    <t>Q9NYL9_TMOD3</t>
  </si>
  <si>
    <t>Q9NYP9_MIS18A</t>
  </si>
  <si>
    <t>Q9NYU2-2_UGGT1</t>
  </si>
  <si>
    <t>Q9NYY8_FASTKD2</t>
  </si>
  <si>
    <t>Q9NYZ3_GTSE1</t>
  </si>
  <si>
    <t>Q9NZ01_TECR</t>
  </si>
  <si>
    <t>Q9NZ09-2_UBAP1</t>
  </si>
  <si>
    <t>Q9NZ32_ACTR10</t>
  </si>
  <si>
    <t>Q9NZ45_CISD1</t>
  </si>
  <si>
    <t>Q9NZ53_PODXL2</t>
  </si>
  <si>
    <t>Q9NZ63_C9orf78</t>
  </si>
  <si>
    <t>Q9NZA1-3_CLIC5</t>
  </si>
  <si>
    <t>Q9NZB8-2_MOCS1</t>
  </si>
  <si>
    <t>Q9NZC3_GDE1</t>
  </si>
  <si>
    <t>Q9NZC7_WWOX</t>
  </si>
  <si>
    <t>Q9NZC9_SMARCAL1</t>
  </si>
  <si>
    <t>Q9NZD8-2_SPG21</t>
  </si>
  <si>
    <t>Q9NZI8_IGF2BP1</t>
  </si>
  <si>
    <t>Q9NZJ4-2_SACS</t>
  </si>
  <si>
    <t>Q9NZJ6_COQ3</t>
  </si>
  <si>
    <t>Q9NZJ9_NUDT4</t>
  </si>
  <si>
    <t>Q9NZL4_HSPBP1</t>
  </si>
  <si>
    <t>Q9NZL9_MAT2B</t>
  </si>
  <si>
    <t>Q9NZL9-2_MAT2B</t>
  </si>
  <si>
    <t>Q9NZM3-4_ITSN2</t>
  </si>
  <si>
    <t>Q9NZN3_EHD3</t>
  </si>
  <si>
    <t>Q9NZN5_ARHGEF12</t>
  </si>
  <si>
    <t>Q9NZQ3-3_NCKIPSD</t>
  </si>
  <si>
    <t>Q9NZT2-2_OGFR</t>
  </si>
  <si>
    <t>Q9NZU5_LMCD1</t>
  </si>
  <si>
    <t>Q9NZW5_MPP6</t>
  </si>
  <si>
    <t>Q9NZZ3_CHMP5</t>
  </si>
  <si>
    <t>Q9P000_COMMD9</t>
  </si>
  <si>
    <t>Q9P013_CWC15</t>
  </si>
  <si>
    <t>Q9P016_THYN1</t>
  </si>
  <si>
    <t>Q9P021_CRIPT</t>
  </si>
  <si>
    <t>Q9P031_CCDC59</t>
  </si>
  <si>
    <t>Q9P032_NDUFAF4</t>
  </si>
  <si>
    <t>Q9P035_PTPLAD1</t>
  </si>
  <si>
    <t>Q9P0B6_CCDC167</t>
  </si>
  <si>
    <t>Q9P0J1_PDP1</t>
  </si>
  <si>
    <t>Q9P0L0_VAPA</t>
  </si>
  <si>
    <t>Q9P0L2_MARK1</t>
  </si>
  <si>
    <t>Q9P0P0_RNF181</t>
  </si>
  <si>
    <t>Q9P0R6_GSKIP</t>
  </si>
  <si>
    <t>Q9P0V3_SH3BP4</t>
  </si>
  <si>
    <t>Q9P0W5_SCHIP1</t>
  </si>
  <si>
    <t>Q9P1U0_ZNRD1</t>
  </si>
  <si>
    <t>Q9P1Y5_CAMSAP3</t>
  </si>
  <si>
    <t>Q9P1Z2-2_CALCOCO1</t>
  </si>
  <si>
    <t>Q9P206_KIAA1522</t>
  </si>
  <si>
    <t>Q9P258_RCC2</t>
  </si>
  <si>
    <t>Q9P260-2_KIAA1468</t>
  </si>
  <si>
    <t>Q9P265_DIP2B</t>
  </si>
  <si>
    <t>Q9P266_KIAA1462</t>
  </si>
  <si>
    <t>Q9P270_SLAIN2</t>
  </si>
  <si>
    <t>Q9P287-2_BCCIP</t>
  </si>
  <si>
    <t>Q9P2B2_PTGFRN</t>
  </si>
  <si>
    <t>Q9P2B4_CTTNBP2NL</t>
  </si>
  <si>
    <t>Q9P2D1-4_CHD7</t>
  </si>
  <si>
    <t>Q9P2D3-3_HEATR5B</t>
  </si>
  <si>
    <t>Q9P2D7-5_DNAH1</t>
  </si>
  <si>
    <t>Q9P2E9_RRBP1</t>
  </si>
  <si>
    <t>Q9P2I0_CPSF2</t>
  </si>
  <si>
    <t>Q9P2M7_CGN</t>
  </si>
  <si>
    <t>Q9P2N5_RBM27</t>
  </si>
  <si>
    <t>Q9P2R3_ANKFY1</t>
  </si>
  <si>
    <t>Q9P2W1-2_PSMC3IP</t>
  </si>
  <si>
    <t>Q9P2X0_DPM3</t>
  </si>
  <si>
    <t>Q9UBB4_ATXN10</t>
  </si>
  <si>
    <t>Q9UBB6_NCDN</t>
  </si>
  <si>
    <t>Q9UBB9_TFIP11</t>
  </si>
  <si>
    <t>Q9UBC2-2_EPS15L1</t>
  </si>
  <si>
    <t>Q9UBD5-3_ORC3</t>
  </si>
  <si>
    <t>Q9UBE0_SAE1</t>
  </si>
  <si>
    <t>Q9UBF2_COPG2</t>
  </si>
  <si>
    <t>Q9UBF6_RNF7</t>
  </si>
  <si>
    <t>Q9UBF8-2_PI4KB</t>
  </si>
  <si>
    <t>Q9UBI6_GNG12</t>
  </si>
  <si>
    <t>Q9UBK8-2_MTRR</t>
  </si>
  <si>
    <t>Q9UBL6-2_CPNE7</t>
  </si>
  <si>
    <t>Q9UBM7_DHCR7</t>
  </si>
  <si>
    <t>Q9UBN6_TNFRSF10D</t>
  </si>
  <si>
    <t>Q9UBP0-3_SPAST</t>
  </si>
  <si>
    <t>Q9UBP6_METTL1</t>
  </si>
  <si>
    <t>Q9UBQ0_VPS29</t>
  </si>
  <si>
    <t>Q9UBQ7_GRHPR</t>
  </si>
  <si>
    <t>Q9UBS0_RPS6KB2</t>
  </si>
  <si>
    <t>Q9UBS4_DNAJB11</t>
  </si>
  <si>
    <t>Q9UBS8-2_RNF14</t>
  </si>
  <si>
    <t>Q9UBT2_UBA2</t>
  </si>
  <si>
    <t>Q9UBU6_FAM8A1</t>
  </si>
  <si>
    <t>Q9UBU8-2_MORF4L1</t>
  </si>
  <si>
    <t>Q9UBV8_PEF1</t>
  </si>
  <si>
    <t>Q9UBW7_ZMYM2</t>
  </si>
  <si>
    <t>Q9UBW8_COPS7A</t>
  </si>
  <si>
    <t>Q9UDX5_MTFP1</t>
  </si>
  <si>
    <t>Q9UDY2-3_TJP2</t>
  </si>
  <si>
    <t>Q9UDY4_DNAJB4</t>
  </si>
  <si>
    <t>Q9UDY8-2_MALT1</t>
  </si>
  <si>
    <t>Q9UEE9_CFDP1</t>
  </si>
  <si>
    <t>Q9UEL6_MPZL1</t>
  </si>
  <si>
    <t>Q9UER7-3_DAXX</t>
  </si>
  <si>
    <t>Q9UET6-2_FTSJ1</t>
  </si>
  <si>
    <t>Q9UEU0_VTI1B</t>
  </si>
  <si>
    <t>Q9UEW8_STK39</t>
  </si>
  <si>
    <t>Q9UEY8-2_ADD3</t>
  </si>
  <si>
    <t>Q9UFC0_LRWD1</t>
  </si>
  <si>
    <t>Q9UFG5_C19orf25</t>
  </si>
  <si>
    <t>Q9UFW8_CGGBP1</t>
  </si>
  <si>
    <t>Q9UG56-2_PISD</t>
  </si>
  <si>
    <t>Q9UG63_ABCF2</t>
  </si>
  <si>
    <t>Q9UGI8_TES</t>
  </si>
  <si>
    <t>Q9UGI8-2_TES</t>
  </si>
  <si>
    <t>Q9UGK8_SERGEF</t>
  </si>
  <si>
    <t>Q9UGP4_LIMD1</t>
  </si>
  <si>
    <t>Q9UGP8_SEC63</t>
  </si>
  <si>
    <t>Q9UGQ2-2_CACFD1</t>
  </si>
  <si>
    <t>Q9UGU0-2_TCF20</t>
  </si>
  <si>
    <t>Q9UH62_ARMCX3</t>
  </si>
  <si>
    <t>Q9UHA2_SS18L2</t>
  </si>
  <si>
    <t>Q9UHA4_LAMTOR3</t>
  </si>
  <si>
    <t>Q9UHB4-3_NDOR1</t>
  </si>
  <si>
    <t>Q9UHB6_LIMA1</t>
  </si>
  <si>
    <t>Q9UHD1_CHORDC1</t>
  </si>
  <si>
    <t>Q9UHD8-7_SEPT9</t>
  </si>
  <si>
    <t>Q9UHD9_UBQLN2</t>
  </si>
  <si>
    <t>Q9UHG2_PCSK1N</t>
  </si>
  <si>
    <t>Q9UHG3_PCYOX1</t>
  </si>
  <si>
    <t>Q9UHI6_DDX20</t>
  </si>
  <si>
    <t>Q9UHJ6_SHPK</t>
  </si>
  <si>
    <t>Q9UHN6-2_TMEM2</t>
  </si>
  <si>
    <t>Q9UHP3_USP25</t>
  </si>
  <si>
    <t>Q9UHQ4_BCAP29</t>
  </si>
  <si>
    <t>Q9UHQ9_CYB5R1</t>
  </si>
  <si>
    <t>Q9UHR4_BAIAP2L1</t>
  </si>
  <si>
    <t>Q9UHR6_ZNHIT2</t>
  </si>
  <si>
    <t>Q9UHV9_PFDN2</t>
  </si>
  <si>
    <t>Q9UHW5_GPN3</t>
  </si>
  <si>
    <t>Q9UHX1-4_PUF60</t>
  </si>
  <si>
    <t>Q9UHY1_NRBP1</t>
  </si>
  <si>
    <t>Q9UHY7_ENOPH1</t>
  </si>
  <si>
    <t>Q9UI08_EVL</t>
  </si>
  <si>
    <t>Q9UI12-2_ATP6V1H</t>
  </si>
  <si>
    <t>Q9UI26_IPO11</t>
  </si>
  <si>
    <t>Q9UI30_TRMT112</t>
  </si>
  <si>
    <t>Q9UIC8_LCMT1</t>
  </si>
  <si>
    <t>Q9UID3_VPS51</t>
  </si>
  <si>
    <t>Q9UIG0-2_BAZ1B</t>
  </si>
  <si>
    <t>Q9UII2_ATPIF1</t>
  </si>
  <si>
    <t>Q9UIJ7_AK3</t>
  </si>
  <si>
    <t>Q9UIM3_FKBPL</t>
  </si>
  <si>
    <t>Q9UIQ6-3_LNPEP</t>
  </si>
  <si>
    <t>Q9UJ41_RABGEF1</t>
  </si>
  <si>
    <t>Q9UJ70_NAGK</t>
  </si>
  <si>
    <t>Q9UJA5_TRMT6</t>
  </si>
  <si>
    <t>Q9UJS0_SLC25A13</t>
  </si>
  <si>
    <t>Q9UJU6_DBNL</t>
  </si>
  <si>
    <t>Q9UJU6-2_DBNL</t>
  </si>
  <si>
    <t>Q9UJW0-2_DCTN4</t>
  </si>
  <si>
    <t>Q9UJX3-2_ANAPC7</t>
  </si>
  <si>
    <t>Q9UJX6-2_ANAPC2</t>
  </si>
  <si>
    <t>Q9UJY1_HSPB8</t>
  </si>
  <si>
    <t>Q9UJY4_GGA2</t>
  </si>
  <si>
    <t>Q9UJY5-4_GGA1</t>
  </si>
  <si>
    <t>Q9UJZ1_STOML2</t>
  </si>
  <si>
    <t>Q9UK23_NAGPA</t>
  </si>
  <si>
    <t>Q9UK45_LSM7</t>
  </si>
  <si>
    <t>Q9UK59_DBR1</t>
  </si>
  <si>
    <t>Q9UK76_HN1</t>
  </si>
  <si>
    <t>Q9UK99_FBXO3</t>
  </si>
  <si>
    <t>Q9UKB3_DNAJC12</t>
  </si>
  <si>
    <t>Q9UKF6_CPSF3</t>
  </si>
  <si>
    <t>Q9UKG1_APPL1</t>
  </si>
  <si>
    <t>Q9UKI8_TLK1</t>
  </si>
  <si>
    <t>Q9UKJ3-2_GPATCH8</t>
  </si>
  <si>
    <t>Q9UKK9_NUDT5</t>
  </si>
  <si>
    <t>Q9UKL6-2_PCTP</t>
  </si>
  <si>
    <t>Q9UKN8_GTF3C4</t>
  </si>
  <si>
    <t>Q9UKS6_PACSIN3</t>
  </si>
  <si>
    <t>Q9UKT4-2_FBXO5</t>
  </si>
  <si>
    <t>Q9UKU7_ACAD8</t>
  </si>
  <si>
    <t>Q9UKV5_AMFR</t>
  </si>
  <si>
    <t>Q9UKX7_NUP50</t>
  </si>
  <si>
    <t>Q9UKY7_CDV3</t>
  </si>
  <si>
    <t>Q9UKZ1_CNOT11</t>
  </si>
  <si>
    <t>Q9UL15_BAG5</t>
  </si>
  <si>
    <t>Q9UL25_RAB21</t>
  </si>
  <si>
    <t>Q9UL26_RAB22A</t>
  </si>
  <si>
    <t>Q9UL42_PNMA2</t>
  </si>
  <si>
    <t>Q9UL46_PSME2</t>
  </si>
  <si>
    <t>Q9UL54-2_TAOK2</t>
  </si>
  <si>
    <t>Q9ULC3_RAB23</t>
  </si>
  <si>
    <t>Q9ULC4_MCTS1</t>
  </si>
  <si>
    <t>Q9ULE6_PALD1</t>
  </si>
  <si>
    <t>Q9ULF5_SLC39A10</t>
  </si>
  <si>
    <t>Q9ULH1_ASAP1</t>
  </si>
  <si>
    <t>Q9ULH7-4_MKL2</t>
  </si>
  <si>
    <t>Q9ULJ3-2_ZBTB21</t>
  </si>
  <si>
    <t>Q9ULJ6_ZMIZ1</t>
  </si>
  <si>
    <t>Q9ULJ7-2_ANKRD50</t>
  </si>
  <si>
    <t>Q9ULP9-2_TBC1D24</t>
  </si>
  <si>
    <t>Q9ULR0_ISY1</t>
  </si>
  <si>
    <t>Q9ULR3_PPM1H</t>
  </si>
  <si>
    <t>Q9ULR5_PAIP2B</t>
  </si>
  <si>
    <t>Q9ULT8_HECTD1</t>
  </si>
  <si>
    <t>Q9ULV4_CORO1C</t>
  </si>
  <si>
    <t>Q9ULW0_TPX2</t>
  </si>
  <si>
    <t>Q9ULX3_NOB1</t>
  </si>
  <si>
    <t>Q9UM13_ANAPC10</t>
  </si>
  <si>
    <t>Q9UMN6_WBP7</t>
  </si>
  <si>
    <t>Q9UMR2_DDX19B</t>
  </si>
  <si>
    <t>Q9UMS0-3_NFU1</t>
  </si>
  <si>
    <t>Q9UMS4_PRPF19</t>
  </si>
  <si>
    <t>Q9UMX0_UBQLN1</t>
  </si>
  <si>
    <t>Q9UMX1_SUFU</t>
  </si>
  <si>
    <t>Q9UMX5_NENF</t>
  </si>
  <si>
    <t>Q9UMY4-2_SNX12</t>
  </si>
  <si>
    <t>Q9UMZ2-6_SYNRG</t>
  </si>
  <si>
    <t>Q9UN37_VPS4A</t>
  </si>
  <si>
    <t>Q9UN86-2_G3BP2</t>
  </si>
  <si>
    <t>Q9UNE7_STUB1</t>
  </si>
  <si>
    <t>Q9UNF0-2_PACSIN2</t>
  </si>
  <si>
    <t>Q9UNF1_MAGED2</t>
  </si>
  <si>
    <t>Q9UNH6_SNX7</t>
  </si>
  <si>
    <t>Q9UNH7_SNX6</t>
  </si>
  <si>
    <t>Q9UNI6_DUSP12</t>
  </si>
  <si>
    <t>Q9UNK0_STX8</t>
  </si>
  <si>
    <t>Q9UNM6_PSMD13</t>
  </si>
  <si>
    <t>Q9UNN5_FAF1</t>
  </si>
  <si>
    <t>Q9UNN8_PROCR</t>
  </si>
  <si>
    <t>Q9UNP9_PPIE</t>
  </si>
  <si>
    <t>Q9UNS1-2_TIMELESS</t>
  </si>
  <si>
    <t>Q9UNS2_COPS3</t>
  </si>
  <si>
    <t>Q9UNT1-2_RABL2B</t>
  </si>
  <si>
    <t>Q9UNW1_MINPP1</t>
  </si>
  <si>
    <t>Q9UNW9_NOVA2</t>
  </si>
  <si>
    <t>Q9UNY4_TTF2</t>
  </si>
  <si>
    <t>Q9UNZ2-5_NSFL1C</t>
  </si>
  <si>
    <t>Q9UNZ5_C19orf53</t>
  </si>
  <si>
    <t>Q9UP83_COG5</t>
  </si>
  <si>
    <t>Q9UP95-5_SLC12A4</t>
  </si>
  <si>
    <t>Q9UPM9_B9D1</t>
  </si>
  <si>
    <t>Q9UPN6_SCAF8</t>
  </si>
  <si>
    <t>Q9UPN7_PPP6R1</t>
  </si>
  <si>
    <t>Q9UPN9-2_TRIM33</t>
  </si>
  <si>
    <t>Q9UPQ9-1_TNRC6B</t>
  </si>
  <si>
    <t>Q9UPR0_PLCL2</t>
  </si>
  <si>
    <t>Q9UPR3_SMG5</t>
  </si>
  <si>
    <t>Q9UPT5-2_EXOC7</t>
  </si>
  <si>
    <t>Q9UPT8_ZC3H4</t>
  </si>
  <si>
    <t>Q9UPT9_USP22</t>
  </si>
  <si>
    <t>Q9UPU5_USP24</t>
  </si>
  <si>
    <t>Q9UPW5_AGTPBP1</t>
  </si>
  <si>
    <t>Q9UPY8_MAPRE3</t>
  </si>
  <si>
    <t>Q9UPY8-2_MAPRE3</t>
  </si>
  <si>
    <t>Q9UQ13-2_SHOC2</t>
  </si>
  <si>
    <t>Q9UQ35_SRRM2</t>
  </si>
  <si>
    <t>Q9UQ53-2_MGAT4B</t>
  </si>
  <si>
    <t>Q9UQ80_PA2G4</t>
  </si>
  <si>
    <t>Q9UQ90_SPG7</t>
  </si>
  <si>
    <t>Q9UQE7_SMC3</t>
  </si>
  <si>
    <t>Q9UQN3_CHMP2B</t>
  </si>
  <si>
    <t>Q9UQR0_SCML2</t>
  </si>
  <si>
    <t>Q9Y217_MTMR6</t>
  </si>
  <si>
    <t>Q9Y224_C14orf166</t>
  </si>
  <si>
    <t>Q9Y230_RUVBL2</t>
  </si>
  <si>
    <t>Q9Y237_PIN4</t>
  </si>
  <si>
    <t>Q9Y242_TCF19</t>
  </si>
  <si>
    <t>Q9Y243-2_AKT3</t>
  </si>
  <si>
    <t>Q9Y248_GINS2</t>
  </si>
  <si>
    <t>Q9Y255_PRELID1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</si>
  <si>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</si>
  <si>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</si>
  <si>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</si>
  <si>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</si>
  <si>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</si>
  <si>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</si>
  <si>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</si>
  <si>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Q9Y294_ASF1A</t>
  </si>
  <si>
    <t>Q9Y295_DRG1</t>
  </si>
  <si>
    <t>Q9Y2A7_NCKAP1</t>
  </si>
  <si>
    <t>Q9Y2B0_CNPY2</t>
  </si>
  <si>
    <t>Q9Y2C2_UST</t>
  </si>
  <si>
    <t>Q9Y2D5-6_AKAP2</t>
  </si>
  <si>
    <t>Q9Y2G2-4_CARD8</t>
  </si>
  <si>
    <t>Q9Y2G5_POFUT2</t>
  </si>
  <si>
    <t>Q9Y2H0-1_DLGAP4</t>
  </si>
  <si>
    <t>Q9Y2H1_STK38L</t>
  </si>
  <si>
    <t>Q9Y2H6-2_FNDC3A</t>
  </si>
  <si>
    <t>Q9Y2J2_EPB41L3</t>
  </si>
  <si>
    <t>Q9Y2J2-2_EPB41L3</t>
  </si>
  <si>
    <t>Q9Y2K6_USP20</t>
  </si>
  <si>
    <t>Q9Y2K7-4_KDM2A</t>
  </si>
  <si>
    <t>Q9Y2L1_DIS3</t>
  </si>
  <si>
    <t>Q9Y2Q0-3_ATP8A1</t>
  </si>
  <si>
    <t>Q9Y2Q5_LAMTOR2</t>
  </si>
  <si>
    <t>Q9Y2R0_COA3</t>
  </si>
  <si>
    <t>Q9Y2S0_POLR1D</t>
  </si>
  <si>
    <t>Q9Y2S6_TMA7</t>
  </si>
  <si>
    <t>Q9Y2S7_POLDIP2</t>
  </si>
  <si>
    <t>Q9Y2U5_MAP3K2</t>
  </si>
  <si>
    <t>Q9Y2U8_LEMD3</t>
  </si>
  <si>
    <t>Q9Y2V2_CARHSP1</t>
  </si>
  <si>
    <t>Q9Y2V7-2_COG6</t>
  </si>
  <si>
    <t>Q9Y2W1_THRAP3</t>
  </si>
  <si>
    <t>Q9Y2X3_NOP58</t>
  </si>
  <si>
    <t>Q9Y2X7_GIT1</t>
  </si>
  <si>
    <t>Q9Y2Y1_POLR3K</t>
  </si>
  <si>
    <t>Q9Y2Z0-2_SUGT1</t>
  </si>
  <si>
    <t>Q9Y2Z2-5_MTO1</t>
  </si>
  <si>
    <t>Q9Y2Z4_YARS2</t>
  </si>
  <si>
    <t>Q9Y2Z9-3_COQ6</t>
  </si>
  <si>
    <t>Q9Y303-2_AMDHD2</t>
  </si>
  <si>
    <t>Q9Y305_ACOT9</t>
  </si>
  <si>
    <t>Q9Y314_NOSIP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</si>
  <si>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</si>
  <si>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</si>
  <si>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</si>
  <si>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</si>
  <si>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</si>
  <si>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</si>
  <si>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</si>
  <si>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Q9Y385_UBE2J1</t>
  </si>
  <si>
    <t>Q9Y394-2_DHRS7</t>
  </si>
  <si>
    <t>Q9Y3A3_MOB4</t>
  </si>
  <si>
    <t>Q9Y3A5_SBDS</t>
  </si>
  <si>
    <t>Q9Y3A6_TMED5</t>
  </si>
  <si>
    <t>Q9Y3B3-2_TMED7</t>
  </si>
  <si>
    <t>Q9Y3B4_SF3B14</t>
  </si>
  <si>
    <t>Q9Y3B7_MRPL11</t>
  </si>
  <si>
    <t>Q9Y3B9_RRP15</t>
  </si>
  <si>
    <t>Q9Y3C4_TPRKB</t>
  </si>
  <si>
    <t>Q9Y3C5_RNF11</t>
  </si>
  <si>
    <t>Q9Y3C6_PPIL1</t>
  </si>
  <si>
    <t>Q9Y3C8_UFC1</t>
  </si>
  <si>
    <t>Q9Y3D0_FAM96B</t>
  </si>
  <si>
    <t>Q9Y3D2_MSRB2</t>
  </si>
  <si>
    <t>Q9Y3D6_FIS1</t>
  </si>
  <si>
    <t>Q9Y3D8_TAF9</t>
  </si>
  <si>
    <t>Q9Y3E1_HDGFRP3</t>
  </si>
  <si>
    <t>Q9Y3E2_BOLA1</t>
  </si>
  <si>
    <t>Q9Y3E7-4_CHMP3</t>
  </si>
  <si>
    <t>Q9Y3F4_STRAP</t>
  </si>
  <si>
    <t>Q9Y3I0_C22orf28</t>
  </si>
  <si>
    <t>Q9Y3I1_FBXO7</t>
  </si>
  <si>
    <t>Q9Y3L5_RAP2C</t>
  </si>
  <si>
    <t>Q9Y3P9_RABGAP1</t>
  </si>
  <si>
    <t>Q9Y3Q8_TSC22D4</t>
  </si>
  <si>
    <t>Q9Y3S2_ZNF330</t>
  </si>
  <si>
    <t>Q9Y3T6_R3HCC1</t>
  </si>
  <si>
    <t>Q9Y3T9_NOC2L</t>
  </si>
  <si>
    <t>Q9Y3V2-2_RWDD3</t>
  </si>
  <si>
    <t>Q9Y3X0_CCDC9</t>
  </si>
  <si>
    <t>Q9Y3Z3-4_SAMHD1</t>
  </si>
  <si>
    <t>Q9Y448_KNSTRN</t>
  </si>
  <si>
    <t>Q9Y450-4_HBS1L</t>
  </si>
  <si>
    <t>Q9Y478_PRKAB1</t>
  </si>
  <si>
    <t>Q9Y490_TLN1</t>
  </si>
  <si>
    <t>Q9Y4B4_RAD54L2</t>
  </si>
  <si>
    <t>Q9Y4C1_KDM3A</t>
  </si>
  <si>
    <t>Q9Y4C2-2_FAM115A</t>
  </si>
  <si>
    <t>Q9Y4C4_MFHAS1</t>
  </si>
  <si>
    <t>Q9Y4D7-2_PLXND1</t>
  </si>
  <si>
    <t>Q9Y4E1-2_FAM21C</t>
  </si>
  <si>
    <t>Q9Y4E8_USP15</t>
  </si>
  <si>
    <t>Q9Y4G6_TLN2</t>
  </si>
  <si>
    <t>Q9Y4G8_RAPGEF2</t>
  </si>
  <si>
    <t>Q9Y4H2_IRS2</t>
  </si>
  <si>
    <t>Q9Y4K3_TRAF6</t>
  </si>
  <si>
    <t>Q9Y4K4_MAP4K5</t>
  </si>
  <si>
    <t>Q9Y4P1-6_ATG4B</t>
  </si>
  <si>
    <t>Q9Y4P8-3_WIPI2</t>
  </si>
  <si>
    <t>Q9Y4R8_TELO2</t>
  </si>
  <si>
    <t>Q9Y4U1_MMACHC</t>
  </si>
  <si>
    <t>Q9Y4W6_AFG3L2</t>
  </si>
  <si>
    <t>Q9Y4X5_ARIH1</t>
  </si>
  <si>
    <t>Q9Y4Z0_LSM4</t>
  </si>
  <si>
    <t>Q9Y508_RNF114</t>
  </si>
  <si>
    <t>Q9Y512_SAMM50</t>
  </si>
  <si>
    <t>Q9Y546_LRRC42</t>
  </si>
  <si>
    <t>Q9Y570_PPME1</t>
  </si>
  <si>
    <t>Q9Y584_TIMM22</t>
  </si>
  <si>
    <t>Q9Y597-3_KCTD3</t>
  </si>
  <si>
    <t>Q9Y5A9_YTHDF2</t>
  </si>
  <si>
    <t>Q9Y5B0_CTDP1</t>
  </si>
  <si>
    <t>Q9Y5B6-3_PAXBP1</t>
  </si>
  <si>
    <t>Q9Y5B8-2_NME7</t>
  </si>
  <si>
    <t>Q9Y5J5_PHLDA3</t>
  </si>
  <si>
    <t>Q9Y5J6_TIMM10B</t>
  </si>
  <si>
    <t>Q9Y5J7_TIMM9</t>
  </si>
  <si>
    <t>Q9Y5K5-2_UCHL5</t>
  </si>
  <si>
    <t>Q9Y5K6_CD2AP</t>
  </si>
  <si>
    <t>Q9Y5K8_ATP6V1D</t>
  </si>
  <si>
    <t>Q9Y5L4_TIMM13</t>
  </si>
  <si>
    <t>Q9Y5M8_SRPRB</t>
  </si>
  <si>
    <t>Q9Y5N5_N6AMT1</t>
  </si>
  <si>
    <t>Q9Y5N6_ORC6</t>
  </si>
  <si>
    <t>Q9Y5P4-2_COL4A3BP</t>
  </si>
  <si>
    <t>Q9Y5P6_GMPPB</t>
  </si>
  <si>
    <t>Q9Y5Q8_GTF3C5</t>
  </si>
  <si>
    <t>Q9Y5Q9_GTF3C3</t>
  </si>
  <si>
    <t>Q9Y5S2_CDC42BPB</t>
  </si>
  <si>
    <t>Q9Y5S9_RBM8A</t>
  </si>
  <si>
    <t>Q9Y5U2-2_TSSC4</t>
  </si>
  <si>
    <t>Q9Y5V0_ZNF706</t>
  </si>
  <si>
    <t>Q9Y5V3_MAGED1</t>
  </si>
  <si>
    <t>Q9Y5X1_SNX9</t>
  </si>
  <si>
    <t>Q9Y5X2_SNX8</t>
  </si>
  <si>
    <t>Q9Y5X3_SNX5</t>
  </si>
  <si>
    <t>Q9Y5Y0_FLVCR1</t>
  </si>
  <si>
    <t>Q9Y5Y2_NUBP2</t>
  </si>
  <si>
    <t>Q9Y5Z4_HEBP2</t>
  </si>
  <si>
    <t>Q9Y5Z9-2_UBIAD1</t>
  </si>
  <si>
    <t>Q9Y605_MRFAP1</t>
  </si>
  <si>
    <t>Q9Y608-4_LRRFIP2</t>
  </si>
  <si>
    <t>Q9Y613_FHOD1</t>
  </si>
  <si>
    <t>Q9Y617_PSAT1</t>
  </si>
  <si>
    <t>Q9Y619_SLC25A15</t>
  </si>
  <si>
    <t>Q9Y639-1_NPTN</t>
  </si>
  <si>
    <t>Q9Y673_ALG5</t>
  </si>
  <si>
    <t>Q9Y678_COPG1</t>
  </si>
  <si>
    <t>Q9Y679-2_AUP1</t>
  </si>
  <si>
    <t>Q9Y680-3_FKBP7</t>
  </si>
  <si>
    <t>Q9Y692-2_GMEB1</t>
  </si>
  <si>
    <t>Q9Y696_CLIC4</t>
  </si>
  <si>
    <t>Q9Y697-2_NFS1</t>
  </si>
  <si>
    <t>Q9Y6A4_C16orf80</t>
  </si>
  <si>
    <t>Q9Y6A5_TACC3</t>
  </si>
  <si>
    <t>Q9Y6B6_SAR1B</t>
  </si>
  <si>
    <t>Q9Y6C9_MTCH2</t>
  </si>
  <si>
    <t>Q9Y6D5_ARFGEF2</t>
  </si>
  <si>
    <t>Q9Y6D6_ARFGEF1</t>
  </si>
  <si>
    <t>Q9Y6D9_MAD1L1</t>
  </si>
  <si>
    <t>Q9Y6G9_DYNC1LI1</t>
  </si>
  <si>
    <t>Q9Y6H1_CHCHD2</t>
  </si>
  <si>
    <t>Q9Y6I3-3_EPN1</t>
  </si>
  <si>
    <t>Q9Y6I9_TEX264</t>
  </si>
  <si>
    <t>Q9Y6K0_CEPT1</t>
  </si>
  <si>
    <t>Q9Y6K9_IKBKG</t>
  </si>
  <si>
    <t>Q9Y6M5_SLC30A1</t>
  </si>
  <si>
    <t>Q9Y6N1_COX11</t>
  </si>
  <si>
    <t>Q9Y6N7-6_ROBO1</t>
  </si>
  <si>
    <t>Q9Y6Q2_STON1</t>
  </si>
  <si>
    <t>Q9Y6Q9-2_NCOA3</t>
  </si>
  <si>
    <t>Q9Y6R0_NUMBL</t>
  </si>
  <si>
    <t>Q9Y6V7_DDX49</t>
  </si>
  <si>
    <t>Q9Y6W3_CAPN7</t>
  </si>
  <si>
    <t>Q9Y6W5_WASF2</t>
  </si>
  <si>
    <t>Q9Y6X5_ENPP4</t>
  </si>
  <si>
    <t>Q9Y6X8_ZHX2</t>
  </si>
  <si>
    <t>R4GMN1_MOSPD2</t>
  </si>
  <si>
    <t>R4GMR5_PSMD8</t>
  </si>
  <si>
    <t>R4GMU8_LAMTOR5</t>
  </si>
  <si>
    <t>R4GMX3_BMI1</t>
  </si>
  <si>
    <t>R4GMZ8_FBXO44</t>
  </si>
  <si>
    <t>R4GN33_MAPKAPK5</t>
  </si>
  <si>
    <t>R4GN55_YTHDF3</t>
  </si>
  <si>
    <t>R4GNB2_DENND4C</t>
  </si>
  <si>
    <t>R4GNH3_PSMC3</t>
  </si>
  <si>
    <t>Melting_Curves/meltCurve_A0AVI4_TMEM129.pdf</t>
  </si>
  <si>
    <t>Melting_Curves/meltCurve_A0AVT1_UBA6.pdf</t>
  </si>
  <si>
    <t>Melting_Curves/meltCurve_A0FGR8_2_ESYT2.pdf</t>
  </si>
  <si>
    <t>Melting_Curves/meltCurve_A0JNW5_UHRF1BP1L.pdf</t>
  </si>
  <si>
    <t>Melting_Curves/meltCurve_A0MZ66_KIAA1598.pdf</t>
  </si>
  <si>
    <t>Melting_Curves/meltCurve_A0PJW6_TMEM223.pdf</t>
  </si>
  <si>
    <t>Melting_Curves/meltCurve_A1L0T0_ILVBL.pdf</t>
  </si>
  <si>
    <t>Melting_Curves/meltCurve_A1L188_C17orf89.pdf</t>
  </si>
  <si>
    <t>Melting_Curves/meltCurve_A1X283_SH3PXD2B.pdf</t>
  </si>
  <si>
    <t>Melting_Curves/meltCurve_A1Z1Q3_2_MACROD2.pdf</t>
  </si>
  <si>
    <t>Melting_Curves/meltCurve_A2A274_ACO2.pdf</t>
  </si>
  <si>
    <t>Melting_Curves/meltCurve_A2A2G5_GGT7.pdf</t>
  </si>
  <si>
    <t>Melting_Curves/meltCurve_A2A2Q9_AAR2.pdf</t>
  </si>
  <si>
    <t>Melting_Curves/meltCurve_A2AEA2_HLA_C.pdf</t>
  </si>
  <si>
    <t>Melting_Curves/meltCurve_A2RU67_KIAA1467.pdf</t>
  </si>
  <si>
    <t>Melting_Curves/meltCurve_A3KFL4_EXOSC2.pdf</t>
  </si>
  <si>
    <t>Melting_Curves/meltCurve_A3KN83_3_SBNO1.pdf</t>
  </si>
  <si>
    <t>Melting_Curves/meltCurve_A4D126_2_ISPD.pdf</t>
  </si>
  <si>
    <t>Melting_Curves/meltCurve_A4D1S0_2_KLRG2.pdf</t>
  </si>
  <si>
    <t>Melting_Curves/meltCurve_A4D1U4_LCHN.pdf</t>
  </si>
  <si>
    <t>Melting_Curves/meltCurve_A4D2B0_MBLAC1.pdf</t>
  </si>
  <si>
    <t>Melting_Curves/meltCurve_A6H8Z3_RAB3GAP1.pdf</t>
  </si>
  <si>
    <t>Melting_Curves/meltCurve_A6ND99_HS2ST1.pdf</t>
  </si>
  <si>
    <t>Melting_Curves/meltCurve_A6NDB9_PALM3.pdf</t>
  </si>
  <si>
    <t>Melting_Curves/meltCurve_A6NDG6_PGP.pdf</t>
  </si>
  <si>
    <t>Melting_Curves/meltCurve_A6NDU8_C5orf51.pdf</t>
  </si>
  <si>
    <t>Melting_Curves/meltCurve_A6NED2_RCCD1.pdf</t>
  </si>
  <si>
    <t>Melting_Curves/meltCurve_A6NEM2_HCFC1.pdf</t>
  </si>
  <si>
    <t>Melting_Curves/meltCurve_A6NEM5_PIGK.pdf</t>
  </si>
  <si>
    <t>Melting_Curves/meltCurve_A6NF31_OFD1.pdf</t>
  </si>
  <si>
    <t>Melting_Curves/meltCurve_A6NF48_ZNF281.pdf</t>
  </si>
  <si>
    <t>Melting_Curves/meltCurve_A6NG32_CHMP1A.pdf</t>
  </si>
  <si>
    <t>Melting_Curves/meltCurve_A6NG79_PRCC.pdf</t>
  </si>
  <si>
    <t>Melting_Curves/meltCurve_A6NGB9_WIPF3.pdf</t>
  </si>
  <si>
    <t>Melting_Curves/meltCurve_A6NGC4_TLCD2.pdf</t>
  </si>
  <si>
    <t>Melting_Curves/meltCurve_A6NGP5_HN1L.pdf</t>
  </si>
  <si>
    <t>Melting_Curves/meltCurve_A6NHL2_2_TUBAL3.pdf</t>
  </si>
  <si>
    <t>Melting_Curves/meltCurve_A6NHR9_SMCHD1.pdf</t>
  </si>
  <si>
    <t>Melting_Curves/meltCurve_A6NIH7_UNC119B.pdf</t>
  </si>
  <si>
    <t>Melting_Curves/meltCurve_A6NJ78_METTL15.pdf</t>
  </si>
  <si>
    <t>Melting_Curves/meltCurve_A6NK58_LIPT2.pdf</t>
  </si>
  <si>
    <t>Melting_Curves/meltCurve_A6NKB8_RNPEP.pdf</t>
  </si>
  <si>
    <t>Melting_Curves/meltCurve_A6NKD9_CCDC85C.pdf</t>
  </si>
  <si>
    <t>Melting_Curves/meltCurve_A6NKZ2_RENBP.pdf</t>
  </si>
  <si>
    <t>Melting_Curves/meltCurve_A6NL54_ZMYM3.pdf</t>
  </si>
  <si>
    <t>Melting_Curves/meltCurve_A6NLP3_TRIM5.pdf</t>
  </si>
  <si>
    <t>Melting_Curves/meltCurve_A6NMH6_SEPT8.pdf</t>
  </si>
  <si>
    <t>Melting_Curves/meltCurve_A6NML8_DIAPH2.pdf</t>
  </si>
  <si>
    <t>Melting_Curves/meltCurve_A6NMN0_PHKA1.pdf</t>
  </si>
  <si>
    <t>Melting_Curves/meltCurve_A6NMQ1_POLA1.pdf</t>
  </si>
  <si>
    <t>Melting_Curves/meltCurve_A6NN80_ANXA6.pdf</t>
  </si>
  <si>
    <t>Melting_Curves/meltCurve_A6NNI4_CD9.pdf</t>
  </si>
  <si>
    <t>Melting_Curves/meltCurve_A6ZKI3_FAM127A.pdf</t>
  </si>
  <si>
    <t>Melting_Curves/meltCurve_A8K0B5_ZBTB8OS.pdf</t>
  </si>
  <si>
    <t>Melting_Curves/meltCurve_A8K0M9_SELK.pdf</t>
  </si>
  <si>
    <t>Melting_Curves/meltCurve_A8MPS7_YDJC.pdf</t>
  </si>
  <si>
    <t>Melting_Curves/meltCurve_A8MQ02_MLLT4.pdf</t>
  </si>
  <si>
    <t>Melting_Curves/meltCurve_A8MRB1_S100B.pdf</t>
  </si>
  <si>
    <t>Melting_Curves/meltCurve_A8MSH5_RTFDC1.pdf</t>
  </si>
  <si>
    <t>Melting_Curves/meltCurve_A8MTE9_TTC12.pdf</t>
  </si>
  <si>
    <t>Melting_Curves/meltCurve_A8MTY9_DSCR3.pdf</t>
  </si>
  <si>
    <t>Melting_Curves/meltCurve_A8MUM1_TSSC1.pdf</t>
  </si>
  <si>
    <t>Melting_Curves/meltCurve_A8MVQ8_GGPS1.pdf</t>
  </si>
  <si>
    <t>Melting_Curves/meltCurve_A8MVW0_FAM171A2.pdf</t>
  </si>
  <si>
    <t>Melting_Curves/meltCurve_A8MWY0_KIAA1324L.pdf</t>
  </si>
  <si>
    <t>Melting_Curves/meltCurve_A8MX75_ERCC2.pdf</t>
  </si>
  <si>
    <t>Melting_Curves/meltCurve_A8MXE8_RAI1.pdf</t>
  </si>
  <si>
    <t>Melting_Curves/meltCurve_A8MXP9_MATR3.pdf</t>
  </si>
  <si>
    <t>Melting_Curves/meltCurve_A8MXQ1_PTTG1IP.pdf</t>
  </si>
  <si>
    <t>Melting_Curves/meltCurve_A8MXV4_NUDT19.pdf</t>
  </si>
  <si>
    <t>Melting_Curves/meltCurve_A8MYQ9_RAB34.pdf</t>
  </si>
  <si>
    <t>Melting_Curves/meltCurve_A8MYT4_PIK3C3.pdf</t>
  </si>
  <si>
    <t>Melting_Curves/meltCurve_A9UHW6_MIF4GD.pdf</t>
  </si>
  <si>
    <t>Melting_Curves/meltCurve_B0AZU2_KIAA0930.pdf</t>
  </si>
  <si>
    <t>Melting_Curves/meltCurve_B0FLL2_PFKFB2.pdf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</si>
  <si>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</si>
  <si>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</si>
  <si>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</si>
  <si>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</si>
  <si>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Melting_Curves/meltCurve_B0QZ18_CPNE1.pdf</t>
  </si>
  <si>
    <t>Melting_Curves/meltCurve_B0QZ40_COMMD6.pdf</t>
  </si>
  <si>
    <t>Melting_Curves/meltCurve_B0UX83_BAG6.pdf</t>
  </si>
  <si>
    <t>Melting_Curves/meltCurve_B0UXB6_ABHD16A.pdf</t>
  </si>
  <si>
    <t>Melting_Curves/meltCurve_B0V043_VARS.pdf</t>
  </si>
  <si>
    <t>Melting_Curves/meltCurve_B0V109_FLOT1.pdf</t>
  </si>
  <si>
    <t>Melting_Curves/meltCurve_B0YIW2_APOC3.pdf</t>
  </si>
  <si>
    <t>Melting_Curves/meltCurve_B1AH87_TSPO.pdf</t>
  </si>
  <si>
    <t>Melting_Curves/meltCurve_B1AHD1_NHP2L1.pdf</t>
  </si>
  <si>
    <t>Melting_Curves/meltCurve_B1AHQ6_CENPM.pdf</t>
  </si>
  <si>
    <t>Melting_Curves/meltCurve_B1AK13_HMGCL.pdf</t>
  </si>
  <si>
    <t>Melting_Curves/meltCurve_B1AKC9_EPHB2.pdf</t>
  </si>
  <si>
    <t>Melting_Curves/meltCurve_B1AKJ5_NRD1.pdf</t>
  </si>
  <si>
    <t>Melting_Curves/meltCurve_B1AKR6_DYNLRB1.pdf</t>
  </si>
  <si>
    <t>Melting_Curves/meltCurve_B1AKZ5_PEA15.pdf</t>
  </si>
  <si>
    <t>Melting_Curves/meltCurve_B1ALH6_PHYH.pdf</t>
  </si>
  <si>
    <t>Melting_Curves/meltCurve_B1ALM5_TMEM9.pdf</t>
  </si>
  <si>
    <t>Melting_Curves/meltCurve_B1AMS2_SEPT6.pdf</t>
  </si>
  <si>
    <t>Melting_Curves/meltCurve_B1AMU7_EXOSC1.pdf</t>
  </si>
  <si>
    <t>Melting_Curves/meltCurve_B1AN99_PRSS3.pdf</t>
  </si>
  <si>
    <t>Melting_Curves/meltCurve_B1ANH0_GUK1.pdf</t>
  </si>
  <si>
    <t>Melting_Curves/meltCurve_B1AQP1_USF1.pdf</t>
  </si>
  <si>
    <t>Melting_Curves/meltCurve_B1AUU8_EPS15.pdf</t>
  </si>
  <si>
    <t>Melting_Curves/meltCurve_B3KP81_MEIS2.pdf</t>
  </si>
  <si>
    <t>Melting_Curves/meltCurve_B3KS98_EIF3S3.pdf</t>
  </si>
  <si>
    <t>Melting_Curves/meltCurve_B3KSH1_EIF3F.pdf</t>
  </si>
  <si>
    <t>Melting_Curves/meltCurve_B3KSI3_BCAT2.pdf</t>
  </si>
  <si>
    <t>Melting_Curves/meltCurve_B3KSI9_LZTFL1.pdf</t>
  </si>
  <si>
    <t>Melting_Curves/meltCurve_B3KSJ7_DCLRE1C.pdf</t>
  </si>
  <si>
    <t>Melting_Curves/meltCurve_B3KVH8_PHF23.pdf</t>
  </si>
  <si>
    <t>Melting_Curves/meltCurve_B3KVZ3_CENPH.pdf</t>
  </si>
  <si>
    <t>Melting_Curves/meltCurve_B3KWN8_PYROXD1.pdf</t>
  </si>
  <si>
    <t>Melting_Curves/meltCurve_B3KY83_RXRA.pdf</t>
  </si>
  <si>
    <t>Melting_Curves/meltCurve_B3KY94_CDIPT.pdf</t>
  </si>
  <si>
    <t>Melting_Curves/meltCurve_B3V0L1_ARL6IP4.pdf</t>
  </si>
  <si>
    <t>Melting_Curves/meltCurve_B4DDF4_CNN2.pdf</t>
  </si>
  <si>
    <t>Melting_Curves/meltCurve_B4DDY8_HARS2.pdf</t>
  </si>
  <si>
    <t>Melting_Curves/meltCurve_B4DE60_REEP2.pdf</t>
  </si>
  <si>
    <t>Melting_Curves/meltCurve_B4DEK4_SNX2.pdf</t>
  </si>
  <si>
    <t>Melting_Curves/meltCurve_B4DEZ3_NDUFA13.pdf</t>
  </si>
  <si>
    <t>Melting_Curves/meltCurve_B4DFF2_SLC17A5.pdf</t>
  </si>
  <si>
    <t>Melting_Curves/meltCurve_B4DFI9_HUS1.pdf</t>
  </si>
  <si>
    <t>Melting_Curves/meltCurve_B4DGU4_CTNNB1.pdf</t>
  </si>
  <si>
    <t>Melting_Curves/meltCurve_B4DGX2_PIP4K2A.pdf</t>
  </si>
  <si>
    <t>Melting_Curves/meltCurve_B4DH53_MAP1S.pdf</t>
  </si>
  <si>
    <t>Melting_Curves/meltCurve_B4DIG7_PIP5K1B.pdf</t>
  </si>
  <si>
    <t>Melting_Curves/meltCurve_B4DJA5_RAB5A.pdf</t>
  </si>
  <si>
    <t>Melting_Curves/meltCurve_B4DJN2_SLC25A14.pdf</t>
  </si>
  <si>
    <t>Melting_Curves/meltCurve_B4DJP7_SNRPD3.pdf</t>
  </si>
  <si>
    <t>Melting_Curves/meltCurve_B4DJV2_CS.pdf</t>
  </si>
  <si>
    <t>Melting_Curves/meltCurve_B4DK44_NAPB.pdf</t>
  </si>
  <si>
    <t>Melting_Curves/meltCurve_B4DKB2_ECE1.pdf</t>
  </si>
  <si>
    <t>Melting_Curves/meltCurve_B4DKF9_ZNF286A.pdf</t>
  </si>
  <si>
    <t>Melting_Curves/meltCurve_B4DKL4_LSR.pdf</t>
  </si>
  <si>
    <t>Melting_Curves/meltCurve_B4DL54_CHURC1_FNTB.pdf</t>
  </si>
  <si>
    <t>Melting_Curves/meltCurve_B4DL79_KIF20A.pdf</t>
  </si>
  <si>
    <t>Melting_Curves/meltCurve_B4DLH2_C2orf18.pdf</t>
  </si>
  <si>
    <t>Melting_Curves/meltCurve_B4DLN1_SLC25A10.pdf</t>
  </si>
  <si>
    <t>Melting_Curves/meltCurve_B4DLT4_RPS6KB1.pdf</t>
  </si>
  <si>
    <t>Melting_Curves/meltCurve_B4DLW8_DDX5.pdf</t>
  </si>
  <si>
    <t>Melting_Curves/meltCurve_B4DLZ9_RNF220.pdf</t>
  </si>
  <si>
    <t>Melting_Curves/meltCurve_B4DM89_BSDC1.pdf</t>
  </si>
  <si>
    <t>Melting_Curves/meltCurve_B4DME9_KLC4.pdf</t>
  </si>
  <si>
    <t>Melting_Curves/meltCurve_B4DMU4_FAM45A.pdf</t>
  </si>
  <si>
    <t>Melting_Curves/meltCurve_B4DMX0_KDSR.pdf</t>
  </si>
  <si>
    <t>Melting_Curves/meltCurve_B4DP21_PTGES3.pdf</t>
  </si>
  <si>
    <t>Melting_Curves/meltCurve_B4DP38_WDR77.pdf</t>
  </si>
  <si>
    <t>Melting_Curves/meltCurve_B4DP61_SMN1.pdf</t>
  </si>
  <si>
    <t>Melting_Curves/meltCurve_B4DPY5_SNX11.pdf</t>
  </si>
  <si>
    <t>Melting_Curves/meltCurve_B4DQJ8_PGD.pdf</t>
  </si>
  <si>
    <t>Melting_Curves/meltCurve_B4DR03_NAA40.pdf</t>
  </si>
  <si>
    <t>Melting_Curves/meltCurve_B4DR12_MGRN1.pdf</t>
  </si>
  <si>
    <t>Melting_Curves/meltCurve_B4DR61_SEC61A1.pdf</t>
  </si>
  <si>
    <t>Melting_Curves/meltCurve_B4DR80_STK24.pdf</t>
  </si>
  <si>
    <t>Melting_Curves/meltCurve_B4DR94_YKT6.pdf</t>
  </si>
  <si>
    <t>Melting_Curves/meltCurve_B4DRN7_C2CD5.pdf</t>
  </si>
  <si>
    <t>Melting_Curves/meltCurve_B4DSD4_C9orf41.pdf</t>
  </si>
  <si>
    <t>Melting_Curves/meltCurve_B4DT77_ANXA7.pdf</t>
  </si>
  <si>
    <t>Melting_Curves/meltCurve_B4DUS9_BPNT1.pdf</t>
  </si>
  <si>
    <t>Melting_Curves/meltCurve_B4DVE7_ANXA11.pdf</t>
  </si>
  <si>
    <t>Melting_Curves/meltCurve_B4DVY1_EIF3D.pdf</t>
  </si>
  <si>
    <t>Melting_Curves/meltCurve_B4DWA1_BAIAP2.pdf</t>
  </si>
  <si>
    <t>Melting_Curves/meltCurve_B4DWI1_HACL1.pdf</t>
  </si>
  <si>
    <t>Melting_Curves/meltCurve_B4DXZ6_FXR1.pdf</t>
  </si>
  <si>
    <t>Melting_Curves/meltCurve_B4DYB4_NUP35.pdf</t>
  </si>
  <si>
    <t>Melting_Curves/meltCurve_B4DZG7_ARL1.pdf</t>
  </si>
  <si>
    <t>Melting_Curves/meltCurve_B4DZH6_HDAC6.pdf</t>
  </si>
  <si>
    <t>Melting_Curves/meltCurve_B4DZP4_DYNC1LI2.pdf</t>
  </si>
  <si>
    <t>Melting_Curves/meltCurve_B4DZW6_RMDN1.pdf</t>
  </si>
  <si>
    <t>Melting_Curves/meltCurve_B4E0E3_TMEM134.pdf</t>
  </si>
  <si>
    <t>Melting_Curves/meltCurve_B4E0G4_PHF6.pdf</t>
  </si>
  <si>
    <t>Melting_Curves/meltCurve_B4E0T2_PEX5.pdf</t>
  </si>
  <si>
    <t>Melting_Curves/meltCurve_B4E0V0_PNPO.pdf</t>
  </si>
  <si>
    <t>Melting_Curves/meltCurve_B4E0Y9_MST4.pdf</t>
  </si>
  <si>
    <t>Melting_Curves/meltCurve_B4E241_SFRS3.pdf</t>
  </si>
  <si>
    <t>Melting_Curves/meltCurve_B4E2W0_HADHB.pdf</t>
  </si>
  <si>
    <t>Melting_Curves/meltCurve_B4E2X3_METTL13.pdf</t>
  </si>
  <si>
    <t>Melting_Curves/meltCurve_B4E3E5_DVL3.pdf</t>
  </si>
  <si>
    <t>Melting_Curves/meltCurve_B5AK60_ABCB1.pdf</t>
  </si>
  <si>
    <t>Melting_Curves/meltCurve_B5MBW9_CHCHD10.pdf</t>
  </si>
  <si>
    <t>Melting_Curves/meltCurve_B5MBX5_LBH.pdf</t>
  </si>
  <si>
    <t>Melting_Curves/meltCurve_B5MBZ0_EML4.pdf</t>
  </si>
  <si>
    <t>Melting_Curves/meltCurve_B5MCD7_SYNGR1.pdf</t>
  </si>
  <si>
    <t>Melting_Curves/meltCurve_B5MCF9_PES1.pdf</t>
  </si>
  <si>
    <t>Melting_Curves/meltCurve_B5MCN7_NCOA1.pdf</t>
  </si>
  <si>
    <t>Melting_Curves/meltCurve_B5MCX3_SEPT2.pdf</t>
  </si>
  <si>
    <t>Melting_Curves/meltCurve_B5MD46_TBC1D10A.pdf</t>
  </si>
  <si>
    <t>Melting_Curves/meltCurve_B5MDE0_RFT1.pdf</t>
  </si>
  <si>
    <t>Melting_Curves/meltCurve_B5MDU3_PLEKHA8.pdf</t>
  </si>
  <si>
    <t>Melting_Curves/meltCurve_B5MDU6_C2orf43.pdf</t>
  </si>
  <si>
    <t>Melting_Curves/meltCurve_B7WP27_CWC22.pdf</t>
  </si>
  <si>
    <t>Melting_Curves/meltCurve_B7Z254_PDIA6.pdf</t>
  </si>
  <si>
    <t>Melting_Curves/meltCurve_B7Z291_MTMR9.pdf</t>
  </si>
  <si>
    <t>Melting_Curves/meltCurve_B7Z2B2_MFSD8.pdf</t>
  </si>
  <si>
    <t>Melting_Curves/meltCurve_B7Z2V9_CYTH3.pdf</t>
  </si>
  <si>
    <t>Melting_Curves/meltCurve_B7Z382_NT5C2.pdf</t>
  </si>
  <si>
    <t>Melting_Curves/meltCurve_B7Z385_CAP2.pdf</t>
  </si>
  <si>
    <t>Melting_Curves/meltCurve_B7Z3I9_ALAD.pdf</t>
  </si>
  <si>
    <t>Melting_Curves/meltCurve_B7Z3P1_TBCE.pdf</t>
  </si>
  <si>
    <t>Melting_Curves/meltCurve_B7Z456_GGA3.pdf</t>
  </si>
  <si>
    <t>Melting_Curves/meltCurve_B7Z463_NPEPPS.pdf</t>
  </si>
  <si>
    <t>Melting_Curves/meltCurve_B7Z4K6_DNASE2.pdf</t>
  </si>
  <si>
    <t>Melting_Curves/meltCurve_B7Z4U0_TOMM40L.pdf</t>
  </si>
  <si>
    <t>Melting_Curves/meltCurve_B7Z4W5_CCBL1.pdf</t>
  </si>
  <si>
    <t>Melting_Curves/meltCurve_B7Z5G4_STMN3.pdf</t>
  </si>
  <si>
    <t>Melting_Curves/meltCurve_B7Z5N5_SMAD2.pdf</t>
  </si>
  <si>
    <t>Melting_Curves/meltCurve_B7Z5W1_F11R.pdf</t>
  </si>
  <si>
    <t>Melting_Curves/meltCurve_B7Z5X7_WARS2.pdf</t>
  </si>
  <si>
    <t>Melting_Curves/meltCurve_B7Z683_ABR.pdf</t>
  </si>
  <si>
    <t>Melting_Curves/meltCurve_B7Z6M4_TNFAIP1.pdf</t>
  </si>
  <si>
    <t>Melting_Curves/meltCurve_B7Z7F3_RANBP3.pdf</t>
  </si>
  <si>
    <t>Melting_Curves/meltCurve_B7Z7X8_ATL2.pdf</t>
  </si>
  <si>
    <t>Melting_Curves/meltCurve_B7Z815_USP7.pdf</t>
  </si>
  <si>
    <t>Melting_Curves/meltCurve_B7Z817_DHCR24.pdf</t>
  </si>
  <si>
    <t>Melting_Curves/meltCurve_B7Z860_CCDC117.pdf</t>
  </si>
  <si>
    <t>Melting_Curves/meltCurve_B7Z8H2_TRDMT1.pdf</t>
  </si>
  <si>
    <t>Melting_Curves/meltCurve_B7Z9I1_ACADM.pdf</t>
  </si>
  <si>
    <t>Melting_Curves/meltCurve_B7Z9S8_ATP1B1.pdf</t>
  </si>
  <si>
    <t>Melting_Curves/meltCurve_B7ZC38_SH3GLB2.pdf</t>
  </si>
  <si>
    <t>Melting_Curves/meltCurve_B7ZKK9_PPP2R5E.pdf</t>
  </si>
  <si>
    <t>Melting_Curves/meltCurve_B7ZKQ9_SCARB1.pdf</t>
  </si>
  <si>
    <t>Melting_Curves/meltCurve_B7ZL88_COX18.pdf</t>
  </si>
  <si>
    <t>Melting_Curves/meltCurve_B7ZLZ2_EDEM3.pdf</t>
  </si>
  <si>
    <t>Melting_Curves/meltCurve_B8X2Z3_RLTPR.pdf</t>
  </si>
  <si>
    <t>Melting_Curves/meltCurve_B8ZZB8_CNRIP1.pdf</t>
  </si>
  <si>
    <t>Melting_Curves/meltCurve_B8ZZJ1_FAM126A.pdf</t>
  </si>
  <si>
    <t>Melting_Curves/meltCurve_B8ZZN6_SUMO1.pdf</t>
  </si>
  <si>
    <t>Melting_Curves/meltCurve_B8ZZQ6_PTMA.pdf</t>
  </si>
  <si>
    <t>Melting_Curves/meltCurve_B8ZZT9_SNX13.pdf</t>
  </si>
  <si>
    <t>Melting_Curves/meltCurve_B8ZZU8_TCEB2.pdf</t>
  </si>
  <si>
    <t>Melting_Curves/meltCurve_B8ZZY2_AGFG1.pdf</t>
  </si>
  <si>
    <t>Melting_Curves/meltCurve_B9A018_USP39.pdf</t>
  </si>
  <si>
    <t>Melting_Curves/meltCurve_B9A067_IMMT.pdf</t>
  </si>
  <si>
    <t>Melting_Curves/meltCurve_B9EGE7_ZNF507.pdf</t>
  </si>
  <si>
    <t>Melting_Curves/meltCurve_B9EGH5_PLCB2.pdf</t>
  </si>
  <si>
    <t>Melting_Curves/meltCurve_C0H5Y7_BAK1.pdf</t>
  </si>
  <si>
    <t>Melting_Curves/meltCurve_C1IDX9_ATG12.pdf</t>
  </si>
  <si>
    <t>Melting_Curves/meltCurve_C4AMC7_WASH3P.pdf</t>
  </si>
  <si>
    <t>Melting_Curves/meltCurve_C6GKU9_MED30S.pdf</t>
  </si>
  <si>
    <t>Melting_Curves/meltCurve_C9IYZ1_ASNSD1.pdf</t>
  </si>
  <si>
    <t>Melting_Curves/meltCurve_C9IZF6_PNPLA4.pdf</t>
  </si>
  <si>
    <t>Melting_Curves/meltCurve_C9IZZ8_ITGB1BP1.pdf</t>
  </si>
  <si>
    <t>Melting_Curves/meltCurve_C9J0F2_PCMT1.pdf</t>
  </si>
  <si>
    <t>Melting_Curves/meltCurve_C9J0I9_ZC3HC1.pdf</t>
  </si>
  <si>
    <t>Melting_Curves/meltCurve_C9J0J7_PFN2.pdf</t>
  </si>
  <si>
    <t>Melting_Curves/meltCurve_C9J0K6_SRI.pdf</t>
  </si>
  <si>
    <t>Melting_Curves/meltCurve_C9J0V9_ZNF655.pdf</t>
  </si>
  <si>
    <t>Melting_Curves/meltCurve_C9J173_INPP1.pdf</t>
  </si>
  <si>
    <t>Melting_Curves/meltCurve_C9J1K8_MEGF9.pdf</t>
  </si>
  <si>
    <t>Melting_Curves/meltCurve_C9J212_UBE2F.pdf</t>
  </si>
  <si>
    <t>Melting_Curves/meltCurve_C9J2P0_UBE2E1.pdf</t>
  </si>
  <si>
    <t>Melting_Curves/meltCurve_C9J2U4_TAMM41.pdf</t>
  </si>
  <si>
    <t>Melting_Curves/meltCurve_C9J2V2_IKBKG.pdf</t>
  </si>
  <si>
    <t>Melting_Curves/meltCurve_C9J3D7_CROT.pdf</t>
  </si>
  <si>
    <t>Melting_Curves/meltCurve_C9J3L7_REPIN1.pdf</t>
  </si>
  <si>
    <t>Melting_Curves/meltCurve_C9J3L8_SSR1.pdf</t>
  </si>
  <si>
    <t>Melting_Curves/meltCurve_C9J4M6_POLR2B.pdf</t>
  </si>
  <si>
    <t>Melting_Curves/meltCurve_C9J5C3_PDCD10.pdf</t>
  </si>
  <si>
    <t>Melting_Curves/meltCurve_C9J5X1_IGF1R.pdf</t>
  </si>
  <si>
    <t>Melting_Curves/meltCurve_C9J695_TANGO2.pdf</t>
  </si>
  <si>
    <t>Melting_Curves/meltCurve_C9J6Q8_TMEM98.pdf</t>
  </si>
  <si>
    <t>Melting_Curves/meltCurve_C9J712_PFN2.pdf</t>
  </si>
  <si>
    <t>Melting_Curves/meltCurve_C9J715_NISCH.pdf</t>
  </si>
  <si>
    <t>Melting_Curves/meltCurve_C9J7B7_PSMD6.pdf</t>
  </si>
  <si>
    <t>Melting_Curves/meltCurve_C9J7E5_TNPO3.pdf</t>
  </si>
  <si>
    <t>Melting_Curves/meltCurve_C9J7H8_LDHB.pdf</t>
  </si>
  <si>
    <t>Melting_Curves/meltCurve_C9J8Q5_ALDH5A1.pdf</t>
  </si>
  <si>
    <t>Melting_Curves/meltCurve_C9J9K3_RPSA.pdf</t>
  </si>
  <si>
    <t>Melting_Curves/meltCurve_C9JA08_NMD3.pdf</t>
  </si>
  <si>
    <t>Melting_Curves/meltCurve_C9JA28_SSR3.pdf</t>
  </si>
  <si>
    <t>Melting_Curves/meltCurve_C9JAB2_SRSF7.pdf</t>
  </si>
  <si>
    <t>Melting_Curves/meltCurve_C9JCC6_DRAP1.pdf</t>
  </si>
  <si>
    <t>Melting_Curves/meltCurve_C9JE12_TMUB1.pdf</t>
  </si>
  <si>
    <t>Melting_Curves/meltCurve_C9JEZ4_CDC42EP3.pdf</t>
  </si>
  <si>
    <t>Melting_Curves/meltCurve_C9JF58_OSCP1.pdf</t>
  </si>
  <si>
    <t>Melting_Curves/meltCurve_C9JFL8_TAF6.pdf</t>
  </si>
  <si>
    <t>Melting_Curves/meltCurve_C9JFR7_CYCS.pdf</t>
  </si>
  <si>
    <t>Melting_Curves/meltCurve_C9JG97_AAMP.pdf</t>
  </si>
  <si>
    <t>Melting_Curves/meltCurve_C9JIF9_APEH.pdf</t>
  </si>
  <si>
    <t>Melting_Curves/meltCurve_C9JIM0_PBLD.pdf</t>
  </si>
  <si>
    <t>Melting_Curves/meltCurve_C9JIZ6_PSAP.pdf</t>
  </si>
  <si>
    <t>Melting_Curves/meltCurve_C9JK10_ITGA6.pdf</t>
  </si>
  <si>
    <t>Melting_Curves/meltCurve_C9JKQ7_GART.pdf</t>
  </si>
  <si>
    <t>Melting_Curves/meltCurve_C9JLU1_POLR2H.pdf</t>
  </si>
  <si>
    <t>Melting_Curves/meltCurve_C9JLV4_APAF1.pdf</t>
  </si>
  <si>
    <t>Melting_Curves/meltCurve_C9JN15_PPIG.pdf</t>
  </si>
  <si>
    <t>Melting_Curves/meltCurve_C9JNA8_IP6K1.pdf</t>
  </si>
  <si>
    <t>Melting_Curves/meltCurve_C9JNE2_OARD1.pdf</t>
  </si>
  <si>
    <t>Melting_Curves/meltCurve_C9JNG9_COL6A3.pdf</t>
  </si>
  <si>
    <t>Melting_Curves/meltCurve_C9JP00_MBNL1.pdf</t>
  </si>
  <si>
    <t>Melting_Curves/meltCurve_C9JP16_CRTAP.pdf</t>
  </si>
  <si>
    <t>Melting_Curves/meltCurve_C9JP85_NRF1.pdf</t>
  </si>
  <si>
    <t>Melting_Curves/meltCurve_C9JPM4_ARF4.pdf</t>
  </si>
  <si>
    <t>Melting_Curves/meltCurve_C9JPP2_NKIRAS2.pdf</t>
  </si>
  <si>
    <t>Melting_Curves/meltCurve_C9JQB1_NME6.pdf</t>
  </si>
  <si>
    <t>Melting_Curves/meltCurve_C9JQV3_STK11IP.pdf</t>
  </si>
  <si>
    <t>Melting_Curves/meltCurve_C9JRY4_SEC22A.pdf</t>
  </si>
  <si>
    <t>Melting_Curves/meltCurve_C9JRZ6_CHCHD3.pdf</t>
  </si>
  <si>
    <t>Melting_Curves/meltCurve_C9JSG1_DPP8.pdf</t>
  </si>
  <si>
    <t>Melting_Curves/meltCurve_C9JT28_IL1RAP.pdf</t>
  </si>
  <si>
    <t>Melting_Curves/meltCurve_C9JUU5_LIPT1.pdf</t>
  </si>
  <si>
    <t>Melting_Curves/meltCurve_C9JWJ3_ST3GAL6.pdf</t>
  </si>
  <si>
    <t>Melting_Curves/meltCurve_C9JXB8_RPL24.pdf</t>
  </si>
  <si>
    <t>Melting_Curves/meltCurve_C9JYJ0_RAD51B.pdf</t>
  </si>
  <si>
    <t>Melting_Curves/meltCurve_C9JYM0_POP7.pdf</t>
  </si>
  <si>
    <t>Melting_Curves/meltCurve_C9JYQ9_RPL22L1.pdf</t>
  </si>
  <si>
    <t>Melting_Curves/meltCurve_C9JYY6_NRCAM.pdf</t>
  </si>
  <si>
    <t>Melting_Curves/meltCurve_C9JYY9_NUDT5.pdf</t>
  </si>
  <si>
    <t>Melting_Curves/meltCurve_C9JZB0_INPP5K.pdf</t>
  </si>
  <si>
    <t>Melting_Curves/meltCurve_C9JZP6_DHRS2.pdf</t>
  </si>
  <si>
    <t>Melting_Curves/meltCurve_C9JZY3_PCBP4.pdf</t>
  </si>
  <si>
    <t>Melting_Curves/meltCurve_C9K0J5_RAPH1.pdf</t>
  </si>
  <si>
    <t>Melting_Curves/meltCurve_D3YTB1_RPL32.pdf</t>
  </si>
  <si>
    <t>Melting_Curves/meltCurve_D3YTB5_IRAK1.pdf</t>
  </si>
  <si>
    <t>Melting_Curves/meltCurve_D6R9G1_CDK7.pdf</t>
  </si>
  <si>
    <t>Melting_Curves/meltCurve_D6R9U7_POLR3G.pdf</t>
  </si>
  <si>
    <t>Melting_Curves/meltCurve_D6R9X7_ERCC6.pdf</t>
  </si>
  <si>
    <t>Melting_Curves/meltCurve_D6R9Z7_COX7C.pdf</t>
  </si>
  <si>
    <t>Melting_Curves/meltCurve_D6RA26_PLRG1.pdf</t>
  </si>
  <si>
    <t>Melting_Curves/meltCurve_D6RAT0_RPS3A.pdf</t>
  </si>
  <si>
    <t>Melting_Curves/meltCurve_D6RB01_FAM169A.pdf</t>
  </si>
  <si>
    <t>Melting_Curves/meltCurve_D6RB84_UBE2J2.pdf</t>
  </si>
  <si>
    <t>Melting_Curves/meltCurve_D6RBS5_ELMOD2.pdf</t>
  </si>
  <si>
    <t>Melting_Curves/meltCurve_D6RBW1_EIF4E.pdf</t>
  </si>
  <si>
    <t>Melting_Curves/meltCurve_D6RCD0_HSD17B11.pdf</t>
  </si>
  <si>
    <t>Melting_Curves/meltCurve_D6RCD9_TMEM175.pdf</t>
  </si>
  <si>
    <t>Melting_Curves/meltCurve_D6RD46_LIMCH1.pdf</t>
  </si>
  <si>
    <t>Melting_Curves/meltCurve_D6RDX7_EMB.pdf</t>
  </si>
  <si>
    <t>Melting_Curves/meltCurve_D6RE84_ALG13.pdf</t>
  </si>
  <si>
    <t>Melting_Curves/meltCurve_D6REA0_PET112.pdf</t>
  </si>
  <si>
    <t>Melting_Curves/meltCurve_D6REL0_CDC42SE2.pdf</t>
  </si>
  <si>
    <t>Melting_Curves/meltCurve_D6REX3_SEC31A.pdf</t>
  </si>
  <si>
    <t>Melting_Curves/meltCurve_D6RF85_ZNF652.pdf</t>
  </si>
  <si>
    <t>Melting_Curves/meltCurve_D6RFG8_DCK.pdf</t>
  </si>
  <si>
    <t>Melting_Curves/meltCurve_D6RFH4_CYB5B.pdf</t>
  </si>
  <si>
    <t>Melting_Curves/meltCurve_D6RGI3_SEPT11.pdf</t>
  </si>
  <si>
    <t>Melting_Curves/meltCurve_D6RGJ7_SLC9B2.pdf</t>
  </si>
  <si>
    <t>Melting_Curves/meltCurve_D6RH26_CXorf40A.pdf</t>
  </si>
  <si>
    <t>Melting_Curves/meltCurve_D6RHD2_SPRY1.pdf</t>
  </si>
  <si>
    <t>Melting_Curves/meltCurve_D6RHD3_CENPK.pdf</t>
  </si>
  <si>
    <t>Melting_Curves/meltCurve_D6RHI9_RNASET2.pdf</t>
  </si>
  <si>
    <t>Melting_Curves/meltCurve_D6RIE3_COX7A2.pdf</t>
  </si>
  <si>
    <t>Melting_Curves/meltCurve_D6RJG8_RFESD.pdf</t>
  </si>
  <si>
    <t>Melting_Curves/meltCurve_D6W592_HNRPLL.pdf</t>
  </si>
  <si>
    <t>Melting_Curves/meltCurve_E2QRB3_PYCR1.pdf</t>
  </si>
  <si>
    <t>Melting_Curves/meltCurve_E2QRD5_C15orf38_AP3S2.pdf</t>
  </si>
  <si>
    <t>Melting_Curves/meltCurve_E2QRF9_GMNN.pdf</t>
  </si>
  <si>
    <t>Melting_Curves/meltCurve_E5KLJ5_OPA1.pdf</t>
  </si>
  <si>
    <t>Melting_Curves/meltCurve_E5RFJ1_NSMCE2.pdf</t>
  </si>
  <si>
    <t>Melting_Curves/meltCurve_E5RFQ1_EBF1.pdf</t>
  </si>
  <si>
    <t>Melting_Curves/meltCurve_E5RG13_IMPA1.pdf</t>
  </si>
  <si>
    <t>Melting_Curves/meltCurve_E5RG17_TATDN1.pdf</t>
  </si>
  <si>
    <t>Melting_Curves/meltCurve_E5RG64_SLC36A1.pdf</t>
  </si>
  <si>
    <t>Melting_Curves/meltCurve_E5RGX5_STMN2.pdf</t>
  </si>
  <si>
    <t>Melting_Curves/meltCurve_E5RHG8_TCEB1.pdf</t>
  </si>
  <si>
    <t>Melting_Curves/meltCurve_E5RHG9_UQCRB.pdf</t>
  </si>
  <si>
    <t>Melting_Curves/meltCurve_E5RHK6_HEY1.pdf</t>
  </si>
  <si>
    <t>Melting_Curves/meltCurve_E5RHT1_PSEN2.pdf</t>
  </si>
  <si>
    <t>Melting_Curves/meltCurve_E5RIH5_TTI2.pdf</t>
  </si>
  <si>
    <t>Melting_Curves/meltCurve_E5RIJ0_POLB.pdf</t>
  </si>
  <si>
    <t>Melting_Curves/meltCurve_E5RIY0_TMEM55A.pdf</t>
  </si>
  <si>
    <t>Melting_Curves/meltCurve_E5RJ29_PSD3.pdf</t>
  </si>
  <si>
    <t>Melting_Curves/meltCurve_E5RJ68_AP3B1.pdf</t>
  </si>
  <si>
    <t>Melting_Curves/meltCurve_E5RJ97_TRPS1.pdf</t>
  </si>
  <si>
    <t>Melting_Curves/meltCurve_E5RJ99_ZFAND1.pdf</t>
  </si>
  <si>
    <t>Melting_Curves/meltCurve_E5RJB8_SDC2.pdf</t>
  </si>
  <si>
    <t>Melting_Curves/meltCurve_E5RJJ3_NUDT18.pdf</t>
  </si>
  <si>
    <t>Melting_Curves/meltCurve_E5RJR5_SKP1.pdf</t>
  </si>
  <si>
    <t>Melting_Curves/meltCurve_E5RJS5_MTFR1.pdf</t>
  </si>
  <si>
    <t>Melting_Curves/meltCurve_E5RK82_CETN3.pdf</t>
  </si>
  <si>
    <t>Melting_Curves/meltCurve_E7EM64_COPS6.pdf</t>
  </si>
  <si>
    <t>Melting_Curves/meltCurve_E7EM93_NUDT12.pdf</t>
  </si>
  <si>
    <t>Melting_Curves/meltCurve_E7EMA9_ATHL1.pdf</t>
  </si>
  <si>
    <t>Melting_Curves/meltCurve_E7EMB1_SWAP70.pdf</t>
  </si>
  <si>
    <t>Melting_Curves/meltCurve_E7EMD6_AKAP10.pdf</t>
  </si>
  <si>
    <t>Melting_Curves/meltCurve_E7EMM4_ASAH1.pdf</t>
  </si>
  <si>
    <t>Melting_Curves/meltCurve_E7EMW7_UBR5.pdf</t>
  </si>
  <si>
    <t>Melting_Curves/meltCurve_E7EMX7_RAI14.pdf</t>
  </si>
  <si>
    <t>Melting_Curves/meltCurve_E7EMZ9_TACC2.pdf</t>
  </si>
  <si>
    <t>Melting_Curves/meltCurve_E7EN86_ZNF143.pdf</t>
  </si>
  <si>
    <t>Melting_Curves/meltCurve_E7ENA9_NCSTN.pdf</t>
  </si>
  <si>
    <t>Melting_Curves/meltCurve_E7ENN3_SYNE1.pdf</t>
  </si>
  <si>
    <t>Melting_Curves/meltCurve_E7ENR4_HK1.pdf</t>
  </si>
  <si>
    <t>Melting_Curves/meltCurve_E7EP87_NARF.pdf</t>
  </si>
  <si>
    <t>Melting_Curves/meltCurve_E7EPB3_RPL14.pdf</t>
  </si>
  <si>
    <t>Melting_Curves/meltCurve_E7EPC6_CD44.pdf</t>
  </si>
  <si>
    <t>Melting_Curves/meltCurve_E7EPD0_TOM1.pdf</t>
  </si>
  <si>
    <t>Melting_Curves/meltCurve_E7EPL4_PDXDC1.pdf</t>
  </si>
  <si>
    <t>Melting_Curves/meltCurve_E7EPN9_PRRC2C.pdf</t>
  </si>
  <si>
    <t>Melting_Curves/meltCurve_E7EPT4_NDUFV2.pdf</t>
  </si>
  <si>
    <t>Melting_Curves/meltCurve_E7EPV7_SNCA.pdf</t>
  </si>
  <si>
    <t>Melting_Curves/meltCurve_E7EPY1_TNIP1.pdf</t>
  </si>
  <si>
    <t>Melting_Curves/meltCurve_E7EQ29_GLB1.pdf</t>
  </si>
  <si>
    <t>Melting_Curves/meltCurve_E7EQ69_NAA50.pdf</t>
  </si>
  <si>
    <t>Melting_Curves/meltCurve_E7EQ72_TMED2.pdf</t>
  </si>
  <si>
    <t>Melting_Curves/meltCurve_E7EQN6_SENP6.pdf</t>
  </si>
  <si>
    <t>Melting_Curves/meltCurve_E7EQR8_YIPF3.pdf</t>
  </si>
  <si>
    <t>Melting_Curves/meltCurve_E7EQR9_DMD.pdf</t>
  </si>
  <si>
    <t>Melting_Curves/meltCurve_E7EQT4_ACIN1.pdf</t>
  </si>
  <si>
    <t>Melting_Curves/meltCurve_E7EQX7_TP53.pdf</t>
  </si>
  <si>
    <t>Melting_Curves/meltCurve_E7EQY1_FAM136A.pdf</t>
  </si>
  <si>
    <t>Melting_Curves/meltCurve_E7ER60_SYNJ2.pdf</t>
  </si>
  <si>
    <t>Melting_Curves/meltCurve_E7ER77_ERMP1.pdf</t>
  </si>
  <si>
    <t>Melting_Curves/meltCurve_E7ER89_PAPSS2.pdf</t>
  </si>
  <si>
    <t>Melting_Curves/meltCurve_E7ERB7_GMIP.pdf</t>
  </si>
  <si>
    <t>Melting_Curves/meltCurve_E7ERC6_ATP2C1.pdf</t>
  </si>
  <si>
    <t>Melting_Curves/meltCurve_E7ERI8_CLASP2.pdf</t>
  </si>
  <si>
    <t>Melting_Curves/meltCurve_E7ERK9_EIF2B4.pdf</t>
  </si>
  <si>
    <t>Melting_Curves/meltCurve_E7ERL6_MAST2.pdf</t>
  </si>
  <si>
    <t>Melting_Curves/meltCurve_E7ERS3_ZC3H18.pdf</t>
  </si>
  <si>
    <t>Melting_Curves/meltCurve_E7ES35_TTC38.pdf</t>
  </si>
  <si>
    <t>Melting_Curves/meltCurve_E7ES43_HSPA4L.pdf</t>
  </si>
  <si>
    <t>Melting_Curves/meltCurve_E7ES96_PSEN1.pdf</t>
  </si>
  <si>
    <t>Melting_Curves/meltCurve_E7ESG2_CLSPN.pdf</t>
  </si>
  <si>
    <t>Melting_Curves/meltCurve_E7ESP4_ITGA2.pdf</t>
  </si>
  <si>
    <t>Melting_Curves/meltCurve_E7ESP9_NEFM.pdf</t>
  </si>
  <si>
    <t>Melting_Curves/meltCurve_E7EST9_USP19.pdf</t>
  </si>
  <si>
    <t>Melting_Curves/meltCurve_E7ESZ7_NDUFA10.pdf</t>
  </si>
  <si>
    <t>Melting_Curves/meltCurve_E7ET49_DAGLB.pdf</t>
  </si>
  <si>
    <t>Melting_Curves/meltCurve_E7ET89_DTX2.pdf</t>
  </si>
  <si>
    <t>Melting_Curves/meltCurve_E7ETB3_DNPEP.pdf</t>
  </si>
  <si>
    <t>Melting_Curves/meltCurve_E7ETE0_METTL8.pdf</t>
  </si>
  <si>
    <t>Melting_Curves/meltCurve_E7ETU5_RBMS1.pdf</t>
  </si>
  <si>
    <t>Melting_Curves/meltCurve_E7ETU9_PLOD2.pdf</t>
  </si>
  <si>
    <t>Melting_Curves/meltCurve_E7ETY4_MARK2.pdf</t>
  </si>
  <si>
    <t>Melting_Curves/meltCurve_E7ETY7_GPX8.pdf</t>
  </si>
  <si>
    <t>Melting_Curves/meltCurve_E7ETZ0_CALM1.pdf</t>
  </si>
  <si>
    <t>Melting_Curves/meltCurve_E7ETZ4_BZW2.pdf</t>
  </si>
  <si>
    <t>Melting_Curves/meltCurve_E7EU09_FGFR1.pdf</t>
  </si>
  <si>
    <t>Melting_Curves/meltCurve_E7EU23_GDI2.pdf</t>
  </si>
  <si>
    <t>Melting_Curves/meltCurve_E7EU96_CSNK2A1.pdf</t>
  </si>
  <si>
    <t>Melting_Curves/meltCurve_E7EUC7_UGP2.pdf</t>
  </si>
  <si>
    <t>Melting_Curves/meltCurve_E7EUL7_SSFA2.pdf</t>
  </si>
  <si>
    <t>Melting_Curves/meltCurve_E7EUM5_NUP54.pdf</t>
  </si>
  <si>
    <t>Melting_Curves/meltCurve_E7EUU4_EIF4G1.pdf</t>
  </si>
  <si>
    <t>Melting_Curves/meltCurve_E7EUY3_PCCB.pdf</t>
  </si>
  <si>
    <t>Melting_Curves/meltCurve_E7EV56_PCM1.pdf</t>
  </si>
  <si>
    <t>Melting_Curves/meltCurve_E7EVA0_MAP4.pdf</t>
  </si>
  <si>
    <t>Melting_Curves/meltCurve_E7EVC7_ATG16L1.pdf</t>
  </si>
  <si>
    <t>Melting_Curves/meltCurve_E7EVD6_LPHN3.pdf</t>
  </si>
  <si>
    <t>Melting_Curves/meltCurve_E7EVH7_KLC1.pdf</t>
  </si>
  <si>
    <t>Melting_Curves/meltCurve_E7EVH9_HDHD1.pdf</t>
  </si>
  <si>
    <t>Melting_Curves/meltCurve_E7EVJ5_CYFIP2.pdf</t>
  </si>
  <si>
    <t>Melting_Curves/meltCurve_E7EVX8_PRPF31.pdf</t>
  </si>
  <si>
    <t>Melting_Curves/meltCurve_E7EW05_SDAD1.pdf</t>
  </si>
  <si>
    <t>Melting_Curves/meltCurve_E7EW20_MYO6.pdf</t>
  </si>
  <si>
    <t>Melting_Curves/meltCurve_E7EW32_MON1B.pdf</t>
  </si>
  <si>
    <t>Melting_Curves/meltCurve_E7EW59_SALL2.pdf</t>
  </si>
  <si>
    <t>Melting_Curves/meltCurve_E7EW69_SEPT10.pdf</t>
  </si>
  <si>
    <t>Melting_Curves/meltCurve_E7EW77_ABI2.pdf</t>
  </si>
  <si>
    <t>Melting_Curves/meltCurve_E7EW84_EXOC6.pdf</t>
  </si>
  <si>
    <t>Melting_Curves/meltCurve_E7EWM3_ZMIZ2.pdf</t>
  </si>
  <si>
    <t>Melting_Curves/meltCurve_E7EWP0_NDUFB5.pdf</t>
  </si>
  <si>
    <t>Melting_Curves/meltCurve_E7EX01_MPP2.pdf</t>
  </si>
  <si>
    <t>Melting_Curves/meltCurve_E7EX53_RPL15.pdf</t>
  </si>
  <si>
    <t>Melting_Curves/meltCurve_E7EX90_DCTN1.pdf</t>
  </si>
  <si>
    <t>Melting_Curves/meltCurve_E9PAU2_RAVER1.pdf</t>
  </si>
  <si>
    <t>Melting_Curves/meltCurve_E9PAV9_GPATCH4.pdf</t>
  </si>
  <si>
    <t>Melting_Curves/meltCurve_E9PB28_HES4.pdf</t>
  </si>
  <si>
    <t>Melting_Curves/meltCurve_E9PB61_ALYREF.pdf</t>
  </si>
  <si>
    <t>Melting_Curves/meltCurve_E9PB90_HK2.pdf</t>
  </si>
  <si>
    <t>Melting_Curves/meltCurve_E9PC15_AGK.pdf</t>
  </si>
  <si>
    <t>Melting_Curves/meltCurve_E9PC47_LIMK1.pdf</t>
  </si>
  <si>
    <t>Melting_Curves/meltCurve_E9PC74_EIF2B5.pdf</t>
  </si>
  <si>
    <t>Melting_Curves/meltCurve_E9PC84_TNC.pdf</t>
  </si>
  <si>
    <t>Melting_Curves/meltCurve_E9PCH4_FNIP1.pdf</t>
  </si>
  <si>
    <t>Melting_Curves/meltCurve_E9PCN2_GUCY1B3.pdf</t>
  </si>
  <si>
    <t>Melting_Curves/meltCurve_E9PCW1_GOSR1.pdf</t>
  </si>
  <si>
    <t>Melting_Curves/meltCurve_E9PCX3_ELF2.pdf</t>
  </si>
  <si>
    <t>Melting_Curves/meltCurve_E9PCY7_HNRNPH1.pdf</t>
  </si>
  <si>
    <t>Melting_Curves/meltCurve_E9PD53_SMC4.pdf</t>
  </si>
  <si>
    <t>Melting_Curves/meltCurve_E9PD90_CKAP2.pdf</t>
  </si>
  <si>
    <t>Melting_Curves/meltCurve_E9PD99_LRCH3.pdf</t>
  </si>
  <si>
    <t>Melting_Curves/meltCurve_E9PDF6_MYO1B.pdf</t>
  </si>
  <si>
    <t>Melting_Curves/meltCurve_E9PDJ1_CACNA1C.pdf</t>
  </si>
  <si>
    <t>Melting_Curves/meltCurve_E9PE47_SLC2A13.pdf</t>
  </si>
  <si>
    <t>Melting_Curves/meltCurve_E9PE82_ACADS.pdf</t>
  </si>
  <si>
    <t>Melting_Curves/meltCurve_E9PEJ6_ATP11A.pdf</t>
  </si>
  <si>
    <t>Melting_Curves/meltCurve_E9PEK8_ATF2.pdf</t>
  </si>
  <si>
    <t>Melting_Curves/meltCurve_E9PEN8_XPO7.pdf</t>
  </si>
  <si>
    <t>Melting_Curves/meltCurve_E9PEP6_NRP1.pdf</t>
  </si>
  <si>
    <t>Melting_Curves/meltCurve_E9PER1_DIP2A.pdf</t>
  </si>
  <si>
    <t>Melting_Curves/meltCurve_E9PER6_PDPK1.pdf</t>
  </si>
  <si>
    <t>Melting_Curves/meltCurve_E9PEZ3_DIAPH1.pdf</t>
  </si>
  <si>
    <t>Melting_Curves/meltCurve_E9PEZ5_KIAA1107.pdf</t>
  </si>
  <si>
    <t>Melting_Curves/meltCurve_E9PF10_NUP155.pdf</t>
  </si>
  <si>
    <t>Melting_Curves/meltCurve_E9PF16_ACSF2.pdf</t>
  </si>
  <si>
    <t>Melting_Curves/meltCurve_E9PF18_HADH.pdf</t>
  </si>
  <si>
    <t>Melting_Curves/meltCurve_E9PF19_TBL2.pdf</t>
  </si>
  <si>
    <t>Melting_Curves/meltCurve_E9PFD7_EGFR.pdf</t>
  </si>
  <si>
    <t>Melting_Curves/meltCurve_E9PFN5_GSTK1.pdf</t>
  </si>
  <si>
    <t>Melting_Curves/meltCurve_E9PFR3_PPP2R5D.pdf</t>
  </si>
  <si>
    <t>Melting_Curves/meltCurve_E9PFW2_MANBA.pdf</t>
  </si>
  <si>
    <t>Melting_Curves/meltCurve_E9PFW8_SQSTM1.pdf</t>
  </si>
  <si>
    <t>Melting_Curves/meltCurve_E9PG19_FCHSD2.pdf</t>
  </si>
  <si>
    <t>Melting_Curves/meltCurve_E9PG22_CEP97.pdf</t>
  </si>
  <si>
    <t>Melting_Curves/meltCurve_E9PG40_APP.pdf</t>
  </si>
  <si>
    <t>Melting_Curves/meltCurve_E9PG71_EPHA4.pdf</t>
  </si>
  <si>
    <t>Melting_Curves/meltCurve_E9PGC0_RASA1.pdf</t>
  </si>
  <si>
    <t>Melting_Curves/meltCurve_E9PGQ0_SLC25A44.pdf</t>
  </si>
  <si>
    <t>Melting_Curves/meltCurve_E9PGT1_TSN.pdf</t>
  </si>
  <si>
    <t>Melting_Curves/meltCurve_E9PGT3_RPS6KA1.pdf</t>
  </si>
  <si>
    <t>Melting_Curves/meltCurve_E9PGT6_COPS8.pdf</t>
  </si>
  <si>
    <t>Melting_Curves/meltCurve_E9PGW7_MED22.pdf</t>
  </si>
  <si>
    <t>Melting_Curves/meltCurve_E9PH29_PRDX3.pdf</t>
  </si>
  <si>
    <t>Melting_Curves/meltCurve_E9PHA2_NCAPH.pdf</t>
  </si>
  <si>
    <t>Melting_Curves/meltCurve_E9PHG5_CYP20A1.pdf</t>
  </si>
  <si>
    <t>Melting_Curves/meltCurve_E9PHK9_TCOF1.pdf</t>
  </si>
  <si>
    <t>Melting_Curves/meltCurve_E9PHN7_GSTM2.pdf</t>
  </si>
  <si>
    <t>Melting_Curves/meltCurve_E9PHV4_POLR2D.pdf</t>
  </si>
  <si>
    <t>Melting_Curves/meltCurve_E9PIE4_MTCH2.pdf</t>
  </si>
  <si>
    <t>Melting_Curves/meltCurve_E9PIN3_NXF1.pdf</t>
  </si>
  <si>
    <t>Melting_Curves/meltCurve_E9PIR7_TXNRD1.pdf</t>
  </si>
  <si>
    <t>Melting_Curves/meltCurve_E9PJ55_TCP11L1.pdf</t>
  </si>
  <si>
    <t>Melting_Curves/meltCurve_E9PJ81_UBXN1.pdf</t>
  </si>
  <si>
    <t>Melting_Curves/meltCurve_E9PJB8_VIMP.pdf</t>
  </si>
  <si>
    <t>Melting_Curves/meltCurve_E9PJD7_CYHR1.pdf</t>
  </si>
  <si>
    <t>Melting_Curves/meltCurve_E9PJH1_MKNK1.pdf</t>
  </si>
  <si>
    <t>Melting_Curves/meltCurve_E9PJK1_CD81.pdf</t>
  </si>
  <si>
    <t>Melting_Curves/meltCurve_E9PJW9_OSBPL9.pdf</t>
  </si>
  <si>
    <t>Melting_Curves/meltCurve_E9PK01_EEF1D.pdf</t>
  </si>
  <si>
    <t>Melting_Curves/meltCurve_E9PK12_FUZ.pdf</t>
  </si>
  <si>
    <t>Melting_Curves/meltCurve_E9PK91_BCLAF1.pdf</t>
  </si>
  <si>
    <t>Melting_Curves/meltCurve_E9PKA7_RCE1.pdf</t>
  </si>
  <si>
    <t>Melting_Curves/meltCurve_E9PKG1_PRMT1.pdf</t>
  </si>
  <si>
    <t>Melting_Curves/meltCurve_E9PKS9_TRAPPC4.pdf</t>
  </si>
  <si>
    <t>Melting_Curves/meltCurve_E9PKT4_TMEM123.pdf</t>
  </si>
  <si>
    <t>Melting_Curves/meltCurve_E9PKV8_TTC9C.pdf</t>
  </si>
  <si>
    <t>Melting_Curves/meltCurve_E9PKZ0_RPL8.pdf</t>
  </si>
  <si>
    <t>Melting_Curves/meltCurve_E9PL01_SPCS2.pdf</t>
  </si>
  <si>
    <t>Melting_Curves/meltCurve_E9PL10_BTF3L4.pdf</t>
  </si>
  <si>
    <t>Melting_Curves/meltCurve_E9PL17_CLP1.pdf</t>
  </si>
  <si>
    <t>Melting_Curves/meltCurve_E9PL22_HYOU1.pdf</t>
  </si>
  <si>
    <t>Melting_Curves/meltCurve_E9PL40_TSPAN18.pdf</t>
  </si>
  <si>
    <t>Melting_Curves/meltCurve_E9PL57_NEDD8_MDP1.pdf</t>
  </si>
  <si>
    <t>Melting_Curves/meltCurve_E9PLB8_EI24.pdf</t>
  </si>
  <si>
    <t>Melting_Curves/meltCurve_E9PLK3_NPEPPS.pdf</t>
  </si>
  <si>
    <t>Melting_Curves/meltCurve_E9PLL6_RPL27A.pdf</t>
  </si>
  <si>
    <t>Melting_Curves/meltCurve_E9PLV6_GPAA1.pdf</t>
  </si>
  <si>
    <t>Melting_Curves/meltCurve_E9PM46_USP47.pdf</t>
  </si>
  <si>
    <t>Melting_Curves/meltCurve_E9PMI6_CLNS1A.pdf</t>
  </si>
  <si>
    <t>Melting_Curves/meltCurve_E9PMJ2_FAM118B.pdf</t>
  </si>
  <si>
    <t>Melting_Curves/meltCurve_E9PMQ6_HSF1.pdf</t>
  </si>
  <si>
    <t>Melting_Curves/meltCurve_E9PMR5_MBP.pdf</t>
  </si>
  <si>
    <t>Melting_Curves/meltCurve_E9PND3_EBAG9.pdf</t>
  </si>
  <si>
    <t>Melting_Curves/meltCurve_E9PNK6_TPD52L1.pdf</t>
  </si>
  <si>
    <t>Melting_Curves/meltCurve_E9PNN3_PTS.pdf</t>
  </si>
  <si>
    <t>Melting_Curves/meltCurve_E9PNP3_AAMDC.pdf</t>
  </si>
  <si>
    <t>Melting_Curves/meltCurve_E9PNT2_ARHGAP27.pdf</t>
  </si>
  <si>
    <t>Melting_Curves/meltCurve_E9PNW4_CD59.pdf</t>
  </si>
  <si>
    <t>Melting_Curves/meltCurve_E9PPM8_DERA.pdf</t>
  </si>
  <si>
    <t>Melting_Curves/meltCurve_E9PPU0_EPPK1.pdf</t>
  </si>
  <si>
    <t>Melting_Curves/meltCurve_E9PQ61_ZC3H11A.pdf</t>
  </si>
  <si>
    <t>Melting_Curves/meltCurve_E9PQQ5_GNPTG.pdf</t>
  </si>
  <si>
    <t>Melting_Curves/meltCurve_E9PQR7_VPS28.pdf</t>
  </si>
  <si>
    <t>Melting_Curves/meltCurve_E9PQY3_ACP2.pdf</t>
  </si>
  <si>
    <t>Melting_Curves/meltCurve_E9PR30_FAU.pdf</t>
  </si>
  <si>
    <t>Melting_Curves/meltCurve_E9PR76_MAF1.pdf</t>
  </si>
  <si>
    <t>Melting_Curves/meltCurve_E9PRJ3_CD151.pdf</t>
  </si>
  <si>
    <t>Melting_Curves/meltCurve_E9PS17_SCYL1.pdf</t>
  </si>
  <si>
    <t>Melting_Curves/meltCurve_E9PS38_NEDD8_MDP1.pdf</t>
  </si>
  <si>
    <t>Melting_Curves/meltCurve_E9PS97_PARVA.pdf</t>
  </si>
  <si>
    <t>Melting_Curves/meltCurve_E9PSD7_UPRT.pdf</t>
  </si>
  <si>
    <t>Melting_Curves/meltCurve_E9PSI1_TM9SF1.pdf</t>
  </si>
  <si>
    <t>Melting_Curves/meltCurve_F2Z2A7_KDM1B.pdf</t>
  </si>
  <si>
    <t>Melting_Curves/meltCurve_F2Z2E2_IQGAP3.pdf</t>
  </si>
  <si>
    <t>Melting_Curves/meltCurve_F2Z2U8_MYH14.pdf</t>
  </si>
  <si>
    <t>Melting_Curves/meltCurve_F2Z2W6_HMGN1.pdf</t>
  </si>
  <si>
    <t>Melting_Curves/meltCurve_F2Z2W7_TRMT2A.pdf</t>
  </si>
  <si>
    <t>Melting_Curves/meltCurve_F2Z2X4_XPO4.pdf</t>
  </si>
  <si>
    <t>Melting_Curves/meltCurve_F5GWE5_PITPNA.pdf</t>
  </si>
  <si>
    <t>Melting_Curves/meltCurve_F5GWI9_CCDC53.pdf</t>
  </si>
  <si>
    <t>Melting_Curves/meltCurve_F5GWU7_SMAD5.pdf</t>
  </si>
  <si>
    <t>Melting_Curves/meltCurve_F5GWX5_CHD4.pdf</t>
  </si>
  <si>
    <t>Melting_Curves/meltCurve_F5GWY5_PODXL.pdf</t>
  </si>
  <si>
    <t>Melting_Curves/meltCurve_F5GX09_FAM76B.pdf</t>
  </si>
  <si>
    <t>Melting_Curves/meltCurve_F5GXC8_SUCLA2.pdf</t>
  </si>
  <si>
    <t>Melting_Curves/meltCurve_F5GXE4_ATE1.pdf</t>
  </si>
  <si>
    <t>Melting_Curves/meltCurve_F5GXI4_PTPRK.pdf</t>
  </si>
  <si>
    <t>Melting_Curves/meltCurve_F5GXX5_DAD1.pdf</t>
  </si>
  <si>
    <t>Melting_Curves/meltCurve_F5GY92_GPBP1.pdf</t>
  </si>
  <si>
    <t>Melting_Curves/meltCurve_F5GY99_GALNT1.pdf</t>
  </si>
  <si>
    <t>Melting_Curves/meltCurve_F5GYC1_ABCD3.pdf</t>
  </si>
  <si>
    <t>Melting_Curves/meltCurve_F5GYE8_CEP112.pdf</t>
  </si>
  <si>
    <t>Melting_Curves/meltCurve_F5GYJ5_.pdf</t>
  </si>
  <si>
    <t>Melting_Curves/meltCurve_F5GYK2_STRN4.pdf</t>
  </si>
  <si>
    <t>Melting_Curves/meltCurve_F5GYN4_OTUB1.pdf</t>
  </si>
  <si>
    <t>Melting_Curves/meltCurve_F5GYQ1_ATP6V0D1.pdf</t>
  </si>
  <si>
    <t>Melting_Curves/meltCurve_F5GZ78_PXN.pdf</t>
  </si>
  <si>
    <t>Melting_Curves/meltCurve_F5GZ84_FARP2.pdf</t>
  </si>
  <si>
    <t>Melting_Curves/meltCurve_F5GZN3_MFGE8.pdf</t>
  </si>
  <si>
    <t>Melting_Curves/meltCurve_F5GZP3_TRIM59.pdf</t>
  </si>
  <si>
    <t>Melting_Curves/meltCurve_F5GZS0_DHX36.pdf</t>
  </si>
  <si>
    <t>Melting_Curves/meltCurve_F5GZS6_SLC3A2.pdf</t>
  </si>
  <si>
    <t>Melting_Curves/meltCurve_F5GZU5_MED15.pdf</t>
  </si>
  <si>
    <t>Melting_Curves/meltCurve_F5GZX9_FAM120B.pdf</t>
  </si>
  <si>
    <t>Melting_Curves/meltCurve_F5GZZ0_ALKBH2.pdf</t>
  </si>
  <si>
    <t>Melting_Curves/meltCurve_F5H012_TRIM21.pdf</t>
  </si>
  <si>
    <t>Melting_Curves/meltCurve_F5H0L8_SEC23IP.pdf</t>
  </si>
  <si>
    <t>Melting_Curves/meltCurve_F5H0R1_TUT1.pdf</t>
  </si>
  <si>
    <t>Melting_Curves/meltCurve_F5H0U5_GLTP.pdf</t>
  </si>
  <si>
    <t>Melting_Curves/meltCurve_F5H156_ARMC5.pdf</t>
  </si>
  <si>
    <t>Melting_Curves/meltCurve_F5H1G9_ABI1.pdf</t>
  </si>
  <si>
    <t>Melting_Curves/meltCurve_F5H1H0_L1CAM.pdf</t>
  </si>
  <si>
    <t>Melting_Curves/meltCurve_F5H1L4_TXNRD2.pdf</t>
  </si>
  <si>
    <t>Melting_Curves/meltCurve_F5H1N7_KIAA1211.pdf</t>
  </si>
  <si>
    <t>Melting_Curves/meltCurve_F5H1U9_MPDZ.pdf</t>
  </si>
  <si>
    <t>Melting_Curves/meltCurve_F5H1X8_LRBA.pdf</t>
  </si>
  <si>
    <t>Melting_Curves/meltCurve_F5H2H5_ANKLE2.pdf</t>
  </si>
  <si>
    <t>Melting_Curves/meltCurve_F5H2J3_VMP1.pdf</t>
  </si>
  <si>
    <t>Melting_Curves/meltCurve_F5H2M7_WNK1.pdf</t>
  </si>
  <si>
    <t>Melting_Curves/meltCurve_F5H2Q7_KIAA1715.pdf</t>
  </si>
  <si>
    <t>Melting_Curves/meltCurve_F5H2S7_DCTN2.pdf</t>
  </si>
  <si>
    <t>Melting_Curves/meltCurve_F5H2U7_NECAP1.pdf</t>
  </si>
  <si>
    <t>Melting_Curves/meltCurve_F5H2U8_HMGA2.pdf</t>
  </si>
  <si>
    <t>Melting_Curves/meltCurve_F5H2V5_FADS3.pdf</t>
  </si>
  <si>
    <t>Melting_Curves/meltCurve_F5H2X3_NRP2.pdf</t>
  </si>
  <si>
    <t>Melting_Curves/meltCurve_F5H365_SEC23A.pdf</t>
  </si>
  <si>
    <t>Melting_Curves/meltCurve_F5H450_FZD10.pdf</t>
  </si>
  <si>
    <t>Melting_Curves/meltCurve_F5H4F1_RAD9A.pdf</t>
  </si>
  <si>
    <t>Melting_Curves/meltCurve_F5H4G7_KPNA6.pdf</t>
  </si>
  <si>
    <t>Melting_Curves/meltCurve_F5H4I5_ITM2C.pdf</t>
  </si>
  <si>
    <t>Melting_Curves/meltCurve_F5H4J2_PEX14.pdf</t>
  </si>
  <si>
    <t>Melting_Curves/meltCurve_F5H4K0_WLS.pdf</t>
  </si>
  <si>
    <t>Melting_Curves/meltCurve_F5H4Q5_VPS37C.pdf</t>
  </si>
  <si>
    <t>Melting_Curves/meltCurve_F5H4R0_EVI5.pdf</t>
  </si>
  <si>
    <t>Melting_Curves/meltCurve_F5H4V9_PDCD2.pdf</t>
  </si>
  <si>
    <t>Melting_Curves/meltCurve_F5H4Z3_PSMF1.pdf</t>
  </si>
  <si>
    <t>Melting_Curves/meltCurve_F5H527_SSH2.pdf</t>
  </si>
  <si>
    <t>Melting_Curves/meltCurve_F5H564_EIF4G3.pdf</t>
  </si>
  <si>
    <t>Melting_Curves/meltCurve_F5H569_ATP6V0A1.pdf</t>
  </si>
  <si>
    <t>Melting_Curves/meltCurve_F5H5D3_TUBA1C.pdf</t>
  </si>
  <si>
    <t>Melting_Curves/meltCurve_F5H5K6_NOC4L.pdf</t>
  </si>
  <si>
    <t>Melting_Curves/meltCurve_F5H5N1_NDUFS7.pdf</t>
  </si>
  <si>
    <t>Melting_Curves/meltCurve_F5H5P2_BCKDHA.pdf</t>
  </si>
  <si>
    <t>Melting_Curves/meltCurve_F5H5R8_NAT1.pdf</t>
  </si>
  <si>
    <t>Melting_Curves/meltCurve_F5H620_OXNAD1.pdf</t>
  </si>
  <si>
    <t>Melting_Curves/meltCurve_F5H648_TAP1.pdf</t>
  </si>
  <si>
    <t>Melting_Curves/meltCurve_F5H685_MED23.pdf</t>
  </si>
  <si>
    <t>Melting_Curves/meltCurve_F5H698_LARS.pdf</t>
  </si>
  <si>
    <t>Melting_Curves/meltCurve_F5H6I7_ATL3.pdf</t>
  </si>
  <si>
    <t>Melting_Curves/meltCurve_F5H702_MRPL48.pdf</t>
  </si>
  <si>
    <t>Melting_Curves/meltCurve_F5H715_AIDA.pdf</t>
  </si>
  <si>
    <t>Melting_Curves/meltCurve_F5H721_WBP11.pdf</t>
  </si>
  <si>
    <t>Melting_Curves/meltCurve_F5H7C4_MSRB3.pdf</t>
  </si>
  <si>
    <t>Melting_Curves/meltCurve_F5H7J5_RPTOR.pdf</t>
  </si>
  <si>
    <t>Melting_Curves/meltCurve_F5H7K3_EFCAB14.pdf</t>
  </si>
  <si>
    <t>Melting_Curves/meltCurve_F5H7M3_DLAT.pdf</t>
  </si>
  <si>
    <t>Melting_Curves/meltCurve_F5H7Q8_MICB.pdf</t>
  </si>
  <si>
    <t>Melting_Curves/meltCurve_F5H7W5_EPB41L3.pdf</t>
  </si>
  <si>
    <t>Melting_Curves/meltCurve_F5H843_SLC16A7.pdf</t>
  </si>
  <si>
    <t>Melting_Curves/meltCurve_F5H860_INPP4A.pdf</t>
  </si>
  <si>
    <t>Melting_Curves/meltCurve_F5H897_TRAP1.pdf</t>
  </si>
  <si>
    <t>Melting_Curves/meltCurve_F5H8D7_XRCC1.pdf</t>
  </si>
  <si>
    <t>Melting_Curves/meltCurve_F5H8G1_STARD10.pdf</t>
  </si>
  <si>
    <t>Melting_Curves/meltCurve_F5H8J3_CLPTM1.pdf</t>
  </si>
  <si>
    <t>Melting_Curves/meltCurve_F5H8L0_RABGAP1L.pdf</t>
  </si>
  <si>
    <t>Melting_Curves/meltCurve_F6PQP6_EPN2.pdf</t>
  </si>
  <si>
    <t>Melting_Curves/meltCurve_F6RY50_SIPA1.pdf</t>
  </si>
  <si>
    <t>Melting_Curves/meltCurve_F6S0T5_KDM1A.pdf</t>
  </si>
  <si>
    <t>Melting_Curves/meltCurve_F6SS63_TAB3.pdf</t>
  </si>
  <si>
    <t>Melting_Curves/meltCurve_F6T1Q0_PDE12.pdf</t>
  </si>
  <si>
    <t>Melting_Curves/meltCurve_F6XY72_NME2.pdf</t>
  </si>
  <si>
    <t>Melting_Curves/meltCurve_F6YA60_ITFG2.pdf</t>
  </si>
  <si>
    <t>Melting_Curves/meltCurve_F8VP89_EIF4B.pdf</t>
  </si>
  <si>
    <t>Melting_Curves/meltCurve_F8VPD4_CAD.pdf</t>
  </si>
  <si>
    <t>Melting_Curves/meltCurve_F8VQ10_DDX39B.pdf</t>
  </si>
  <si>
    <t>Melting_Curves/meltCurve_F8VQD4_C12orf75.pdf</t>
  </si>
  <si>
    <t>Melting_Curves/meltCurve_F8VQX6_METTL7A.pdf</t>
  </si>
  <si>
    <t>Melting_Curves/meltCurve_F8VQY2_UIMC1.pdf</t>
  </si>
  <si>
    <t>Melting_Curves/meltCurve_F8VQZ7_METAP2.pdf</t>
  </si>
  <si>
    <t>Melting_Curves/meltCurve_F8VR76_PPP1R1A.pdf</t>
  </si>
  <si>
    <t>Melting_Curves/meltCurve_F8VS47_NEK3.pdf</t>
  </si>
  <si>
    <t>Melting_Curves/meltCurve_F8VSL3_NFYB.pdf</t>
  </si>
  <si>
    <t>Melting_Curves/meltCurve_F8VSZ4_PLXNA1.pdf</t>
  </si>
  <si>
    <t>Melting_Curves/meltCurve_F8VUA7_OSBPL8.pdf</t>
  </si>
  <si>
    <t>Melting_Curves/meltCurve_F8VUY8_SLC38A2.pdf</t>
  </si>
  <si>
    <t>Melting_Curves/meltCurve_F8VVA7_COPZ1.pdf</t>
  </si>
  <si>
    <t>Melting_Curves/meltCurve_F8VW96_CSRP2.pdf</t>
  </si>
  <si>
    <t>Melting_Curves/meltCurve_F8VWA5_CASP9.pdf</t>
  </si>
  <si>
    <t>Melting_Curves/meltCurve_F8VWA9_ALG10B.pdf</t>
  </si>
  <si>
    <t>Melting_Curves/meltCurve_F8VWE0_TSPAN31.pdf</t>
  </si>
  <si>
    <t>Melting_Curves/meltCurve_F8VWH9_ARFGAP1.pdf</t>
  </si>
  <si>
    <t>Melting_Curves/meltCurve_F8VWL0_TFCP2.pdf</t>
  </si>
  <si>
    <t>Melting_Curves/meltCurve_F8VX04_SLC38A1.pdf</t>
  </si>
  <si>
    <t>Melting_Curves/meltCurve_F8VXC8_SMARCC2.pdf</t>
  </si>
  <si>
    <t>Melting_Curves/meltCurve_F8VXG7_SCAF11.pdf</t>
  </si>
  <si>
    <t>Melting_Curves/meltCurve_F8VYZ4_COPZ1.pdf</t>
  </si>
  <si>
    <t>Melting_Curves/meltCurve_F8VZ44_AAAS.pdf</t>
  </si>
  <si>
    <t>Melting_Curves/meltCurve_F8VZJ2_NACA.pdf</t>
  </si>
  <si>
    <t>Melting_Curves/meltCurve_F8W038_C17orf49.pdf</t>
  </si>
  <si>
    <t>Melting_Curves/meltCurve_F8W0J4_YEATS4.pdf</t>
  </si>
  <si>
    <t>Melting_Curves/meltCurve_F8W0J6_NAP1L1.pdf</t>
  </si>
  <si>
    <t>Melting_Curves/meltCurve_F8W0W8_PPP1CC.pdf</t>
  </si>
  <si>
    <t>Melting_Curves/meltCurve_F8W145_CNOT2.pdf</t>
  </si>
  <si>
    <t>Melting_Curves/meltCurve_F8W181_RPL6.pdf</t>
  </si>
  <si>
    <t>Melting_Curves/meltCurve_F8W1R0_FGD4.pdf</t>
  </si>
  <si>
    <t>Melting_Curves/meltCurve_F8W1T9_RFX4.pdf</t>
  </si>
  <si>
    <t>Melting_Curves/meltCurve_F8W681_DPAGT1.pdf</t>
  </si>
  <si>
    <t>Melting_Curves/meltCurve_F8W6I7_HNRNPA1.pdf</t>
  </si>
  <si>
    <t>Melting_Curves/meltCurve_F8W6N3_BAP1.pdf</t>
  </si>
  <si>
    <t>Melting_Curves/meltCurve_F8W6N6_MYBL2.pdf</t>
  </si>
  <si>
    <t>Melting_Curves/meltCurve_F8W6T6_TLE4.pdf</t>
  </si>
  <si>
    <t>Melting_Curves/meltCurve_F8W6X9_SDK1.pdf</t>
  </si>
  <si>
    <t>Melting_Curves/meltCurve_F8W717_EML1.pdf</t>
  </si>
  <si>
    <t>Melting_Curves/meltCurve_F8W726_UBAP2L.pdf</t>
  </si>
  <si>
    <t>Melting_Curves/meltCurve_F8W782_ADIPOR1.pdf</t>
  </si>
  <si>
    <t>Melting_Curves/meltCurve_F8W7D6_GPHN.pdf</t>
  </si>
  <si>
    <t>Melting_Curves/meltCurve_F8W7Q4_FAM162A.pdf</t>
  </si>
  <si>
    <t>Melting_Curves/meltCurve_F8W7S1_FAM73A.pdf</t>
  </si>
  <si>
    <t>Melting_Curves/meltCurve_F8W810_.pdf</t>
  </si>
  <si>
    <t>Melting_Curves/meltCurve_F8W8I6_TIA1.pdf</t>
  </si>
  <si>
    <t>Melting_Curves/meltCurve_F8W8M4_ABLIM1.pdf</t>
  </si>
  <si>
    <t>Melting_Curves/meltCurve_F8W8P5_CADPS2.pdf</t>
  </si>
  <si>
    <t>Melting_Curves/meltCurve_F8W8Q9_STX5.pdf</t>
  </si>
  <si>
    <t>Melting_Curves/meltCurve_F8W8R3_POLD2.pdf</t>
  </si>
  <si>
    <t>Melting_Curves/meltCurve_F8W8Z9_TOMM5.pdf</t>
  </si>
  <si>
    <t>Melting_Curves/meltCurve_F8W930_IGF2BP2.pdf</t>
  </si>
  <si>
    <t>Melting_Curves/meltCurve_F8W9B8_EXOC5.pdf</t>
  </si>
  <si>
    <t>Melting_Curves/meltCurve_F8W9F9_WNK2.pdf</t>
  </si>
  <si>
    <t>Melting_Curves/meltCurve_F8W9R9_MED24.pdf</t>
  </si>
  <si>
    <t>Melting_Curves/meltCurve_F8W9Z6_STX16.pdf</t>
  </si>
  <si>
    <t>Melting_Curves/meltCurve_F8WA11_CLASP1.pdf</t>
  </si>
  <si>
    <t>Melting_Curves/meltCurve_F8WA86_CNN3.pdf</t>
  </si>
  <si>
    <t>Melting_Curves/meltCurve_F8WAC3_UCKL1.pdf</t>
  </si>
  <si>
    <t>Melting_Curves/meltCurve_F8WAD8_ADAM22.pdf</t>
  </si>
  <si>
    <t>Melting_Curves/meltCurve_F8WAE5_EIF2A.pdf</t>
  </si>
  <si>
    <t>Melting_Curves/meltCurve_F8WAK8_STAG2.pdf</t>
  </si>
  <si>
    <t>Melting_Curves/meltCurve_F8WAN1_.pdf</t>
  </si>
  <si>
    <t>Melting_Curves/meltCurve_F8WBH3_ALDH16A1.pdf</t>
  </si>
  <si>
    <t>Melting_Curves/meltCurve_F8WBK5_MRPL40.pdf</t>
  </si>
  <si>
    <t>Melting_Curves/meltCurve_F8WC68_DOM3Z.pdf</t>
  </si>
  <si>
    <t>Melting_Curves/meltCurve_F8WC89_SAC3D1.pdf</t>
  </si>
  <si>
    <t>Melting_Curves/meltCurve_F8WCX2_ZNF687.pdf</t>
  </si>
  <si>
    <t>Melting_Curves/meltCurve_F8WE91_DNMT3A.pdf</t>
  </si>
  <si>
    <t>Melting_Curves/meltCurve_F8WEE4_ZFAND2B.pdf</t>
  </si>
  <si>
    <t>Melting_Curves/meltCurve_F8WEG4_CBWD2.pdf</t>
  </si>
  <si>
    <t>Melting_Curves/meltCurve_F8WF93_ALG3.pdf</t>
  </si>
  <si>
    <t>Melting_Curves/meltCurve_G3V0I5_NDUFV1.pdf</t>
  </si>
  <si>
    <t>Melting_Curves/meltCurve_G3V0I6_OTUD4.pdf</t>
  </si>
  <si>
    <t>Melting_Curves/meltCurve_G3V130_MTERFD1.pdf</t>
  </si>
  <si>
    <t>Melting_Curves/meltCurve_G3V1D3_DPP3.pdf</t>
  </si>
  <si>
    <t>Melting_Curves/meltCurve_G3V1K3_PON2.pdf</t>
  </si>
  <si>
    <t>Melting_Curves/meltCurve_G3V1N2_HBA2.pdf</t>
  </si>
  <si>
    <t>Melting_Curves/meltCurve_G3V1P3_LOH12CR1.pdf</t>
  </si>
  <si>
    <t>Melting_Curves/meltCurve_G3V1R3_ZEB1.pdf</t>
  </si>
  <si>
    <t>Melting_Curves/meltCurve_G3V1R9_ISYNA1.pdf</t>
  </si>
  <si>
    <t>Melting_Curves/meltCurve_G3V1S6_GALNT2.pdf</t>
  </si>
  <si>
    <t>Melting_Curves/meltCurve_G3V1U0_ATF7IP.pdf</t>
  </si>
  <si>
    <t>Melting_Curves/meltCurve_G3V1U5_GOLT1B.pdf</t>
  </si>
  <si>
    <t>Melting_Curves/meltCurve_G3V203_RPL18.pdf</t>
  </si>
  <si>
    <t>Melting_Curves/meltCurve_G3V238_METTL10.pdf</t>
  </si>
  <si>
    <t>Melting_Curves/meltCurve_G3V2F7_TMEM189.pdf</t>
  </si>
  <si>
    <t>Melting_Curves/meltCurve_G3V2J7_CDKN3.pdf</t>
  </si>
  <si>
    <t>Melting_Curves/meltCurve_G3V2N2_SIX4.pdf</t>
  </si>
  <si>
    <t>Melting_Curves/meltCurve_G3V325_ATP5J2_PTCD1.pdf</t>
  </si>
  <si>
    <t>Melting_Curves/meltCurve_G3V3G9_DCAF8.pdf</t>
  </si>
  <si>
    <t>Melting_Curves/meltCurve_G3V3M6_APEX1.pdf</t>
  </si>
  <si>
    <t>Melting_Curves/meltCurve_G3V3R7_ATXN3.pdf</t>
  </si>
  <si>
    <t>Melting_Curves/meltCurve_G3V439_SIVA1.pdf</t>
  </si>
  <si>
    <t>Melting_Curves/meltCurve_G3V541_HAUS4.pdf</t>
  </si>
  <si>
    <t>Melting_Curves/meltCurve_G3V578_NDRG2.pdf</t>
  </si>
  <si>
    <t>Melting_Curves/meltCurve_G3V583_FAM177A1.pdf</t>
  </si>
  <si>
    <t>Melting_Curves/meltCurve_G3V599_CTAGE5.pdf</t>
  </si>
  <si>
    <t>Melting_Curves/meltCurve_G3V5E1_CCNK.pdf</t>
  </si>
  <si>
    <t>Melting_Curves/meltCurve_G3V5T0_GSTZ1.pdf</t>
  </si>
  <si>
    <t>Melting_Curves/meltCurve_G3V5T9_CDK2.pdf</t>
  </si>
  <si>
    <t>Melting_Curves/meltCurve_G3V5X4_SYNE2.pdf</t>
  </si>
  <si>
    <t>Melting_Curves/meltCurve_G3V5Z7_PSMA6.pdf</t>
  </si>
  <si>
    <t>Melting_Curves/meltCurve_G3XA81_TMEM48.pdf</t>
  </si>
  <si>
    <t>Melting_Curves/meltCurve_G3XAA0_ARID1B.pdf</t>
  </si>
  <si>
    <t>Melting_Curves/meltCurve_G3XAA2_MAP4K4.pdf</t>
  </si>
  <si>
    <t>Melting_Curves/meltCurve_G3XAI2_LAMB1.pdf</t>
  </si>
  <si>
    <t>Melting_Curves/meltCurve_G3XAN8_TIMM8B.pdf</t>
  </si>
  <si>
    <t>Melting_Curves/meltCurve_G3XAP3_ABCB8.pdf</t>
  </si>
  <si>
    <t>Melting_Curves/meltCurve_G5E979_ATG4A.pdf</t>
  </si>
  <si>
    <t>Melting_Curves/meltCurve_G5E994_GPR107.pdf</t>
  </si>
  <si>
    <t>Melting_Curves/meltCurve_G5E9A6_USP11.pdf</t>
  </si>
  <si>
    <t>Melting_Curves/meltCurve_G5E9C8_SOS1.pdf</t>
  </si>
  <si>
    <t>Melting_Curves/meltCurve_G5E9E7_TJP1.pdf</t>
  </si>
  <si>
    <t>Melting_Curves/meltCurve_G5E9T8_GOSR1.pdf</t>
  </si>
  <si>
    <t>Melting_Curves/meltCurve_G5E9Z4_PI4K2B.pdf</t>
  </si>
  <si>
    <t>Melting_Curves/meltCurve_G5EA30_CELF1.pdf</t>
  </si>
  <si>
    <t>Melting_Curves/meltCurve_G5EA42_TMOD2.pdf</t>
  </si>
  <si>
    <t>Melting_Curves/meltCurve_G5EA52_PDIA3.pdf</t>
  </si>
  <si>
    <t>Melting_Curves/meltCurve_G5EA54_MIPOL1.pdf</t>
  </si>
  <si>
    <t>Melting_Curves/meltCurve_G8JL86_COBLL1.pdf</t>
  </si>
  <si>
    <t>Melting_Curves/meltCurve_G8JL98_TDG.pdf</t>
  </si>
  <si>
    <t>Melting_Curves/meltCurve_G8JLA2_MYL6.pdf</t>
  </si>
  <si>
    <t>Melting_Curves/meltCurve_G8JLB3_PUS1.pdf</t>
  </si>
  <si>
    <t>Melting_Curves/meltCurve_G8JLC6_MIA3.pdf</t>
  </si>
  <si>
    <t>Melting_Curves/meltCurve_G8JLD3_ERC1.pdf</t>
  </si>
  <si>
    <t>Melting_Curves/meltCurve_G8JLH2_CDC25B.pdf</t>
  </si>
  <si>
    <t>Melting_Curves/meltCurve_G8JLI5_WDR45.pdf</t>
  </si>
  <si>
    <t>Melting_Curves/meltCurve_G8JLI6_LEPREL2.pdf</t>
  </si>
  <si>
    <t>Melting_Curves/meltCurve_G8JLK4_TACC1.pdf</t>
  </si>
  <si>
    <t>Melting_Curves/meltCurve_G8JLL2_PPT2.pdf</t>
  </si>
  <si>
    <t>Melting_Curves/meltCurve_G8JLL7_MVB12B.pdf</t>
  </si>
  <si>
    <t>Melting_Curves/meltCurve_H0UI80_TH1L.pdf</t>
  </si>
  <si>
    <t>Melting_Curves/meltCurve_H0Y2L5_ARFRP1.pdf</t>
  </si>
  <si>
    <t>Melting_Curves/meltCurve_H0Y2P9_PIGX.pdf</t>
  </si>
  <si>
    <t>Melting_Curves/meltCurve_H0Y2V6_CEP170.pdf</t>
  </si>
  <si>
    <t>Melting_Curves/meltCurve_H0Y327_MTHFD1L.pdf</t>
  </si>
  <si>
    <t>Melting_Curves/meltCurve_H0Y360_AMPD2.pdf</t>
  </si>
  <si>
    <t>Melting_Curves/meltCurve_H0Y362_SLC30A7.pdf</t>
  </si>
  <si>
    <t>Melting_Curves/meltCurve_H0Y384_ODF2.pdf</t>
  </si>
  <si>
    <t>Melting_Curves/meltCurve_H0Y3A0_RPL35.pdf</t>
  </si>
  <si>
    <t>Melting_Curves/meltCurve_H0Y3A3_DAB2IP.pdf</t>
  </si>
  <si>
    <t>Melting_Curves/meltCurve_H0Y3P2_EIF4G2.pdf</t>
  </si>
  <si>
    <t>Melting_Curves/meltCurve_H0Y3X6_NELFA.pdf</t>
  </si>
  <si>
    <t>Melting_Curves/meltCurve_H0Y4M8_ZNF185.pdf</t>
  </si>
  <si>
    <t>Melting_Curves/meltCurve_H0Y4R1_IMPDH2.pdf</t>
  </si>
  <si>
    <t>Melting_Curves/meltCurve_H0Y544_SLC23A2.pdf</t>
  </si>
  <si>
    <t>Melting_Curves/meltCurve_H0Y5C0_LPHN2.pdf</t>
  </si>
  <si>
    <t>Melting_Curves/meltCurve_H0Y5Y0_PREP.pdf</t>
  </si>
  <si>
    <t>Melting_Curves/meltCurve_H0Y612_TRIM33.pdf</t>
  </si>
  <si>
    <t>Melting_Curves/meltCurve_H0Y614_UFM1.pdf</t>
  </si>
  <si>
    <t>Melting_Curves/meltCurve_H0Y6A0_ARFGAP3.pdf</t>
  </si>
  <si>
    <t>Melting_Curves/meltCurve_H0Y6F5_ZHX3.pdf</t>
  </si>
  <si>
    <t>Melting_Curves/meltCurve_H0Y6I0_GOLGA4.pdf</t>
  </si>
  <si>
    <t>Melting_Curves/meltCurve_H0Y6J0_NME4.pdf</t>
  </si>
  <si>
    <t>Melting_Curves/meltCurve_H0Y6K2_BRD2.pdf</t>
  </si>
  <si>
    <t>Melting_Curves/meltCurve_H0Y6K5_SP3.pdf</t>
  </si>
  <si>
    <t>Melting_Curves/meltCurve_H0Y7L9_ABCD1.pdf</t>
  </si>
  <si>
    <t>Melting_Curves/meltCurve_H0Y860_STIM2.pdf</t>
  </si>
  <si>
    <t>Melting_Curves/meltCurve_H0Y8C3_MTCH1.pdf</t>
  </si>
  <si>
    <t>Melting_Curves/meltCurve_H0Y9S9_PPIP5K2.pdf</t>
  </si>
  <si>
    <t>Melting_Curves/meltCurve_H0Y9V2_UBE2B.pdf</t>
  </si>
  <si>
    <t>Melting_Curves/meltCurve_H0Y9X1_TMA16.pdf</t>
  </si>
  <si>
    <t>Melting_Curves/meltCurve_H0YA61_RBM24.pdf</t>
  </si>
  <si>
    <t>Melting_Curves/meltCurve_H0YAJ5_APBB2.pdf</t>
  </si>
  <si>
    <t>Melting_Curves/meltCurve_H0YAT2_MRPS28.pdf</t>
  </si>
  <si>
    <t>Melting_Curves/meltCurve_H0YB09_C14orf159.pdf</t>
  </si>
  <si>
    <t>Melting_Curves/meltCurve_H0YBS1_INTS8.pdf</t>
  </si>
  <si>
    <t>Melting_Curves/meltCurve_H0YCG2_LAMP2.pdf</t>
  </si>
  <si>
    <t>Melting_Curves/meltCurve_H0YCK3_ADAR.pdf</t>
  </si>
  <si>
    <t>Melting_Curves/meltCurve_H0YDQ1_ALG8.pdf</t>
  </si>
  <si>
    <t>Melting_Curves/meltCurve_H0YDR5_SIGIRR.pdf</t>
  </si>
  <si>
    <t>Melting_Curves/meltCurve_H0YDU8_PPP5C.pdf</t>
  </si>
  <si>
    <t>Melting_Curves/meltCurve_H0YE23_CD40.pdf</t>
  </si>
  <si>
    <t>Melting_Curves/meltCurve_H0YEB6_SSSCA1.pdf</t>
  </si>
  <si>
    <t>Melting_Curves/meltCurve_H0YEF3_RNASEH2C.pdf</t>
  </si>
  <si>
    <t>Melting_Curves/meltCurve_H0YEN5_RPS2.pdf</t>
  </si>
  <si>
    <t>Melting_Curves/meltCurve_H0YF29_C8orf82.pdf</t>
  </si>
  <si>
    <t>Melting_Curves/meltCurve_H0YGA7_CADM1.pdf</t>
  </si>
  <si>
    <t>Melting_Curves/meltCurve_H0YGR4_REXO2.pdf</t>
  </si>
  <si>
    <t>Melting_Curves/meltCurve_H0YGT9_JOSD1.pdf</t>
  </si>
  <si>
    <t>Melting_Curves/meltCurve_H0YH87_ATXN2.pdf</t>
  </si>
  <si>
    <t>Melting_Curves/meltCurve_H0YI02_RAB3IP.pdf</t>
  </si>
  <si>
    <t>Melting_Curves/meltCurve_H0YIE9_FBXO21.pdf</t>
  </si>
  <si>
    <t>Melting_Curves/meltCurve_H0YIV5_LETMD1.pdf</t>
  </si>
  <si>
    <t>Melting_Curves/meltCurve_H0YIV9_.pdf</t>
  </si>
  <si>
    <t>Melting_Curves/meltCurve_H0YK61_EMC4.pdf</t>
  </si>
  <si>
    <t>Melting_Curves/meltCurve_H0YKT5_TLE3.pdf</t>
  </si>
  <si>
    <t>Melting_Curves/meltCurve_H0YL72_IDH3A.pdf</t>
  </si>
  <si>
    <t>Melting_Curves/meltCurve_H0YLB5_POU2F1.pdf</t>
  </si>
  <si>
    <t>Melting_Curves/meltCurve_H0YLY9_PIGH.pdf</t>
  </si>
  <si>
    <t>Melting_Curves/meltCurve_H0YMB3_GMPR2.pdf</t>
  </si>
  <si>
    <t>Melting_Curves/meltCurve_H0YMF4_RPL28.pdf</t>
  </si>
  <si>
    <t>Melting_Curves/meltCurve_H0YMI8_TRAF3.pdf</t>
  </si>
  <si>
    <t>Melting_Curves/meltCurve_H0YMJ1_ASB7.pdf</t>
  </si>
  <si>
    <t>Melting_Curves/meltCurve_H0YMW2_AKAP13.pdf</t>
  </si>
  <si>
    <t>Melting_Curves/meltCurve_H0YNG3_SEC11A.pdf</t>
  </si>
  <si>
    <t>Melting_Curves/meltCurve_H2N331_ITGA7.pdf</t>
  </si>
  <si>
    <t>Melting_Curves/meltCurve_H3BLU7_AKR7A2.pdf</t>
  </si>
  <si>
    <t>Melting_Curves/meltCurve_H3BLW6_TMEM63B.pdf</t>
  </si>
  <si>
    <t>Melting_Curves/meltCurve_H3BLW9_SWI5.pdf</t>
  </si>
  <si>
    <t>Melting_Curves/meltCurve_H3BLZ2_DBNDD1.pdf</t>
  </si>
  <si>
    <t>Melting_Curves/meltCurve_H3BLZ8_DDX17.pdf</t>
  </si>
  <si>
    <t>Melting_Curves/meltCurve_H3BM14_NUB1.pdf</t>
  </si>
  <si>
    <t>Melting_Curves/meltCurve_H3BMD8_ARPP19.pdf</t>
  </si>
  <si>
    <t>Melting_Curves/meltCurve_H3BMF4_SPNS1.pdf</t>
  </si>
  <si>
    <t>Melting_Curves/meltCurve_H3BMJ2_C15orf39.pdf</t>
  </si>
  <si>
    <t>Melting_Curves/meltCurve_H3BMM5_.pdf</t>
  </si>
  <si>
    <t>Melting_Curves/meltCurve_H3BMS0_RNPS1.pdf</t>
  </si>
  <si>
    <t>Melting_Curves/meltCurve_H3BMV2_C17orf103.pdf</t>
  </si>
  <si>
    <t>Melting_Curves/meltCurve_H3BN87_SLC38A7.pdf</t>
  </si>
  <si>
    <t>Melting_Curves/meltCurve_H3BN98_.pdf</t>
  </si>
  <si>
    <t>Melting_Curves/meltCurve_H3BNA7_KIAA0513.pdf</t>
  </si>
  <si>
    <t>Melting_Curves/meltCurve_H3BP20_HEXA.pdf</t>
  </si>
  <si>
    <t>Melting_Curves/meltCurve_H3BPC4_UBE2I.pdf</t>
  </si>
  <si>
    <t>Melting_Curves/meltCurve_H3BPE1_MACF1.pdf</t>
  </si>
  <si>
    <t>Melting_Curves/meltCurve_H3BPK3_HAGH.pdf</t>
  </si>
  <si>
    <t>Melting_Curves/meltCurve_H3BPL0_CLN3.pdf</t>
  </si>
  <si>
    <t>Melting_Curves/meltCurve_H3BPQ3_NDRG4.pdf</t>
  </si>
  <si>
    <t>Melting_Curves/meltCurve_H3BPR3_SNX33.pdf</t>
  </si>
  <si>
    <t>Melting_Curves/meltCurve_H3BPS8_ALDOA.pdf</t>
  </si>
  <si>
    <t>Melting_Curves/meltCurve_H3BQA0_SNAPC5.pdf</t>
  </si>
  <si>
    <t>Melting_Curves/meltCurve_H3BQZ7_hCG_2044799.pdf</t>
  </si>
  <si>
    <t>Melting_Curves/meltCurve_H3BR06_TERF2.pdf</t>
  </si>
  <si>
    <t>Melting_Curves/meltCurve_H3BR94_DCTN5.pdf</t>
  </si>
  <si>
    <t>Melting_Curves/meltCurve_H3BRB6_ZNRF1.pdf</t>
  </si>
  <si>
    <t>Melting_Curves/meltCurve_H3BRD1_UBE2I.pdf</t>
  </si>
  <si>
    <t>Melting_Curves/meltCurve_H3BRD2_GFER.pdf</t>
  </si>
  <si>
    <t>Melting_Curves/meltCurve_H3BRF9_ZFYVE19.pdf</t>
  </si>
  <si>
    <t>Melting_Curves/meltCurve_H3BRL3_UBFD1.pdf</t>
  </si>
  <si>
    <t>Melting_Curves/meltCurve_H3BRQ8_NUDT7.pdf</t>
  </si>
  <si>
    <t>Melting_Curves/meltCurve_H3BRS1_NFATC3.pdf</t>
  </si>
  <si>
    <t>Melting_Curves/meltCurve_H3BRU1_FAM219B.pdf</t>
  </si>
  <si>
    <t>Melting_Curves/meltCurve_H3BRV0_EIF3C.pdf</t>
  </si>
  <si>
    <t>Melting_Curves/meltCurve_H3BRY6_VWA9.pdf</t>
  </si>
  <si>
    <t>Melting_Curves/meltCurve_H3BS42_ZNF768.pdf</t>
  </si>
  <si>
    <t>Melting_Curves/meltCurve_H3BS89_TMEM178B.pdf</t>
  </si>
  <si>
    <t>Melting_Curves/meltCurve_H3BSB6_SLC7A6.pdf</t>
  </si>
  <si>
    <t>Melting_Curves/meltCurve_H3BSH5_COG8.pdf</t>
  </si>
  <si>
    <t>Melting_Curves/meltCurve_H3BSM5_GABARAPL2.pdf</t>
  </si>
  <si>
    <t>Melting_Curves/meltCurve_H3BSM7_C16orf58.pdf</t>
  </si>
  <si>
    <t>Melting_Curves/meltCurve_H3BSW6_CTU2.pdf</t>
  </si>
  <si>
    <t>Melting_Curves/meltCurve_H3BT12_FEM1B.pdf</t>
  </si>
  <si>
    <t>Melting_Curves/meltCurve_H3BTH4_ADPGK.pdf</t>
  </si>
  <si>
    <t>Melting_Curves/meltCurve_H3BTL1_MAP1LC3B.pdf</t>
  </si>
  <si>
    <t>Melting_Curves/meltCurve_H3BTL2_BCKDK.pdf</t>
  </si>
  <si>
    <t>Melting_Curves/meltCurve_H3BTX0_.pdf</t>
  </si>
  <si>
    <t>Melting_Curves/meltCurve_H3BU49_ARL2BP.pdf</t>
  </si>
  <si>
    <t>Melting_Curves/meltCurve_H3BU63_PPCDC.pdf</t>
  </si>
  <si>
    <t>Melting_Curves/meltCurve_H3BUF6_ATXN2L.pdf</t>
  </si>
  <si>
    <t>Melting_Curves/meltCurve_H3BUQ2_OGFOD1.pdf</t>
  </si>
  <si>
    <t>Melting_Curves/meltCurve_H3BV23_UBL7.pdf</t>
  </si>
  <si>
    <t>Melting_Curves/meltCurve_H7BXD5_GCA.pdf</t>
  </si>
  <si>
    <t>Melting_Curves/meltCurve_H7BXH2_PPP6R3.pdf</t>
  </si>
  <si>
    <t>Melting_Curves/meltCurve_H7BXI5_ERGIC3.pdf</t>
  </si>
  <si>
    <t>Melting_Curves/meltCurve_H7BXT7_BET1L.pdf</t>
  </si>
  <si>
    <t>Melting_Curves/meltCurve_H7BXY6_TSPAN14.pdf</t>
  </si>
  <si>
    <t>Melting_Curves/meltCurve_H7BY58_PCMT1.pdf</t>
  </si>
  <si>
    <t>Melting_Curves/meltCurve_H7BYE5_WRB.pdf</t>
  </si>
  <si>
    <t>Melting_Curves/meltCurve_H7BYQ6_INTS9.pdf</t>
  </si>
  <si>
    <t>Melting_Curves/meltCurve_H7BYY1_TPM1.pdf</t>
  </si>
  <si>
    <t>Melting_Curves/meltCurve_H7BYY4_PSTK.pdf</t>
  </si>
  <si>
    <t>Melting_Curves/meltCurve_H7BZJ3_PDIA3.pdf</t>
  </si>
  <si>
    <t>Melting_Curves/meltCurve_H7C0G7_NHEJ1.pdf</t>
  </si>
  <si>
    <t>Melting_Curves/meltCurve_H7C0T2_ITPRIPL1.pdf</t>
  </si>
  <si>
    <t>Melting_Curves/meltCurve_H7C107_IQSEC1.pdf</t>
  </si>
  <si>
    <t>Melting_Curves/meltCurve_H7C112_FBXL19.pdf</t>
  </si>
  <si>
    <t>Melting_Curves/meltCurve_H7C173_MZT2B.pdf</t>
  </si>
  <si>
    <t>Melting_Curves/meltCurve_H7C1E4_AP1S1.pdf</t>
  </si>
  <si>
    <t>Melting_Curves/meltCurve_H7C1U3_CC2D1B.pdf</t>
  </si>
  <si>
    <t>Melting_Curves/meltCurve_H7C1U8_APOO.pdf</t>
  </si>
  <si>
    <t>Melting_Curves/meltCurve_H7C293_MZT2B.pdf</t>
  </si>
  <si>
    <t>Melting_Curves/meltCurve_H7C2E6_C1orf86.pdf</t>
  </si>
  <si>
    <t>Melting_Curves/meltCurve_H7C3C7_SNAP47.pdf</t>
  </si>
  <si>
    <t>Melting_Curves/meltCurve_H7C3D5_FAM134A.pdf</t>
  </si>
  <si>
    <t>Melting_Curves/meltCurve_H7C3D8_CMC1.pdf</t>
  </si>
  <si>
    <t>Melting_Curves/meltCurve_H7C3P4_GNS.pdf</t>
  </si>
  <si>
    <t>Melting_Curves/meltCurve_H7C3U2_ART5.pdf</t>
  </si>
  <si>
    <t>Melting_Curves/meltCurve_H7C444_IFRD2.pdf</t>
  </si>
  <si>
    <t>Melting_Curves/meltCurve_H7C484_ARV1.pdf</t>
  </si>
  <si>
    <t>Melting_Curves/meltCurve_H7C525_CCDC58.pdf</t>
  </si>
  <si>
    <t>Melting_Curves/meltCurve_H7C5G1_IAH1.pdf</t>
  </si>
  <si>
    <t>Melting_Curves/meltCurve_H7C5R4_GK5.pdf</t>
  </si>
  <si>
    <t>Melting_Curves/meltCurve_H9KV44_EFR3A.pdf</t>
  </si>
  <si>
    <t>Melting_Curves/meltCurve_H9KV59_PRC1.pdf</t>
  </si>
  <si>
    <t>Melting_Curves/meltCurve_H9KV61_PWWP2B.pdf</t>
  </si>
  <si>
    <t>Melting_Curves/meltCurve_H9KVB8_MICU1.pdf</t>
  </si>
  <si>
    <t>Melting_Curves/meltCurve_H9KVC5_CREB5.pdf</t>
  </si>
  <si>
    <t>Melting_Curves/meltCurve_H9ZYI9_GABPB1.pdf</t>
  </si>
  <si>
    <t>Melting_Curves/meltCurve_I3L097_.pdf</t>
  </si>
  <si>
    <t>Melting_Curves/meltCurve_I3L0A4_WASH6P.pdf</t>
  </si>
  <si>
    <t>Melting_Curves/meltCurve_I3L0K1_GOSR2.pdf</t>
  </si>
  <si>
    <t>Melting_Curves/meltCurve_I3L0L6_RNF167.pdf</t>
  </si>
  <si>
    <t>Melting_Curves/meltCurve_I3L0N3_NSF.pdf</t>
  </si>
  <si>
    <t>Melting_Curves/meltCurve_I3L0T6_RNMTL1.pdf</t>
  </si>
  <si>
    <t>Melting_Curves/meltCurve_I3L0U9_TBC1D16.pdf</t>
  </si>
  <si>
    <t>Melting_Curves/meltCurve_I3L1H5_DPH1.pdf</t>
  </si>
  <si>
    <t>Melting_Curves/meltCurve_I3L1P8_SLC25A11.pdf</t>
  </si>
  <si>
    <t>Melting_Curves/meltCurve_I3L2B0_CLUH.pdf</t>
  </si>
  <si>
    <t>Melting_Curves/meltCurve_I3L2C7_GEMIN4.pdf</t>
  </si>
  <si>
    <t>Melting_Curves/meltCurve_I3L2J8_AZI1.pdf</t>
  </si>
  <si>
    <t>Melting_Curves/meltCurve_I3L2L5_FAM195B.pdf</t>
  </si>
  <si>
    <t>Melting_Curves/meltCurve_I3L2N2_DVL2.pdf</t>
  </si>
  <si>
    <t>Melting_Curves/meltCurve_I3L3A8_PELP1.pdf</t>
  </si>
  <si>
    <t>Melting_Curves/meltCurve_I3L3B4_.pdf</t>
  </si>
  <si>
    <t>Melting_Curves/meltCurve_I3L448_ATPAF1.pdf</t>
  </si>
  <si>
    <t>Melting_Curves/meltCurve_I3L4V0_LSMD1.pdf</t>
  </si>
  <si>
    <t>Melting_Curves/meltCurve_I3L4X3_NFKBIB.pdf</t>
  </si>
  <si>
    <t>Melting_Curves/meltCurve_J3KMY5_NPC2.pdf</t>
  </si>
  <si>
    <t>Melting_Curves/meltCurve_J3KMZ8_DPF2.pdf</t>
  </si>
  <si>
    <t>Melting_Curves/meltCurve_J3KMZ9_LDLR.pdf</t>
  </si>
  <si>
    <t>Melting_Curves/meltCurve_J3KN16_KIAA0368.pdf</t>
  </si>
  <si>
    <t>Melting_Curves/meltCurve_J3KN27_FBRSL1.pdf</t>
  </si>
  <si>
    <t>Melting_Curves/meltCurve_J3KN29_PSMD9.pdf</t>
  </si>
  <si>
    <t>Melting_Curves/meltCurve_J3KN49_OBSL1.pdf</t>
  </si>
  <si>
    <t>Melting_Curves/meltCurve_J3KN59_BNIP2.pdf</t>
  </si>
  <si>
    <t>Melting_Curves/meltCurve_J3KN66_TOR1AIP1.pdf</t>
  </si>
  <si>
    <t>Melting_Curves/meltCurve_J3KN67_TPM3.pdf</t>
  </si>
  <si>
    <t>Melting_Curves/meltCurve_J3KN69_NCEH1.pdf</t>
  </si>
  <si>
    <t>Melting_Curves/meltCurve_J3KNA0_OXA1L.pdf</t>
  </si>
  <si>
    <t>Melting_Curves/meltCurve_J3KNC0_GTF2A1.pdf</t>
  </si>
  <si>
    <t>Melting_Curves/meltCurve_J3KNF4_CCS.pdf</t>
  </si>
  <si>
    <t>Melting_Curves/meltCurve_J3KNG8_FNIP1.pdf</t>
  </si>
  <si>
    <t>Melting_Curves/meltCurve_J3KNI1_COG4.pdf</t>
  </si>
  <si>
    <t>Melting_Curves/meltCurve_J3KNL3_CHID1.pdf</t>
  </si>
  <si>
    <t>Melting_Curves/meltCurve_J3KNL6_SEC16A.pdf</t>
  </si>
  <si>
    <t>Melting_Curves/meltCurve_J3KNL9_ZFYVE1.pdf</t>
  </si>
  <si>
    <t>Melting_Curves/meltCurve_J3KNN7_BRAP.pdf</t>
  </si>
  <si>
    <t>Melting_Curves/meltCurve_J3KNQ1_ZFP1.pdf</t>
  </si>
  <si>
    <t>Melting_Curves/meltCurve_J3KNR0_MARK3.pdf</t>
  </si>
  <si>
    <t>Melting_Curves/meltCurve_J3KNU8_ALDH6A1.pdf</t>
  </si>
  <si>
    <t>Melting_Curves/meltCurve_J3KNW4_FHL2.pdf</t>
  </si>
  <si>
    <t>Melting_Curves/meltCurve_J3KNY6_RGPD4.pdf</t>
  </si>
  <si>
    <t>Melting_Curves/meltCurve_J3KP15_SRSF2.pdf</t>
  </si>
  <si>
    <t>Melting_Curves/meltCurve_J3KP22_PTPRA.pdf</t>
  </si>
  <si>
    <t>Melting_Curves/meltCurve_J3KP26_ANKRD46.pdf</t>
  </si>
  <si>
    <t>Melting_Curves/meltCurve_J3KP29_NUP98.pdf</t>
  </si>
  <si>
    <t>Melting_Curves/meltCurve_J3KP30_DNTTIP2.pdf</t>
  </si>
  <si>
    <t>Melting_Curves/meltCurve_J3KP75_PHACTR2.pdf</t>
  </si>
  <si>
    <t>Melting_Curves/meltCurve_J3KP99_HS6ST2.pdf</t>
  </si>
  <si>
    <t>Melting_Curves/meltCurve_J3KPF9_KIF3A.pdf</t>
  </si>
  <si>
    <t>Melting_Curves/meltCurve_J3KPH8_HDAC7.pdf</t>
  </si>
  <si>
    <t>Melting_Curves/meltCurve_J3KPJ3_CAMKK1.pdf</t>
  </si>
  <si>
    <t>Melting_Curves/meltCurve_J3KPK1_SYNJ1.pdf</t>
  </si>
  <si>
    <t>Melting_Curves/meltCurve_J3KPN1_TESC.pdf</t>
  </si>
  <si>
    <t>Melting_Curves/meltCurve_J3KPP4_LUC7L3.pdf</t>
  </si>
  <si>
    <t>Melting_Curves/meltCurve_J3KPP7_ARRB1.pdf</t>
  </si>
  <si>
    <t>Melting_Curves/meltCurve_J3KPT4_TRABD.pdf</t>
  </si>
  <si>
    <t>Melting_Curves/meltCurve_J3KPV1_CHCHD7.pdf</t>
  </si>
  <si>
    <t>Melting_Curves/meltCurve_J3KPV7_MPST.pdf</t>
  </si>
  <si>
    <t>Melting_Curves/meltCurve_J3KPW1_SUDS3.pdf</t>
  </si>
  <si>
    <t>Melting_Curves/meltCurve_J3KPW7_HDAC2.pdf</t>
  </si>
  <si>
    <t>Melting_Curves/meltCurve_J3KPZ8_RFXANK.pdf</t>
  </si>
  <si>
    <t>Melting_Curves/meltCurve_J3KQ32_OLA1.pdf</t>
  </si>
  <si>
    <t>Melting_Curves/meltCurve_J3KQ48_PTRH2.pdf</t>
  </si>
  <si>
    <t>Melting_Curves/meltCurve_J3KQ88_C6orf203.pdf</t>
  </si>
  <si>
    <t>Melting_Curves/meltCurve_J3KQB0_THUMPD1.pdf</t>
  </si>
  <si>
    <t>Melting_Curves/meltCurve_J3KQE0_SUN2.pdf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</si>
  <si>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</si>
  <si>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</si>
  <si>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</si>
  <si>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</si>
  <si>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Melting_Curves/meltCurve_J3KQU9_AP1G1.pdf</t>
  </si>
  <si>
    <t>Melting_Curves/meltCurve_J3KR35_CCDC12.pdf</t>
  </si>
  <si>
    <t>Melting_Curves/meltCurve_J3KR97_TBCD.pdf</t>
  </si>
  <si>
    <t>Melting_Curves/meltCurve_J3KRC8_C16orf55.pdf</t>
  </si>
  <si>
    <t>Melting_Curves/meltCurve_J3KRH1_SUMO2.pdf</t>
  </si>
  <si>
    <t>Melting_Curves/meltCurve_J3KRN4_MAP3K3.pdf</t>
  </si>
  <si>
    <t>Melting_Curves/meltCurve_J3KS05_CBX1.pdf</t>
  </si>
  <si>
    <t>Melting_Curves/meltCurve_J3KS15_ICT1.pdf</t>
  </si>
  <si>
    <t>Melting_Curves/meltCurve_J3KS81_TMEM199.pdf</t>
  </si>
  <si>
    <t>Melting_Curves/meltCurve_J3KSD8_BLMH.pdf</t>
  </si>
  <si>
    <t>Melting_Curves/meltCurve_J3KSH1_AMZ2.pdf</t>
  </si>
  <si>
    <t>Melting_Curves/meltCurve_J3KTA1_FBXL20.pdf</t>
  </si>
  <si>
    <t>Melting_Curves/meltCurve_J3KTD6_AURKB.pdf</t>
  </si>
  <si>
    <t>Melting_Curves/meltCurve_J3KTL2_SRSF1.pdf</t>
  </si>
  <si>
    <t>Melting_Curves/meltCurve_J3QK89_CHERP.pdf</t>
  </si>
  <si>
    <t>Melting_Curves/meltCurve_J3QKS7_SMARCE1.pdf</t>
  </si>
  <si>
    <t>Melting_Curves/meltCurve_J3QL56_SCO1.pdf</t>
  </si>
  <si>
    <t>Melting_Curves/meltCurve_J3QL63_TVP23B.pdf</t>
  </si>
  <si>
    <t>Melting_Curves/meltCurve_J3QL71_SCRN2.pdf</t>
  </si>
  <si>
    <t>Melting_Curves/meltCurve_J3QLB2_SLC39A11.pdf</t>
  </si>
  <si>
    <t>Melting_Curves/meltCurve_J3QLD9_FLOT2.pdf</t>
  </si>
  <si>
    <t>Melting_Curves/meltCurve_J3QLR8_MRPS23.pdf</t>
  </si>
  <si>
    <t>Melting_Curves/meltCurve_J3QLS3_MRPS7.pdf</t>
  </si>
  <si>
    <t>Melting_Curves/meltCurve_J3QQJ0_SAP30BP.pdf</t>
  </si>
  <si>
    <t>Melting_Curves/meltCurve_J3QQT2_RPL17.pdf</t>
  </si>
  <si>
    <t>Melting_Curves/meltCurve_J3QQX3_FDXR.pdf</t>
  </si>
  <si>
    <t>Melting_Curves/meltCurve_J3QQY0_MSL1.pdf</t>
  </si>
  <si>
    <t>Melting_Curves/meltCurve_J3QR01_STRA13.pdf</t>
  </si>
  <si>
    <t>Melting_Curves/meltCurve_J3QR07_YTHDC1.pdf</t>
  </si>
  <si>
    <t>Melting_Curves/meltCurve_J3QR09_RPL19.pdf</t>
  </si>
  <si>
    <t>Melting_Curves/meltCurve_J3QRD1_ALDH3A2.pdf</t>
  </si>
  <si>
    <t>Melting_Curves/meltCurve_J3QRK9_.pdf</t>
  </si>
  <si>
    <t>Melting_Curves/meltCurve_J3QRM9_ORMDL3.pdf</t>
  </si>
  <si>
    <t>Melting_Curves/meltCurve_J3QRS3_MYL12A.pdf</t>
  </si>
  <si>
    <t>Melting_Curves/meltCurve_J3QRS9_ZNF207.pdf</t>
  </si>
  <si>
    <t>Melting_Curves/meltCurve_J3QRU1_YES1.pdf</t>
  </si>
  <si>
    <t>Melting_Curves/meltCurve_J3QRU4_VAMP2.pdf</t>
  </si>
  <si>
    <t>Melting_Curves/meltCurve_J3QS41_HELZ.pdf</t>
  </si>
  <si>
    <t>Melting_Curves/meltCurve_J3QSD7_CDK12.pdf</t>
  </si>
  <si>
    <t>Melting_Curves/meltCurve_J3QSR7_KIAA1549.pdf</t>
  </si>
  <si>
    <t>Melting_Curves/meltCurve_J3QT56_HYPK.pdf</t>
  </si>
  <si>
    <t>Melting_Curves/meltCurve_J3QT73_COPS7B.pdf</t>
  </si>
  <si>
    <t>Melting_Curves/meltCurve_J3QTA6_CHCHD6.pdf</t>
  </si>
  <si>
    <t>Melting_Curves/meltCurve_J3QTQ0_DST.pdf</t>
  </si>
  <si>
    <t>Melting_Curves/meltCurve_J9JIC5_C17orf75.pdf</t>
  </si>
  <si>
    <t>Melting_Curves/meltCurve_J9JID7_LMNB2.pdf</t>
  </si>
  <si>
    <t>Melting_Curves/meltCurve_J9JID9_PITPNC1.pdf</t>
  </si>
  <si>
    <t>Melting_Curves/meltCurve_J9JIE6_TMCO1.pdf</t>
  </si>
  <si>
    <t>Melting_Curves/meltCurve_J9JIG6_ARSG.pdf</t>
  </si>
  <si>
    <t>Melting_Curves/meltCurve_K4DI92_RWDD4.pdf</t>
  </si>
  <si>
    <t>Melting_Curves/meltCurve_K4DI93_CUL4B.pdf</t>
  </si>
  <si>
    <t>Melting_Curves/meltCurve_K7EID0_MLX.pdf</t>
  </si>
  <si>
    <t>Melting_Curves/meltCurve_K7EIE8_MBD3.pdf</t>
  </si>
  <si>
    <t>Melting_Curves/meltCurve_K7EIG1_CLUH.pdf</t>
  </si>
  <si>
    <t>Melting_Curves/meltCurve_K7EIK7_EML2.pdf</t>
  </si>
  <si>
    <t>Melting_Curves/meltCurve_K7EIL6_.pdf</t>
  </si>
  <si>
    <t>Melting_Curves/meltCurve_K7EIP7_YIPF2.pdf</t>
  </si>
  <si>
    <t>Melting_Curves/meltCurve_K7EIS0_TUBG1.pdf</t>
  </si>
  <si>
    <t>Melting_Curves/meltCurve_K7EIU8_SMAD4.pdf</t>
  </si>
  <si>
    <t>Melting_Curves/meltCurve_K7EJ08_SEC14L1.pdf</t>
  </si>
  <si>
    <t>Melting_Curves/meltCurve_K7EJ78_RPS15.pdf</t>
  </si>
  <si>
    <t>Melting_Curves/meltCurve_K7EJH0_SPC24.pdf</t>
  </si>
  <si>
    <t>Melting_Curves/meltCurve_K7EJL1_AP1M1.pdf</t>
  </si>
  <si>
    <t>Melting_Curves/meltCurve_K7EJQ7_SEC11C.pdf</t>
  </si>
  <si>
    <t>Melting_Curves/meltCurve_K7EK07_H3F3B.pdf</t>
  </si>
  <si>
    <t>Melting_Curves/meltCurve_K7EK99_LIN37.pdf</t>
  </si>
  <si>
    <t>Melting_Curves/meltCurve_K7EKE6_LONP1.pdf</t>
  </si>
  <si>
    <t>Melting_Curves/meltCurve_K7EKI4_MRPL4.pdf</t>
  </si>
  <si>
    <t>Melting_Curves/meltCurve_K7EKS3_POLRMT.pdf</t>
  </si>
  <si>
    <t>Melting_Curves/meltCurve_K7EKW3_TMUB2.pdf</t>
  </si>
  <si>
    <t>Melting_Curves/meltCurve_K7EL68_CDC37.pdf</t>
  </si>
  <si>
    <t>Melting_Curves/meltCurve_K7EL81_PPP1R12C.pdf</t>
  </si>
  <si>
    <t>Melting_Curves/meltCurve_K7ELC7_RPL27.pdf</t>
  </si>
  <si>
    <t>Melting_Curves/meltCurve_K7ELL7_PRKCSH.pdf</t>
  </si>
  <si>
    <t>Melting_Curves/meltCurve_K7ELY2_STX10.pdf</t>
  </si>
  <si>
    <t>Melting_Curves/meltCurve_K7EM02_KATNAL2.pdf</t>
  </si>
  <si>
    <t>Melting_Curves/meltCurve_K7EM09_TMEM205.pdf</t>
  </si>
  <si>
    <t>Melting_Curves/meltCurve_K7EM38_ACTG1.pdf</t>
  </si>
  <si>
    <t>Melting_Curves/meltCurve_K7EN05_ELOF1.pdf</t>
  </si>
  <si>
    <t>Melting_Curves/meltCurve_K7EN78_R3HDM4.pdf</t>
  </si>
  <si>
    <t>Melting_Curves/meltCurve_K7ENF0_NARS.pdf</t>
  </si>
  <si>
    <t>Melting_Curves/meltCurve_K7ENL9_C18orf8.pdf</t>
  </si>
  <si>
    <t>Melting_Curves/meltCurve_K7ENR1_ELK1.pdf</t>
  </si>
  <si>
    <t>Melting_Curves/meltCurve_K7EP31_ATP5SL.pdf</t>
  </si>
  <si>
    <t>Melting_Curves/meltCurve_K7EP32_UBXN6.pdf</t>
  </si>
  <si>
    <t>Melting_Curves/meltCurve_K7EPX7_MOB3A.pdf</t>
  </si>
  <si>
    <t>Melting_Curves/meltCurve_K7EQ77_NDUFA11.pdf</t>
  </si>
  <si>
    <t>Melting_Curves/meltCurve_K7EQG1_QPCTL.pdf</t>
  </si>
  <si>
    <t>Melting_Curves/meltCurve_K7EQL6_USP32.pdf</t>
  </si>
  <si>
    <t>Melting_Curves/meltCurve_K7ER00_FARSA.pdf</t>
  </si>
  <si>
    <t>Melting_Curves/meltCurve_K7ER93_C19orf55.pdf</t>
  </si>
  <si>
    <t>Melting_Curves/meltCurve_K7ERF1_EIF3K.pdf</t>
  </si>
  <si>
    <t>Melting_Curves/meltCurve_K7ERH7_DTNA.pdf</t>
  </si>
  <si>
    <t>Melting_Curves/meltCurve_K7ERQ0_YIF1B.pdf</t>
  </si>
  <si>
    <t>Melting_Curves/meltCurve_K7ERS5_.pdf</t>
  </si>
  <si>
    <t>Melting_Curves/meltCurve_K7ES11_UBE2O.pdf</t>
  </si>
  <si>
    <t>Melting_Curves/meltCurve_K7ES84_FAM86A.pdf</t>
  </si>
  <si>
    <t>Melting_Curves/meltCurve_K7ESA4_ATF7.pdf</t>
  </si>
  <si>
    <t>Melting_Curves/meltCurve_K7ESE3_RAD23A.pdf</t>
  </si>
  <si>
    <t>Melting_Curves/meltCurve_K7ESE6_G6PC3.pdf</t>
  </si>
  <si>
    <t>Melting_Curves/meltCurve_K7ESI9_DNM2.pdf</t>
  </si>
  <si>
    <t>Melting_Curves/meltCurve_K7ESL1_TXNL4A.pdf</t>
  </si>
  <si>
    <t>Melting_Curves/meltCurve_K7ESP4_DCAKD.pdf</t>
  </si>
  <si>
    <t>Melting_Curves/meltCurve_M0QWZ7_SARS2.pdf</t>
  </si>
  <si>
    <t>Melting_Curves/meltCurve_M0QX07_BABAM1.pdf</t>
  </si>
  <si>
    <t>Melting_Curves/meltCurve_M0QXA7_WIZ.pdf</t>
  </si>
  <si>
    <t>Melting_Curves/meltCurve_M0QXB4_COPE.pdf</t>
  </si>
  <si>
    <t>Melting_Curves/meltCurve_M0QXB5_ETHE1.pdf</t>
  </si>
  <si>
    <t>Melting_Curves/meltCurve_M0QXD0_MCOLN1.pdf</t>
  </si>
  <si>
    <t>Melting_Curves/meltCurve_M0QXN5_NUP62.pdf</t>
  </si>
  <si>
    <t>Melting_Curves/meltCurve_M0QXT0_USF2.pdf</t>
  </si>
  <si>
    <t>Melting_Curves/meltCurve_M0QXZ5_ZNF428.pdf</t>
  </si>
  <si>
    <t>Melting_Curves/meltCurve_M0QY77_KXD1.pdf</t>
  </si>
  <si>
    <t>Melting_Curves/meltCurve_M0QYA2_PIH1D1.pdf</t>
  </si>
  <si>
    <t>Melting_Curves/meltCurve_M0QYH2_PNKP.pdf</t>
  </si>
  <si>
    <t>Melting_Curves/meltCurve_M0QYM7_TUBB4A.pdf</t>
  </si>
  <si>
    <t>Melting_Curves/meltCurve_M0QYS1_RPL13A.pdf</t>
  </si>
  <si>
    <t>Melting_Curves/meltCurve_M0QYT5_USE1.pdf</t>
  </si>
  <si>
    <t>Melting_Curves/meltCurve_M0QZ12_GRAMD1A.pdf</t>
  </si>
  <si>
    <t>Melting_Curves/meltCurve_M0QZ21_AP2S1.pdf</t>
  </si>
  <si>
    <t>Melting_Curves/meltCurve_M0QZ23_C19orf44.pdf</t>
  </si>
  <si>
    <t>Melting_Curves/meltCurve_M0QZC7_SMG9.pdf</t>
  </si>
  <si>
    <t>Melting_Curves/meltCurve_M0QZM1_HNRNPM.pdf</t>
  </si>
  <si>
    <t>Melting_Curves/meltCurve_M0QZW1_PRKD2.pdf</t>
  </si>
  <si>
    <t>Melting_Curves/meltCurve_M0R042_TUBB4A.pdf</t>
  </si>
  <si>
    <t>Melting_Curves/meltCurve_M0R0E9_SPHK2.pdf</t>
  </si>
  <si>
    <t>Melting_Curves/meltCurve_M0R0F0_RPS5.pdf</t>
  </si>
  <si>
    <t>Melting_Curves/meltCurve_M0R116_ATP1A3.pdf</t>
  </si>
  <si>
    <t>Melting_Curves/meltCurve_M0R117_RPL18A.pdf</t>
  </si>
  <si>
    <t>Melting_Curves/meltCurve_M0R150_.pdf</t>
  </si>
  <si>
    <t>Melting_Curves/meltCurve_M0R1E0_RAB4B.pdf</t>
  </si>
  <si>
    <t>Melting_Curves/meltCurve_M0R226_MRPL34.pdf</t>
  </si>
  <si>
    <t>Melting_Curves/meltCurve_M0R299_FBL.pdf</t>
  </si>
  <si>
    <t>Melting_Curves/meltCurve_M0R2A0_EMC10.pdf</t>
  </si>
  <si>
    <t>Melting_Curves/meltCurve_M0R2B7_POLD1.pdf</t>
  </si>
  <si>
    <t>Melting_Curves/meltCurve_M0R2D3_TUBB4A.pdf</t>
  </si>
  <si>
    <t>Melting_Curves/meltCurve_M0R3D4_RABAC1.pdf</t>
  </si>
  <si>
    <t>Melting_Curves/meltCurve_O00116_AGPS.pdf</t>
  </si>
  <si>
    <t>Melting_Curves/meltCurve_O00124_3_UBXN8.pdf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</si>
  <si>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</si>
  <si>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</si>
  <si>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</si>
  <si>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</si>
  <si>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Melting_Curves/meltCurve_O00159_MYO1C.pdf</t>
  </si>
  <si>
    <t>Melting_Curves/meltCurve_O00161_SNAP23.pdf</t>
  </si>
  <si>
    <t>Melting_Curves/meltCurve_O00165_5_HAX1.pdf</t>
  </si>
  <si>
    <t>Melting_Curves/meltCurve_O00170_AIP.pdf</t>
  </si>
  <si>
    <t>Melting_Curves/meltCurve_O00178_GTPBP1.pdf</t>
  </si>
  <si>
    <t>Melting_Curves/meltCurve_O00186_STXBP3.pdf</t>
  </si>
  <si>
    <t>Melting_Curves/meltCurve_O00193_SMAP.pdf</t>
  </si>
  <si>
    <t>Melting_Curves/meltCurve_O00213_2_APBB1.pdf</t>
  </si>
  <si>
    <t>Melting_Curves/meltCurve_O00217_NDUFS8.pdf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</si>
  <si>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</si>
  <si>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</si>
  <si>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</si>
  <si>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</si>
  <si>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</si>
  <si>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</si>
  <si>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</si>
  <si>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</si>
  <si>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Melting_Curves/meltCurve_O00287_RFXAP.pdf</t>
  </si>
  <si>
    <t>Melting_Curves/meltCurve_O00291_HIP1.pdf</t>
  </si>
  <si>
    <t>Melting_Curves/meltCurve_O00299_CLIC1.pdf</t>
  </si>
  <si>
    <t>Melting_Curves/meltCurve_O00330_PDHX.pdf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</si>
  <si>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</si>
  <si>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</si>
  <si>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</si>
  <si>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</si>
  <si>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</si>
  <si>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</si>
  <si>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</si>
  <si>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</si>
  <si>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</si>
  <si>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Melting_Curves/meltCurve_O00443_PIK3C2A.pdf</t>
  </si>
  <si>
    <t>Melting_Curves/meltCurve_O00451_GFRA2.pdf</t>
  </si>
  <si>
    <t>Melting_Curves/meltCurve_O00459_PIK3R2.pdf</t>
  </si>
  <si>
    <t>Melting_Curves/meltCurve_O00461_GOLIM4.pdf</t>
  </si>
  <si>
    <t>Melting_Curves/meltCurve_O00479_HMGN4.pdf</t>
  </si>
  <si>
    <t>Melting_Curves/meltCurve_O00483_NDUFA4.pdf</t>
  </si>
  <si>
    <t>Melting_Curves/meltCurve_O00487_PSMD14.pdf</t>
  </si>
  <si>
    <t>Melting_Curves/meltCurve_O00488_ZNF593.pdf</t>
  </si>
  <si>
    <t>Melting_Curves/meltCurve_O00506_STK25.pdf</t>
  </si>
  <si>
    <t>Melting_Curves/meltCurve_O00512_BCL9.pdf</t>
  </si>
  <si>
    <t>Melting_Curves/meltCurve_O00560_3_SDCBP.pdf</t>
  </si>
  <si>
    <t>Melting_Curves/meltCurve_O00571_DDX3X.pdf</t>
  </si>
  <si>
    <t>Melting_Curves/meltCurve_O00625_PIR.pdf</t>
  </si>
  <si>
    <t>Melting_Curves/meltCurve_O00629_KPNA4.pdf</t>
  </si>
  <si>
    <t>Melting_Curves/meltCurve_O00635_TRIM38.pdf</t>
  </si>
  <si>
    <t>Melting_Curves/meltCurve_O00716_E2F3.pdf</t>
  </si>
  <si>
    <t>Melting_Curves/meltCurve_O00743_PPP6C.pdf</t>
  </si>
  <si>
    <t>Melting_Curves/meltCurve_O00748_CES2.pdf</t>
  </si>
  <si>
    <t>Melting_Curves/meltCurve_O00754_2_MAN2B1.pdf</t>
  </si>
  <si>
    <t>Melting_Curves/meltCurve_O00762_UBE2C.pdf</t>
  </si>
  <si>
    <t>Melting_Curves/meltCurve_O00764_PDXK.pdf</t>
  </si>
  <si>
    <t>Melting_Curves/meltCurve_O00767_SCD.pdf</t>
  </si>
  <si>
    <t>Melting_Curves/meltCurve_O14497_2_ARID1A.pdf</t>
  </si>
  <si>
    <t>Melting_Curves/meltCurve_O14519_2_CDK2AP1.pdf</t>
  </si>
  <si>
    <t>Melting_Curves/meltCurve_O14523_C2CD2L.pdf</t>
  </si>
  <si>
    <t>Melting_Curves/meltCurve_O14524_2_TMEM194A.pdf</t>
  </si>
  <si>
    <t>Melting_Curves/meltCurve_O14545_TRAFD1.pdf</t>
  </si>
  <si>
    <t>Melting_Curves/meltCurve_O14613_CDC42EP2.pdf</t>
  </si>
  <si>
    <t>Melting_Curves/meltCurve_O14617_4_AP3D1.pdf</t>
  </si>
  <si>
    <t>Melting_Curves/meltCurve_O14640_2_DVL1.pdf</t>
  </si>
  <si>
    <t>Melting_Curves/meltCurve_O14657_TOR1B.pdf</t>
  </si>
  <si>
    <t>Melting_Curves/meltCurve_O14672_ADAM10.pdf</t>
  </si>
  <si>
    <t>Melting_Curves/meltCurve_O14686_MLL2.pdf</t>
  </si>
  <si>
    <t>Melting_Curves/meltCurve_O14732_2_IMPA2.pdf</t>
  </si>
  <si>
    <t>Melting_Curves/meltCurve_O14733_MAP2K7.pdf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</si>
  <si>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</si>
  <si>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</si>
  <si>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</si>
  <si>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</si>
  <si>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</si>
  <si>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</si>
  <si>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Melting_Curves/meltCurve_O14772_FPGT.pdf</t>
  </si>
  <si>
    <t>Melting_Curves/meltCurve_O14773_2_TPP1.pdf</t>
  </si>
  <si>
    <t>Melting_Curves/meltCurve_O14776_2_TCERG1.pdf</t>
  </si>
  <si>
    <t>Melting_Curves/meltCurve_O14777_NDC80.pdf</t>
  </si>
  <si>
    <t>Melting_Curves/meltCurve_O14787_2_TNPO2.pdf</t>
  </si>
  <si>
    <t>Melting_Curves/meltCurve_O14810_CPLX1.pdf</t>
  </si>
  <si>
    <t>Melting_Curves/meltCurve_O14818_PSMA7.pdf</t>
  </si>
  <si>
    <t>Melting_Curves/meltCurve_O14828_SCAMP3.pdf</t>
  </si>
  <si>
    <t>Melting_Curves/meltCurve_O14867_BACH1.pdf</t>
  </si>
  <si>
    <t>Melting_Curves/meltCurve_O14893_2_GEMIN2.pdf</t>
  </si>
  <si>
    <t>Melting_Curves/meltCurve_O14907_TAX1BP3.pdf</t>
  </si>
  <si>
    <t>Melting_Curves/meltCurve_O14908_GIPC1.pdf</t>
  </si>
  <si>
    <t>Melting_Curves/meltCurve_O14910_LIN7A.pdf</t>
  </si>
  <si>
    <t>Melting_Curves/meltCurve_O14920_IKBKB.pdf</t>
  </si>
  <si>
    <t>Melting_Curves/meltCurve_O14925_TIMM23.pdf</t>
  </si>
  <si>
    <t>Melting_Curves/meltCurve_O14929_HAT1.pdf</t>
  </si>
  <si>
    <t>Melting_Curves/meltCurve_O14936_3_CASK.pdf</t>
  </si>
  <si>
    <t>Melting_Curves/meltCurve_O14964_HGS.pdf</t>
  </si>
  <si>
    <t>Melting_Curves/meltCurve_O14965_AURKA.pdf</t>
  </si>
  <si>
    <t>Melting_Curves/meltCurve_O14966_2_RAB7L1.pdf</t>
  </si>
  <si>
    <t>Melting_Curves/meltCurve_O14967_CLGN.pdf</t>
  </si>
  <si>
    <t>Melting_Curves/meltCurve_O14974_2_PPP1R12A.pdf</t>
  </si>
  <si>
    <t>Melting_Curves/meltCurve_O14976_GAK.pdf</t>
  </si>
  <si>
    <t>Melting_Curves/meltCurve_O14979_3_HNRPDL.pdf</t>
  </si>
  <si>
    <t>Melting_Curves/meltCurve_O14980_XPO1.pdf</t>
  </si>
  <si>
    <t>Melting_Curves/meltCurve_O14981_BTAF1.pdf</t>
  </si>
  <si>
    <t>Melting_Curves/meltCurve_O15013_4_ARHGEF10.pdf</t>
  </si>
  <si>
    <t>Melting_Curves/meltCurve_O15014_ZNF609.pdf</t>
  </si>
  <si>
    <t>Melting_Curves/meltCurve_O15031_PLXNB2.pdf</t>
  </si>
  <si>
    <t>Melting_Curves/meltCurve_O15047_SETD1A.pdf</t>
  </si>
  <si>
    <t>Melting_Curves/meltCurve_O15067_PFAS.pdf</t>
  </si>
  <si>
    <t>Melting_Curves/meltCurve_O15085_ARHGEF11.pdf</t>
  </si>
  <si>
    <t>Melting_Curves/meltCurve_O15091_4_KIAA0391.pdf</t>
  </si>
  <si>
    <t>Melting_Curves/meltCurve_O15111_CHUK.pdf</t>
  </si>
  <si>
    <t>Melting_Curves/meltCurve_O15116_LSM1.pdf</t>
  </si>
  <si>
    <t>Melting_Curves/meltCurve_O15118_NPC1.pdf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</si>
  <si>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</si>
  <si>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</si>
  <si>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</si>
  <si>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</si>
  <si>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</si>
  <si>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</si>
  <si>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Melting_Curves/meltCurve_O15155_BET1.pdf</t>
  </si>
  <si>
    <t>Melting_Curves/meltCurve_O15160_POLR1C.pdf</t>
  </si>
  <si>
    <t>Melting_Curves/meltCurve_O15164_2_TRIM24.pdf</t>
  </si>
  <si>
    <t>Melting_Curves/meltCurve_O15169_2_AXIN1.pdf</t>
  </si>
  <si>
    <t>Melting_Curves/meltCurve_O15173_PGRMC2.pdf</t>
  </si>
  <si>
    <t>Melting_Curves/meltCurve_O15212_PFDN6.pdf</t>
  </si>
  <si>
    <t>Melting_Curves/meltCurve_O15228_GNPAT.pdf</t>
  </si>
  <si>
    <t>Melting_Curves/meltCurve_O15234_CASC3.pdf</t>
  </si>
  <si>
    <t>Melting_Curves/meltCurve_O15239_NDUFA1.pdf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</si>
  <si>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</si>
  <si>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</si>
  <si>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</si>
  <si>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</si>
  <si>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</si>
  <si>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Melting_Curves/meltCurve_O15344_MID1.pdf</t>
  </si>
  <si>
    <t>Melting_Curves/meltCurve_O15347_HMGB3.pdf</t>
  </si>
  <si>
    <t>Melting_Curves/meltCurve_O15355_PPM1G.pdf</t>
  </si>
  <si>
    <t>Melting_Curves/meltCurve_O15357_INPPL1.pdf</t>
  </si>
  <si>
    <t>Melting_Curves/meltCurve_O15397_IPO8.pdf</t>
  </si>
  <si>
    <t>Melting_Curves/meltCurve_O15400_2_STX7.pdf</t>
  </si>
  <si>
    <t>Melting_Curves/meltCurve_O15439_2_ABCC4.pdf</t>
  </si>
  <si>
    <t>Melting_Curves/meltCurve_O15446_CD3EAP.pdf</t>
  </si>
  <si>
    <t>Melting_Curves/meltCurve_O15460_2_P4HA2.pdf</t>
  </si>
  <si>
    <t>Melting_Curves/meltCurve_O15511_ARPC5.pdf</t>
  </si>
  <si>
    <t>Melting_Curves/meltCurve_O15541_RNF113A.pdf</t>
  </si>
  <si>
    <t>Melting_Curves/meltCurve_O43143_DHX15.pdf</t>
  </si>
  <si>
    <t>Melting_Curves/meltCurve_O43148_RNMT.pdf</t>
  </si>
  <si>
    <t>Melting_Curves/meltCurve_O43150_2_ASAP2.pdf</t>
  </si>
  <si>
    <t>Melting_Curves/meltCurve_O43155_FLRT2.pdf</t>
  </si>
  <si>
    <t>Melting_Curves/meltCurve_O43156_TTI1.pdf</t>
  </si>
  <si>
    <t>Melting_Curves/meltCurve_O43164_2_PJA2.pdf</t>
  </si>
  <si>
    <t>Melting_Curves/meltCurve_O43172_2_PRPF4.pdf</t>
  </si>
  <si>
    <t>Melting_Curves/meltCurve_O43175_PHGDH.pdf</t>
  </si>
  <si>
    <t>Melting_Curves/meltCurve_O43242_PSMD3.pdf</t>
  </si>
  <si>
    <t>Melting_Curves/meltCurve_O43251_6_RBFOX2.pdf</t>
  </si>
  <si>
    <t>Melting_Curves/meltCurve_O43252_PAPSS1.pdf</t>
  </si>
  <si>
    <t>Melting_Curves/meltCurve_O43257_ZNHIT1.pdf</t>
  </si>
  <si>
    <t>Melting_Curves/meltCurve_O43264_ZW10.pdf</t>
  </si>
  <si>
    <t>Melting_Curves/meltCurve_O43290_SART1.pdf</t>
  </si>
  <si>
    <t>Melting_Curves/meltCurve_O43301_HSPA12A.pdf</t>
  </si>
  <si>
    <t>Melting_Curves/meltCurve_O43310_CTIF.pdf</t>
  </si>
  <si>
    <t>Melting_Curves/meltCurve_O43314_2_PPIP5K2.pdf</t>
  </si>
  <si>
    <t>Melting_Curves/meltCurve_O43318_2_MAP3K7.pdf</t>
  </si>
  <si>
    <t>Melting_Curves/meltCurve_O43353_RIPK2.pdf</t>
  </si>
  <si>
    <t>Melting_Curves/meltCurve_O43379_WDR62.pdf</t>
  </si>
  <si>
    <t>Melting_Curves/meltCurve_O43395_PRPF3.pdf</t>
  </si>
  <si>
    <t>Melting_Curves/meltCurve_O43396_TXNL1.pdf</t>
  </si>
  <si>
    <t>Melting_Curves/meltCurve_O43399_TPD52L2.pdf</t>
  </si>
  <si>
    <t>Melting_Curves/meltCurve_O43399_2_TPD52L2.pdf</t>
  </si>
  <si>
    <t>Melting_Curves/meltCurve_O43402_EMC8.pdf</t>
  </si>
  <si>
    <t>Melting_Curves/meltCurve_O43435_3_TBX1.pdf</t>
  </si>
  <si>
    <t>Melting_Curves/meltCurve_O43447_PPIH.pdf</t>
  </si>
  <si>
    <t>Melting_Curves/meltCurve_O43464_3_HTRA2.pdf</t>
  </si>
  <si>
    <t>Melting_Curves/meltCurve_O43474_1_KLF4.pdf</t>
  </si>
  <si>
    <t>Melting_Curves/meltCurve_O43482_OIP5.pdf</t>
  </si>
  <si>
    <t>Melting_Curves/meltCurve_O43491_EPB41L2.pdf</t>
  </si>
  <si>
    <t>Melting_Curves/meltCurve_O43493_2_TGOLN2.pdf</t>
  </si>
  <si>
    <t>Melting_Curves/meltCurve_O43502_RAD51C.pdf</t>
  </si>
  <si>
    <t>Melting_Curves/meltCurve_O43505_B3GNT1.pdf</t>
  </si>
  <si>
    <t>Melting_Curves/meltCurve_O43516_WIPF1.pdf</t>
  </si>
  <si>
    <t>Melting_Curves/meltCurve_O43521_6_BCL2L11.pdf</t>
  </si>
  <si>
    <t>Melting_Curves/meltCurve_O43524_FOXO3.pdf</t>
  </si>
  <si>
    <t>Melting_Curves/meltCurve_O43567_RNF13.pdf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</si>
  <si>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</si>
  <si>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</si>
  <si>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</si>
  <si>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</si>
  <si>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</si>
  <si>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</si>
  <si>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</si>
  <si>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Melting_Curves/meltCurve_O43657_TSPAN6.pdf</t>
  </si>
  <si>
    <t>Melting_Curves/meltCurve_O43665_2_RGS10.pdf</t>
  </si>
  <si>
    <t>Melting_Curves/meltCurve_O43676_NDUFB3.pdf</t>
  </si>
  <si>
    <t>Melting_Curves/meltCurve_O43677_NDUFC1.pdf</t>
  </si>
  <si>
    <t>Melting_Curves/meltCurve_O43678_NDUFA2.pdf</t>
  </si>
  <si>
    <t>Melting_Curves/meltCurve_O43681_ASNA1.pdf</t>
  </si>
  <si>
    <t>Melting_Curves/meltCurve_O43684_BUB3.pdf</t>
  </si>
  <si>
    <t>Melting_Curves/meltCurve_O43684_2_BUB3.pdf</t>
  </si>
  <si>
    <t>Melting_Curves/meltCurve_O43707_ACTN4.pdf</t>
  </si>
  <si>
    <t>Melting_Curves/meltCurve_O43709_WBSCR22.pdf</t>
  </si>
  <si>
    <t>Melting_Curves/meltCurve_O43715_TRIAP1.pdf</t>
  </si>
  <si>
    <t>Melting_Curves/meltCurve_O43719_HTATSF1.pdf</t>
  </si>
  <si>
    <t>Melting_Curves/meltCurve_O43752_STX6.pdf</t>
  </si>
  <si>
    <t>Melting_Curves/meltCurve_O43765_SGTA.pdf</t>
  </si>
  <si>
    <t>Melting_Curves/meltCurve_O43766_LIAS.pdf</t>
  </si>
  <si>
    <t>Melting_Curves/meltCurve_O43768_ENSA.pdf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</si>
  <si>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</si>
  <si>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</si>
  <si>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</si>
  <si>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</si>
  <si>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</si>
  <si>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</si>
  <si>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</si>
  <si>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</si>
  <si>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Melting_Curves/meltCurve_O43820_4_HYAL3.pdf</t>
  </si>
  <si>
    <t>Melting_Curves/meltCurve_O43824_GTPBP6.pdf</t>
  </si>
  <si>
    <t>Melting_Curves/meltCurve_O43826_SLC37A4.pdf</t>
  </si>
  <si>
    <t>Melting_Curves/meltCurve_O43837_IDH3B.pdf</t>
  </si>
  <si>
    <t>Melting_Curves/meltCurve_O43852_CALU.pdf</t>
  </si>
  <si>
    <t>Melting_Curves/meltCurve_O43865_AHCYL1.pdf</t>
  </si>
  <si>
    <t>Melting_Curves/meltCurve_O43896_KIF1C.pdf</t>
  </si>
  <si>
    <t>Melting_Curves/meltCurve_O43913_2_ORC5.pdf</t>
  </si>
  <si>
    <t>Melting_Curves/meltCurve_O43920_NDUFS5.pdf</t>
  </si>
  <si>
    <t>Melting_Curves/meltCurve_O43929_ORC4.pdf</t>
  </si>
  <si>
    <t>Melting_Curves/meltCurve_O43933_PEX1.pdf</t>
  </si>
  <si>
    <t>Melting_Curves/meltCurve_O60220_TIMM8A.pdf</t>
  </si>
  <si>
    <t>Melting_Curves/meltCurve_O60231_DHX16.pdf</t>
  </si>
  <si>
    <t>Melting_Curves/meltCurve_O60256_PRPSAP2.pdf</t>
  </si>
  <si>
    <t>Melting_Curves/meltCurve_O60262_GNG7.pdf</t>
  </si>
  <si>
    <t>Melting_Curves/meltCurve_O60271_4_SPAG9.pdf</t>
  </si>
  <si>
    <t>Melting_Curves/meltCurve_O60279_SUSD5.pdf</t>
  </si>
  <si>
    <t>Melting_Curves/meltCurve_O60282_KIF5C.pdf</t>
  </si>
  <si>
    <t>Melting_Curves/meltCurve_O60333_2_KIF1B.pdf</t>
  </si>
  <si>
    <t>Melting_Curves/meltCurve_O60343_2_TBC1D4.pdf</t>
  </si>
  <si>
    <t>Melting_Curves/meltCurve_O60344_4_ECE2.pdf</t>
  </si>
  <si>
    <t>Melting_Curves/meltCurve_O60347_TBC1D12.pdf</t>
  </si>
  <si>
    <t>Melting_Curves/meltCurve_O60353_2_FZD6.pdf</t>
  </si>
  <si>
    <t>Melting_Curves/meltCurve_O60361_NME2P1.pdf</t>
  </si>
  <si>
    <t>Melting_Curves/meltCurve_O60427_FADS1.pdf</t>
  </si>
  <si>
    <t>Melting_Curves/meltCurve_O60449_3_LY75.pdf</t>
  </si>
  <si>
    <t>Melting_Curves/meltCurve_O60476_MAN1A2.pdf</t>
  </si>
  <si>
    <t>Melting_Curves/meltCurve_O60488_2_ACSL4.pdf</t>
  </si>
  <si>
    <t>Melting_Curves/meltCurve_O60493_SNX3.pdf</t>
  </si>
  <si>
    <t>Melting_Curves/meltCurve_O60502_MGEA5.pdf</t>
  </si>
  <si>
    <t>Melting_Curves/meltCurve_O60503_ADCY9.pdf</t>
  </si>
  <si>
    <t>Melting_Curves/meltCurve_O60504_2_SORBS3.pdf</t>
  </si>
  <si>
    <t>Melting_Curves/meltCurve_O60506_4_SYNCRIP.pdf</t>
  </si>
  <si>
    <t>Melting_Curves/meltCurve_O60518_RANBP6.pdf</t>
  </si>
  <si>
    <t>Melting_Curves/meltCurve_O60524_4_NEMF.pdf</t>
  </si>
  <si>
    <t>Melting_Curves/meltCurve_O60547_GMDS.pdf</t>
  </si>
  <si>
    <t>Melting_Curves/meltCurve_O60548_FOXD2.pdf</t>
  </si>
  <si>
    <t>Melting_Curves/meltCurve_O60566_BUB1B.pdf</t>
  </si>
  <si>
    <t>Melting_Curves/meltCurve_O60568_PLOD3.pdf</t>
  </si>
  <si>
    <t>Melting_Curves/meltCurve_O60613_SEP15.pdf</t>
  </si>
  <si>
    <t>Melting_Curves/meltCurve_O60645_3_EXOC3.pdf</t>
  </si>
  <si>
    <t>Melting_Curves/meltCurve_O60664_PLIN3.pdf</t>
  </si>
  <si>
    <t>Melting_Curves/meltCurve_O60678_PRMT3.pdf</t>
  </si>
  <si>
    <t>Melting_Curves/meltCurve_O60701_UGDH.pdf</t>
  </si>
  <si>
    <t>Melting_Curves/meltCurve_O60704_TPST2.pdf</t>
  </si>
  <si>
    <t>Melting_Curves/meltCurve_O60716_5_CTNND1.pdf</t>
  </si>
  <si>
    <t>Melting_Curves/meltCurve_O60725_ICMT.pdf</t>
  </si>
  <si>
    <t>Melting_Curves/meltCurve_O60749_SNX2.pdf</t>
  </si>
  <si>
    <t>Melting_Curves/meltCurve_O60763_USO1.pdf</t>
  </si>
  <si>
    <t>Melting_Curves/meltCurve_O60826_CCDC22.pdf</t>
  </si>
  <si>
    <t>Melting_Curves/meltCurve_O60828_PQBP1.pdf</t>
  </si>
  <si>
    <t>Melting_Curves/meltCurve_O60830_TIMM17B.pdf</t>
  </si>
  <si>
    <t>Melting_Curves/meltCurve_O60831_PRAF2.pdf</t>
  </si>
  <si>
    <t>Melting_Curves/meltCurve_O60832_DKC1.pdf</t>
  </si>
  <si>
    <t>Melting_Curves/meltCurve_O60841_EIF5B.pdf</t>
  </si>
  <si>
    <t>Melting_Curves/meltCurve_O60869_EDF1.pdf</t>
  </si>
  <si>
    <t>Melting_Curves/meltCurve_O60884_DNAJA2.pdf</t>
  </si>
  <si>
    <t>Melting_Curves/meltCurve_O60885_BRD4.pdf</t>
  </si>
  <si>
    <t>Melting_Curves/meltCurve_O60888_3_CUTA.pdf</t>
  </si>
  <si>
    <t>Melting_Curves/meltCurve_O60906_SMPD2.pdf</t>
  </si>
  <si>
    <t>Melting_Curves/meltCurve_O60925_PFDN1.pdf</t>
  </si>
  <si>
    <t>Melting_Curves/meltCurve_O60927_PPP1R11.pdf</t>
  </si>
  <si>
    <t>Melting_Curves/meltCurve_O60934_NBN.pdf</t>
  </si>
  <si>
    <t>Melting_Curves/meltCurve_O60942_RNGTT.pdf</t>
  </si>
  <si>
    <t>Melting_Curves/meltCurve_O75027_ABCB7.pdf</t>
  </si>
  <si>
    <t>Melting_Curves/meltCurve_O75044_SRGAP2.pdf</t>
  </si>
  <si>
    <t>Melting_Curves/meltCurve_O75051_PLXNA2.pdf</t>
  </si>
  <si>
    <t>Melting_Curves/meltCurve_O75063_FAM20B.pdf</t>
  </si>
  <si>
    <t>Melting_Curves/meltCurve_O75083_WDR1.pdf</t>
  </si>
  <si>
    <t>Melting_Curves/meltCurve_O75084_FZD7.pdf</t>
  </si>
  <si>
    <t>Melting_Curves/meltCurve_O75110_ATP9A.pdf</t>
  </si>
  <si>
    <t>Melting_Curves/meltCurve_O75113_N4BP1.pdf</t>
  </si>
  <si>
    <t>Melting_Curves/meltCurve_O75116_ROCK2.pdf</t>
  </si>
  <si>
    <t>Melting_Curves/meltCurve_O75131_CPNE3.pdf</t>
  </si>
  <si>
    <t>Melting_Curves/meltCurve_O75143_2_ATG13.pdf</t>
  </si>
  <si>
    <t>Melting_Curves/meltCurve_O75146_HIP1R.pdf</t>
  </si>
  <si>
    <t>Melting_Curves/meltCurve_O75150_RNF40.pdf</t>
  </si>
  <si>
    <t>Melting_Curves/meltCurve_O75153_CLUH.pdf</t>
  </si>
  <si>
    <t>Melting_Curves/meltCurve_O75155_CAND2.pdf</t>
  </si>
  <si>
    <t>Melting_Curves/meltCurve_O75157_2_TSC22D2.pdf</t>
  </si>
  <si>
    <t>Melting_Curves/meltCurve_O75164_KDM4A.pdf</t>
  </si>
  <si>
    <t>Melting_Curves/meltCurve_O75170_6_PPP6R2.pdf</t>
  </si>
  <si>
    <t>Melting_Curves/meltCurve_O75175_CNOT3.pdf</t>
  </si>
  <si>
    <t>Melting_Curves/meltCurve_O75179_2_ANKRD17.pdf</t>
  </si>
  <si>
    <t>Melting_Curves/meltCurve_O75191_XYLB.pdf</t>
  </si>
  <si>
    <t>Melting_Curves/meltCurve_O75208_COQ9.pdf</t>
  </si>
  <si>
    <t>Melting_Curves/meltCurve_O75223_GGCT.pdf</t>
  </si>
  <si>
    <t>Melting_Curves/meltCurve_O75306_2_NDUFS2.pdf</t>
  </si>
  <si>
    <t>Melting_Curves/meltCurve_O75312_ZNF259.pdf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</si>
  <si>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</si>
  <si>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</si>
  <si>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</si>
  <si>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</si>
  <si>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</si>
  <si>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</si>
  <si>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Melting_Curves/meltCurve_O75368_SH3BGRL.pdf</t>
  </si>
  <si>
    <t>Melting_Curves/meltCurve_O75369_8_FLNB.pdf</t>
  </si>
  <si>
    <t>Melting_Curves/meltCurve_O75376_NCOR1.pdf</t>
  </si>
  <si>
    <t>Melting_Curves/meltCurve_O75379_VAMP4.pdf</t>
  </si>
  <si>
    <t>Melting_Curves/meltCurve_O75380_NDUFS6.pdf</t>
  </si>
  <si>
    <t>Melting_Curves/meltCurve_O75391_SPAG7.pdf</t>
  </si>
  <si>
    <t>Melting_Curves/meltCurve_O75396_SEC22B.pdf</t>
  </si>
  <si>
    <t>Melting_Curves/meltCurve_O75400_2_PRPF40A.pdf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</si>
  <si>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</si>
  <si>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</si>
  <si>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</si>
  <si>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</si>
  <si>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</si>
  <si>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</si>
  <si>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Melting_Curves/meltCurve_O75449_KATNA1.pdf</t>
  </si>
  <si>
    <t>Melting_Curves/meltCurve_O75475_PSIP1.pdf</t>
  </si>
  <si>
    <t>Melting_Curves/meltCurve_O75489_NDUFS3.pdf</t>
  </si>
  <si>
    <t>Melting_Curves/meltCurve_O75506_HSBP1.pdf</t>
  </si>
  <si>
    <t>Melting_Curves/meltCurve_O75521_2_ECI2.pdf</t>
  </si>
  <si>
    <t>Melting_Curves/meltCurve_O75526_RBMXL2.pdf</t>
  </si>
  <si>
    <t>Melting_Curves/meltCurve_O75528_TADA3.pdf</t>
  </si>
  <si>
    <t>Melting_Curves/meltCurve_O75531_BANF1.pdf</t>
  </si>
  <si>
    <t>Melting_Curves/meltCurve_O75533_SF3B1.pdf</t>
  </si>
  <si>
    <t>Melting_Curves/meltCurve_O75534_2_CSDE1.pdf</t>
  </si>
  <si>
    <t>Melting_Curves/meltCurve_O75554_WBP4.pdf</t>
  </si>
  <si>
    <t>Melting_Curves/meltCurve_O75570_MTRF1.pdf</t>
  </si>
  <si>
    <t>Melting_Curves/meltCurve_O75582_RPS6KA5.pdf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</si>
  <si>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</si>
  <si>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</si>
  <si>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</si>
  <si>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</si>
  <si>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Melting_Curves/meltCurve_O75629_CREG1.pdf</t>
  </si>
  <si>
    <t>Melting_Curves/meltCurve_O75643_SNRNP200.pdf</t>
  </si>
  <si>
    <t>Melting_Curves/meltCurve_O75648_TRMU.pdf</t>
  </si>
  <si>
    <t>Melting_Curves/meltCurve_O75663_TIPRL.pdf</t>
  </si>
  <si>
    <t>Melting_Curves/meltCurve_O75688_PPM1B.pdf</t>
  </si>
  <si>
    <t>Melting_Curves/meltCurve_O75689_ADAP1.pdf</t>
  </si>
  <si>
    <t>Melting_Curves/meltCurve_O75695_RP2.pdf</t>
  </si>
  <si>
    <t>Melting_Curves/meltCurve_O75717_WDHD1.pdf</t>
  </si>
  <si>
    <t>Melting_Curves/meltCurve_O75746_SLC25A12.pdf</t>
  </si>
  <si>
    <t>Melting_Curves/meltCurve_O75781_PALM.pdf</t>
  </si>
  <si>
    <t>Melting_Curves/meltCurve_O75792_RNASEH2A.pdf</t>
  </si>
  <si>
    <t>Melting_Curves/meltCurve_O75794_CDC123.pdf</t>
  </si>
  <si>
    <t>Melting_Curves/meltCurve_O75808_SOLH.pdf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</si>
  <si>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</si>
  <si>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</si>
  <si>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</si>
  <si>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</si>
  <si>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Melting_Curves/meltCurve_O75832_PSMD10.pdf</t>
  </si>
  <si>
    <t>Melting_Curves/meltCurve_O75844_ZMPSTE24.pdf</t>
  </si>
  <si>
    <t>Melting_Curves/meltCurve_O75874_IDH1.pdf</t>
  </si>
  <si>
    <t>Melting_Curves/meltCurve_O75884_RBBP9.pdf</t>
  </si>
  <si>
    <t>Melting_Curves/meltCurve_O75886_STAM2.pdf</t>
  </si>
  <si>
    <t>Melting_Curves/meltCurve_O75915_ARL6IP5.pdf</t>
  </si>
  <si>
    <t>Melting_Curves/meltCurve_O75920_2_SERF1A.pdf</t>
  </si>
  <si>
    <t>Melting_Curves/meltCurve_O75928_3_PIAS2.pdf</t>
  </si>
  <si>
    <t>Melting_Curves/meltCurve_O75934_BCAS2.pdf</t>
  </si>
  <si>
    <t>Melting_Curves/meltCurve_O75937_DNAJC8.pdf</t>
  </si>
  <si>
    <t>Melting_Curves/meltCurve_O75940_SMNDC1.pdf</t>
  </si>
  <si>
    <t>Melting_Curves/meltCurve_O75947_ATP5H.pdf</t>
  </si>
  <si>
    <t>Melting_Curves/meltCurve_O75964_ATP5L.pdf</t>
  </si>
  <si>
    <t>Melting_Curves/meltCurve_O75976_CPD.pdf</t>
  </si>
  <si>
    <t>Melting_Curves/meltCurve_O76003_GLRX3.pdf</t>
  </si>
  <si>
    <t>Melting_Curves/meltCurve_O76024_WFS1.pdf</t>
  </si>
  <si>
    <t>Melting_Curves/meltCurve_O76031_CLPX.pdf</t>
  </si>
  <si>
    <t>Melting_Curves/meltCurve_O76041_2_NEBL.pdf</t>
  </si>
  <si>
    <t>Melting_Curves/meltCurve_O76070_SNCG.pdf</t>
  </si>
  <si>
    <t>Melting_Curves/meltCurve_O76071_CIAO1.pdf</t>
  </si>
  <si>
    <t>Melting_Curves/meltCurve_O76075_2_DFFB.pdf</t>
  </si>
  <si>
    <t>Melting_Curves/meltCurve_O76080_ZFAND5.pdf</t>
  </si>
  <si>
    <t>Melting_Curves/meltCurve_O76094_SRP72.pdf</t>
  </si>
  <si>
    <t>Melting_Curves/meltCurve_O76095_2_JTB.pdf</t>
  </si>
  <si>
    <t>Melting_Curves/meltCurve_O94760_DDAH1.pdf</t>
  </si>
  <si>
    <t>Melting_Curves/meltCurve_O94761_RECQL4.pdf</t>
  </si>
  <si>
    <t>Melting_Curves/meltCurve_O94766_B3GAT3.pdf</t>
  </si>
  <si>
    <t>Melting_Curves/meltCurve_O94776_MTA2.pdf</t>
  </si>
  <si>
    <t>Melting_Curves/meltCurve_O94782_USP1.pdf</t>
  </si>
  <si>
    <t>Melting_Curves/meltCurve_O94788_2_ALDH1A2.pdf</t>
  </si>
  <si>
    <t>Melting_Curves/meltCurve_O94804_STK10.pdf</t>
  </si>
  <si>
    <t>Melting_Curves/meltCurve_O94811_TPPP.pdf</t>
  </si>
  <si>
    <t>Melting_Curves/meltCurve_O94813_3_SLIT2.pdf</t>
  </si>
  <si>
    <t>Melting_Curves/meltCurve_O94819_KBTBD11.pdf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</si>
  <si>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</si>
  <si>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</si>
  <si>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</si>
  <si>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</si>
  <si>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</si>
  <si>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Melting_Curves/meltCurve_O94851_5_MICAL2.pdf</t>
  </si>
  <si>
    <t>Melting_Curves/meltCurve_O94855_SEC24D.pdf</t>
  </si>
  <si>
    <t>Melting_Curves/meltCurve_O94864_2_SUPT7L.pdf</t>
  </si>
  <si>
    <t>Melting_Curves/meltCurve_O94874_UFL1.pdf</t>
  </si>
  <si>
    <t>Melting_Curves/meltCurve_O94885_SASH1.pdf</t>
  </si>
  <si>
    <t>Melting_Curves/meltCurve_O94888_UBXN7.pdf</t>
  </si>
  <si>
    <t>Melting_Curves/meltCurve_O94898_LRIG2.pdf</t>
  </si>
  <si>
    <t>Melting_Curves/meltCurve_O94903_PROSC.pdf</t>
  </si>
  <si>
    <t>Melting_Curves/meltCurve_O94905_ERLIN2.pdf</t>
  </si>
  <si>
    <t>Melting_Curves/meltCurve_O94919_ENDOD1.pdf</t>
  </si>
  <si>
    <t>Melting_Curves/meltCurve_O94921_CDK14.pdf</t>
  </si>
  <si>
    <t>Melting_Curves/meltCurve_O94925_3_GLS.pdf</t>
  </si>
  <si>
    <t>Melting_Curves/meltCurve_O94927_HAUS5.pdf</t>
  </si>
  <si>
    <t>Melting_Curves/meltCurve_O94967_2_WDR47.pdf</t>
  </si>
  <si>
    <t>Melting_Curves/meltCurve_O94973_AP2A2.pdf</t>
  </si>
  <si>
    <t>Melting_Curves/meltCurve_O94973_2_AP2A2.pdf</t>
  </si>
  <si>
    <t>Melting_Curves/meltCurve_O94992_HEXIM1.pdf</t>
  </si>
  <si>
    <t>Melting_Curves/meltCurve_O95067_CCNB2.pdf</t>
  </si>
  <si>
    <t>Melting_Curves/meltCurve_O95081_AGFG2.pdf</t>
  </si>
  <si>
    <t>Melting_Curves/meltCurve_O95104_3_SCAF4.pdf</t>
  </si>
  <si>
    <t>Melting_Curves/meltCurve_O95136_S1PR2.pdf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</si>
  <si>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</si>
  <si>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</si>
  <si>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</si>
  <si>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</si>
  <si>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Melting_Curves/meltCurve_O95163_IKBKAP.pdf</t>
  </si>
  <si>
    <t>Melting_Curves/meltCurve_O95167_NDUFA3.pdf</t>
  </si>
  <si>
    <t>Melting_Curves/meltCurve_O95168_NDUFB4.pdf</t>
  </si>
  <si>
    <t>Melting_Curves/meltCurve_O95197_7_RTN3.pdf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</si>
  <si>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</si>
  <si>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</si>
  <si>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</si>
  <si>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</si>
  <si>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Melting_Curves/meltCurve_O95251_4_KAT7.pdf</t>
  </si>
  <si>
    <t>Melting_Curves/meltCurve_O95273_CCNDBP1.pdf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</si>
  <si>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</si>
  <si>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</si>
  <si>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</si>
  <si>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</si>
  <si>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Melting_Curves/meltCurve_O95302_FKBP9.pdf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</si>
  <si>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</si>
  <si>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</si>
  <si>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</si>
  <si>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</si>
  <si>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</si>
  <si>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</si>
  <si>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</si>
  <si>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</si>
  <si>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Melting_Curves/meltCurve_O95391_SLU7.pdf</t>
  </si>
  <si>
    <t>Melting_Curves/meltCurve_O95394_PGM3.pdf</t>
  </si>
  <si>
    <t>Melting_Curves/meltCurve_O95396_MOCS3.pdf</t>
  </si>
  <si>
    <t>Melting_Curves/meltCurve_O95400_CD2BP2.pdf</t>
  </si>
  <si>
    <t>Melting_Curves/meltCurve_O95405_ZFYVE9.pdf</t>
  </si>
  <si>
    <t>Melting_Curves/meltCurve_O95429_2_BAG4.pdf</t>
  </si>
  <si>
    <t>Melting_Curves/meltCurve_O95433_AHSA1.pdf</t>
  </si>
  <si>
    <t>Melting_Curves/meltCurve_O95453_2_PARN.pdf</t>
  </si>
  <si>
    <t>Melting_Curves/meltCurve_O95455_TGDS.pdf</t>
  </si>
  <si>
    <t>Melting_Curves/meltCurve_O95456_PSMG1.pdf</t>
  </si>
  <si>
    <t>Melting_Curves/meltCurve_O95470_SGPL1.pdf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</si>
  <si>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</si>
  <si>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</si>
  <si>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</si>
  <si>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</si>
  <si>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Melting_Curves/meltCurve_O95573_ACSL3.pdf</t>
  </si>
  <si>
    <t>Melting_Curves/meltCurve_O95600_KLF8.pdf</t>
  </si>
  <si>
    <t>Melting_Curves/meltCurve_O95613_2_PCNT.pdf</t>
  </si>
  <si>
    <t>Melting_Curves/meltCurve_O95620_DUS4L.pdf</t>
  </si>
  <si>
    <t>Melting_Curves/meltCurve_O95628_5_CNOT4.pdf</t>
  </si>
  <si>
    <t>Melting_Curves/meltCurve_O95630_STAMBP.pdf</t>
  </si>
  <si>
    <t>Melting_Curves/meltCurve_O95671_2_ASMTL.pdf</t>
  </si>
  <si>
    <t>Melting_Curves/meltCurve_O95684_FGFR1OP.pdf</t>
  </si>
  <si>
    <t>Melting_Curves/meltCurve_O95716_RAB3D.pdf</t>
  </si>
  <si>
    <t>Melting_Curves/meltCurve_O95721_SNAP29.pdf</t>
  </si>
  <si>
    <t>Melting_Curves/meltCurve_O95747_OXSR1.pdf</t>
  </si>
  <si>
    <t>Melting_Curves/meltCurve_O95751_LDOC1.pdf</t>
  </si>
  <si>
    <t>Melting_Curves/meltCurve_O95755_2_RAB36.pdf</t>
  </si>
  <si>
    <t>Melting_Curves/meltCurve_O95758_1_PTBP3.pdf</t>
  </si>
  <si>
    <t>Melting_Curves/meltCurve_O95777_NAA38.pdf</t>
  </si>
  <si>
    <t>Melting_Curves/meltCurve_O95782_2_AP2A1.pdf</t>
  </si>
  <si>
    <t>Melting_Curves/meltCurve_O95816_BAG2.pdf</t>
  </si>
  <si>
    <t>Melting_Curves/meltCurve_O95817_BAG3.pdf</t>
  </si>
  <si>
    <t>Melting_Curves/meltCurve_O95822_MLYCD.pdf</t>
  </si>
  <si>
    <t>Melting_Curves/meltCurve_O95825_CRYZL1.pdf</t>
  </si>
  <si>
    <t>Melting_Curves/meltCurve_O95831_3_AIFM1.pdf</t>
  </si>
  <si>
    <t>Melting_Curves/meltCurve_O95835_LATS1.pdf</t>
  </si>
  <si>
    <t>Melting_Curves/meltCurve_O95857_TSPAN13.pdf</t>
  </si>
  <si>
    <t>Melting_Curves/meltCurve_O95865_DDAH2.pdf</t>
  </si>
  <si>
    <t>Melting_Curves/meltCurve_O95873_C6orf47.pdf</t>
  </si>
  <si>
    <t>Melting_Curves/meltCurve_O95881_TXNDC12.pdf</t>
  </si>
  <si>
    <t>Melting_Curves/meltCurve_O95905_ECD.pdf</t>
  </si>
  <si>
    <t>Melting_Curves/meltCurve_O95926_SYF2.pdf</t>
  </si>
  <si>
    <t>Melting_Curves/meltCurve_O95989_NUDT3.pdf</t>
  </si>
  <si>
    <t>Melting_Curves/meltCurve_O95997_PTTG1.pdf</t>
  </si>
  <si>
    <t>Melting_Curves/meltCurve_O95999_BCL10.pdf</t>
  </si>
  <si>
    <t>Melting_Curves/meltCurve_O96000_NDUFB10.pdf</t>
  </si>
  <si>
    <t>Melting_Curves/meltCurve_O96006_ZBED1.pdf</t>
  </si>
  <si>
    <t>Melting_Curves/meltCurve_O96008_TOMM40.pdf</t>
  </si>
  <si>
    <t>Melting_Curves/meltCurve_O96011_PEX11B.pdf</t>
  </si>
  <si>
    <t>Melting_Curves/meltCurve_O96013_PAK4.pdf</t>
  </si>
  <si>
    <t>Melting_Curves/meltCurve_O96017_CHEK2.pdf</t>
  </si>
  <si>
    <t>Melting_Curves/meltCurve_O96019_ACTL6A.pdf</t>
  </si>
  <si>
    <t>Melting_Curves/meltCurve_O96033_MOCS2.pdf</t>
  </si>
  <si>
    <t>Melting_Curves/meltCurve_P00167_2_CYB5A.pdf</t>
  </si>
  <si>
    <t>Melting_Curves/meltCurve_P00338_LDHA.pdf</t>
  </si>
  <si>
    <t>Melting_Curves/meltCurve_P00367_GLUD1.pdf</t>
  </si>
  <si>
    <t>Melting_Curves/meltCurve_P00374_DHFR.pdf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</si>
  <si>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</si>
  <si>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</si>
  <si>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</si>
  <si>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</si>
  <si>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</si>
  <si>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</si>
  <si>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</si>
  <si>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Melting_Curves/meltCurve_P00519_2_ABL1.pdf</t>
  </si>
  <si>
    <t>Melting_Curves/meltCurve_P00558_PGK1.pdf</t>
  </si>
  <si>
    <t>Melting_Curves/meltCurve_P00813_ADA.pdf</t>
  </si>
  <si>
    <t>Melting_Curves/meltCurve_P00918_CA2.pdf</t>
  </si>
  <si>
    <t>Melting_Curves/meltCurve_P01034_CST3.pdf</t>
  </si>
  <si>
    <t>Melting_Curves/meltCurve_P01111_NRAS.pdf</t>
  </si>
  <si>
    <t>Melting_Curves/meltCurve_P01112_HRAS.pdf</t>
  </si>
  <si>
    <t>Melting_Curves/meltCurve_P01116_KRAS.pdf</t>
  </si>
  <si>
    <t>Melting_Curves/meltCurve_P01116_2_KRAS.pdf</t>
  </si>
  <si>
    <t>Melting_Curves/meltCurve_P01814_.pdf</t>
  </si>
  <si>
    <t>Melting_Curves/meltCurve_P01889_HLA_B.pdf</t>
  </si>
  <si>
    <t>Melting_Curves/meltCurve_P02008_HBZ.pdf</t>
  </si>
  <si>
    <t>Melting_Curves/meltCurve_P02100_HBE1.pdf</t>
  </si>
  <si>
    <t>Melting_Curves/meltCurve_P02545_LMNA.pdf</t>
  </si>
  <si>
    <t>Melting_Curves/meltCurve_P02786_TFRC.pdf</t>
  </si>
  <si>
    <t>Melting_Curves/meltCurve_P02794_FTH1.pdf</t>
  </si>
  <si>
    <t>Melting_Curves/meltCurve_P02795_MT2A.pdf</t>
  </si>
  <si>
    <t>Melting_Curves/meltCurve_P03928_MT_ATP8.pdf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</si>
  <si>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</si>
  <si>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</si>
  <si>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</si>
  <si>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</si>
  <si>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</si>
  <si>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Melting_Curves/meltCurve_P04150_9_NR3C1.pdf</t>
  </si>
  <si>
    <t>Melting_Curves/meltCurve_P04181_OAT.pdf</t>
  </si>
  <si>
    <t>Melting_Curves/meltCurve_P04183_TK1.pdf</t>
  </si>
  <si>
    <t>Melting_Curves/meltCurve_P04350_TUBB4A.pdf</t>
  </si>
  <si>
    <t>Melting_Curves/meltCurve_P04406_GAPDH.pdf</t>
  </si>
  <si>
    <t>Melting_Curves/meltCurve_P04626_4_ERBB2.pdf</t>
  </si>
  <si>
    <t>Melting_Curves/meltCurve_P04632_CAPNS1.pdf</t>
  </si>
  <si>
    <t>Melting_Curves/meltCurve_P04792_HSPB1.pdf</t>
  </si>
  <si>
    <t>Melting_Curves/meltCurve_P04818_TYMS.pdf</t>
  </si>
  <si>
    <t>Melting_Curves/meltCurve_P04843_RPN1.pdf</t>
  </si>
  <si>
    <t>Melting_Curves/meltCurve_P04844_2_RPN2.pdf</t>
  </si>
  <si>
    <t>Melting_Curves/meltCurve_P04899_GNAI2.pdf</t>
  </si>
  <si>
    <t>Melting_Curves/meltCurve_P04920_2_SLC4A2.pdf</t>
  </si>
  <si>
    <t>Melting_Curves/meltCurve_P05023_4_ATP1A1.pdf</t>
  </si>
  <si>
    <t>Melting_Curves/meltCurve_P05091_ALDH2.pdf</t>
  </si>
  <si>
    <t>Melting_Curves/meltCurve_P05141_SLC25A5.pdf</t>
  </si>
  <si>
    <t>Melting_Curves/meltCurve_P05198_EIF2S1.pdf</t>
  </si>
  <si>
    <t>Melting_Curves/meltCurve_P05204_HMGN2.pdf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</si>
  <si>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</si>
  <si>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</si>
  <si>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</si>
  <si>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</si>
  <si>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Melting_Curves/meltCurve_P05455_SSB.pdf</t>
  </si>
  <si>
    <t>Melting_Curves/meltCurve_P05556_ITGB1.pdf</t>
  </si>
  <si>
    <t>Melting_Curves/meltCurve_P05771_2_PRKCB.pdf</t>
  </si>
  <si>
    <t>Melting_Curves/meltCurve_P05783_KRT18.pdf</t>
  </si>
  <si>
    <t>Melting_Curves/meltCurve_P05976_2_MYL1.pdf</t>
  </si>
  <si>
    <t>Melting_Curves/meltCurve_P06132_UROD.pdf</t>
  </si>
  <si>
    <t>Melting_Curves/meltCurve_P06241_FYN.pdf</t>
  </si>
  <si>
    <t>Melting_Curves/meltCurve_P06280_GLA.pdf</t>
  </si>
  <si>
    <t>Melting_Curves/meltCurve_P06400_RB1.pdf</t>
  </si>
  <si>
    <t>Melting_Curves/meltCurve_P06493_CDK1.pdf</t>
  </si>
  <si>
    <t>Melting_Curves/meltCurve_P06576_ATP5B.pdf</t>
  </si>
  <si>
    <t>Melting_Curves/meltCurve_P06733_ENO1.pdf</t>
  </si>
  <si>
    <t>Melting_Curves/meltCurve_P06737_2_PYGL.pdf</t>
  </si>
  <si>
    <t>Melting_Curves/meltCurve_P06744_GPI.pdf</t>
  </si>
  <si>
    <t>Melting_Curves/meltCurve_P06748_NPM1.pdf</t>
  </si>
  <si>
    <t>Melting_Curves/meltCurve_P06753_2_TPM3.pdf</t>
  </si>
  <si>
    <t>Melting_Curves/meltCurve_P06756_3_ITGAV.pdf</t>
  </si>
  <si>
    <t>Melting_Curves/meltCurve_P07108_DBI.pdf</t>
  </si>
  <si>
    <t>Melting_Curves/meltCurve_P07195_LDHB.pdf</t>
  </si>
  <si>
    <t>Melting_Curves/meltCurve_P07196_NEFL.pdf</t>
  </si>
  <si>
    <t>Melting_Curves/meltCurve_P07203_GPX1.pdf</t>
  </si>
  <si>
    <t>Melting_Curves/meltCurve_P07204_THBD.pdf</t>
  </si>
  <si>
    <t>Melting_Curves/meltCurve_P07205_PGK2.pdf</t>
  </si>
  <si>
    <t>Melting_Curves/meltCurve_P07237_P4HB.pdf</t>
  </si>
  <si>
    <t>Melting_Curves/meltCurve_P07339_CTSD.pdf</t>
  </si>
  <si>
    <t>Melting_Curves/meltCurve_P07355_ANXA2.pdf</t>
  </si>
  <si>
    <t>Melting_Curves/meltCurve_P07384_CAPN1.pdf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</si>
  <si>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</si>
  <si>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</si>
  <si>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</si>
  <si>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</si>
  <si>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</si>
  <si>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</si>
  <si>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</si>
  <si>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</si>
  <si>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</si>
  <si>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Melting_Curves/meltCurve_P07948_LYN.pdf</t>
  </si>
  <si>
    <t>Melting_Curves/meltCurve_P07954_2_FH.pdf</t>
  </si>
  <si>
    <t>Melting_Curves/meltCurve_P07992_ERCC1.pdf</t>
  </si>
  <si>
    <t>Melting_Curves/meltCurve_P08047_SP1.pdf</t>
  </si>
  <si>
    <t>Melting_Curves/meltCurve_P08107_HSPA1A.pdf</t>
  </si>
  <si>
    <t>Melting_Curves/meltCurve_P08133_ANXA6.pdf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</si>
  <si>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</si>
  <si>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</si>
  <si>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</si>
  <si>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</si>
  <si>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</si>
  <si>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Melting_Curves/meltCurve_P08559_3_PDHA1.pdf</t>
  </si>
  <si>
    <t>Melting_Curves/meltCurve_P08574_CYC1.pdf</t>
  </si>
  <si>
    <t>Melting_Curves/meltCurve_P08579_SNRPB2.pdf</t>
  </si>
  <si>
    <t>Melting_Curves/meltCurve_P08581_MET.pdf</t>
  </si>
  <si>
    <t>Melting_Curves/meltCurve_P08582_MFI2.pdf</t>
  </si>
  <si>
    <t>Melting_Curves/meltCurve_P08648_ITGA5.pdf</t>
  </si>
  <si>
    <t>Melting_Curves/meltCurve_P08670_VIM.pdf</t>
  </si>
  <si>
    <t>Melting_Curves/meltCurve_P08754_GNAI3.pdf</t>
  </si>
  <si>
    <t>Melting_Curves/meltCurve_P08758_ANXA5.pdf</t>
  </si>
  <si>
    <t>Melting_Curves/meltCurve_P09104_ENO2.pdf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</si>
  <si>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</si>
  <si>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</si>
  <si>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</si>
  <si>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</si>
  <si>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</si>
  <si>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</si>
  <si>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</si>
  <si>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Melting_Curves/meltCurve_P09486_SPARC.pdf</t>
  </si>
  <si>
    <t>Melting_Curves/meltCurve_P09493_4_TPM1.pdf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</si>
  <si>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</si>
  <si>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</si>
  <si>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</si>
  <si>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</si>
  <si>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</si>
  <si>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Melting_Curves/meltCurve_P09622_DLD.pdf</t>
  </si>
  <si>
    <t>Melting_Curves/meltCurve_P09661_SNRPA1.pdf</t>
  </si>
  <si>
    <t>Melting_Curves/meltCurve_P09874_PARP1.pdf</t>
  </si>
  <si>
    <t>Melting_Curves/meltCurve_P09936_UCHL1.pdf</t>
  </si>
  <si>
    <t>Melting_Curves/meltCurve_P09958_FURIN.pdf</t>
  </si>
  <si>
    <t>Melting_Curves/meltCurve_P09960_LTA4H.pdf</t>
  </si>
  <si>
    <t>Melting_Curves/meltCurve_P09972_ALDOC.pdf</t>
  </si>
  <si>
    <t>Melting_Curves/meltCurve_P0C2W1_FBXO45.pdf</t>
  </si>
  <si>
    <t>Melting_Curves/meltCurve_P0C7P0_CISD3.pdf</t>
  </si>
  <si>
    <t>Melting_Curves/meltCurve_P0C7T5_ATXN1L.pdf</t>
  </si>
  <si>
    <t>Melting_Curves/meltCurve_P0CG12_CHTF8.pdf</t>
  </si>
  <si>
    <t>Melting_Curves/meltCurve_P0CG35_TMSB15B.pdf</t>
  </si>
  <si>
    <t>Melting_Curves/meltCurve_P0CW22_RPS17L.pdf</t>
  </si>
  <si>
    <t>Melting_Curves/meltCurve_P0DI83_RAB34.pdf</t>
  </si>
  <si>
    <t>Melting_Curves/meltCurve_P0DJ93_SMIM13.pdf</t>
  </si>
  <si>
    <t>Melting_Curves/meltCurve_P10109_FDX1.pdf</t>
  </si>
  <si>
    <t>Melting_Curves/meltCurve_P10155_3_TROVE2.pdf</t>
  </si>
  <si>
    <t>Melting_Curves/meltCurve_P10253_GAA.pdf</t>
  </si>
  <si>
    <t>Melting_Curves/meltCurve_P10301_RRAS.pdf</t>
  </si>
  <si>
    <t>Melting_Curves/meltCurve_P10398_ARAF.pdf</t>
  </si>
  <si>
    <t>Melting_Curves/meltCurve_P10586_2_PTPRF.pdf</t>
  </si>
  <si>
    <t>Melting_Curves/meltCurve_P10588_NR2F6.pdf</t>
  </si>
  <si>
    <t>Melting_Curves/meltCurve_P10599_TXN.pdf</t>
  </si>
  <si>
    <t>Melting_Curves/meltCurve_P10606_COX5B.pdf</t>
  </si>
  <si>
    <t>Melting_Curves/meltCurve_P10619_CTSA.pdf</t>
  </si>
  <si>
    <t>Melting_Curves/meltCurve_P10636_MAPT.pdf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</si>
  <si>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</si>
  <si>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</si>
  <si>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</si>
  <si>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</si>
  <si>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</si>
  <si>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Melting_Curves/meltCurve_P11021_HSPA5.pdf</t>
  </si>
  <si>
    <t>Melting_Curves/meltCurve_P11047_LAMC1.pdf</t>
  </si>
  <si>
    <t>Melting_Curves/meltCurve_P11142_HSPA8.pdf</t>
  </si>
  <si>
    <t>Melting_Curves/meltCurve_P11166_SLC2A1.pdf</t>
  </si>
  <si>
    <t>Melting_Curves/meltCurve_P11169_SLC2A3.pdf</t>
  </si>
  <si>
    <t>Melting_Curves/meltCurve_P11171_EPB41.pdf</t>
  </si>
  <si>
    <t>Melting_Curves/meltCurve_P11171_4_EPB41.pdf</t>
  </si>
  <si>
    <t>Melting_Curves/meltCurve_P11172_UMPS.pdf</t>
  </si>
  <si>
    <t>Melting_Curves/meltCurve_P11177_2_PDHB.pdf</t>
  </si>
  <si>
    <t>Melting_Curves/meltCurve_P11216_PYGB.pdf</t>
  </si>
  <si>
    <t>Melting_Curves/meltCurve_P11233_RALA.pdf</t>
  </si>
  <si>
    <t>Melting_Curves/meltCurve_P11234_RALB.pdf</t>
  </si>
  <si>
    <t>Melting_Curves/meltCurve_P11274_2_BCR.pdf</t>
  </si>
  <si>
    <t>Melting_Curves/meltCurve_P11279_LAMP1.pdf</t>
  </si>
  <si>
    <t>Melting_Curves/meltCurve_P11387_TOP1.pdf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</si>
  <si>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</si>
  <si>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</si>
  <si>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</si>
  <si>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</si>
  <si>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</si>
  <si>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</si>
  <si>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</si>
  <si>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Melting_Curves/meltCurve_P11831_SRF.pdf</t>
  </si>
  <si>
    <t>Melting_Curves/meltCurve_P11940_PABPC1.pdf</t>
  </si>
  <si>
    <t>Melting_Curves/meltCurve_P12004_PCNA.pdf</t>
  </si>
  <si>
    <t>Melting_Curves/meltCurve_P12081_HARS.pdf</t>
  </si>
  <si>
    <t>Melting_Curves/meltCurve_P12109_COL6A1.pdf</t>
  </si>
  <si>
    <t>Melting_Curves/meltCurve_P12235_SLC25A4.pdf</t>
  </si>
  <si>
    <t>Melting_Curves/meltCurve_P12236_SLC25A6.pdf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</si>
  <si>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</si>
  <si>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</si>
  <si>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</si>
  <si>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</si>
  <si>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Melting_Curves/meltCurve_P12814_2_ACTN1.pdf</t>
  </si>
  <si>
    <t>Melting_Curves/meltCurve_P12882_MYH1.pdf</t>
  </si>
  <si>
    <t>Melting_Curves/meltCurve_P12931_SRC.pdf</t>
  </si>
  <si>
    <t>Melting_Curves/meltCurve_P12955_3_PEPD.pdf</t>
  </si>
  <si>
    <t>Melting_Curves/meltCurve_P12956_XRCC6.pdf</t>
  </si>
  <si>
    <t>Melting_Curves/meltCurve_P13010_XRCC5.pdf</t>
  </si>
  <si>
    <t>Melting_Curves/meltCurve_P13051_UNG.pdf</t>
  </si>
  <si>
    <t>Melting_Curves/meltCurve_P13056_NR2C1.pdf</t>
  </si>
  <si>
    <t>Melting_Curves/meltCurve_P13073_COX4I1.pdf</t>
  </si>
  <si>
    <t>Melting_Curves/meltCurve_P13196_ALAS1.pdf</t>
  </si>
  <si>
    <t>Melting_Curves/meltCurve_P13489_RNH1.pdf</t>
  </si>
  <si>
    <t>Melting_Curves/meltCurve_P13498_CYBA.pdf</t>
  </si>
  <si>
    <t>Melting_Curves/meltCurve_P13591_1_NCAM1.pdf</t>
  </si>
  <si>
    <t>Melting_Curves/meltCurve_P13612_ITGA4.pdf</t>
  </si>
  <si>
    <t>Melting_Curves/meltCurve_P13639_EEF2.pdf</t>
  </si>
  <si>
    <t>Melting_Curves/meltCurve_P13667_PDIA4.pdf</t>
  </si>
  <si>
    <t>Melting_Curves/meltCurve_P13674_2_P4HA1.pdf</t>
  </si>
  <si>
    <t>Melting_Curves/meltCurve_P13693_TPT1.pdf</t>
  </si>
  <si>
    <t>Melting_Curves/meltCurve_P13797_PLS3.pdf</t>
  </si>
  <si>
    <t>Melting_Curves/meltCurve_P13804_ETFA.pdf</t>
  </si>
  <si>
    <t>Melting_Curves/meltCurve_P13861_PRKAR2A.pdf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</si>
  <si>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</si>
  <si>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</si>
  <si>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</si>
  <si>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</si>
  <si>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Melting_Curves/meltCurve_P14324_2_FDPS.pdf</t>
  </si>
  <si>
    <t>Melting_Curves/meltCurve_P14550_AKR1A1.pdf</t>
  </si>
  <si>
    <t>Melting_Curves/meltCurve_P14618_PKM.pdf</t>
  </si>
  <si>
    <t>Melting_Curves/meltCurve_P14618_2_PKM.pdf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</si>
  <si>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</si>
  <si>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</si>
  <si>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</si>
  <si>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</si>
  <si>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</si>
  <si>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</si>
  <si>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</si>
  <si>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</si>
  <si>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</si>
  <si>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</si>
  <si>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Melting_Curves/meltCurve_P15104_GLUL.pdf</t>
  </si>
  <si>
    <t>Melting_Curves/meltCurve_P15121_AKR1B1.pdf</t>
  </si>
  <si>
    <t>Melting_Curves/meltCurve_P15151_3_PVR.pdf</t>
  </si>
  <si>
    <t>Melting_Curves/meltCurve_P15170_2_GSPT1.pdf</t>
  </si>
  <si>
    <t>Melting_Curves/meltCurve_P15289_ARSA.pdf</t>
  </si>
  <si>
    <t>Melting_Curves/meltCurve_P15311_EZR.pdf</t>
  </si>
  <si>
    <t>Melting_Curves/meltCurve_P15374_UCHL3.pdf</t>
  </si>
  <si>
    <t>Melting_Curves/meltCurve_P15529_16_CD46.pdf</t>
  </si>
  <si>
    <t>Melting_Curves/meltCurve_P15531_NME1.pdf</t>
  </si>
  <si>
    <t>Melting_Curves/meltCurve_P15848_ARSB.pdf</t>
  </si>
  <si>
    <t>Melting_Curves/meltCurve_P15882_CHN1.pdf</t>
  </si>
  <si>
    <t>Melting_Curves/meltCurve_P15923_TCF3.pdf</t>
  </si>
  <si>
    <t>Melting_Curves/meltCurve_P15923_2_TCF3.pdf</t>
  </si>
  <si>
    <t>Melting_Curves/meltCurve_P15924_DSP.pdf</t>
  </si>
  <si>
    <t>Melting_Curves/meltCurve_P15927_RPA2.pdf</t>
  </si>
  <si>
    <t>Melting_Curves/meltCurve_P16152_CBR1.pdf</t>
  </si>
  <si>
    <t>Melting_Curves/meltCurve_P16220_3_CREB1.pdf</t>
  </si>
  <si>
    <t>Melting_Curves/meltCurve_P16298_PPP3CB.pdf</t>
  </si>
  <si>
    <t>Melting_Curves/meltCurve_P16383_GCFC2.pdf</t>
  </si>
  <si>
    <t>Melting_Curves/meltCurve_P16403_HIST1H1C.pdf</t>
  </si>
  <si>
    <t>Melting_Curves/meltCurve_P16435_POR.pdf</t>
  </si>
  <si>
    <t>Melting_Curves/meltCurve_P16591_3_FER.pdf</t>
  </si>
  <si>
    <t>Melting_Curves/meltCurve_P16615_ATP2A2.pdf</t>
  </si>
  <si>
    <t>Melting_Curves/meltCurve_P16930_FAH.pdf</t>
  </si>
  <si>
    <t>Melting_Curves/meltCurve_P16949_STMN1.pdf</t>
  </si>
  <si>
    <t>Melting_Curves/meltCurve_P16989_YBX3.pdf</t>
  </si>
  <si>
    <t>Melting_Curves/meltCurve_P16989_2_YBX3.pdf</t>
  </si>
  <si>
    <t>Melting_Curves/meltCurve_P17028_ZNF24.pdf</t>
  </si>
  <si>
    <t>Melting_Curves/meltCurve_P17050_NAGA.pdf</t>
  </si>
  <si>
    <t>Melting_Curves/meltCurve_P17066_HSPA6.pdf</t>
  </si>
  <si>
    <t>Melting_Curves/meltCurve_P17096_2_HMGA1.pdf</t>
  </si>
  <si>
    <t>Melting_Curves/meltCurve_P17152_TMEM11.pdf</t>
  </si>
  <si>
    <t>Melting_Curves/meltCurve_P17174_GOT1.pdf</t>
  </si>
  <si>
    <t>Melting_Curves/meltCurve_P17252_PRKCA.pdf</t>
  </si>
  <si>
    <t>Melting_Curves/meltCurve_P17302_GJA1.pdf</t>
  </si>
  <si>
    <t>Melting_Curves/meltCurve_P17509_HOXB6.pdf</t>
  </si>
  <si>
    <t>Melting_Curves/meltCurve_P17535_JUND.pdf</t>
  </si>
  <si>
    <t>Melting_Curves/meltCurve_P17568_NDUFB7.pdf</t>
  </si>
  <si>
    <t>Melting_Curves/meltCurve_P17612_PRKACA.pdf</t>
  </si>
  <si>
    <t>Melting_Curves/meltCurve_P17655_CAPN2.pdf</t>
  </si>
  <si>
    <t>Melting_Curves/meltCurve_P17677_GAP43.pdf</t>
  </si>
  <si>
    <t>Melting_Curves/meltCurve_P17706_2_PTPN2.pdf</t>
  </si>
  <si>
    <t>Melting_Curves/meltCurve_P17812_CTPS1.pdf</t>
  </si>
  <si>
    <t>Melting_Curves/meltCurve_P17858_PFKL.pdf</t>
  </si>
  <si>
    <t>Melting_Curves/meltCurve_P17987_TCP1.pdf</t>
  </si>
  <si>
    <t>Melting_Curves/meltCurve_P18031_PTPN1.pdf</t>
  </si>
  <si>
    <t>Melting_Curves/meltCurve_P18065_IGFBP2.pdf</t>
  </si>
  <si>
    <t>Melting_Curves/meltCurve_P18084_ITGB5.pdf</t>
  </si>
  <si>
    <t>Melting_Curves/meltCurve_P18124_RPL7.pdf</t>
  </si>
  <si>
    <t>Melting_Curves/meltCurve_P18206_2_VCL.pdf</t>
  </si>
  <si>
    <t>Melting_Curves/meltCurve_P18583_6_SON.pdf</t>
  </si>
  <si>
    <t>Melting_Curves/meltCurve_P18615_NELFE.pdf</t>
  </si>
  <si>
    <t>Melting_Curves/meltCurve_P18669_PGAM1.pdf</t>
  </si>
  <si>
    <t>Melting_Curves/meltCurve_P18754_RCC1.pdf</t>
  </si>
  <si>
    <t>Melting_Curves/meltCurve_P18846_ATF1.pdf</t>
  </si>
  <si>
    <t>Melting_Curves/meltCurve_P18858_LIG1.pdf</t>
  </si>
  <si>
    <t>Melting_Curves/meltCurve_P18859_ATP5J.pdf</t>
  </si>
  <si>
    <t>Melting_Curves/meltCurve_P19022_CDH2.pdf</t>
  </si>
  <si>
    <t>Melting_Curves/meltCurve_P19174_2_PLCG1.pdf</t>
  </si>
  <si>
    <t>Melting_Curves/meltCurve_P19338_NCL.pdf</t>
  </si>
  <si>
    <t>Melting_Curves/meltCurve_P19387_POLR2C.pdf</t>
  </si>
  <si>
    <t>Melting_Curves/meltCurve_P19388_POLR2E.pdf</t>
  </si>
  <si>
    <t>Melting_Curves/meltCurve_P19623_SRM.pdf</t>
  </si>
  <si>
    <t>Melting_Curves/meltCurve_P19784_CSNK2A2.pdf</t>
  </si>
  <si>
    <t>Melting_Curves/meltCurve_P19838_NFKB1.pdf</t>
  </si>
  <si>
    <t>Melting_Curves/meltCurve_P20020_6_ATP2B1.pdf</t>
  </si>
  <si>
    <t>Melting_Curves/meltCurve_P20042_EIF2S2.pdf</t>
  </si>
  <si>
    <t>Melting_Curves/meltCurve_P20248_CCNA2.pdf</t>
  </si>
  <si>
    <t>Melting_Curves/meltCurve_P20290_BTF3.pdf</t>
  </si>
  <si>
    <t>Melting_Curves/meltCurve_P20290_2_BTF3.pdf</t>
  </si>
  <si>
    <t>Melting_Curves/meltCurve_P20336_RAB3A.pdf</t>
  </si>
  <si>
    <t>Melting_Curves/meltCurve_P20337_RAB3B.pdf</t>
  </si>
  <si>
    <t>Melting_Curves/meltCurve_P20338_RAB4A.pdf</t>
  </si>
  <si>
    <t>Melting_Curves/meltCurve_P20340_RAB6A.pdf</t>
  </si>
  <si>
    <t>Melting_Curves/meltCurve_P20340_2_RAB6A.pdf</t>
  </si>
  <si>
    <t>Melting_Curves/meltCurve_P20618_PSMB1.pdf</t>
  </si>
  <si>
    <t>Melting_Curves/meltCurve_P20645_M6PR.pdf</t>
  </si>
  <si>
    <t>Melting_Curves/meltCurve_P20674_COX5A.pdf</t>
  </si>
  <si>
    <t>Melting_Curves/meltCurve_P20700_LMNB1.pdf</t>
  </si>
  <si>
    <t>Melting_Curves/meltCurve_P20810_5_CAST.pdf</t>
  </si>
  <si>
    <t>Melting_Curves/meltCurve_P20962_PTMS.pdf</t>
  </si>
  <si>
    <t>Melting_Curves/meltCurve_P21127_8_CDK11B.pdf</t>
  </si>
  <si>
    <t>Melting_Curves/meltCurve_P21266_GSTM3.pdf</t>
  </si>
  <si>
    <t>Melting_Curves/meltCurve_P21281_ATP6V1B2.pdf</t>
  </si>
  <si>
    <t>Melting_Curves/meltCurve_P21283_ATP6V1C1.pdf</t>
  </si>
  <si>
    <t>Melting_Curves/meltCurve_P21399_ACO1.pdf</t>
  </si>
  <si>
    <t>Melting_Curves/meltCurve_P21796_VDAC1.pdf</t>
  </si>
  <si>
    <t>Melting_Curves/meltCurve_P21912_SDHB.pdf</t>
  </si>
  <si>
    <t>Melting_Curves/meltCurve_P21953_BCKDHB.pdf</t>
  </si>
  <si>
    <t>Melting_Curves/meltCurve_P21964_2_COMT.pdf</t>
  </si>
  <si>
    <t>Melting_Curves/meltCurve_P22033_MUT.pdf</t>
  </si>
  <si>
    <t>Melting_Curves/meltCurve_P22059_OSBP.pdf</t>
  </si>
  <si>
    <t>Melting_Curves/meltCurve_P22102_GART.pdf</t>
  </si>
  <si>
    <t>Melting_Curves/meltCurve_P22234_PAICS.pdf</t>
  </si>
  <si>
    <t>Melting_Curves/meltCurve_P22307_7_SCP2.pdf</t>
  </si>
  <si>
    <t>Melting_Curves/meltCurve_P22314_UBA1.pdf</t>
  </si>
  <si>
    <t>Melting_Curves/meltCurve_P22413_ENPP1.pdf</t>
  </si>
  <si>
    <t>Melting_Curves/meltCurve_P22466_GAL.pdf</t>
  </si>
  <si>
    <t>Melting_Curves/meltCurve_P22570_FDXR.pdf</t>
  </si>
  <si>
    <t>Melting_Curves/meltCurve_P22626_HNRNPA2B1.pdf</t>
  </si>
  <si>
    <t>Melting_Curves/meltCurve_P22681_CBL.pdf</t>
  </si>
  <si>
    <t>Melting_Curves/meltCurve_P22695_UQCRC2.pdf</t>
  </si>
  <si>
    <t>Melting_Curves/meltCurve_P22830_FECH.pdf</t>
  </si>
  <si>
    <t>Melting_Curves/meltCurve_P23025_XPA.pdf</t>
  </si>
  <si>
    <t>Melting_Curves/meltCurve_P23193_TCEA1.pdf</t>
  </si>
  <si>
    <t>Melting_Curves/meltCurve_P23246_SFPQ.pdf</t>
  </si>
  <si>
    <t>Melting_Curves/meltCurve_P23284_PPIB.pdf</t>
  </si>
  <si>
    <t>Melting_Curves/meltCurve_P23368_ME2.pdf</t>
  </si>
  <si>
    <t>Melting_Curves/meltCurve_P23378_GLDC.pdf</t>
  </si>
  <si>
    <t>Melting_Curves/meltCurve_P23381_WARS.pdf</t>
  </si>
  <si>
    <t>Melting_Curves/meltCurve_P23396_RPS3.pdf</t>
  </si>
  <si>
    <t>Melting_Curves/meltCurve_P23434_GCSH.pdf</t>
  </si>
  <si>
    <t>Melting_Curves/meltCurve_P23470_2_PTPRG.pdf</t>
  </si>
  <si>
    <t>Melting_Curves/meltCurve_P23497_SP100.pdf</t>
  </si>
  <si>
    <t>Melting_Curves/meltCurve_P23508_MCC.pdf</t>
  </si>
  <si>
    <t>Melting_Curves/meltCurve_P23511_2_NFYA.pdf</t>
  </si>
  <si>
    <t>Melting_Curves/meltCurve_P23526_AHCY.pdf</t>
  </si>
  <si>
    <t>Melting_Curves/meltCurve_P23527_HIST1H2BO.pdf</t>
  </si>
  <si>
    <t>Melting_Curves/meltCurve_P23528_CFL1.pdf</t>
  </si>
  <si>
    <t>Melting_Curves/meltCurve_P23588_EIF4B.pdf</t>
  </si>
  <si>
    <t>Melting_Curves/meltCurve_P23634_6_ATP2B4.pdf</t>
  </si>
  <si>
    <t>Melting_Curves/meltCurve_P23786_CPT2.pdf</t>
  </si>
  <si>
    <t>Melting_Curves/meltCurve_P23919_DTYMK.pdf</t>
  </si>
  <si>
    <t>Melting_Curves/meltCurve_P23921_RRM1.pdf</t>
  </si>
  <si>
    <t>Melting_Curves/meltCurve_P24534_EEF1B2.pdf</t>
  </si>
  <si>
    <t>Melting_Curves/meltCurve_P24666_ACP1.pdf</t>
  </si>
  <si>
    <t>Melting_Curves/meltCurve_P24666_2_ACP1.pdf</t>
  </si>
  <si>
    <t>Melting_Curves/meltCurve_P24752_ACAT1.pdf</t>
  </si>
  <si>
    <t>Melting_Curves/meltCurve_P24928_POLR2A.pdf</t>
  </si>
  <si>
    <t>Melting_Curves/meltCurve_P25098_ADRBK1.pdf</t>
  </si>
  <si>
    <t>Melting_Curves/meltCurve_P25205_MCM3.pdf</t>
  </si>
  <si>
    <t>Melting_Curves/meltCurve_P25398_RPS12.pdf</t>
  </si>
  <si>
    <t>Melting_Curves/meltCurve_P25445_6_FAS.pdf</t>
  </si>
  <si>
    <t>Melting_Curves/meltCurve_P25490_YY1.pdf</t>
  </si>
  <si>
    <t>Melting_Curves/meltCurve_P25685_DNAJB1.pdf</t>
  </si>
  <si>
    <t>Melting_Curves/meltCurve_P25705_ATP5A1.pdf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</si>
  <si>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</si>
  <si>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</si>
  <si>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</si>
  <si>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</si>
  <si>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Melting_Curves/meltCurve_P25815_S100P.pdf</t>
  </si>
  <si>
    <t>Melting_Curves/meltCurve_P26006_ITGA3.pdf</t>
  </si>
  <si>
    <t>Melting_Curves/meltCurve_P26038_MSN.pdf</t>
  </si>
  <si>
    <t>Melting_Curves/meltCurve_P26196_DDX6.pdf</t>
  </si>
  <si>
    <t>Melting_Curves/meltCurve_P26358_DNMT1.pdf</t>
  </si>
  <si>
    <t>Melting_Curves/meltCurve_P26368_2_U2AF2.pdf</t>
  </si>
  <si>
    <t>Melting_Curves/meltCurve_P26373_RPL13.pdf</t>
  </si>
  <si>
    <t>Melting_Curves/meltCurve_P26374_CHML.pdf</t>
  </si>
  <si>
    <t>Melting_Curves/meltCurve_P26440_IVD.pdf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</si>
  <si>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</si>
  <si>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</si>
  <si>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</si>
  <si>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</si>
  <si>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</si>
  <si>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</si>
  <si>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</si>
  <si>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</si>
  <si>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</si>
  <si>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Melting_Curves/meltCurve_P27540_3_ARNT.pdf</t>
  </si>
  <si>
    <t>Melting_Curves/meltCurve_P27544_2_CERS1.pdf</t>
  </si>
  <si>
    <t>Melting_Curves/meltCurve_P27635_RPL10.pdf</t>
  </si>
  <si>
    <t>Melting_Curves/meltCurve_P27694_RPA1.pdf</t>
  </si>
  <si>
    <t>Melting_Curves/meltCurve_P27797_CALR.pdf</t>
  </si>
  <si>
    <t>Melting_Curves/meltCurve_P27824_CANX.pdf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</si>
  <si>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</si>
  <si>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</si>
  <si>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</si>
  <si>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</si>
  <si>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Melting_Curves/meltCurve_P28289_TMOD1.pdf</t>
  </si>
  <si>
    <t>Melting_Curves/meltCurve_P28331_4_NDUFS1.pdf</t>
  </si>
  <si>
    <t>Melting_Curves/meltCurve_P28482_MAPK1.pdf</t>
  </si>
  <si>
    <t>Melting_Curves/meltCurve_P28702_RXRB.pdf</t>
  </si>
  <si>
    <t>Melting_Curves/meltCurve_P28715_ERCC5.pdf</t>
  </si>
  <si>
    <t>Melting_Curves/meltCurve_P28799_GRN.pdf</t>
  </si>
  <si>
    <t>Melting_Curves/meltCurve_P28838_2_LAP3.pdf</t>
  </si>
  <si>
    <t>Melting_Curves/meltCurve_P29083_GTF2E1.pdf</t>
  </si>
  <si>
    <t>Melting_Curves/meltCurve_P29084_GTF2E2.pdf</t>
  </si>
  <si>
    <t>Melting_Curves/meltCurve_P29218_IMPA1.pdf</t>
  </si>
  <si>
    <t>Melting_Curves/meltCurve_P29317_EPHA2.pdf</t>
  </si>
  <si>
    <t>Melting_Curves/meltCurve_P29353_7_SHC1.pdf</t>
  </si>
  <si>
    <t>Melting_Curves/meltCurve_P29373_CRABP2.pdf</t>
  </si>
  <si>
    <t>Melting_Curves/meltCurve_P29401_TKT.pdf</t>
  </si>
  <si>
    <t>Melting_Curves/meltCurve_P29590_PML.pdf</t>
  </si>
  <si>
    <t>Melting_Curves/meltCurve_P29966_MARCKS.pdf</t>
  </si>
  <si>
    <t>Melting_Curves/meltCurve_P29992_GNA11.pdf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</si>
  <si>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</si>
  <si>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</si>
  <si>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</si>
  <si>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</si>
  <si>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</si>
  <si>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</si>
  <si>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</si>
  <si>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</si>
  <si>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</si>
  <si>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</si>
  <si>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</si>
  <si>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</si>
  <si>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</si>
  <si>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</si>
  <si>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Melting_Curves/meltCurve_P30307_2_CDC25C.pdf</t>
  </si>
  <si>
    <t>Melting_Curves/meltCurve_P30405_PPIF.pdf</t>
  </si>
  <si>
    <t>Melting_Curves/meltCurve_P30419_NMT1.pdf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</si>
  <si>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</si>
  <si>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</si>
  <si>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</si>
  <si>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</si>
  <si>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Melting_Curves/meltCurve_P30613_2_PKLR.pdf</t>
  </si>
  <si>
    <t>Melting_Curves/meltCurve_P30622_1_CLIP1.pdf</t>
  </si>
  <si>
    <t>Melting_Curves/meltCurve_P30740_SERPINB1.pdf</t>
  </si>
  <si>
    <t>Melting_Curves/meltCurve_P30825_SLC7A1.pdf</t>
  </si>
  <si>
    <t>Melting_Curves/meltCurve_P30837_ALDH1B1.pdf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</si>
  <si>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</si>
  <si>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</si>
  <si>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</si>
  <si>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</si>
  <si>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Melting_Curves/meltCurve_P31323_PRKAR2B.pdf</t>
  </si>
  <si>
    <t>Melting_Curves/meltCurve_P31327_CPS1.pdf</t>
  </si>
  <si>
    <t>Melting_Curves/meltCurve_P31350_RRM2.pdf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</si>
  <si>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</si>
  <si>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</si>
  <si>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</si>
  <si>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</si>
  <si>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</si>
  <si>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</si>
  <si>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</si>
  <si>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Melting_Curves/meltCurve_P31946_YWHAB.pdf</t>
  </si>
  <si>
    <t>Melting_Curves/meltCurve_P31947_2_SFN.pdf</t>
  </si>
  <si>
    <t>Melting_Curves/meltCurve_P31948_STIP1.pdf</t>
  </si>
  <si>
    <t>Melting_Curves/meltCurve_P31949_S100A11.pdf</t>
  </si>
  <si>
    <t>Melting_Curves/meltCurve_P32019_3_INPP5B.pdf</t>
  </si>
  <si>
    <t>Melting_Curves/meltCurve_P32119_PRDX2.pdf</t>
  </si>
  <si>
    <t>Melting_Curves/meltCurve_P32121_5_ARRB2.pdf</t>
  </si>
  <si>
    <t>Melting_Curves/meltCurve_P32321_2_DCTD.pdf</t>
  </si>
  <si>
    <t>Melting_Curves/meltCurve_P32519_2_ELF1.pdf</t>
  </si>
  <si>
    <t>Melting_Curves/meltCurve_P32856_3_STX2.pdf</t>
  </si>
  <si>
    <t>Melting_Curves/meltCurve_P32929_CTH.pdf</t>
  </si>
  <si>
    <t>Melting_Curves/meltCurve_P33121_2_ACSL1.pdf</t>
  </si>
  <si>
    <t>Melting_Curves/meltCurve_P33176_KIF5B.pdf</t>
  </si>
  <si>
    <t>Melting_Curves/meltCurve_P33240_2_CSTF2.pdf</t>
  </si>
  <si>
    <t>Melting_Curves/meltCurve_P33316_DUT.pdf</t>
  </si>
  <si>
    <t>Melting_Curves/meltCurve_P33316_2_DUT.pdf</t>
  </si>
  <si>
    <t>Melting_Curves/meltCurve_P33527_7_ABCC1.pdf</t>
  </si>
  <si>
    <t>Melting_Curves/meltCurve_P33552_CKS2.pdf</t>
  </si>
  <si>
    <t>Melting_Curves/meltCurve_P33908_MAN1A1.pdf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</si>
  <si>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</si>
  <si>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</si>
  <si>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</si>
  <si>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</si>
  <si>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Melting_Curves/meltCurve_P34896_2_SHMT1.pdf</t>
  </si>
  <si>
    <t>Melting_Curves/meltCurve_P34897_3_SHMT2.pdf</t>
  </si>
  <si>
    <t>Melting_Curves/meltCurve_P34931_HSPA1L.pdf</t>
  </si>
  <si>
    <t>Melting_Curves/meltCurve_P34932_HSPA4.pdf</t>
  </si>
  <si>
    <t>Melting_Curves/meltCurve_P34949_MPI.pdf</t>
  </si>
  <si>
    <t>Melting_Curves/meltCurve_P35219_CA8.pdf</t>
  </si>
  <si>
    <t>Melting_Curves/meltCurve_P35221_CTNNA1.pdf</t>
  </si>
  <si>
    <t>Melting_Curves/meltCurve_P35232_PHB.pdf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</si>
  <si>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</si>
  <si>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</si>
  <si>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</si>
  <si>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</si>
  <si>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</si>
  <si>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</si>
  <si>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</si>
  <si>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</si>
  <si>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</si>
  <si>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</si>
  <si>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Melting_Curves/meltCurve_P35520_CBS.pdf</t>
  </si>
  <si>
    <t>Melting_Curves/meltCurve_P35556_FBN2.pdf</t>
  </si>
  <si>
    <t>Melting_Curves/meltCurve_P35573_AGL.pdf</t>
  </si>
  <si>
    <t>Melting_Curves/meltCurve_P35579_MYH9.pdf</t>
  </si>
  <si>
    <t>Melting_Curves/meltCurve_P35580_MYH10.pdf</t>
  </si>
  <si>
    <t>Melting_Curves/meltCurve_P35606_COPB2.pdf</t>
  </si>
  <si>
    <t>Melting_Curves/meltCurve_P35611_2_ADD1.pdf</t>
  </si>
  <si>
    <t>Melting_Curves/meltCurve_P35612_ADD2.pdf</t>
  </si>
  <si>
    <t>Melting_Curves/meltCurve_P35613_2_BSG.pdf</t>
  </si>
  <si>
    <t>Melting_Curves/meltCurve_P35637_2_FUS.pdf</t>
  </si>
  <si>
    <t>Melting_Curves/meltCurve_P35658_2_NUP214.pdf</t>
  </si>
  <si>
    <t>Melting_Curves/meltCurve_P35659_DEK.pdf</t>
  </si>
  <si>
    <t>Melting_Curves/meltCurve_P35754_GLRX.pdf</t>
  </si>
  <si>
    <t>Melting_Curves/meltCurve_P35790_2_CHKA.pdf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</si>
  <si>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</si>
  <si>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</si>
  <si>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</si>
  <si>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</si>
  <si>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Melting_Curves/meltCurve_P36406_3_TRIM23.pdf</t>
  </si>
  <si>
    <t>Melting_Curves/meltCurve_P36507_MAP2K2.pdf</t>
  </si>
  <si>
    <t>Melting_Curves/meltCurve_P36542_ATP5C1.pdf</t>
  </si>
  <si>
    <t>Melting_Curves/meltCurve_P36543_ATP6V1E1.pdf</t>
  </si>
  <si>
    <t>Melting_Curves/meltCurve_P36551_CPOX.pdf</t>
  </si>
  <si>
    <t>Melting_Curves/meltCurve_P36639_4_NUDT1.pdf</t>
  </si>
  <si>
    <t>Melting_Curves/meltCurve_P36871_PGM1.pdf</t>
  </si>
  <si>
    <t>Melting_Curves/meltCurve_P36915_GNL1.pdf</t>
  </si>
  <si>
    <t>Melting_Curves/meltCurve_P36954_POLR2I.pdf</t>
  </si>
  <si>
    <t>Melting_Curves/meltCurve_P36957_DLST.pdf</t>
  </si>
  <si>
    <t>Melting_Curves/meltCurve_P36969_2_GPX4.pdf</t>
  </si>
  <si>
    <t>Melting_Curves/meltCurve_P37108_SRP14.pdf</t>
  </si>
  <si>
    <t>Melting_Curves/meltCurve_P37268_FDFT1.pdf</t>
  </si>
  <si>
    <t>Melting_Curves/meltCurve_P37287_3_PIGA.pdf</t>
  </si>
  <si>
    <t>Melting_Curves/meltCurve_P37802_TAGLN2.pdf</t>
  </si>
  <si>
    <t>Melting_Curves/meltCurve_P37837_TALDO1.pdf</t>
  </si>
  <si>
    <t>Melting_Curves/meltCurve_P38117_ETFB.pdf</t>
  </si>
  <si>
    <t>Melting_Curves/meltCurve_P38606_ATP6V1A.pdf</t>
  </si>
  <si>
    <t>Melting_Curves/meltCurve_P38646_HSPA9.pdf</t>
  </si>
  <si>
    <t>Melting_Curves/meltCurve_P38919_EIF4A3.pdf</t>
  </si>
  <si>
    <t>Melting_Curves/meltCurve_P39019_RPS19.pdf</t>
  </si>
  <si>
    <t>Melting_Curves/meltCurve_P39023_RPL3.pdf</t>
  </si>
  <si>
    <t>Melting_Curves/meltCurve_P39656_DDOST.pdf</t>
  </si>
  <si>
    <t>Melting_Curves/meltCurve_P39687_ANP32A.pdf</t>
  </si>
  <si>
    <t>Melting_Curves/meltCurve_P39748_FEN1.pdf</t>
  </si>
  <si>
    <t>Melting_Curves/meltCurve_P39880_3_CUX1.pdf</t>
  </si>
  <si>
    <t>Melting_Curves/meltCurve_P40121_2_CAPG.pdf</t>
  </si>
  <si>
    <t>Melting_Curves/meltCurve_P40189_3_IL6ST.pdf</t>
  </si>
  <si>
    <t>Melting_Curves/meltCurve_P40222_TXLNA.pdf</t>
  </si>
  <si>
    <t>Melting_Curves/meltCurve_P40227_CCT6A.pdf</t>
  </si>
  <si>
    <t>Melting_Curves/meltCurve_P40763_STAT3.pdf</t>
  </si>
  <si>
    <t>Melting_Curves/meltCurve_P40763_2_STAT3.pdf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</si>
  <si>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</si>
  <si>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</si>
  <si>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</si>
  <si>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</si>
  <si>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Melting_Curves/meltCurve_P40938_2_RFC3.pdf</t>
  </si>
  <si>
    <t>Melting_Curves/meltCurve_P40939_HADHA.pdf</t>
  </si>
  <si>
    <t>Melting_Curves/meltCurve_P41091_EIF2S3.pdf</t>
  </si>
  <si>
    <t>Melting_Curves/meltCurve_P41208_CETN2.pdf</t>
  </si>
  <si>
    <t>Melting_Curves/meltCurve_P41214_EIF2D.pdf</t>
  </si>
  <si>
    <t>Melting_Curves/meltCurve_P41219_PRPH.pdf</t>
  </si>
  <si>
    <t>Melting_Curves/meltCurve_P41223_BUD31.pdf</t>
  </si>
  <si>
    <t>Melting_Curves/meltCurve_P41227_2_NAA10.pdf</t>
  </si>
  <si>
    <t>Melting_Curves/meltCurve_P41229_2_KDM5C.pdf</t>
  </si>
  <si>
    <t>Melting_Curves/meltCurve_P41236_PPP1R2.pdf</t>
  </si>
  <si>
    <t>Melting_Curves/meltCurve_P41240_CSK.pdf</t>
  </si>
  <si>
    <t>Melting_Curves/meltCurve_P41250_GARS.pdf</t>
  </si>
  <si>
    <t>Melting_Curves/meltCurve_P41440_SLC19A1.pdf</t>
  </si>
  <si>
    <t>Melting_Curves/meltCurve_P41567_EIF1.pdf</t>
  </si>
  <si>
    <t>Melting_Curves/meltCurve_P41743_PRKCI.pdf</t>
  </si>
  <si>
    <t>Melting_Curves/meltCurve_P42126_2_ECI1.pdf</t>
  </si>
  <si>
    <t>Melting_Curves/meltCurve_P42166_TMPO.pdf</t>
  </si>
  <si>
    <t>Melting_Curves/meltCurve_P42167_TMPO.pdf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</si>
  <si>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</si>
  <si>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</si>
  <si>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</si>
  <si>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</si>
  <si>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Melting_Curves/meltCurve_P42336_PIK3CA.pdf</t>
  </si>
  <si>
    <t>Melting_Curves/meltCurve_P42345_MTOR.pdf</t>
  </si>
  <si>
    <t>Melting_Curves/meltCurve_P42574_CASP3.pdf</t>
  </si>
  <si>
    <t>Melting_Curves/meltCurve_P42575_CASP2.pdf</t>
  </si>
  <si>
    <t>Melting_Curves/meltCurve_P42677_RPS27.pdf</t>
  </si>
  <si>
    <t>Melting_Curves/meltCurve_P42684_6_ABL2.pdf</t>
  </si>
  <si>
    <t>Melting_Curves/meltCurve_P42695_NCAPD3.pdf</t>
  </si>
  <si>
    <t>Melting_Curves/meltCurve_P42702_LIFR.pdf</t>
  </si>
  <si>
    <t>Melting_Curves/meltCurve_P42704_LRPPRC.pdf</t>
  </si>
  <si>
    <t>Melting_Curves/meltCurve_P42765_ACAA2.pdf</t>
  </si>
  <si>
    <t>Melting_Curves/meltCurve_P42771_CDKN2A.pdf</t>
  </si>
  <si>
    <t>Melting_Curves/meltCurve_P42773_CDKN2C.pdf</t>
  </si>
  <si>
    <t>Melting_Curves/meltCurve_P42785_PRCP.pdf</t>
  </si>
  <si>
    <t>Melting_Curves/meltCurve_P42898_MTHFR.pdf</t>
  </si>
  <si>
    <t>Melting_Curves/meltCurve_P43003_2_SLC1A3.pdf</t>
  </si>
  <si>
    <t>Melting_Curves/meltCurve_P43007_SLC1A4.pdf</t>
  </si>
  <si>
    <t>Melting_Curves/meltCurve_P43034_PAFAH1B1.pdf</t>
  </si>
  <si>
    <t>Melting_Curves/meltCurve_P43121_MCAM.pdf</t>
  </si>
  <si>
    <t>Melting_Curves/meltCurve_P43155_2_CRAT.pdf</t>
  </si>
  <si>
    <t>Melting_Curves/meltCurve_P43246_MSH2.pdf</t>
  </si>
  <si>
    <t>Melting_Curves/meltCurve_P43250_2_GRK6.pdf</t>
  </si>
  <si>
    <t>Melting_Curves/meltCurve_P43304_GPD2.pdf</t>
  </si>
  <si>
    <t>Melting_Curves/meltCurve_P43378_PTPN9.pdf</t>
  </si>
  <si>
    <t>Melting_Curves/meltCurve_P43405_2_SYK.pdf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</si>
  <si>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</si>
  <si>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</si>
  <si>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</si>
  <si>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</si>
  <si>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</si>
  <si>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Melting_Curves/meltCurve_P45880_2_VDAC2.pdf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</si>
  <si>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</si>
  <si>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</si>
  <si>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</si>
  <si>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</si>
  <si>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Melting_Curves/meltCurve_P45984_3_MAPK9.pdf</t>
  </si>
  <si>
    <t>Melting_Curves/meltCurve_P45985_MAP2K4.pdf</t>
  </si>
  <si>
    <t>Melting_Curves/meltCurve_P46013_MKI67.pdf</t>
  </si>
  <si>
    <t>Melting_Curves/meltCurve_P46013_2_MKI67.pdf</t>
  </si>
  <si>
    <t>Melting_Curves/meltCurve_P46060_RANGAP1.pdf</t>
  </si>
  <si>
    <t>Melting_Curves/meltCurve_P46063_RECQL.pdf</t>
  </si>
  <si>
    <t>Melting_Curves/meltCurve_P46087_2_NOP2.pdf</t>
  </si>
  <si>
    <t>Melting_Curves/meltCurve_P46108_CRK.pdf</t>
  </si>
  <si>
    <t>Melting_Curves/meltCurve_P46108_2_CRK.pdf</t>
  </si>
  <si>
    <t>Melting_Curves/meltCurve_P46109_CRKL.pdf</t>
  </si>
  <si>
    <t>Melting_Curves/meltCurve_P46199_MTIF2.pdf</t>
  </si>
  <si>
    <t>Melting_Curves/meltCurve_P46531_NOTCH1.pdf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</si>
  <si>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</si>
  <si>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</si>
  <si>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</si>
  <si>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</si>
  <si>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</si>
  <si>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</si>
  <si>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</si>
  <si>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</si>
  <si>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</si>
  <si>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Melting_Curves/meltCurve_P46937_YAP1.pdf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</si>
  <si>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</si>
  <si>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</si>
  <si>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</si>
  <si>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</si>
  <si>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</si>
  <si>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Melting_Curves/meltCurve_P47712_PLA2G4A.pdf</t>
  </si>
  <si>
    <t>Melting_Curves/meltCurve_P47755_CAPZA2.pdf</t>
  </si>
  <si>
    <t>Melting_Curves/meltCurve_P47756_2_CAPZB.pdf</t>
  </si>
  <si>
    <t>Melting_Curves/meltCurve_P47813_EIF1AX.pdf</t>
  </si>
  <si>
    <t>Melting_Curves/meltCurve_P47914_RPL29.pdf</t>
  </si>
  <si>
    <t>Melting_Curves/meltCurve_P47928_ID4.pdf</t>
  </si>
  <si>
    <t>Melting_Curves/meltCurve_P47985_UQCRFS1.pdf</t>
  </si>
  <si>
    <t>Melting_Curves/meltCurve_P48029_3_SLC6A8.pdf</t>
  </si>
  <si>
    <t>Melting_Curves/meltCurve_P48047_ATP5O.pdf</t>
  </si>
  <si>
    <t>Melting_Curves/meltCurve_P48050_KCNJ4.pdf</t>
  </si>
  <si>
    <t>Melting_Curves/meltCurve_P48059_LIMS1.pdf</t>
  </si>
  <si>
    <t>Melting_Curves/meltCurve_P48066_SLC6A11.pdf</t>
  </si>
  <si>
    <t>Melting_Curves/meltCurve_P48147_PREP.pdf</t>
  </si>
  <si>
    <t>Melting_Curves/meltCurve_P48163_ME1.pdf</t>
  </si>
  <si>
    <t>Melting_Curves/meltCurve_P48200_IREB2.pdf</t>
  </si>
  <si>
    <t>Melting_Curves/meltCurve_P48444_ARCN1.pdf</t>
  </si>
  <si>
    <t>Melting_Curves/meltCurve_P48449_3_LSS.pdf</t>
  </si>
  <si>
    <t>Melting_Curves/meltCurve_P48506_GCLC.pdf</t>
  </si>
  <si>
    <t>Melting_Curves/meltCurve_P48507_GCLM.pdf</t>
  </si>
  <si>
    <t>Melting_Curves/meltCurve_P48634_PRRC2A.pdf</t>
  </si>
  <si>
    <t>Melting_Curves/meltCurve_P48637_GSS.pdf</t>
  </si>
  <si>
    <t>Melting_Curves/meltCurve_P48643_CCT5.pdf</t>
  </si>
  <si>
    <t>Melting_Curves/meltCurve_P48723_HSPA13.pdf</t>
  </si>
  <si>
    <t>Melting_Curves/meltCurve_P48729_CSNK1A1.pdf</t>
  </si>
  <si>
    <t>Melting_Curves/meltCurve_P48735_IDH2.pdf</t>
  </si>
  <si>
    <t>Melting_Curves/meltCurve_P48739_PITPNB.pdf</t>
  </si>
  <si>
    <t>Melting_Curves/meltCurve_P48745_NOV.pdf</t>
  </si>
  <si>
    <t>Melting_Curves/meltCurve_P48960_2_CD97.pdf</t>
  </si>
  <si>
    <t>Melting_Curves/meltCurve_P49006_MARCKSL1.pdf</t>
  </si>
  <si>
    <t>Melting_Curves/meltCurve_P49069_CAMLG.pdf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</si>
  <si>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</si>
  <si>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</si>
  <si>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</si>
  <si>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</si>
  <si>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</si>
  <si>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</si>
  <si>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Melting_Curves/meltCurve_P49321_NASP.pdf</t>
  </si>
  <si>
    <t>Melting_Curves/meltCurve_P49327_FASN.pdf</t>
  </si>
  <si>
    <t>Melting_Curves/meltCurve_P49354_FNTA.pdf</t>
  </si>
  <si>
    <t>Melting_Curves/meltCurve_P49356_FNTB.pdf</t>
  </si>
  <si>
    <t>Melting_Curves/meltCurve_P49366_DHPS.pdf</t>
  </si>
  <si>
    <t>Melting_Curves/meltCurve_P49368_CCT3.pdf</t>
  </si>
  <si>
    <t>Melting_Curves/meltCurve_P49411_TUFM.pdf</t>
  </si>
  <si>
    <t>Melting_Curves/meltCurve_P49419_2_ALDH7A1.pdf</t>
  </si>
  <si>
    <t>Melting_Curves/meltCurve_P49427_CDC34.pdf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</si>
  <si>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</si>
  <si>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</si>
  <si>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</si>
  <si>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</si>
  <si>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</si>
  <si>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</si>
  <si>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Melting_Curves/meltCurve_P49593_PPM1F.pdf</t>
  </si>
  <si>
    <t>Melting_Curves/meltCurve_P49642_PRIM1.pdf</t>
  </si>
  <si>
    <t>Melting_Curves/meltCurve_P49643_PRIM2.pdf</t>
  </si>
  <si>
    <t>Melting_Curves/meltCurve_P49674_CSNK1E.pdf</t>
  </si>
  <si>
    <t>Melting_Curves/meltCurve_P49721_PSMB2.pdf</t>
  </si>
  <si>
    <t>Melting_Curves/meltCurve_P49736_MCM2.pdf</t>
  </si>
  <si>
    <t>Melting_Curves/meltCurve_P49748_2_ACADVL.pdf</t>
  </si>
  <si>
    <t>Melting_Curves/meltCurve_P49750_3_YLPM1.pdf</t>
  </si>
  <si>
    <t>Melting_Curves/meltCurve_P49755_TMED10.pdf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</si>
  <si>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</si>
  <si>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</si>
  <si>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</si>
  <si>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</si>
  <si>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Melting_Curves/meltCurve_P49790_NUP153.pdf</t>
  </si>
  <si>
    <t>Melting_Curves/meltCurve_P49792_RANBP2.pdf</t>
  </si>
  <si>
    <t>Melting_Curves/meltCurve_P49840_GSK3A.pdf</t>
  </si>
  <si>
    <t>Melting_Curves/meltCurve_P49841_GSK3B.pdf</t>
  </si>
  <si>
    <t>Melting_Curves/meltCurve_P49903_SEPHS1.pdf</t>
  </si>
  <si>
    <t>Melting_Curves/meltCurve_P49914_MTHFS.pdf</t>
  </si>
  <si>
    <t>Melting_Curves/meltCurve_P49915_GMPS.pdf</t>
  </si>
  <si>
    <t>Melting_Curves/meltCurve_P49959_MRE11A.pdf</t>
  </si>
  <si>
    <t>Melting_Curves/meltCurve_P50053_KHK.pdf</t>
  </si>
  <si>
    <t>Melting_Curves/meltCurve_P50148_GNAQ.pdf</t>
  </si>
  <si>
    <t>Melting_Curves/meltCurve_P50150_GNG4.pdf</t>
  </si>
  <si>
    <t>Melting_Curves/meltCurve_P50151_GNG10.pdf</t>
  </si>
  <si>
    <t>Melting_Curves/meltCurve_P50219_MNX1.pdf</t>
  </si>
  <si>
    <t>Melting_Curves/meltCurve_P50224_SULT1A3.pdf</t>
  </si>
  <si>
    <t>Melting_Curves/meltCurve_P50225_SULT1A1.pdf</t>
  </si>
  <si>
    <t>Melting_Curves/meltCurve_P50336_PPOX.pdf</t>
  </si>
  <si>
    <t>Melting_Curves/meltCurve_P50402_EMD.pdf</t>
  </si>
  <si>
    <t>Melting_Curves/meltCurve_P50416_2_CPT1A.pdf</t>
  </si>
  <si>
    <t>Melting_Curves/meltCurve_P50452_SERPINB8.pdf</t>
  </si>
  <si>
    <t>Melting_Curves/meltCurve_P50454_SERPINH1.pdf</t>
  </si>
  <si>
    <t>Melting_Curves/meltCurve_P50479_PDLIM4.pdf</t>
  </si>
  <si>
    <t>Melting_Curves/meltCurve_P50502_ST13.pdf</t>
  </si>
  <si>
    <t>Melting_Curves/meltCurve_P50552_VASP.pdf</t>
  </si>
  <si>
    <t>Melting_Curves/meltCurve_P50579_METAP2.pdf</t>
  </si>
  <si>
    <t>Melting_Curves/meltCurve_P50583_NUDT2.pdf</t>
  </si>
  <si>
    <t>Melting_Curves/meltCurve_P50747_HLCS.pdf</t>
  </si>
  <si>
    <t>Melting_Curves/meltCurve_P50748_KNTC1.pdf</t>
  </si>
  <si>
    <t>Melting_Curves/meltCurve_P50749_RASSF2.pdf</t>
  </si>
  <si>
    <t>Melting_Curves/meltCurve_P50895_BCAM.pdf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</si>
  <si>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</si>
  <si>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</si>
  <si>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</si>
  <si>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</si>
  <si>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</si>
  <si>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</si>
  <si>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</si>
  <si>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</si>
  <si>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</si>
  <si>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Melting_Curves/meltCurve_P51157_RAB28.pdf</t>
  </si>
  <si>
    <t>Melting_Curves/meltCurve_P51397_DAP.pdf</t>
  </si>
  <si>
    <t>Melting_Curves/meltCurve_P51398_2_DAP3.pdf</t>
  </si>
  <si>
    <t>Melting_Curves/meltCurve_P51452_DUSP3.pdf</t>
  </si>
  <si>
    <t>Melting_Curves/meltCurve_P51511_MMP15.pdf</t>
  </si>
  <si>
    <t>Melting_Curves/meltCurve_P51513_4_NOVA1.pdf</t>
  </si>
  <si>
    <t>Melting_Curves/meltCurve_P51531_2_SMARCA2.pdf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</si>
  <si>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</si>
  <si>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</si>
  <si>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</si>
  <si>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</si>
  <si>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</si>
  <si>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Melting_Curves/meltCurve_P51610_2_HCFC1.pdf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</si>
  <si>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</si>
  <si>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</si>
  <si>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</si>
  <si>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</si>
  <si>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Melting_Curves/meltCurve_P51692_STAT5B.pdf</t>
  </si>
  <si>
    <t>Melting_Curves/meltCurve_P51790_4_CLCN3.pdf</t>
  </si>
  <si>
    <t>Melting_Curves/meltCurve_P51795_CLCN5.pdf</t>
  </si>
  <si>
    <t>Melting_Curves/meltCurve_P51798_2_CLCN7.pdf</t>
  </si>
  <si>
    <t>Melting_Curves/meltCurve_P51809_VAMP7.pdf</t>
  </si>
  <si>
    <t>Melting_Curves/meltCurve_P51812_RPS6KA3.pdf</t>
  </si>
  <si>
    <t>Melting_Curves/meltCurve_P51817_PRKX.pdf</t>
  </si>
  <si>
    <t>Melting_Curves/meltCurve_P51858_HDGF.pdf</t>
  </si>
  <si>
    <t>Melting_Curves/meltCurve_P51946_CCNH.pdf</t>
  </si>
  <si>
    <t>Melting_Curves/meltCurve_P51948_MNAT1.pdf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</si>
  <si>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</si>
  <si>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</si>
  <si>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</si>
  <si>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</si>
  <si>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</si>
  <si>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</si>
  <si>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</si>
  <si>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Melting_Curves/meltCurve_P52565_ARHGDIA.pdf</t>
  </si>
  <si>
    <t>Melting_Curves/meltCurve_P52569_SLC7A2.pdf</t>
  </si>
  <si>
    <t>Melting_Curves/meltCurve_P52597_HNRNPF.pdf</t>
  </si>
  <si>
    <t>Melting_Curves/meltCurve_P52630_4_STAT2.pdf</t>
  </si>
  <si>
    <t>Melting_Curves/meltCurve_P52657_GTF2A2.pdf</t>
  </si>
  <si>
    <t>Melting_Curves/meltCurve_P52701_MSH6.pdf</t>
  </si>
  <si>
    <t>Melting_Curves/meltCurve_P52732_KIF11.pdf</t>
  </si>
  <si>
    <t>Melting_Curves/meltCurve_P52735_3_VAV2.pdf</t>
  </si>
  <si>
    <t>Melting_Curves/meltCurve_P52758_HRSP12.pdf</t>
  </si>
  <si>
    <t>Melting_Curves/meltCurve_P52788_SMS.pdf</t>
  </si>
  <si>
    <t>Melting_Curves/meltCurve_P52799_EFNB2.pdf</t>
  </si>
  <si>
    <t>Melting_Curves/meltCurve_P52815_MRPL12.pdf</t>
  </si>
  <si>
    <t>Melting_Curves/meltCurve_P52888_THOP1.pdf</t>
  </si>
  <si>
    <t>Melting_Curves/meltCurve_P52907_CAPZA1.pdf</t>
  </si>
  <si>
    <t>Melting_Curves/meltCurve_P52943_CRIP2.pdf</t>
  </si>
  <si>
    <t>Melting_Curves/meltCurve_P53004_BLVRA.pdf</t>
  </si>
  <si>
    <t>Melting_Curves/meltCurve_P53007_SLC25A1.pdf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</si>
  <si>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</si>
  <si>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</si>
  <si>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</si>
  <si>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</si>
  <si>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</si>
  <si>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Melting_Curves/meltCurve_P53396_ACLY.pdf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</si>
  <si>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</si>
  <si>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</si>
  <si>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</si>
  <si>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</si>
  <si>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Melting_Curves/meltCurve_P53618_COPB1.pdf</t>
  </si>
  <si>
    <t>Melting_Curves/meltCurve_P53621_COPA.pdf</t>
  </si>
  <si>
    <t>Melting_Curves/meltCurve_P53634_CTSC.pdf</t>
  </si>
  <si>
    <t>Melting_Curves/meltCurve_P53701_HCCS.pdf</t>
  </si>
  <si>
    <t>Melting_Curves/meltCurve_P53778_MAPK12.pdf</t>
  </si>
  <si>
    <t>Melting_Curves/meltCurve_P53794_SLC5A3.pdf</t>
  </si>
  <si>
    <t>Melting_Curves/meltCurve_P53803_POLR2K.pdf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</si>
  <si>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</si>
  <si>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</si>
  <si>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</si>
  <si>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</si>
  <si>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</si>
  <si>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</si>
  <si>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Melting_Curves/meltCurve_P54136_2_RARS.pdf</t>
  </si>
  <si>
    <t>Melting_Curves/meltCurve_P54259_ATN1.pdf</t>
  </si>
  <si>
    <t>Melting_Curves/meltCurve_P54289_4_CACNA2D1.pdf</t>
  </si>
  <si>
    <t>Melting_Curves/meltCurve_P54577_YARS.pdf</t>
  </si>
  <si>
    <t>Melting_Curves/meltCurve_P54578_2_USP14.pdf</t>
  </si>
  <si>
    <t>Melting_Curves/meltCurve_P54619_2_PRKAG1.pdf</t>
  </si>
  <si>
    <t>Melting_Curves/meltCurve_P54646_PRKAA2.pdf</t>
  </si>
  <si>
    <t>Melting_Curves/meltCurve_P54687_BCAT1.pdf</t>
  </si>
  <si>
    <t>Melting_Curves/meltCurve_P54707_ATP12A.pdf</t>
  </si>
  <si>
    <t>Melting_Curves/meltCurve_P54709_ATP1B3.pdf</t>
  </si>
  <si>
    <t>Melting_Curves/meltCurve_P54727_RAD23B.pdf</t>
  </si>
  <si>
    <t>Melting_Curves/meltCurve_P54802_NAGLU.pdf</t>
  </si>
  <si>
    <t>Melting_Curves/meltCurve_P54819_AK2.pdf</t>
  </si>
  <si>
    <t>Melting_Curves/meltCurve_P54826_GAS1.pdf</t>
  </si>
  <si>
    <t>Melting_Curves/meltCurve_P54886_2_ALDH18A1.pdf</t>
  </si>
  <si>
    <t>Melting_Curves/meltCurve_P54920_NAPA.pdf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</si>
  <si>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</si>
  <si>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</si>
  <si>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</si>
  <si>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</si>
  <si>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</si>
  <si>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</si>
  <si>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</si>
  <si>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Melting_Curves/meltCurve_P55082_2_MFAP3.pdf</t>
  </si>
  <si>
    <t>Melting_Curves/meltCurve_P55145_MANF.pdf</t>
  </si>
  <si>
    <t>Melting_Curves/meltCurve_P55210_4_CASP7.pdf</t>
  </si>
  <si>
    <t>Melting_Curves/meltCurve_P55212_CASP6.pdf</t>
  </si>
  <si>
    <t>Melting_Curves/meltCurve_P55263_2_ADK.pdf</t>
  </si>
  <si>
    <t>Melting_Curves/meltCurve_P55268_LAMB2.pdf</t>
  </si>
  <si>
    <t>Melting_Curves/meltCurve_P55327_2_TPD52.pdf</t>
  </si>
  <si>
    <t>Melting_Curves/meltCurve_P55735_SEC13.pdf</t>
  </si>
  <si>
    <t>Melting_Curves/meltCurve_P55884_EIF3B.pdf</t>
  </si>
  <si>
    <t>Melting_Curves/meltCurve_P55957_BID.pdf</t>
  </si>
  <si>
    <t>Melting_Curves/meltCurve_P56181_2_NDUFV3.pdf</t>
  </si>
  <si>
    <t>Melting_Curves/meltCurve_P56182_RRP1.pdf</t>
  </si>
  <si>
    <t>Melting_Curves/meltCurve_P56192_MARS.pdf</t>
  </si>
  <si>
    <t>Melting_Curves/meltCurve_P56270_2_MAZ.pdf</t>
  </si>
  <si>
    <t>Melting_Curves/meltCurve_P56277_CMC4.pdf</t>
  </si>
  <si>
    <t>Melting_Curves/meltCurve_P56377_AP1S2.pdf</t>
  </si>
  <si>
    <t>Melting_Curves/meltCurve_P56385_ATP5I.pdf</t>
  </si>
  <si>
    <t>Melting_Curves/meltCurve_P56524_HDAC4.pdf</t>
  </si>
  <si>
    <t>Melting_Curves/meltCurve_P56537_EIF6.pdf</t>
  </si>
  <si>
    <t>Melting_Curves/meltCurve_P56589_PEX3.pdf</t>
  </si>
  <si>
    <t>Melting_Curves/meltCurve_P56937_3_HSD17B7.pdf</t>
  </si>
  <si>
    <t>Melting_Curves/meltCurve_P56945_4_BCAR1.pdf</t>
  </si>
  <si>
    <t>Melting_Curves/meltCurve_P56962_STX17.pdf</t>
  </si>
  <si>
    <t>Melting_Curves/meltCurve_P57054_3_PIGP.pdf</t>
  </si>
  <si>
    <t>Melting_Curves/meltCurve_P57060_RWDD2B.pdf</t>
  </si>
  <si>
    <t>Melting_Curves/meltCurve_P57076_C21orf59.pdf</t>
  </si>
  <si>
    <t>Melting_Curves/meltCurve_P57081_2_WDR4.pdf</t>
  </si>
  <si>
    <t>Melting_Curves/meltCurve_P57088_TMEM33.pdf</t>
  </si>
  <si>
    <t>Melting_Curves/meltCurve_P57105_SYNJ2BP.pdf</t>
  </si>
  <si>
    <t>Melting_Curves/meltCurve_P57737_3_CORO7.pdf</t>
  </si>
  <si>
    <t>Melting_Curves/meltCurve_P57740_NUP107.pdf</t>
  </si>
  <si>
    <t>Melting_Curves/meltCurve_P57772_EEFSEC.pdf</t>
  </si>
  <si>
    <t>Melting_Curves/meltCurve_P58004_SESN2.pdf</t>
  </si>
  <si>
    <t>Melting_Curves/meltCurve_P58005_SESN3.pdf</t>
  </si>
  <si>
    <t>Melting_Curves/meltCurve_P58107_EPPK1.pdf</t>
  </si>
  <si>
    <t>Melting_Curves/meltCurve_P58397_3_ADAMTS12.pdf</t>
  </si>
  <si>
    <t>Melting_Curves/meltCurve_P58546_MTPN.pdf</t>
  </si>
  <si>
    <t>Melting_Curves/meltCurve_P58557_YBEY.pdf</t>
  </si>
  <si>
    <t>Melting_Curves/meltCurve_P59998_ARPC4.pdf</t>
  </si>
  <si>
    <t>Melting_Curves/meltCurve_P60059_SEC61G.pdf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</si>
  <si>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</si>
  <si>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</si>
  <si>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</si>
  <si>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</si>
  <si>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Melting_Curves/meltCurve_P60602_ROMO1.pdf</t>
  </si>
  <si>
    <t>Melting_Curves/meltCurve_P60604_2_UBE2G2.pdf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</si>
  <si>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</si>
  <si>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</si>
  <si>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</si>
  <si>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</si>
  <si>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</si>
  <si>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Melting_Curves/meltCurve_P60896_SHFM1.pdf</t>
  </si>
  <si>
    <t>Melting_Curves/meltCurve_P60903_S100A10.pdf</t>
  </si>
  <si>
    <t>Melting_Curves/meltCurve_P60953_CDC42.pdf</t>
  </si>
  <si>
    <t>Melting_Curves/meltCurve_P60953_1_CDC42.pdf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</si>
  <si>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</si>
  <si>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</si>
  <si>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</si>
  <si>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</si>
  <si>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</si>
  <si>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Melting_Curves/meltCurve_P61019_RAB2A.pdf</t>
  </si>
  <si>
    <t>Melting_Curves/meltCurve_P61020_RAB5B.pdf</t>
  </si>
  <si>
    <t>Melting_Curves/meltCurve_P61024_CKS1B.pdf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</si>
  <si>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</si>
  <si>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</si>
  <si>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</si>
  <si>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</si>
  <si>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</si>
  <si>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</si>
  <si>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</si>
  <si>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</si>
  <si>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</si>
  <si>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</si>
  <si>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</si>
  <si>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</si>
  <si>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</si>
  <si>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</si>
  <si>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</si>
  <si>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Melting_Curves/meltCurve_P61254_RPL26.pdf</t>
  </si>
  <si>
    <t>Melting_Curves/meltCurve_P61289_PSME3.pdf</t>
  </si>
  <si>
    <t>Melting_Curves/meltCurve_P61326_MAGOH.pdf</t>
  </si>
  <si>
    <t>Melting_Curves/meltCurve_P61586_RHOA.pdf</t>
  </si>
  <si>
    <t>Melting_Curves/meltCurve_P61587_RND3.pdf</t>
  </si>
  <si>
    <t>Melting_Curves/meltCurve_P61599_NAA20.pdf</t>
  </si>
  <si>
    <t>Melting_Curves/meltCurve_P61604_HSPE1.pdf</t>
  </si>
  <si>
    <t>Melting_Curves/meltCurve_P61758_VBP1.pdf</t>
  </si>
  <si>
    <t>Melting_Curves/meltCurve_P61764_STXBP1.pdf</t>
  </si>
  <si>
    <t>Melting_Curves/meltCurve_P61925_PKIA.pdf</t>
  </si>
  <si>
    <t>Melting_Curves/meltCurve_P61956_SUMO2.pdf</t>
  </si>
  <si>
    <t>Melting_Curves/meltCurve_P61960_2_UFM1.pdf</t>
  </si>
  <si>
    <t>Melting_Curves/meltCurve_P61962_DCAF7.pdf</t>
  </si>
  <si>
    <t>Melting_Curves/meltCurve_P61964_WDR5.pdf</t>
  </si>
  <si>
    <t>Melting_Curves/meltCurve_P61970_NUTF2.pdf</t>
  </si>
  <si>
    <t>Melting_Curves/meltCurve_P61978_2_HNRNPK.pdf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</si>
  <si>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</si>
  <si>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</si>
  <si>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</si>
  <si>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</si>
  <si>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</si>
  <si>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</si>
  <si>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Melting_Curves/meltCurve_P62191_PSMC1.pdf</t>
  </si>
  <si>
    <t>Melting_Curves/meltCurve_P62195_2_PSMC5.pdf</t>
  </si>
  <si>
    <t>Melting_Curves/meltCurve_P62249_RPS16.pdf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</si>
  <si>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</si>
  <si>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</si>
  <si>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</si>
  <si>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</si>
  <si>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</si>
  <si>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</si>
  <si>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</si>
  <si>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</si>
  <si>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</si>
  <si>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</si>
  <si>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</si>
  <si>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</si>
  <si>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</si>
  <si>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</si>
  <si>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</si>
  <si>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</si>
  <si>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</si>
  <si>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</si>
  <si>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</si>
  <si>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</si>
  <si>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</si>
  <si>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Melting_Curves/meltCurve_P62633_3_CNBP.pdf</t>
  </si>
  <si>
    <t>Melting_Curves/meltCurve_P62633_4_CNBP.pdf</t>
  </si>
  <si>
    <t>Melting_Curves/meltCurve_P62701_RPS4X.pdf</t>
  </si>
  <si>
    <t>Melting_Curves/meltCurve_P62714_PPP2CB.pdf</t>
  </si>
  <si>
    <t>Melting_Curves/meltCurve_P62745_RHOB.pdf</t>
  </si>
  <si>
    <t>Melting_Curves/meltCurve_P62750_RPL23A.pdf</t>
  </si>
  <si>
    <t>Melting_Curves/meltCurve_P62753_RPS6.pdf</t>
  </si>
  <si>
    <t>Melting_Curves/meltCurve_P62805_HIST1H4A.pdf</t>
  </si>
  <si>
    <t>Melting_Curves/meltCurve_P62807_HIST1H2BC.pdf</t>
  </si>
  <si>
    <t>Melting_Curves/meltCurve_P62820_RAB1A.pdf</t>
  </si>
  <si>
    <t>Melting_Curves/meltCurve_P62829_RPL23.pdf</t>
  </si>
  <si>
    <t>Melting_Curves/meltCurve_P62834_RAP1A.pdf</t>
  </si>
  <si>
    <t>Melting_Curves/meltCurve_P62837_UBE2D2.pdf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</si>
  <si>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</si>
  <si>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</si>
  <si>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</si>
  <si>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</si>
  <si>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Melting_Curves/meltCurve_P62879_GNB2.pdf</t>
  </si>
  <si>
    <t>Melting_Curves/meltCurve_P62888_RPL30.pdf</t>
  </si>
  <si>
    <t>Melting_Curves/meltCurve_P62899_RPL31.pdf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</si>
  <si>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</si>
  <si>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</si>
  <si>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</si>
  <si>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</si>
  <si>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</si>
  <si>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</si>
  <si>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</si>
  <si>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Melting_Curves/meltCurve_P63000_RAC1.pdf</t>
  </si>
  <si>
    <t>Melting_Curves/meltCurve_P63010_AP2B1.pdf</t>
  </si>
  <si>
    <t>Melting_Curves/meltCurve_P63092_GNAS.pdf</t>
  </si>
  <si>
    <t>Melting_Curves/meltCurve_P63096_GNAI1.pdf</t>
  </si>
  <si>
    <t>Melting_Curves/meltCurve_P63104_YWHAZ.pdf</t>
  </si>
  <si>
    <t>Melting_Curves/meltCurve_P63151_PPP2R2A.pdf</t>
  </si>
  <si>
    <t>Melting_Curves/meltCurve_P63167_DYNLL1.pdf</t>
  </si>
  <si>
    <t>Melting_Curves/meltCurve_P63173_RPL38.pdf</t>
  </si>
  <si>
    <t>Melting_Curves/meltCurve_P63218_GNG5.pdf</t>
  </si>
  <si>
    <t>Melting_Curves/meltCurve_P63220_RPS21.pdf</t>
  </si>
  <si>
    <t>Melting_Curves/meltCurve_P63241_EIF5A.pdf</t>
  </si>
  <si>
    <t>Melting_Curves/meltCurve_P63244_GNB2L1.pdf</t>
  </si>
  <si>
    <t>Melting_Curves/meltCurve_P63261_ACTG1.pdf</t>
  </si>
  <si>
    <t>Melting_Curves/meltCurve_P63272_SUPT4H1.pdf</t>
  </si>
  <si>
    <t>Melting_Curves/meltCurve_P67775_PPP2CA.pdf</t>
  </si>
  <si>
    <t>Melting_Curves/meltCurve_P67809_YBX1.pdf</t>
  </si>
  <si>
    <t>Melting_Curves/meltCurve_P67936_TPM4.pdf</t>
  </si>
  <si>
    <t>Melting_Curves/meltCurve_P68032_ACTC1.pdf</t>
  </si>
  <si>
    <t>Melting_Curves/meltCurve_P68036_UBE2L3.pdf</t>
  </si>
  <si>
    <t>Melting_Curves/meltCurve_P68104_EEF1A1.pdf</t>
  </si>
  <si>
    <t>Melting_Curves/meltCurve_P68106_FKBP1B.pdf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</si>
  <si>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</si>
  <si>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</si>
  <si>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</si>
  <si>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</si>
  <si>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Melting_Curves/meltCurve_P69892_HBG2.pdf</t>
  </si>
  <si>
    <t>Melting_Curves/meltCurve_P78310_CXADR.pdf</t>
  </si>
  <si>
    <t>Melting_Curves/meltCurve_P78318_IGBP1.pdf</t>
  </si>
  <si>
    <t>Melting_Curves/meltCurve_P78324_SIRPA.pdf</t>
  </si>
  <si>
    <t>Melting_Curves/meltCurve_P78330_PSPH.pdf</t>
  </si>
  <si>
    <t>Melting_Curves/meltCurve_P78347_2_GTF2I.pdf</t>
  </si>
  <si>
    <t>Melting_Curves/meltCurve_P78371_CCT2.pdf</t>
  </si>
  <si>
    <t>Melting_Curves/meltCurve_P78406_RAE1.pdf</t>
  </si>
  <si>
    <t>Melting_Curves/meltCurve_P78417_GSTO1.pdf</t>
  </si>
  <si>
    <t>Melting_Curves/meltCurve_P78527_PRKDC.pdf</t>
  </si>
  <si>
    <t>Melting_Curves/meltCurve_P78536_ADAM17.pdf</t>
  </si>
  <si>
    <t>Melting_Curves/meltCurve_P78537_BLOC1S1.pdf</t>
  </si>
  <si>
    <t>Melting_Curves/meltCurve_P78540_ARG2.pdf</t>
  </si>
  <si>
    <t>Melting_Curves/meltCurve_P80217_IFI35.pdf</t>
  </si>
  <si>
    <t>Melting_Curves/meltCurve_P80297_MT1X.pdf</t>
  </si>
  <si>
    <t>Melting_Curves/meltCurve_P80303_NUCB2.pdf</t>
  </si>
  <si>
    <t>Melting_Curves/meltCurve_P80723_BASP1.pdf</t>
  </si>
  <si>
    <t>Melting_Curves/meltCurve_P81274_GPSM2.pdf</t>
  </si>
  <si>
    <t>Melting_Curves/meltCurve_P82094_TMF1.pdf</t>
  </si>
  <si>
    <t>Melting_Curves/meltCurve_P82664_MRPS10.pdf</t>
  </si>
  <si>
    <t>Melting_Curves/meltCurve_P82909_MRPS36.pdf</t>
  </si>
  <si>
    <t>Melting_Curves/meltCurve_P82979_SARNP.pdf</t>
  </si>
  <si>
    <t>Melting_Curves/meltCurve_P83436_COG7.pdf</t>
  </si>
  <si>
    <t>Melting_Curves/meltCurve_P84074_HPCA.pdf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</si>
  <si>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</si>
  <si>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</si>
  <si>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</si>
  <si>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</si>
  <si>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Melting_Curves/meltCurve_P84101_SERF2.pdf</t>
  </si>
  <si>
    <t>Melting_Curves/meltCurve_P84157_MXRA7.pdf</t>
  </si>
  <si>
    <t>Melting_Curves/meltCurve_P84157_2_MXRA7.pdf</t>
  </si>
  <si>
    <t>Melting_Curves/meltCurve_P84157_3_MXRA7.pdf</t>
  </si>
  <si>
    <t>Melting_Curves/meltCurve_P85037_FOXK1.pdf</t>
  </si>
  <si>
    <t>Melting_Curves/meltCurve_P86397_RPP14.pdf</t>
  </si>
  <si>
    <t>Melting_Curves/meltCurve_P86791_CCZ1.pdf</t>
  </si>
  <si>
    <t>Melting_Curves/meltCurve_P98082_3_DAB2.pdf</t>
  </si>
  <si>
    <t>Melting_Curves/meltCurve_P98172_EFNB1.pdf</t>
  </si>
  <si>
    <t>Melting_Curves/meltCurve_P98173_3_FAM3A.pdf</t>
  </si>
  <si>
    <t>Melting_Curves/meltCurve_P98175_2_RBM10.pdf</t>
  </si>
  <si>
    <t>Melting_Curves/meltCurve_P98179_RBM3.pdf</t>
  </si>
  <si>
    <t>Melting_Curves/meltCurve_Q00013_2_MPP1.pdf</t>
  </si>
  <si>
    <t>Melting_Curves/meltCurve_Q00059_TFAM.pdf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</si>
  <si>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</si>
  <si>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</si>
  <si>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</si>
  <si>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</si>
  <si>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</si>
  <si>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</si>
  <si>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</si>
  <si>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</si>
  <si>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</si>
  <si>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</si>
  <si>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</si>
  <si>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</si>
  <si>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</si>
  <si>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Melting_Curves/meltCurve_Q01081_U2AF1.pdf</t>
  </si>
  <si>
    <t>Melting_Curves/meltCurve_Q01082_SPTBN1.pdf</t>
  </si>
  <si>
    <t>Melting_Curves/meltCurve_Q01085_2_TIAL1.pdf</t>
  </si>
  <si>
    <t>Melting_Curves/meltCurve_Q01105_SET.pdf</t>
  </si>
  <si>
    <t>Melting_Curves/meltCurve_Q01167_FOXK2.pdf</t>
  </si>
  <si>
    <t>Melting_Curves/meltCurve_Q01415_GALK2.pdf</t>
  </si>
  <si>
    <t>Melting_Curves/meltCurve_Q01469_FABP5.pdf</t>
  </si>
  <si>
    <t>Melting_Curves/meltCurve_Q01518_2_CAP1.pdf</t>
  </si>
  <si>
    <t>Melting_Curves/meltCurve_Q01543_2_FLI1.pdf</t>
  </si>
  <si>
    <t>Melting_Curves/meltCurve_Q01581_HMGCS1.pdf</t>
  </si>
  <si>
    <t>Melting_Curves/meltCurve_Q01650_SLC7A5.pdf</t>
  </si>
  <si>
    <t>Melting_Curves/meltCurve_Q01658_DR1.pdf</t>
  </si>
  <si>
    <t>Melting_Curves/meltCurve_Q01813_PFKP.pdf</t>
  </si>
  <si>
    <t>Melting_Curves/meltCurve_Q01968_OCRL.pdf</t>
  </si>
  <si>
    <t>Melting_Curves/meltCurve_Q01970_PLCB3.pdf</t>
  </si>
  <si>
    <t>Melting_Curves/meltCurve_Q02078_3_MEF2A.pdf</t>
  </si>
  <si>
    <t>Melting_Curves/meltCurve_Q02083_2_NAAA.pdf</t>
  </si>
  <si>
    <t>Melting_Curves/meltCurve_Q02086_2_SP2.pdf</t>
  </si>
  <si>
    <t>Melting_Curves/meltCurve_Q02127_DHODH.pdf</t>
  </si>
  <si>
    <t>Melting_Curves/meltCurve_Q02156_PRKCE.pdf</t>
  </si>
  <si>
    <t>Melting_Curves/meltCurve_Q02241_KIF23.pdf</t>
  </si>
  <si>
    <t>Melting_Curves/meltCurve_Q02446_SP4.pdf</t>
  </si>
  <si>
    <t>Melting_Curves/meltCurve_Q02487_2_DSC2.pdf</t>
  </si>
  <si>
    <t>Melting_Curves/meltCurve_Q02535_ID3.pdf</t>
  </si>
  <si>
    <t>Melting_Curves/meltCurve_Q02750_MAP2K1.pdf</t>
  </si>
  <si>
    <t>Melting_Curves/meltCurve_Q02763_2_TEK.pdf</t>
  </si>
  <si>
    <t>Melting_Curves/meltCurve_Q02790_FKBP4.pdf</t>
  </si>
  <si>
    <t>Melting_Curves/meltCurve_Q02809_PLOD1.pdf</t>
  </si>
  <si>
    <t>Melting_Curves/meltCurve_Q02818_NUCB1.pdf</t>
  </si>
  <si>
    <t>Melting_Curves/meltCurve_Q02952_3_AKAP12.pdf</t>
  </si>
  <si>
    <t>Melting_Curves/meltCurve_Q03154_ACY1.pdf</t>
  </si>
  <si>
    <t>Melting_Curves/meltCurve_Q03519_TAP2.pdf</t>
  </si>
  <si>
    <t>Melting_Curves/meltCurve_Q04446_GBE1.pdf</t>
  </si>
  <si>
    <t>Melting_Curves/meltCurve_Q04721_NOTCH2.pdf</t>
  </si>
  <si>
    <t>Melting_Curves/meltCurve_Q04724_TLE1.pdf</t>
  </si>
  <si>
    <t>Melting_Curves/meltCurve_Q04760_GLO1.pdf</t>
  </si>
  <si>
    <t>Melting_Curves/meltCurve_Q04828_AKR1C1.pdf</t>
  </si>
  <si>
    <t>Melting_Curves/meltCurve_Q04837_SSBP1.pdf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</si>
  <si>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</si>
  <si>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</si>
  <si>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</si>
  <si>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</si>
  <si>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Melting_Curves/meltCurve_Q05209_PTPN12.pdf</t>
  </si>
  <si>
    <t>Melting_Curves/meltCurve_Q05519_2_SRSF11.pdf</t>
  </si>
  <si>
    <t>Melting_Curves/meltCurve_Q05639_EEF1A2.pdf</t>
  </si>
  <si>
    <t>Melting_Curves/meltCurve_Q05655_PRKCD.pdf</t>
  </si>
  <si>
    <t>Melting_Curves/meltCurve_Q05682_4_CALD1.pdf</t>
  </si>
  <si>
    <t>Melting_Curves/meltCurve_Q05682_5_CALD1.pdf</t>
  </si>
  <si>
    <t>Melting_Curves/meltCurve_Q05932_3_FPGS.pdf</t>
  </si>
  <si>
    <t>Melting_Curves/meltCurve_Q06124_PTPN11.pdf</t>
  </si>
  <si>
    <t>Melting_Curves/meltCurve_Q06203_PPAT.pdf</t>
  </si>
  <si>
    <t>Melting_Curves/meltCurve_Q06210_2_GFPT1.pdf</t>
  </si>
  <si>
    <t>Melting_Curves/meltCurve_Q06265_EXOSC9.pdf</t>
  </si>
  <si>
    <t>Melting_Curves/meltCurve_Q06323_PSME1.pdf</t>
  </si>
  <si>
    <t>Melting_Curves/meltCurve_Q06330_5_RBPJ.pdf</t>
  </si>
  <si>
    <t>Melting_Curves/meltCurve_Q06481_APLP2.pdf</t>
  </si>
  <si>
    <t>Melting_Curves/meltCurve_Q06546_GABPA.pdf</t>
  </si>
  <si>
    <t>Melting_Curves/meltCurve_Q06547_2_GABPB1.pdf</t>
  </si>
  <si>
    <t>Melting_Curves/meltCurve_Q06609_3_RAD51.pdf</t>
  </si>
  <si>
    <t>Melting_Curves/meltCurve_Q06830_PRDX1.pdf</t>
  </si>
  <si>
    <t>Melting_Curves/meltCurve_Q07021_C1QBP.pdf</t>
  </si>
  <si>
    <t>Melting_Curves/meltCurve_Q07065_CKAP4.pdf</t>
  </si>
  <si>
    <t>Melting_Curves/meltCurve_Q07075_ENPEP.pdf</t>
  </si>
  <si>
    <t>Melting_Curves/meltCurve_Q07666_KHDRBS1.pdf</t>
  </si>
  <si>
    <t>Melting_Curves/meltCurve_Q07812_5_BAX.pdf</t>
  </si>
  <si>
    <t>Melting_Curves/meltCurve_Q07820_2_MCL1.pdf</t>
  </si>
  <si>
    <t>Melting_Curves/meltCurve_Q07866_6_KLC1.pdf</t>
  </si>
  <si>
    <t>Melting_Curves/meltCurve_Q07912_TNK2.pdf</t>
  </si>
  <si>
    <t>Melting_Curves/meltCurve_Q07960_ARHGAP1.pdf</t>
  </si>
  <si>
    <t>Melting_Curves/meltCurve_Q08209_2_PPP3CA.pdf</t>
  </si>
  <si>
    <t>Melting_Curves/meltCurve_Q08257_CRYZ.pdf</t>
  </si>
  <si>
    <t>Melting_Curves/meltCurve_Q08289_6_CACNB2.pdf</t>
  </si>
  <si>
    <t>Melting_Curves/meltCurve_Q08357_SLC20A2.pdf</t>
  </si>
  <si>
    <t>Melting_Curves/meltCurve_Q08378_2_GOLGA3.pdf</t>
  </si>
  <si>
    <t>Melting_Curves/meltCurve_Q08379_GOLGA2.pdf</t>
  </si>
  <si>
    <t>Melting_Curves/meltCurve_Q08426_EHHADH.pdf</t>
  </si>
  <si>
    <t>Melting_Curves/meltCurve_Q08722_2_CD47.pdf</t>
  </si>
  <si>
    <t>Melting_Curves/meltCurve_Q08752_PPID.pdf</t>
  </si>
  <si>
    <t>Melting_Curves/meltCurve_Q08945_SSRP1.pdf</t>
  </si>
  <si>
    <t>Melting_Curves/meltCurve_Q08AD1_2_CAMSAP2.pdf</t>
  </si>
  <si>
    <t>Melting_Curves/meltCurve_Q08AE8_2_SPIRE1.pdf</t>
  </si>
  <si>
    <t>Melting_Curves/meltCurve_Q08AG7_MZT1.pdf</t>
  </si>
  <si>
    <t>Melting_Curves/meltCurve_Q08AM6_VAC14.pdf</t>
  </si>
  <si>
    <t>Melting_Curves/meltCurve_Q08E86_KIAA0100.pdf</t>
  </si>
  <si>
    <t>Melting_Curves/meltCurve_Q08J23_NSUN2.pdf</t>
  </si>
  <si>
    <t>Melting_Curves/meltCurve_Q09028_3_RBBP4.pdf</t>
  </si>
  <si>
    <t>Melting_Curves/meltCurve_Q09161_NCBP1.pdf</t>
  </si>
  <si>
    <t>Melting_Curves/meltCurve_Q09472_EP300.pdf</t>
  </si>
  <si>
    <t>Melting_Curves/meltCurve_Q09666_AHNAK.pdf</t>
  </si>
  <si>
    <t>Melting_Curves/meltCurve_Q0JRZ9_3_FCHO2.pdf</t>
  </si>
  <si>
    <t>Melting_Curves/meltCurve_Q0VDF9_HSPA14.pdf</t>
  </si>
  <si>
    <t>Melting_Curves/meltCurve_Q0VDG4_SCRN3.pdf</t>
  </si>
  <si>
    <t>Melting_Curves/meltCurve_Q10469_MGAT2.pdf</t>
  </si>
  <si>
    <t>Melting_Curves/meltCurve_Q10567_2_AP1B1.pdf</t>
  </si>
  <si>
    <t>Melting_Curves/meltCurve_Q10713_PMPCA.pdf</t>
  </si>
  <si>
    <t>Melting_Curves/meltCurve_Q12765_SCRN1.pdf</t>
  </si>
  <si>
    <t>Melting_Curves/meltCurve_Q12769_NUP160.pdf</t>
  </si>
  <si>
    <t>Melting_Curves/meltCurve_Q12788_TBL3.pdf</t>
  </si>
  <si>
    <t>Melting_Curves/meltCurve_Q12792_TWF1.pdf</t>
  </si>
  <si>
    <t>Melting_Curves/meltCurve_Q12834_CDC20.pdf</t>
  </si>
  <si>
    <t>Melting_Curves/meltCurve_Q12841_FSTL1.pdf</t>
  </si>
  <si>
    <t>Melting_Curves/meltCurve_Q12846_STX4.pdf</t>
  </si>
  <si>
    <t>Melting_Curves/meltCurve_Q12849_GRSF1.pdf</t>
  </si>
  <si>
    <t>Melting_Curves/meltCurve_Q12860_2_CNTN1.pdf</t>
  </si>
  <si>
    <t>Melting_Curves/meltCurve_Q12872_SFSWAP.pdf</t>
  </si>
  <si>
    <t>Melting_Curves/meltCurve_Q12874_SF3A3.pdf</t>
  </si>
  <si>
    <t>Melting_Curves/meltCurve_Q12888_TP53BP1.pdf</t>
  </si>
  <si>
    <t>Melting_Curves/meltCurve_Q12893_TMEM115.pdf</t>
  </si>
  <si>
    <t>Melting_Curves/meltCurve_Q12904_AIMP1.pdf</t>
  </si>
  <si>
    <t>Melting_Curves/meltCurve_Q12905_ILF2.pdf</t>
  </si>
  <si>
    <t>Melting_Curves/meltCurve_Q12906_ILF3.pdf</t>
  </si>
  <si>
    <t>Melting_Curves/meltCurve_Q12907_LMAN2.pdf</t>
  </si>
  <si>
    <t>Melting_Curves/meltCurve_Q12929_EPS8.pdf</t>
  </si>
  <si>
    <t>Melting_Curves/meltCurve_Q12933_3_TRAF2.pdf</t>
  </si>
  <si>
    <t>Melting_Curves/meltCurve_Q12948_FOXC1.pdf</t>
  </si>
  <si>
    <t>Melting_Curves/meltCurve_Q12955_6_ANK3.pdf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</si>
  <si>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</si>
  <si>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</si>
  <si>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</si>
  <si>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</si>
  <si>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Melting_Curves/meltCurve_Q12981_BNIP1.pdf</t>
  </si>
  <si>
    <t>Melting_Curves/meltCurve_Q12996_CSTF3.pdf</t>
  </si>
  <si>
    <t>Melting_Curves/meltCurve_Q13011_ECH1.pdf</t>
  </si>
  <si>
    <t>Melting_Curves/meltCurve_Q13015_MLLT11.pdf</t>
  </si>
  <si>
    <t>Melting_Curves/meltCurve_Q13017_2_ARHGAP5.pdf</t>
  </si>
  <si>
    <t>Melting_Curves/meltCurve_Q13033_2_STRN3.pdf</t>
  </si>
  <si>
    <t>Melting_Curves/meltCurve_Q13043_STK4.pdf</t>
  </si>
  <si>
    <t>Melting_Curves/meltCurve_Q13045_FLII.pdf</t>
  </si>
  <si>
    <t>Melting_Curves/meltCurve_Q13045_2_FLII.pdf</t>
  </si>
  <si>
    <t>Melting_Curves/meltCurve_Q13057_COASY.pdf</t>
  </si>
  <si>
    <t>Melting_Curves/meltCurve_Q13098_GPS1.pdf</t>
  </si>
  <si>
    <t>Melting_Curves/meltCurve_Q13111_2_CHAF1A.pdf</t>
  </si>
  <si>
    <t>Melting_Curves/meltCurve_Q13112_CHAF1B.pdf</t>
  </si>
  <si>
    <t>Melting_Curves/meltCurve_Q13123_IK.pdf</t>
  </si>
  <si>
    <t>Melting_Curves/meltCurve_Q13126_MTAP.pdf</t>
  </si>
  <si>
    <t>Melting_Curves/meltCurve_Q13131_PRKAA1.pdf</t>
  </si>
  <si>
    <t>Melting_Curves/meltCurve_Q13136_2_PPFIA1.pdf</t>
  </si>
  <si>
    <t>Melting_Curves/meltCurve_Q13137_4_CALCOCO2.pdf</t>
  </si>
  <si>
    <t>Melting_Curves/meltCurve_Q13148_TARDBP.pdf</t>
  </si>
  <si>
    <t>Melting_Curves/meltCurve_Q13151_HNRNPA0.pdf</t>
  </si>
  <si>
    <t>Melting_Curves/meltCurve_Q13153_PAK1.pdf</t>
  </si>
  <si>
    <t>Melting_Curves/meltCurve_Q13158_FADD.pdf</t>
  </si>
  <si>
    <t>Melting_Curves/meltCurve_Q13162_PRDX4.pdf</t>
  </si>
  <si>
    <t>Melting_Curves/meltCurve_Q13164_2_MAPK7.pdf</t>
  </si>
  <si>
    <t>Melting_Curves/meltCurve_Q13177_PAK2.pdf</t>
  </si>
  <si>
    <t>Melting_Curves/meltCurve_Q13185_CBX3.pdf</t>
  </si>
  <si>
    <t>Melting_Curves/meltCurve_Q13188_STK3.pdf</t>
  </si>
  <si>
    <t>Melting_Curves/meltCurve_Q13200_PSMD2.pdf</t>
  </si>
  <si>
    <t>Melting_Curves/meltCurve_Q13217_DNAJC3.pdf</t>
  </si>
  <si>
    <t>Melting_Curves/meltCurve_Q13228_2_SELENBP1.pdf</t>
  </si>
  <si>
    <t>Melting_Curves/meltCurve_Q13232_NME3.pdf</t>
  </si>
  <si>
    <t>Melting_Curves/meltCurve_Q13243_3_SRSF5.pdf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</si>
  <si>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</si>
  <si>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</si>
  <si>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</si>
  <si>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</si>
  <si>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</si>
  <si>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Melting_Curves/meltCurve_Q13308_PTK7.pdf</t>
  </si>
  <si>
    <t>Melting_Curves/meltCurve_Q13309_SKP2.pdf</t>
  </si>
  <si>
    <t>Melting_Curves/meltCurve_Q13310_3_PABPC4.pdf</t>
  </si>
  <si>
    <t>Melting_Curves/meltCurve_Q13322_2_GRB10.pdf</t>
  </si>
  <si>
    <t>Melting_Curves/meltCurve_Q13325_IFIT5.pdf</t>
  </si>
  <si>
    <t>Melting_Curves/meltCurve_Q13347_EIF3I.pdf</t>
  </si>
  <si>
    <t>Melting_Curves/meltCurve_Q13356_PPIL2.pdf</t>
  </si>
  <si>
    <t>Melting_Curves/meltCurve_Q13362_4_PPP2R5C.pdf</t>
  </si>
  <si>
    <t>Melting_Curves/meltCurve_Q13363_CTBP1.pdf</t>
  </si>
  <si>
    <t>Melting_Curves/meltCurve_Q13395_TARBP1.pdf</t>
  </si>
  <si>
    <t>Melting_Curves/meltCurve_Q13405_MRPL49.pdf</t>
  </si>
  <si>
    <t>Melting_Curves/meltCurve_Q13409_6_DYNC1I2.pdf</t>
  </si>
  <si>
    <t>Melting_Curves/meltCurve_Q13416_ORC2.pdf</t>
  </si>
  <si>
    <t>Melting_Curves/meltCurve_Q13418_ILK.pdf</t>
  </si>
  <si>
    <t>Melting_Curves/meltCurve_Q13423_NNT.pdf</t>
  </si>
  <si>
    <t>Melting_Curves/meltCurve_Q13424_SNTA1.pdf</t>
  </si>
  <si>
    <t>Melting_Curves/meltCurve_Q13426_XRCC4.pdf</t>
  </si>
  <si>
    <t>Melting_Curves/meltCurve_Q13432_2_UNC119.pdf</t>
  </si>
  <si>
    <t>Melting_Curves/meltCurve_Q13435_SF3B2.pdf</t>
  </si>
  <si>
    <t>Melting_Curves/meltCurve_Q13438_5_OS9.pdf</t>
  </si>
  <si>
    <t>Melting_Curves/meltCurve_Q13442_PDAP1.pdf</t>
  </si>
  <si>
    <t>Melting_Curves/meltCurve_Q13443_ADAM9.pdf</t>
  </si>
  <si>
    <t>Melting_Curves/meltCurve_Q13444_8_ADAM15.pdf</t>
  </si>
  <si>
    <t>Melting_Curves/meltCurve_Q13445_TMED1.pdf</t>
  </si>
  <si>
    <t>Melting_Curves/meltCurve_Q13451_FKBP5.pdf</t>
  </si>
  <si>
    <t>Melting_Curves/meltCurve_Q13464_ROCK1.pdf</t>
  </si>
  <si>
    <t>Melting_Curves/meltCurve_Q13480_2_GAB1.pdf</t>
  </si>
  <si>
    <t>Melting_Curves/meltCurve_Q13492_3_PICALM.pdf</t>
  </si>
  <si>
    <t>Melting_Curves/meltCurve_Q13503_MED21.pdf</t>
  </si>
  <si>
    <t>Melting_Curves/meltCurve_Q13505_3_MTX1.pdf</t>
  </si>
  <si>
    <t>Melting_Curves/meltCurve_Q13509_TUBB3.pdf</t>
  </si>
  <si>
    <t>Melting_Curves/meltCurve_Q13526_PIN1.pdf</t>
  </si>
  <si>
    <t>Melting_Curves/meltCurve_Q13541_EIF4EBP1.pdf</t>
  </si>
  <si>
    <t>Melting_Curves/meltCurve_Q13542_EIF4EBP2.pdf</t>
  </si>
  <si>
    <t>Melting_Curves/meltCurve_Q13546_2_RIPK1.pdf</t>
  </si>
  <si>
    <t>Melting_Curves/meltCurve_Q13564_2_NAE1.pdf</t>
  </si>
  <si>
    <t>Melting_Curves/meltCurve_Q13572_ITPK1.pdf</t>
  </si>
  <si>
    <t>Melting_Curves/meltCurve_Q13573_SNW1.pdf</t>
  </si>
  <si>
    <t>Melting_Curves/meltCurve_Q13576_IQGAP2.pdf</t>
  </si>
  <si>
    <t>Melting_Curves/meltCurve_Q13586_STIM1.pdf</t>
  </si>
  <si>
    <t>Melting_Curves/meltCurve_Q13596_2_SNX1.pdf</t>
  </si>
  <si>
    <t>Melting_Curves/meltCurve_Q13614_MTMR2.pdf</t>
  </si>
  <si>
    <t>Melting_Curves/meltCurve_Q13616_CUL1.pdf</t>
  </si>
  <si>
    <t>Melting_Curves/meltCurve_Q13617_CUL2.pdf</t>
  </si>
  <si>
    <t>Melting_Curves/meltCurve_Q13618_2_CUL3.pdf</t>
  </si>
  <si>
    <t>Melting_Curves/meltCurve_Q13625_TP53BP2.pdf</t>
  </si>
  <si>
    <t>Melting_Curves/meltCurve_Q13630_TSTA3.pdf</t>
  </si>
  <si>
    <t>Melting_Curves/meltCurve_Q13636_RAB31.pdf</t>
  </si>
  <si>
    <t>Melting_Curves/meltCurve_Q13641_TPBG.pdf</t>
  </si>
  <si>
    <t>Melting_Curves/meltCurve_Q13642_5_FHL1.pdf</t>
  </si>
  <si>
    <t>Melting_Curves/meltCurve_Q13643_FHL3.pdf</t>
  </si>
  <si>
    <t>Melting_Curves/meltCurve_Q13686_ALKBH1.pdf</t>
  </si>
  <si>
    <t>Melting_Curves/meltCurve_Q13724_MOGS.pdf</t>
  </si>
  <si>
    <t>Melting_Curves/meltCurve_Q13740_2_ALCAM.pdf</t>
  </si>
  <si>
    <t>Melting_Curves/meltCurve_Q13796_SHROOM2.pdf</t>
  </si>
  <si>
    <t>Melting_Curves/meltCurve_Q13813_3_SPTAN1.pdf</t>
  </si>
  <si>
    <t>Melting_Curves/meltCurve_Q13825_AUH.pdf</t>
  </si>
  <si>
    <t>Melting_Curves/meltCurve_Q13884_SNTB1.pdf</t>
  </si>
  <si>
    <t>Melting_Curves/meltCurve_Q13885_TUBB2A.pdf</t>
  </si>
  <si>
    <t>Melting_Curves/meltCurve_Q13895_BYSL.pdf</t>
  </si>
  <si>
    <t>Melting_Curves/meltCurve_Q13907_IDI1.pdf</t>
  </si>
  <si>
    <t>Melting_Curves/meltCurve_Q13951_2_CBFB.pdf</t>
  </si>
  <si>
    <t>Melting_Curves/meltCurve_Q13952_3_NFYC.pdf</t>
  </si>
  <si>
    <t>Melting_Curves/meltCurve_Q14008_2_CKAP5.pdf</t>
  </si>
  <si>
    <t>Melting_Curves/meltCurve_Q14011_CIRBP.pdf</t>
  </si>
  <si>
    <t>Melting_Curves/meltCurve_Q14012_CAMK1.pdf</t>
  </si>
  <si>
    <t>Melting_Curves/meltCurve_Q14019_COTL1.pdf</t>
  </si>
  <si>
    <t>Melting_Curves/meltCurve_Q14050_COL9A3.pdf</t>
  </si>
  <si>
    <t>Melting_Curves/meltCurve_Q14061_COX17.pdf</t>
  </si>
  <si>
    <t>Melting_Curves/meltCurve_Q14103_3_HNRNPD.pdf</t>
  </si>
  <si>
    <t>Melting_Curves/meltCurve_Q14108_SCARB2.pdf</t>
  </si>
  <si>
    <t>Melting_Curves/meltCurve_Q14118_DAG1.pdf</t>
  </si>
  <si>
    <t>Melting_Curves/meltCurve_Q14126_DSG2.pdf</t>
  </si>
  <si>
    <t>Melting_Curves/meltCurve_Q14129_DGCR6.pdf</t>
  </si>
  <si>
    <t>Melting_Curves/meltCurve_Q14135_VGLL4.pdf</t>
  </si>
  <si>
    <t>Melting_Curves/meltCurve_Q14137_BOP1.pdf</t>
  </si>
  <si>
    <t>Melting_Curves/meltCurve_Q14139_UBE4A.pdf</t>
  </si>
  <si>
    <t>Melting_Curves/meltCurve_Q14145_KEAP1.pdf</t>
  </si>
  <si>
    <t>Melting_Curves/meltCurve_Q14149_MORC3.pdf</t>
  </si>
  <si>
    <t>Melting_Curves/meltCurve_Q14151_SAFB2.pdf</t>
  </si>
  <si>
    <t>Melting_Curves/meltCurve_Q14152_EIF3A.pdf</t>
  </si>
  <si>
    <t>Melting_Curves/meltCurve_Q14157_UBAP2L.pdf</t>
  </si>
  <si>
    <t>Melting_Curves/meltCurve_Q14157_1_UBAP2L.pdf</t>
  </si>
  <si>
    <t>Melting_Curves/meltCurve_Q14160_SCRIB.pdf</t>
  </si>
  <si>
    <t>Melting_Curves/meltCurve_Q14165_MLEC.pdf</t>
  </si>
  <si>
    <t>Melting_Curves/meltCurve_Q14166_TTLL12.pdf</t>
  </si>
  <si>
    <t>Melting_Curves/meltCurve_Q14181_POLA2.pdf</t>
  </si>
  <si>
    <t>Melting_Curves/meltCurve_Q14195_2_DPYSL3.pdf</t>
  </si>
  <si>
    <t>Melting_Curves/meltCurve_Q14204_DYNC1H1.pdf</t>
  </si>
  <si>
    <t>Melting_Curves/meltCurve_Q14232_EIF2B1.pdf</t>
  </si>
  <si>
    <t>Melting_Curves/meltCurve_Q14240_EIF4A2.pdf</t>
  </si>
  <si>
    <t>Melting_Curves/meltCurve_Q14244_MAP7.pdf</t>
  </si>
  <si>
    <t>Melting_Curves/meltCurve_Q14247_CTTN.pdf</t>
  </si>
  <si>
    <t>Melting_Curves/meltCurve_Q14257_RCN2.pdf</t>
  </si>
  <si>
    <t>Melting_Curves/meltCurve_Q14315_2_FLNC.pdf</t>
  </si>
  <si>
    <t>Melting_Curves/meltCurve_Q14318_2_FKBP8.pdf</t>
  </si>
  <si>
    <t>Melting_Curves/meltCurve_Q14320_FAM50A.pdf</t>
  </si>
  <si>
    <t>Melting_Curves/meltCurve_Q14331_FRG1.pdf</t>
  </si>
  <si>
    <t>Melting_Curves/meltCurve_Q14344_GNA13.pdf</t>
  </si>
  <si>
    <t>Melting_Curves/meltCurve_Q14353_GAMT.pdf</t>
  </si>
  <si>
    <t>Melting_Curves/meltCurve_Q14376_GALE.pdf</t>
  </si>
  <si>
    <t>Melting_Curves/meltCurve_Q14409_GK3P.pdf</t>
  </si>
  <si>
    <t>Melting_Curves/meltCurve_Q14444_2_CAPRIN1.pdf</t>
  </si>
  <si>
    <t>Melting_Curves/meltCurve_Q14469_HES1.pdf</t>
  </si>
  <si>
    <t>Melting_Curves/meltCurve_Q14498_2_RBM39.pdf</t>
  </si>
  <si>
    <t>Melting_Curves/meltCurve_Q14520_2_HABP2.pdf</t>
  </si>
  <si>
    <t>Melting_Curves/meltCurve_Q14527_2_HLTF.pdf</t>
  </si>
  <si>
    <t>Melting_Curves/meltCurve_Q14534_SQLE.pdf</t>
  </si>
  <si>
    <t>Melting_Curves/meltCurve_Q14554_PDIA5.pdf</t>
  </si>
  <si>
    <t>Melting_Curves/meltCurve_Q14558_PRPSAP1.pdf</t>
  </si>
  <si>
    <t>Melting_Curves/meltCurve_Q14566_MCM6.pdf</t>
  </si>
  <si>
    <t>Melting_Curves/meltCurve_Q14651_PLS1.pdf</t>
  </si>
  <si>
    <t>Melting_Curves/meltCurve_Q14653_IRF3.pdf</t>
  </si>
  <si>
    <t>Melting_Curves/meltCurve_Q14657_LAGE3.pdf</t>
  </si>
  <si>
    <t>Melting_Curves/meltCurve_Q14669_2_TRIP12.pdf</t>
  </si>
  <si>
    <t>Melting_Curves/meltCurve_Q14671_PUM1.pdf</t>
  </si>
  <si>
    <t>Melting_Curves/meltCurve_Q14674_ESPL1.pdf</t>
  </si>
  <si>
    <t>Melting_Curves/meltCurve_Q14676_3_MDC1.pdf</t>
  </si>
  <si>
    <t>Melting_Curves/meltCurve_Q14677_CLINT1.pdf</t>
  </si>
  <si>
    <t>Melting_Curves/meltCurve_Q14681_KCTD2.pdf</t>
  </si>
  <si>
    <t>Melting_Curves/meltCurve_Q14683_SMC1A.pdf</t>
  </si>
  <si>
    <t>Melting_Curves/meltCurve_Q14686_NCOA6.pdf</t>
  </si>
  <si>
    <t>Melting_Curves/meltCurve_Q14687_2_GSE1.pdf</t>
  </si>
  <si>
    <t>Melting_Curves/meltCurve_Q14691_GINS1.pdf</t>
  </si>
  <si>
    <t>Melting_Curves/meltCurve_Q14694_USP10.pdf</t>
  </si>
  <si>
    <t>Melting_Curves/meltCurve_Q14696_MESDC2.pdf</t>
  </si>
  <si>
    <t>Melting_Curves/meltCurve_Q14697_GANAB.pdf</t>
  </si>
  <si>
    <t>Melting_Curves/meltCurve_Q14699_RFTN1.pdf</t>
  </si>
  <si>
    <t>Melting_Curves/meltCurve_Q14739_LBR.pdf</t>
  </si>
  <si>
    <t>Melting_Curves/meltCurve_Q14746_2_COG2.pdf</t>
  </si>
  <si>
    <t>Melting_Curves/meltCurve_Q14789_GOLGB1.pdf</t>
  </si>
  <si>
    <t>Melting_Curves/meltCurve_Q14790_CASP8.pdf</t>
  </si>
  <si>
    <t>Melting_Curves/meltCurve_Q147X3_NAA30.pdf</t>
  </si>
  <si>
    <t>Melting_Curves/meltCurve_Q14814_4_MEF2D.pdf</t>
  </si>
  <si>
    <t>Melting_Curves/meltCurve_Q14847_LASP1.pdf</t>
  </si>
  <si>
    <t>Melting_Curves/meltCurve_Q14872_MTF1.pdf</t>
  </si>
  <si>
    <t>Melting_Curves/meltCurve_Q14964_RAB39A.pdf</t>
  </si>
  <si>
    <t>Melting_Curves/meltCurve_Q14966_ZNF638.pdf</t>
  </si>
  <si>
    <t>Melting_Curves/meltCurve_Q14974_KPNB1.pdf</t>
  </si>
  <si>
    <t>Melting_Curves/meltCurve_Q14978_NOLC1.pdf</t>
  </si>
  <si>
    <t>Melting_Curves/meltCurve_Q14980_2_NUMA1.pdf</t>
  </si>
  <si>
    <t>Melting_Curves/meltCurve_Q14C86_6_GAPVD1.pdf</t>
  </si>
  <si>
    <t>Melting_Curves/meltCurve_Q14CS0_UBXN2B.pdf</t>
  </si>
  <si>
    <t>Melting_Curves/meltCurve_Q14CX7_2_NAA25.pdf</t>
  </si>
  <si>
    <t>Melting_Curves/meltCurve_Q14CZ7_FASTKD3.pdf</t>
  </si>
  <si>
    <t>Melting_Curves/meltCurve_Q15004_KIAA0101.pdf</t>
  </si>
  <si>
    <t>Melting_Curves/meltCurve_Q15006_EMC2.pdf</t>
  </si>
  <si>
    <t>Melting_Curves/meltCurve_Q15007_WTAP.pdf</t>
  </si>
  <si>
    <t>Melting_Curves/meltCurve_Q15008_PSMD6.pdf</t>
  </si>
  <si>
    <t>Melting_Curves/meltCurve_Q15011_3_HERPUD1.pdf</t>
  </si>
  <si>
    <t>Melting_Curves/meltCurve_Q15012_LAPTM4A.pdf</t>
  </si>
  <si>
    <t>Melting_Curves/meltCurve_Q15013_MAD2L1BP.pdf</t>
  </si>
  <si>
    <t>Melting_Curves/meltCurve_Q15018_FAM175B.pdf</t>
  </si>
  <si>
    <t>Melting_Curves/meltCurve_Q15019_SEPT2.pdf</t>
  </si>
  <si>
    <t>Melting_Curves/meltCurve_Q15021_NCAPD2.pdf</t>
  </si>
  <si>
    <t>Melting_Curves/meltCurve_Q15024_EXOSC7.pdf</t>
  </si>
  <si>
    <t>Melting_Curves/meltCurve_Q15029_2_EFTUD2.pdf</t>
  </si>
  <si>
    <t>Melting_Curves/meltCurve_Q15031_LARS2.pdf</t>
  </si>
  <si>
    <t>Melting_Curves/meltCurve_Q15032_2_R3HDM1.pdf</t>
  </si>
  <si>
    <t>Melting_Curves/meltCurve_Q15036_2_SNX17.pdf</t>
  </si>
  <si>
    <t>Melting_Curves/meltCurve_Q15038_2_DAZAP2.pdf</t>
  </si>
  <si>
    <t>Melting_Curves/meltCurve_Q15043_2_SLC39A14.pdf</t>
  </si>
  <si>
    <t>Melting_Curves/meltCurve_Q15046_KARS.pdf</t>
  </si>
  <si>
    <t>Melting_Curves/meltCurve_Q15047_3_SETDB1.pdf</t>
  </si>
  <si>
    <t>Melting_Curves/meltCurve_Q15051_IQCB1.pdf</t>
  </si>
  <si>
    <t>Melting_Curves/meltCurve_Q15056_EIF4H.pdf</t>
  </si>
  <si>
    <t>Melting_Curves/meltCurve_Q15056_2_EIF4H.pdf</t>
  </si>
  <si>
    <t>Melting_Curves/meltCurve_Q15057_ACAP2.pdf</t>
  </si>
  <si>
    <t>Melting_Curves/meltCurve_Q15059_BRD3.pdf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</si>
  <si>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</si>
  <si>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</si>
  <si>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</si>
  <si>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</si>
  <si>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Melting_Curves/meltCurve_Q15111_PLCL1.pdf</t>
  </si>
  <si>
    <t>Melting_Curves/meltCurve_Q15118_PDK1.pdf</t>
  </si>
  <si>
    <t>Melting_Curves/meltCurve_Q15120_PDK3.pdf</t>
  </si>
  <si>
    <t>Melting_Curves/meltCurve_Q15125_EBP.pdf</t>
  </si>
  <si>
    <t>Melting_Curves/meltCurve_Q15126_PMVK.pdf</t>
  </si>
  <si>
    <t>Melting_Curves/meltCurve_Q15149_4_PLEC.pdf</t>
  </si>
  <si>
    <t>Melting_Curves/meltCurve_Q15155_NOMO1.pdf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</si>
  <si>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</si>
  <si>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</si>
  <si>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</si>
  <si>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</si>
  <si>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</si>
  <si>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Melting_Curves/meltCurve_Q15233_NONO.pdf</t>
  </si>
  <si>
    <t>Melting_Curves/meltCurve_Q15257_PPP2R4.pdf</t>
  </si>
  <si>
    <t>Melting_Curves/meltCurve_Q15276_RABEP1.pdf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</si>
  <si>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</si>
  <si>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</si>
  <si>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</si>
  <si>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</si>
  <si>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</si>
  <si>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Melting_Curves/meltCurve_Q15345_LRRC41.pdf</t>
  </si>
  <si>
    <t>Melting_Curves/meltCurve_Q15365_PCBP1.pdf</t>
  </si>
  <si>
    <t>Melting_Curves/meltCurve_Q15366_2_PCBP2.pdf</t>
  </si>
  <si>
    <t>Melting_Curves/meltCurve_Q15366_3_PCBP2.pdf</t>
  </si>
  <si>
    <t>Melting_Curves/meltCurve_Q15375_EPHA7.pdf</t>
  </si>
  <si>
    <t>Melting_Curves/meltCurve_Q15382_RHEB.pdf</t>
  </si>
  <si>
    <t>Melting_Curves/meltCurve_Q15386_UBE3C.pdf</t>
  </si>
  <si>
    <t>Melting_Curves/meltCurve_Q15388_TOMM20.pdf</t>
  </si>
  <si>
    <t>Melting_Curves/meltCurve_Q15393_SF3B3.pdf</t>
  </si>
  <si>
    <t>Melting_Curves/meltCurve_Q15398_3_DLGAP5.pdf</t>
  </si>
  <si>
    <t>Melting_Curves/meltCurve_Q15404_RSU1.pdf</t>
  </si>
  <si>
    <t>Melting_Curves/meltCurve_Q15424_2_SAFB.pdf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</si>
  <si>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</si>
  <si>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</si>
  <si>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</si>
  <si>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</si>
  <si>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</si>
  <si>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Melting_Curves/meltCurve_Q15464_SHB.pdf</t>
  </si>
  <si>
    <t>Melting_Curves/meltCurve_Q15506_SPA17.pdf</t>
  </si>
  <si>
    <t>Melting_Curves/meltCurve_Q15526_2_SURF1.pdf</t>
  </si>
  <si>
    <t>Melting_Curves/meltCurve_Q15527_SURF2.pdf</t>
  </si>
  <si>
    <t>Melting_Curves/meltCurve_Q15543_TAF13.pdf</t>
  </si>
  <si>
    <t>Melting_Curves/meltCurve_Q15545_TAF7.pdf</t>
  </si>
  <si>
    <t>Melting_Curves/meltCurve_Q15555_MAPRE2.pdf</t>
  </si>
  <si>
    <t>Melting_Curves/meltCurve_Q15596_NCOA2.pdf</t>
  </si>
  <si>
    <t>Melting_Curves/meltCurve_Q15599_2_SLC9A3R2.pdf</t>
  </si>
  <si>
    <t>Melting_Curves/meltCurve_Q15628_TRADD.pdf</t>
  </si>
  <si>
    <t>Melting_Curves/meltCurve_Q15637_5_SF1.pdf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</si>
  <si>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</si>
  <si>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</si>
  <si>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</si>
  <si>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</si>
  <si>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</si>
  <si>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Melting_Curves/meltCurve_Q15652_2_JMJD1C.pdf</t>
  </si>
  <si>
    <t>Melting_Curves/meltCurve_Q15654_TRIP6.pdf</t>
  </si>
  <si>
    <t>Melting_Curves/meltCurve_Q15691_MAPRE1.pdf</t>
  </si>
  <si>
    <t>Melting_Curves/meltCurve_Q15714_TSC22D1.pdf</t>
  </si>
  <si>
    <t>Melting_Curves/meltCurve_Q15738_NSDHL.pdf</t>
  </si>
  <si>
    <t>Melting_Curves/meltCurve_Q15750_TAB1.pdf</t>
  </si>
  <si>
    <t>Melting_Curves/meltCurve_Q15758_SLC1A5.pdf</t>
  </si>
  <si>
    <t>Melting_Curves/meltCurve_Q15759_MAPK11.pdf</t>
  </si>
  <si>
    <t>Melting_Curves/meltCurve_Q15768_EFNB3.pdf</t>
  </si>
  <si>
    <t>Melting_Curves/meltCurve_Q15773_MLF2.pdf</t>
  </si>
  <si>
    <t>Melting_Curves/meltCurve_Q15785_TOMM34.pdf</t>
  </si>
  <si>
    <t>Melting_Curves/meltCurve_Q15797_SMAD1.pdf</t>
  </si>
  <si>
    <t>Melting_Curves/meltCurve_Q15800_2_MSMO1.pdf</t>
  </si>
  <si>
    <t>Melting_Curves/meltCurve_Q15814_TBCC.pdf</t>
  </si>
  <si>
    <t>Melting_Curves/meltCurve_Q15818_NPTX1.pdf</t>
  </si>
  <si>
    <t>Melting_Curves/meltCurve_Q15819_UBE2V2.pdf</t>
  </si>
  <si>
    <t>Melting_Curves/meltCurve_Q15831_STK11.pdf</t>
  </si>
  <si>
    <t>Melting_Curves/meltCurve_Q15833_2_STXBP2.pdf</t>
  </si>
  <si>
    <t>Melting_Curves/meltCurve_Q15836_VAMP3.pdf</t>
  </si>
  <si>
    <t>Melting_Curves/meltCurve_Q15904_ATP6AP1.pdf</t>
  </si>
  <si>
    <t>Melting_Curves/meltCurve_Q15907_RAB11B.pdf</t>
  </si>
  <si>
    <t>Melting_Curves/meltCurve_Q15942_ZYX.pdf</t>
  </si>
  <si>
    <t>Melting_Curves/meltCurve_Q16134_ETFDH.pdf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</si>
  <si>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</si>
  <si>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</si>
  <si>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</si>
  <si>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</si>
  <si>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</si>
  <si>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Melting_Curves/meltCurve_Q16254_E2F4.pdf</t>
  </si>
  <si>
    <t>Melting_Curves/meltCurve_Q16401_2_PSMD5.pdf</t>
  </si>
  <si>
    <t>Melting_Curves/meltCurve_Q16512_PKN1.pdf</t>
  </si>
  <si>
    <t>Melting_Curves/meltCurve_Q16513_PKN2.pdf</t>
  </si>
  <si>
    <t>Melting_Curves/meltCurve_Q16514_2_TAF12.pdf</t>
  </si>
  <si>
    <t>Melting_Curves/meltCurve_Q16531_DDB1.pdf</t>
  </si>
  <si>
    <t>Melting_Curves/meltCurve_Q16539_MAPK14.pdf</t>
  </si>
  <si>
    <t>Melting_Curves/meltCurve_Q16539_2_MAPK14.pdf</t>
  </si>
  <si>
    <t>Melting_Curves/meltCurve_Q16543_CDC37.pdf</t>
  </si>
  <si>
    <t>Melting_Curves/meltCurve_Q16555_DPYSL2.pdf</t>
  </si>
  <si>
    <t>Melting_Curves/meltCurve_Q16566_CAMK4.pdf</t>
  </si>
  <si>
    <t>Melting_Curves/meltCurve_Q16576_RBBP7.pdf</t>
  </si>
  <si>
    <t>Melting_Curves/meltCurve_Q16576_2_RBBP7.pdf</t>
  </si>
  <si>
    <t>Melting_Curves/meltCurve_Q16587_5_ZNF74.pdf</t>
  </si>
  <si>
    <t>Melting_Curves/meltCurve_Q16594_TAF9.pdf</t>
  </si>
  <si>
    <t>Melting_Curves/meltCurve_Q16625_4_OCLN.pdf</t>
  </si>
  <si>
    <t>Melting_Curves/meltCurve_Q16626_MEA1.pdf</t>
  </si>
  <si>
    <t>Melting_Curves/meltCurve_Q16630_CPSF6.pdf</t>
  </si>
  <si>
    <t>Melting_Curves/meltCurve_Q16643_DBN1.pdf</t>
  </si>
  <si>
    <t>Melting_Curves/meltCurve_Q16658_FSCN1.pdf</t>
  </si>
  <si>
    <t>Melting_Curves/meltCurve_Q16706_MAN2A1.pdf</t>
  </si>
  <si>
    <t>Melting_Curves/meltCurve_Q16718_NDUFA5.pdf</t>
  </si>
  <si>
    <t>Melting_Curves/meltCurve_Q16740_CLPP.pdf</t>
  </si>
  <si>
    <t>Melting_Curves/meltCurve_Q16762_TST.pdf</t>
  </si>
  <si>
    <t>Melting_Curves/meltCurve_Q16763_UBE2S.pdf</t>
  </si>
  <si>
    <t>Melting_Curves/meltCurve_Q16799_RTN1.pdf</t>
  </si>
  <si>
    <t>Melting_Curves/meltCurve_Q16822_PCK2.pdf</t>
  </si>
  <si>
    <t>Melting_Curves/meltCurve_Q16831_UPP1.pdf</t>
  </si>
  <si>
    <t>Melting_Curves/meltCurve_Q16850_CYP51A1.pdf</t>
  </si>
  <si>
    <t>Melting_Curves/meltCurve_Q16864_ATP6V1F.pdf</t>
  </si>
  <si>
    <t>Melting_Curves/meltCurve_Q17R31_2_TATDN3.pdf</t>
  </si>
  <si>
    <t>Melting_Curves/meltCurve_Q17RN3_FAM98C.pdf</t>
  </si>
  <si>
    <t>Melting_Curves/meltCurve_Q17RU2_REL.pdf</t>
  </si>
  <si>
    <t>Melting_Curves/meltCurve_Q24JP5_TMEM132A.pdf</t>
  </si>
  <si>
    <t>Melting_Curves/meltCurve_Q27J81_2_INF2.pdf</t>
  </si>
  <si>
    <t>Melting_Curves/meltCurve_Q29RF7_PDS5A.pdf</t>
  </si>
  <si>
    <t>Melting_Curves/meltCurve_Q2KHR3_QSER1.pdf</t>
  </si>
  <si>
    <t>Melting_Curves/meltCurve_Q2KHT3_2_CLEC16A.pdf</t>
  </si>
  <si>
    <t>Melting_Curves/meltCurve_Q2M1P5_KIF7.pdf</t>
  </si>
  <si>
    <t>Melting_Curves/meltCurve_Q2M2I8_2_AAK1.pdf</t>
  </si>
  <si>
    <t>Melting_Curves/meltCurve_Q2NKX8_ERCC6L.pdf</t>
  </si>
  <si>
    <t>Melting_Curves/meltCurve_Q2NL82_TSR1.pdf</t>
  </si>
  <si>
    <t>Melting_Curves/meltCurve_Q2T9J0_TYSND1.pdf</t>
  </si>
  <si>
    <t>Melting_Curves/meltCurve_Q2TAL8_QRICH1.pdf</t>
  </si>
  <si>
    <t>Melting_Curves/meltCurve_Q2TAM5_RELA.pdf</t>
  </si>
  <si>
    <t>Melting_Curves/meltCurve_Q2TAP0_GOLGA7B.pdf</t>
  </si>
  <si>
    <t>Melting_Curves/meltCurve_Q2TAY7_SMU1.pdf</t>
  </si>
  <si>
    <t>Melting_Curves/meltCurve_Q32MZ4_LRRFIP1.pdf</t>
  </si>
  <si>
    <t>Melting_Curves/meltCurve_Q32MZ4_3_LRRFIP1.pdf</t>
  </si>
  <si>
    <t>Melting_Curves/meltCurve_Q32MZ4_4_LRRFIP1.pdf</t>
  </si>
  <si>
    <t>Melting_Curves/meltCurve_Q32N00_POLD3.pdf</t>
  </si>
  <si>
    <t>Melting_Curves/meltCurve_Q32NB8_PGS1.pdf</t>
  </si>
  <si>
    <t>Melting_Curves/meltCurve_Q32P28_LEPRE1.pdf</t>
  </si>
  <si>
    <t>Melting_Curves/meltCurve_Q32P41_TRMT5.pdf</t>
  </si>
  <si>
    <t>Melting_Curves/meltCurve_Q32Q12_NME1_NME2.pdf</t>
  </si>
  <si>
    <t>Melting_Curves/meltCurve_Q3KQV9_UAP1L1.pdf</t>
  </si>
  <si>
    <t>Melting_Curves/meltCurve_Q3KRA9_ALKBH6.pdf</t>
  </si>
  <si>
    <t>Melting_Curves/meltCurve_Q3LXA3_DAK.pdf</t>
  </si>
  <si>
    <t>Melting_Curves/meltCurve_Q3MHD2_LSM12.pdf</t>
  </si>
  <si>
    <t>Melting_Curves/meltCurve_Q3MII6_TBC1D25.pdf</t>
  </si>
  <si>
    <t>Melting_Curves/meltCurve_Q3MIT2_PUS10.pdf</t>
  </si>
  <si>
    <t>Melting_Curves/meltCurve_Q3SXM5_HSDL1.pdf</t>
  </si>
  <si>
    <t>Melting_Curves/meltCurve_Q3SXY8_2_ARL13B.pdf</t>
  </si>
  <si>
    <t>Melting_Curves/meltCurve_Q3V6T2_2_CCDC88A.pdf</t>
  </si>
  <si>
    <t>Melting_Curves/meltCurve_Q3YEC7_RABL6.pdf</t>
  </si>
  <si>
    <t>Melting_Curves/meltCurve_Q3ZAQ7_VMA21.pdf</t>
  </si>
  <si>
    <t>Melting_Curves/meltCurve_Q3ZCM7_TUBB8.pdf</t>
  </si>
  <si>
    <t>Melting_Curves/meltCurve_Q3ZCQ8_TIMM50.pdf</t>
  </si>
  <si>
    <t>Melting_Curves/meltCurve_Q3ZCV1_USP38.pdf</t>
  </si>
  <si>
    <t>Melting_Curves/meltCurve_Q3ZCW2_LGALSL.pdf</t>
  </si>
  <si>
    <t>Melting_Curves/meltCurve_Q495W5_2_FUT11.pdf</t>
  </si>
  <si>
    <t>Melting_Curves/meltCurve_Q49AH0_2_CDNF.pdf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</si>
  <si>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</si>
  <si>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</si>
  <si>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</si>
  <si>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</si>
  <si>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Melting_Curves/meltCurve_Q4G0J3_LARP7.pdf</t>
  </si>
  <si>
    <t>Melting_Curves/meltCurve_Q4G0N4_NADKD1.pdf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</si>
  <si>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</si>
  <si>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</si>
  <si>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</si>
  <si>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</si>
  <si>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</si>
  <si>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Melting_Curves/meltCurve_Q4LDG9_DNAL1.pdf</t>
  </si>
  <si>
    <t>Melting_Curves/meltCurve_Q4V328_GRIPAP1.pdf</t>
  </si>
  <si>
    <t>Melting_Curves/meltCurve_Q4VC05_BCL7A.pdf</t>
  </si>
  <si>
    <t>Melting_Curves/meltCurve_Q4ZIN3_2_TMEM259.pdf</t>
  </si>
  <si>
    <t>Melting_Curves/meltCurve_Q504Q3_2_PAN2.pdf</t>
  </si>
  <si>
    <t>Melting_Curves/meltCurve_Q504U0_C4orf46.pdf</t>
  </si>
  <si>
    <t>Melting_Curves/meltCurve_Q52LJ0_2_FAM98B.pdf</t>
  </si>
  <si>
    <t>Melting_Curves/meltCurve_Q52LW3_ARHGAP29.pdf</t>
  </si>
  <si>
    <t>Melting_Curves/meltCurve_Q53EL6_2_PDCD4.pdf</t>
  </si>
  <si>
    <t>Melting_Curves/meltCurve_Q53ET0_CRTC2.pdf</t>
  </si>
  <si>
    <t>Melting_Curves/meltCurve_Q53EZ4_CEP55.pdf</t>
  </si>
  <si>
    <t>Melting_Curves/meltCurve_Q53GG5_2_PDLIM3.pdf</t>
  </si>
  <si>
    <t>Melting_Curves/meltCurve_Q53GQ0_HSD17B12.pdf</t>
  </si>
  <si>
    <t>Melting_Curves/meltCurve_Q53H80_AKIRIN2.pdf</t>
  </si>
  <si>
    <t>Melting_Curves/meltCurve_Q53H82_LACTB2.pdf</t>
  </si>
  <si>
    <t>Melting_Curves/meltCurve_Q53H96_PYCRL.pdf</t>
  </si>
  <si>
    <t>Melting_Curves/meltCurve_Q53HV7_SMUG1.pdf</t>
  </si>
  <si>
    <t>Melting_Curves/meltCurve_Q53S33_BOLA3.pdf</t>
  </si>
  <si>
    <t>Melting_Curves/meltCurve_Q53S58_TMEM177.pdf</t>
  </si>
  <si>
    <t>Melting_Curves/meltCurve_Q53T59_HS1BP3.pdf</t>
  </si>
  <si>
    <t>Melting_Curves/meltCurve_Q562R1_ACTBL2.pdf</t>
  </si>
  <si>
    <t>Melting_Curves/meltCurve_Q587I9_SFT2D3.pdf</t>
  </si>
  <si>
    <t>Melting_Curves/meltCurve_Q58FF8_HSP90AB2P.pdf</t>
  </si>
  <si>
    <t>Melting_Curves/meltCurve_Q58FG1_HSP90AA4P.pdf</t>
  </si>
  <si>
    <t>Melting_Curves/meltCurve_Q58WW2_DCAF6.pdf</t>
  </si>
  <si>
    <t>Melting_Curves/meltCurve_Q5BKX5_C19orf54.pdf</t>
  </si>
  <si>
    <t>Melting_Curves/meltCurve_Q5EBL4_RILPL1.pdf</t>
  </si>
  <si>
    <t>Melting_Curves/meltCurve_Q5EBL8_PDZD11.pdf</t>
  </si>
  <si>
    <t>Melting_Curves/meltCurve_Q5GLZ8_3_HERC4.pdf</t>
  </si>
  <si>
    <t>Melting_Curves/meltCurve_Q5H937_PKIG.pdf</t>
  </si>
  <si>
    <t>Melting_Curves/meltCurve_Q5H9A7_TIMP1.pdf</t>
  </si>
  <si>
    <t>Melting_Curves/meltCurve_Q5HY54_FLNA.pdf</t>
  </si>
  <si>
    <t>Melting_Curves/meltCurve_Q5HY92_FIGN.pdf</t>
  </si>
  <si>
    <t>Melting_Curves/meltCurve_Q5HYI7_MTX3.pdf</t>
  </si>
  <si>
    <t>Melting_Curves/meltCurve_Q5HYI8_RABL3.pdf</t>
  </si>
  <si>
    <t>Melting_Curves/meltCurve_Q5HYK3_COQ5.pdf</t>
  </si>
  <si>
    <t>Melting_Curves/meltCurve_Q5HYK7_2_SH3D19.pdf</t>
  </si>
  <si>
    <t>Melting_Curves/meltCurve_Q5JP53_TUBB.pdf</t>
  </si>
  <si>
    <t>Melting_Curves/meltCurve_Q5JPE7_2_NOMO2.pdf</t>
  </si>
  <si>
    <t>Melting_Curves/meltCurve_Q5JPH6_EARS2.pdf</t>
  </si>
  <si>
    <t>Melting_Curves/meltCurve_Q5JR01_EEF1A1.pdf</t>
  </si>
  <si>
    <t>Melting_Curves/meltCurve_Q5JR08_RHOC.pdf</t>
  </si>
  <si>
    <t>Melting_Curves/meltCurve_Q5JR95_RPS8.pdf</t>
  </si>
  <si>
    <t>Melting_Curves/meltCurve_Q5JRG1_NUPL1.pdf</t>
  </si>
  <si>
    <t>Melting_Curves/meltCurve_Q5JRS3_UBA1.pdf</t>
  </si>
  <si>
    <t>Melting_Curves/meltCurve_Q5JRX3_PITRM1.pdf</t>
  </si>
  <si>
    <t>Melting_Curves/meltCurve_Q5JS54_PSMG4.pdf</t>
  </si>
  <si>
    <t>Melting_Curves/meltCurve_Q5JSH3_2_WDR44.pdf</t>
  </si>
  <si>
    <t>Melting_Curves/meltCurve_Q5JSK7_HMGN5.pdf</t>
  </si>
  <si>
    <t>Melting_Curves/meltCurve_Q5JSZ5_PRRC2B.pdf</t>
  </si>
  <si>
    <t>Melting_Curves/meltCurve_Q5JTD0_2_TJAP1.pdf</t>
  </si>
  <si>
    <t>Melting_Curves/meltCurve_Q5JTH9_2_RRP12.pdf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</si>
  <si>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</si>
  <si>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</si>
  <si>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</si>
  <si>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</si>
  <si>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Melting_Curves/meltCurve_Q5JU69_TOR2A.pdf</t>
  </si>
  <si>
    <t>Melting_Curves/meltCurve_Q5JUA8_VPS16.pdf</t>
  </si>
  <si>
    <t>Melting_Curves/meltCurve_Q5JUE6_RAPGEF1.pdf</t>
  </si>
  <si>
    <t>Melting_Curves/meltCurve_Q5JUW8_DLG3.pdf</t>
  </si>
  <si>
    <t>Melting_Curves/meltCurve_Q5JV61_FRMD3.pdf</t>
  </si>
  <si>
    <t>Melting_Curves/meltCurve_Q5JV73_FRMPD3.pdf</t>
  </si>
  <si>
    <t>Melting_Curves/meltCurve_Q5JVF3_3_PCID2.pdf</t>
  </si>
  <si>
    <t>Melting_Curves/meltCurve_Q5JVS0_HABP4.pdf</t>
  </si>
  <si>
    <t>Melting_Curves/meltCurve_Q5JW30_STAU1.pdf</t>
  </si>
  <si>
    <t>Melting_Curves/meltCurve_Q5JWB9_TMEM230.pdf</t>
  </si>
  <si>
    <t>Melting_Curves/meltCurve_Q5JXX2_MORF4L2.pdf</t>
  </si>
  <si>
    <t>Melting_Curves/meltCurve_Q5JY65_CRNKL1.pdf</t>
  </si>
  <si>
    <t>Melting_Curves/meltCurve_Q5JZH3_SNX21.pdf</t>
  </si>
  <si>
    <t>Melting_Curves/meltCurve_Q5K4L6_SLC27A3.pdf</t>
  </si>
  <si>
    <t>Melting_Curves/meltCurve_Q5M775_SPECC1.pdf</t>
  </si>
  <si>
    <t>Melting_Curves/meltCurve_Q5MNZ6_WDR45B.pdf</t>
  </si>
  <si>
    <t>Melting_Curves/meltCurve_Q5NDL2_EOGT.pdf</t>
  </si>
  <si>
    <t>Melting_Curves/meltCurve_Q5QJ74_TBCEL.pdf</t>
  </si>
  <si>
    <t>Melting_Curves/meltCurve_Q5QNY5_PEX19.pdf</t>
  </si>
  <si>
    <t>Melting_Curves/meltCurve_Q5QNZ2_ATP5F1.pdf</t>
  </si>
  <si>
    <t>Melting_Curves/meltCurve_Q5QPK2_DPM1.pdf</t>
  </si>
  <si>
    <t>Melting_Curves/meltCurve_Q5R363_SRPK1.pdf</t>
  </si>
  <si>
    <t>Melting_Curves/meltCurve_Q5R372_4_RABGAP1L.pdf</t>
  </si>
  <si>
    <t>Melting_Curves/meltCurve_Q5RGS4_PLEKHA1.pdf</t>
  </si>
  <si>
    <t>Melting_Curves/meltCurve_Q5RI15_COX20.pdf</t>
  </si>
  <si>
    <t>Melting_Curves/meltCurve_Q5RKV6_EXOSC6.pdf</t>
  </si>
  <si>
    <t>Melting_Curves/meltCurve_Q5SPY9_NPDC1.pdf</t>
  </si>
  <si>
    <t>Melting_Curves/meltCurve_Q5SQI0_5_ATAT1.pdf</t>
  </si>
  <si>
    <t>Melting_Curves/meltCurve_Q5SQP8_CTBP2.pdf</t>
  </si>
  <si>
    <t>Melting_Curves/meltCurve_Q5SQU3_PRKG1.pdf</t>
  </si>
  <si>
    <t>Melting_Curves/meltCurve_Q5SRE7_2_PHYHD1.pdf</t>
  </si>
  <si>
    <t>Melting_Curves/meltCurve_Q5SRQ6_CSNK2B.pdf</t>
  </si>
  <si>
    <t>Melting_Curves/meltCurve_Q5SSJ5_HP1BP3.pdf</t>
  </si>
  <si>
    <t>Melting_Curves/meltCurve_Q5ST30_VARS2.pdf</t>
  </si>
  <si>
    <t>Melting_Curves/meltCurve_Q5SVK8_DNMBP.pdf</t>
  </si>
  <si>
    <t>Melting_Curves/meltCurve_Q5SW96_LDLRAP1.pdf</t>
  </si>
  <si>
    <t>Melting_Curves/meltCurve_Q5SWX8_ODR4.pdf</t>
  </si>
  <si>
    <t>Melting_Curves/meltCurve_Q5SXM8_DNLZ.pdf</t>
  </si>
  <si>
    <t>Melting_Curves/meltCurve_Q5SYE7_2_NHSL1.pdf</t>
  </si>
  <si>
    <t>Melting_Curves/meltCurve_Q5SYW2_CIZ1.pdf</t>
  </si>
  <si>
    <t>Melting_Curves/meltCurve_Q5SZR4_TDRKH.pdf</t>
  </si>
  <si>
    <t>Melting_Curves/meltCurve_Q5T0D9_TPRG1L.pdf</t>
  </si>
  <si>
    <t>Melting_Curves/meltCurve_Q5T0N5_3_FNBP1L.pdf</t>
  </si>
  <si>
    <t>Melting_Curves/meltCurve_Q5T0Z6_PKIB.pdf</t>
  </si>
  <si>
    <t>Melting_Curves/meltCurve_Q5T123_SH3BGRL3.pdf</t>
  </si>
  <si>
    <t>Melting_Curves/meltCurve_Q5T160_RARS2.pdf</t>
  </si>
  <si>
    <t>Melting_Curves/meltCurve_Q5T171_PYGO2.pdf</t>
  </si>
  <si>
    <t>Melting_Curves/meltCurve_Q5T1C6_THEM4.pdf</t>
  </si>
  <si>
    <t>Melting_Curves/meltCurve_Q5T1M5_FKBP15.pdf</t>
  </si>
  <si>
    <t>Melting_Curves/meltCurve_Q5T1V6_DDX59.pdf</t>
  </si>
  <si>
    <t>Melting_Curves/meltCurve_Q5T1Z0_LHPP.pdf</t>
  </si>
  <si>
    <t>Melting_Curves/meltCurve_Q5T200_2_ZC3H13.pdf</t>
  </si>
  <si>
    <t>Melting_Curves/meltCurve_Q5T2R2_3_PDSS1.pdf</t>
  </si>
  <si>
    <t>Melting_Curves/meltCurve_Q5T321_NBEA.pdf</t>
  </si>
  <si>
    <t>Melting_Curves/meltCurve_Q5T370_ARRDC1.pdf</t>
  </si>
  <si>
    <t>Melting_Curves/meltCurve_Q5T3Q7_HEATR1.pdf</t>
  </si>
  <si>
    <t>Melting_Curves/meltCurve_Q5T3U5_2_ABCC10.pdf</t>
  </si>
  <si>
    <t>Melting_Curves/meltCurve_Q5T440_IBA57.pdf</t>
  </si>
  <si>
    <t>Melting_Curves/meltCurve_Q5T481_RBM20.pdf</t>
  </si>
  <si>
    <t>Melting_Curves/meltCurve_Q5T4F4_7_ZFYVE27.pdf</t>
  </si>
  <si>
    <t>Melting_Curves/meltCurve_Q5T4U8_RABGGTB.pdf</t>
  </si>
  <si>
    <t>Melting_Curves/meltCurve_Q5T5C7_SARS.pdf</t>
  </si>
  <si>
    <t>Melting_Curves/meltCurve_Q5T5P2_3_KIAA1217.pdf</t>
  </si>
  <si>
    <t>Melting_Curves/meltCurve_Q5T5U3_ARHGAP21.pdf</t>
  </si>
  <si>
    <t>Melting_Curves/meltCurve_Q5T5Y3_2_CAMSAP1.pdf</t>
  </si>
  <si>
    <t>Melting_Curves/meltCurve_Q5T6F2_UBAP2.pdf</t>
  </si>
  <si>
    <t>Melting_Curves/meltCurve_Q5T6V5_C9orf64.pdf</t>
  </si>
  <si>
    <t>Melting_Curves/meltCurve_Q5T7M9_FAM69A.pdf</t>
  </si>
  <si>
    <t>Melting_Curves/meltCurve_Q5T7V8_GORAB.pdf</t>
  </si>
  <si>
    <t>Melting_Curves/meltCurve_Q5T8D3_2_ACBD5.pdf</t>
  </si>
  <si>
    <t>Melting_Curves/meltCurve_Q5T8P6_2_RBM26.pdf</t>
  </si>
  <si>
    <t>Melting_Curves/meltCurve_Q5T8U5_SURF4.pdf</t>
  </si>
  <si>
    <t>Melting_Curves/meltCurve_Q5T9B7_AK1.pdf</t>
  </si>
  <si>
    <t>Melting_Curves/meltCurve_Q5TA45_2_CPSF3L.pdf</t>
  </si>
  <si>
    <t>Melting_Curves/meltCurve_Q5TA50_GLTPD1.pdf</t>
  </si>
  <si>
    <t>Melting_Curves/meltCurve_Q5TA95_TTC4.pdf</t>
  </si>
  <si>
    <t>Melting_Curves/meltCurve_Q5TAX3_ZCCHC11.pdf</t>
  </si>
  <si>
    <t>Melting_Curves/meltCurve_Q5TBB1_RNASEH2B.pdf</t>
  </si>
  <si>
    <t>Melting_Curves/meltCurve_Q5TCQ9_3_MAGI3.pdf</t>
  </si>
  <si>
    <t>Melting_Curves/meltCurve_Q5TD07_NQO2.pdf</t>
  </si>
  <si>
    <t>Melting_Curves/meltCurve_Q5TDC5_C6orf89.pdf</t>
  </si>
  <si>
    <t>Melting_Curves/meltCurve_Q5TDH0_DDI2.pdf</t>
  </si>
  <si>
    <t>Melting_Curves/meltCurve_Q5TEU4_2_NDUFAF5.pdf</t>
  </si>
  <si>
    <t>Melting_Curves/meltCurve_Q5TFE4_NT5DC1.pdf</t>
  </si>
  <si>
    <t>Melting_Curves/meltCurve_Q5TGE2_TMEM189.pdf</t>
  </si>
  <si>
    <t>Melting_Curves/meltCurve_Q5TH30_NDRG3.pdf</t>
  </si>
  <si>
    <t>Melting_Curves/meltCurve_Q5THK1_3_PRR14L.pdf</t>
  </si>
  <si>
    <t>Melting_Curves/meltCurve_Q5TIE1_SLC19A2.pdf</t>
  </si>
  <si>
    <t>Melting_Curves/meltCurve_Q5TZA2_CROCC.pdf</t>
  </si>
  <si>
    <t>Melting_Curves/meltCurve_Q5U5X0_LYRM7.pdf</t>
  </si>
  <si>
    <t>Melting_Curves/meltCurve_Q5UIP0_2_RIF1.pdf</t>
  </si>
  <si>
    <t>Melting_Curves/meltCurve_Q5VIR6_4_VPS53.pdf</t>
  </si>
  <si>
    <t>Melting_Curves/meltCurve_Q5VSL9_STRIP1.pdf</t>
  </si>
  <si>
    <t>Melting_Curves/meltCurve_Q5VT52_RPRD2.pdf</t>
  </si>
  <si>
    <t>Melting_Curves/meltCurve_Q5VT66_MARC1.pdf</t>
  </si>
  <si>
    <t>Melting_Curves/meltCurve_Q5VT94_GHITM.pdf</t>
  </si>
  <si>
    <t>Melting_Curves/meltCurve_Q5VTL8_PRPF38B.pdf</t>
  </si>
  <si>
    <t>Melting_Curves/meltCurve_Q5VTR2_RNF20.pdf</t>
  </si>
  <si>
    <t>Melting_Curves/meltCurve_Q5VU58_TPM3.pdf</t>
  </si>
  <si>
    <t>Melting_Curves/meltCurve_Q5VUA4_ZNF318.pdf</t>
  </si>
  <si>
    <t>Melting_Curves/meltCurve_Q5VUD6_2_FAM69B.pdf</t>
  </si>
  <si>
    <t>Melting_Curves/meltCurve_Q5VV41_ARHGEF16.pdf</t>
  </si>
  <si>
    <t>Melting_Curves/meltCurve_Q5VV42_CDKAL1.pdf</t>
  </si>
  <si>
    <t>Melting_Curves/meltCurve_Q5VV50_ZNF691.pdf</t>
  </si>
  <si>
    <t>Melting_Curves/meltCurve_Q5VVD7_PLEKHM2.pdf</t>
  </si>
  <si>
    <t>Melting_Curves/meltCurve_Q5VVQ6_YOD1.pdf</t>
  </si>
  <si>
    <t>Melting_Curves/meltCurve_Q5VVW5_SLC2A8.pdf</t>
  </si>
  <si>
    <t>Melting_Curves/meltCurve_Q5VW27_NFIB.pdf</t>
  </si>
  <si>
    <t>Melting_Curves/meltCurve_Q5VW32_BROX.pdf</t>
  </si>
  <si>
    <t>Melting_Curves/meltCurve_Q5VWJ9_SNX30.pdf</t>
  </si>
  <si>
    <t>Melting_Curves/meltCurve_Q5VWZ2_LYPLAL1.pdf</t>
  </si>
  <si>
    <t>Melting_Curves/meltCurve_Q5VY30_RBP4.pdf</t>
  </si>
  <si>
    <t>Melting_Curves/meltCurve_Q5VY93_ARHGEF2.pdf</t>
  </si>
  <si>
    <t>Melting_Curves/meltCurve_Q5VZE5_NAA35.pdf</t>
  </si>
  <si>
    <t>Melting_Curves/meltCurve_Q5VZI3_2_C9orf91.pdf</t>
  </si>
  <si>
    <t>Melting_Curves/meltCurve_Q5VZK9_LRRC16A.pdf</t>
  </si>
  <si>
    <t>Melting_Curves/meltCurve_Q5VZR0_GLIPR2.pdf</t>
  </si>
  <si>
    <t>Melting_Curves/meltCurve_Q5VZU9_TPP2.pdf</t>
  </si>
  <si>
    <t>Melting_Curves/meltCurve_Q5W015_PFKFB3.pdf</t>
  </si>
  <si>
    <t>Melting_Curves/meltCurve_Q5W0V3_2_FAM160B1.pdf</t>
  </si>
  <si>
    <t>Melting_Curves/meltCurve_Q5W0Z9_3_ZDHHC20.pdf</t>
  </si>
  <si>
    <t>Melting_Curves/meltCurve_Q5W111_SPRYD7.pdf</t>
  </si>
  <si>
    <t>Melting_Curves/meltCurve_Q5W145_NDUFB8.pdf</t>
  </si>
  <si>
    <t>Melting_Curves/meltCurve_Q5XKP0_QIL1.pdf</t>
  </si>
  <si>
    <t>Melting_Curves/meltCurve_Q5XUX1_3_FBXW9.pdf</t>
  </si>
  <si>
    <t>Melting_Curves/meltCurve_Q5ZPR3_CD276.pdf</t>
  </si>
  <si>
    <t>Melting_Curves/meltCurve_Q641Q2_2_FAM21A.pdf</t>
  </si>
  <si>
    <t>Melting_Curves/meltCurve_Q643R3_LPCAT4.pdf</t>
  </si>
  <si>
    <t>Melting_Curves/meltCurve_Q658P3_3_STEAP3.pdf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</si>
  <si>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</si>
  <si>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</si>
  <si>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</si>
  <si>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</si>
  <si>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</si>
  <si>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Melting_Curves/meltCurve_Q67FW5_B3GNTL1.pdf</t>
  </si>
  <si>
    <t>Melting_Curves/meltCurve_Q68CQ4_DIEXF.pdf</t>
  </si>
  <si>
    <t>Melting_Curves/meltCurve_Q68D85_NCR3LG1.pdf</t>
  </si>
  <si>
    <t>Melting_Curves/meltCurve_Q68D91_MBLAC2.pdf</t>
  </si>
  <si>
    <t>Melting_Curves/meltCurve_Q68DH5_LMBRD2.pdf</t>
  </si>
  <si>
    <t>Melting_Curves/meltCurve_Q68E01_2_INTS3.pdf</t>
  </si>
  <si>
    <t>Melting_Curves/meltCurve_Q68EM7_ARHGAP17.pdf</t>
  </si>
  <si>
    <t>Melting_Curves/meltCurve_Q69YL0_.pdf</t>
  </si>
  <si>
    <t>Melting_Curves/meltCurve_Q69YN2_CWF19L1.pdf</t>
  </si>
  <si>
    <t>Melting_Curves/meltCurve_Q69YU5_C12orf73.pdf</t>
  </si>
  <si>
    <t>Melting_Curves/meltCurve_Q6AI08_HEATR6.pdf</t>
  </si>
  <si>
    <t>Melting_Curves/meltCurve_Q6AI46_DKFZp781D08126.pdf</t>
  </si>
  <si>
    <t>Melting_Curves/meltCurve_Q6DD87_ZNF787.pdf</t>
  </si>
  <si>
    <t>Melting_Curves/meltCurve_Q6DKJ4_NXN.pdf</t>
  </si>
  <si>
    <t>Melting_Curves/meltCurve_Q6DKK2_TTC19.pdf</t>
  </si>
  <si>
    <t>Melting_Curves/meltCurve_Q6EEV4_2_POLR2M.pdf</t>
  </si>
  <si>
    <t>Melting_Curves/meltCurve_Q6EMK4_VASN.pdf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</si>
  <si>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</si>
  <si>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</si>
  <si>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</si>
  <si>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</si>
  <si>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</si>
  <si>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Melting_Curves/meltCurve_Q6I9Y2_THOC7.pdf</t>
  </si>
  <si>
    <t>Melting_Curves/meltCurve_Q6IA69_NADSYN1.pdf</t>
  </si>
  <si>
    <t>Melting_Curves/meltCurve_Q6IA86_4_ELP2.pdf</t>
  </si>
  <si>
    <t>Melting_Curves/meltCurve_Q6IAA8_LAMTOR1.pdf</t>
  </si>
  <si>
    <t>Melting_Curves/meltCurve_Q6IAN0_DHRS7B.pdf</t>
  </si>
  <si>
    <t>Melting_Curves/meltCurve_Q6IBS0_TWF2.pdf</t>
  </si>
  <si>
    <t>Melting_Curves/meltCurve_Q6ICB0_DESI1.pdf</t>
  </si>
  <si>
    <t>Melting_Curves/meltCurve_Q6IEE7_TMEM132E.pdf</t>
  </si>
  <si>
    <t>Melting_Curves/meltCurve_Q6IN85_2_SMEK1.pdf</t>
  </si>
  <si>
    <t>Melting_Curves/meltCurve_Q6IQ22_RAB12.pdf</t>
  </si>
  <si>
    <t>Melting_Curves/meltCurve_Q6IQ49_2_SDE2.pdf</t>
  </si>
  <si>
    <t>Melting_Curves/meltCurve_Q6IS14_EIF5AL1.pdf</t>
  </si>
  <si>
    <t>Melting_Curves/meltCurve_Q6IV72_ZNF425.pdf</t>
  </si>
  <si>
    <t>Melting_Curves/meltCurve_Q6JHV3_USP3.pdf</t>
  </si>
  <si>
    <t>Melting_Curves/meltCurve_Q6JQN1_ACAD10.pdf</t>
  </si>
  <si>
    <t>Melting_Curves/meltCurve_Q6KC79_2_NIPBL.pdf</t>
  </si>
  <si>
    <t>Melting_Curves/meltCurve_Q6N063_OGFOD2.pdf</t>
  </si>
  <si>
    <t>Melting_Curves/meltCurve_Q6N069_NAA16.pdf</t>
  </si>
  <si>
    <t>Melting_Curves/meltCurve_Q6NSI4_4_CXorf57.pdf</t>
  </si>
  <si>
    <t>Melting_Curves/meltCurve_Q6NSJ2_2_PHLDB3.pdf</t>
  </si>
  <si>
    <t>Melting_Curves/meltCurve_Q6NT16_SLC18B1.pdf</t>
  </si>
  <si>
    <t>Melting_Curves/meltCurve_Q6NUK1_SLC25A24.pdf</t>
  </si>
  <si>
    <t>Melting_Curves/meltCurve_Q6NUK4_2_REEP3.pdf</t>
  </si>
  <si>
    <t>Melting_Curves/meltCurve_Q6NUM9_RETSAT.pdf</t>
  </si>
  <si>
    <t>Melting_Curves/meltCurve_Q6NUP7_PPP4R4.pdf</t>
  </si>
  <si>
    <t>Melting_Curves/meltCurve_Q6NUQ1_RINT1.pdf</t>
  </si>
  <si>
    <t>Melting_Curves/meltCurve_Q6NUQ4_2_TMEM214.pdf</t>
  </si>
  <si>
    <t>Melting_Curves/meltCurve_Q6NUS6_3_TCTN3.pdf</t>
  </si>
  <si>
    <t>Melting_Curves/meltCurve_Q6NVU6_UFSP1.pdf</t>
  </si>
  <si>
    <t>Melting_Curves/meltCurve_Q6NVY1_HIBCH.pdf</t>
  </si>
  <si>
    <t>Melting_Curves/meltCurve_Q6NXE6_ARMC6.pdf</t>
  </si>
  <si>
    <t>Melting_Curves/meltCurve_Q6NXT1_ANKRD54.pdf</t>
  </si>
  <si>
    <t>Melting_Curves/meltCurve_Q6NXT6_2_TAPT1.pdf</t>
  </si>
  <si>
    <t>Melting_Curves/meltCurve_Q6NYC1_JMJD6.pdf</t>
  </si>
  <si>
    <t>Melting_Curves/meltCurve_Q6NYC8_PPP1R18.pdf</t>
  </si>
  <si>
    <t>Melting_Curves/meltCurve_Q6NZI2_PTRF.pdf</t>
  </si>
  <si>
    <t>Melting_Curves/meltCurve_Q6NZY4_ZCCHC8.pdf</t>
  </si>
  <si>
    <t>Melting_Curves/meltCurve_Q6P087_2_RPUSD3.pdf</t>
  </si>
  <si>
    <t>Melting_Curves/meltCurve_Q6P161_MRPL54.pdf</t>
  </si>
  <si>
    <t>Melting_Curves/meltCurve_Q6P1J9_CDC73.pdf</t>
  </si>
  <si>
    <t>Melting_Curves/meltCurve_Q6P1K2_4_PMF1.pdf</t>
  </si>
  <si>
    <t>Melting_Curves/meltCurve_Q6P1L5_FAM117B.pdf</t>
  </si>
  <si>
    <t>Melting_Curves/meltCurve_Q6P1L8_MRPL14.pdf</t>
  </si>
  <si>
    <t>Melting_Curves/meltCurve_Q6P1M0_SLC27A4.pdf</t>
  </si>
  <si>
    <t>Melting_Curves/meltCurve_Q6P1N0_CC2D1A.pdf</t>
  </si>
  <si>
    <t>Melting_Curves/meltCurve_Q6P1Q9_METTL2B.pdf</t>
  </si>
  <si>
    <t>Melting_Curves/meltCurve_Q6P1R4_DUS1L.pdf</t>
  </si>
  <si>
    <t>Melting_Curves/meltCurve_Q6P2C8_2_MED27.pdf</t>
  </si>
  <si>
    <t>Melting_Curves/meltCurve_Q6P2E9_EDC4.pdf</t>
  </si>
  <si>
    <t>Melting_Curves/meltCurve_Q6P2H3_2_CEP85.pdf</t>
  </si>
  <si>
    <t>Melting_Curves/meltCurve_Q6P2P2_PRMT10.pdf</t>
  </si>
  <si>
    <t>Melting_Curves/meltCurve_Q6P3S6_FBXO42.pdf</t>
  </si>
  <si>
    <t>Melting_Curves/meltCurve_Q6P3W7_SCYL2.pdf</t>
  </si>
  <si>
    <t>Melting_Curves/meltCurve_Q6P3X3_TTC27.pdf</t>
  </si>
  <si>
    <t>Melting_Curves/meltCurve_Q6P444_MTFR2.pdf</t>
  </si>
  <si>
    <t>Melting_Curves/meltCurve_Q6P4A7_SFXN4.pdf</t>
  </si>
  <si>
    <t>Melting_Curves/meltCurve_Q6P4E1_CASC4.pdf</t>
  </si>
  <si>
    <t>Melting_Curves/meltCurve_Q6P4F2_FDX1L.pdf</t>
  </si>
  <si>
    <t>Melting_Curves/meltCurve_Q6P4I2_WDR73.pdf</t>
  </si>
  <si>
    <t>Melting_Curves/meltCurve_Q6P4R8_3_NFRKB.pdf</t>
  </si>
  <si>
    <t>Melting_Curves/meltCurve_Q6P582_MZT2A.pdf</t>
  </si>
  <si>
    <t>Melting_Curves/meltCurve_Q6P587_FAHD1.pdf</t>
  </si>
  <si>
    <t>Melting_Curves/meltCurve_Q6P6B1_C8orf47.pdf</t>
  </si>
  <si>
    <t>Melting_Curves/meltCurve_Q6P6B7_2_ANKRD16.pdf</t>
  </si>
  <si>
    <t>Melting_Curves/meltCurve_Q6P6C2_ALKBH5.pdf</t>
  </si>
  <si>
    <t>Melting_Curves/meltCurve_Q6P9B6_KIAA1609.pdf</t>
  </si>
  <si>
    <t>Melting_Curves/meltCurve_Q6PCE3_PGM2L1.pdf</t>
  </si>
  <si>
    <t>Melting_Curves/meltCurve_Q6PD62_CTR9.pdf</t>
  </si>
  <si>
    <t>Melting_Curves/meltCurve_Q6PD74_AAGAB.pdf</t>
  </si>
  <si>
    <t>Melting_Curves/meltCurve_Q6PGN9_2_PSRC1.pdf</t>
  </si>
  <si>
    <t>Melting_Curves/meltCurve_Q6PGP7_TTC37.pdf</t>
  </si>
  <si>
    <t>Melting_Curves/meltCurve_Q6PH81_C16orf87.pdf</t>
  </si>
  <si>
    <t>Melting_Curves/meltCurve_Q6PHR2_3_ULK3.pdf</t>
  </si>
  <si>
    <t>Melting_Curves/meltCurve_Q6PI48_DARS2.pdf</t>
  </si>
  <si>
    <t>Melting_Curves/meltCurve_Q6PI78_TMEM65.pdf</t>
  </si>
  <si>
    <t>Melting_Curves/meltCurve_Q6PID6_TTC33.pdf</t>
  </si>
  <si>
    <t>Melting_Curves/meltCurve_Q6PII5_2_HAGHL.pdf</t>
  </si>
  <si>
    <t>Melting_Curves/meltCurve_Q6PIW4_2_FIGNL1.pdf</t>
  </si>
  <si>
    <t>Melting_Curves/meltCurve_Q6PJ69_TRIM65.pdf</t>
  </si>
  <si>
    <t>Melting_Curves/meltCurve_Q6PJF5_2_RHBDF2.pdf</t>
  </si>
  <si>
    <t>Melting_Curves/meltCurve_Q6PJG6_BRAT1.pdf</t>
  </si>
  <si>
    <t>Melting_Curves/meltCurve_Q6PJT7_5_ZC3H14.pdf</t>
  </si>
  <si>
    <t>Melting_Curves/meltCurve_Q6PKG0_LARP1.pdf</t>
  </si>
  <si>
    <t>Melting_Curves/meltCurve_Q6PL24_TMED8.pdf</t>
  </si>
  <si>
    <t>Melting_Curves/meltCurve_Q6PML9_SLC30A9.pdf</t>
  </si>
  <si>
    <t>Melting_Curves/meltCurve_Q6QNY0_BLOC1S3.pdf</t>
  </si>
  <si>
    <t>Melting_Curves/meltCurve_Q6QNY1_BLOC1S2.pdf</t>
  </si>
  <si>
    <t>Melting_Curves/meltCurve_Q6RW13_2_AGTRAP.pdf</t>
  </si>
  <si>
    <t>Melting_Curves/meltCurve_Q6SPF0_SAMD1.pdf</t>
  </si>
  <si>
    <t>Melting_Curves/meltCurve_Q6UB28_METAP1D.pdf</t>
  </si>
  <si>
    <t>Melting_Curves/meltCurve_Q6UB35_MTHFD1L.pdf</t>
  </si>
  <si>
    <t>Melting_Curves/meltCurve_Q6ULP2_3_AFTPH.pdf</t>
  </si>
  <si>
    <t>Melting_Curves/meltCurve_Q6UN15_3_FIP1L1.pdf</t>
  </si>
  <si>
    <t>Melting_Curves/meltCurve_Q6UUV9_3_CRTC1.pdf</t>
  </si>
  <si>
    <t>Melting_Curves/meltCurve_Q6UVJ0_SASS6.pdf</t>
  </si>
  <si>
    <t>Melting_Curves/meltCurve_Q6UW63_KDELC1.pdf</t>
  </si>
  <si>
    <t>Melting_Curves/meltCurve_Q6UWE0_LRSAM1.pdf</t>
  </si>
  <si>
    <t>Melting_Curves/meltCurve_Q6UWI4_SHISA2.pdf</t>
  </si>
  <si>
    <t>Melting_Curves/meltCurve_Q6UWP2_DHRS11.pdf</t>
  </si>
  <si>
    <t>Melting_Curves/meltCurve_Q6UWP7_3_LCLAT1.pdf</t>
  </si>
  <si>
    <t>Melting_Curves/meltCurve_Q6UWS5_PET117.pdf</t>
  </si>
  <si>
    <t>Melting_Curves/meltCurve_Q6UX04_CWC27.pdf</t>
  </si>
  <si>
    <t>Melting_Curves/meltCurve_Q6UX71_PLXDC2.pdf</t>
  </si>
  <si>
    <t>Melting_Curves/meltCurve_Q6UXD5_6_SEZ6L2.pdf</t>
  </si>
  <si>
    <t>Melting_Curves/meltCurve_Q6UXH1_4_CRELD2.pdf</t>
  </si>
  <si>
    <t>Melting_Curves/meltCurve_Q6UXN9_WDR82.pdf</t>
  </si>
  <si>
    <t>Melting_Curves/meltCurve_Q6UXV4_APOOL.pdf</t>
  </si>
  <si>
    <t>Melting_Curves/meltCurve_Q6VY07_PACS1.pdf</t>
  </si>
  <si>
    <t>Melting_Curves/meltCurve_Q6WCQ1_MPRIP.pdf</t>
  </si>
  <si>
    <t>Melting_Curves/meltCurve_Q6WKZ4_RAB11FIP1.pdf</t>
  </si>
  <si>
    <t>Melting_Curves/meltCurve_Q6XQN6_NAPRT1.pdf</t>
  </si>
  <si>
    <t>Melting_Curves/meltCurve_Q6XUX3_2_DSTYK.pdf</t>
  </si>
  <si>
    <t>Melting_Curves/meltCurve_Q6Y288_B3GALTL.pdf</t>
  </si>
  <si>
    <t>Melting_Curves/meltCurve_Q6Y7W6_4_GIGYF2.pdf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</si>
  <si>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</si>
  <si>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</si>
  <si>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</si>
  <si>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</si>
  <si>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Melting_Curves/meltCurve_Q6ZMR3_LDHAL6A.pdf</t>
  </si>
  <si>
    <t>Melting_Curves/meltCurve_Q6ZN17_LIN28B.pdf</t>
  </si>
  <si>
    <t>Melting_Curves/meltCurve_Q6ZN18_2_AEBP2.pdf</t>
  </si>
  <si>
    <t>Melting_Curves/meltCurve_Q6ZNB6_NFXL1.pdf</t>
  </si>
  <si>
    <t>Melting_Curves/meltCurve_Q6ZNW5_GDPGP1.pdf</t>
  </si>
  <si>
    <t>Melting_Curves/meltCurve_Q6ZPD9_DPY19L3.pdf</t>
  </si>
  <si>
    <t>Melting_Curves/meltCurve_Q6ZRP7_QSOX2.pdf</t>
  </si>
  <si>
    <t>Melting_Curves/meltCurve_Q6ZS17_2_FAM65A.pdf</t>
  </si>
  <si>
    <t>Melting_Curves/meltCurve_Q6ZSJ8_C1orf122.pdf</t>
  </si>
  <si>
    <t>Melting_Curves/meltCurve_Q6ZT21_2_TMPPE.pdf</t>
  </si>
  <si>
    <t>Melting_Curves/meltCurve_Q6ZT62_SH3BP1.pdf</t>
  </si>
  <si>
    <t>Melting_Curves/meltCurve_Q6ZTW0_TPGS1.pdf</t>
  </si>
  <si>
    <t>Melting_Curves/meltCurve_Q6ZU65_UBN2.pdf</t>
  </si>
  <si>
    <t>Melting_Curves/meltCurve_Q6ZVM7_2_TOM1L2.pdf</t>
  </si>
  <si>
    <t>Melting_Curves/meltCurve_Q6ZW49_4_PAXIP1.pdf</t>
  </si>
  <si>
    <t>Melting_Curves/meltCurve_Q6ZWJ1_STXBP4.pdf</t>
  </si>
  <si>
    <t>Melting_Curves/meltCurve_Q6ZWT7_MBOAT2.pdf</t>
  </si>
  <si>
    <t>Melting_Curves/meltCurve_Q6ZXV5_2_TMTC3.pdf</t>
  </si>
  <si>
    <t>Melting_Curves/meltCurve_Q709F0_ACAD11.pdf</t>
  </si>
  <si>
    <t>Melting_Curves/meltCurve_Q70CQ2_3_USP34.pdf</t>
  </si>
  <si>
    <t>Melting_Curves/meltCurve_Q70E73_7_RAPH1.pdf</t>
  </si>
  <si>
    <t>Melting_Curves/meltCurve_Q70IA6_MOB2.pdf</t>
  </si>
  <si>
    <t>Melting_Curves/meltCurve_Q70UQ0_IKBIP.pdf</t>
  </si>
  <si>
    <t>Melting_Curves/meltCurve_Q70UQ0_4_IKBIP.pdf</t>
  </si>
  <si>
    <t>Melting_Curves/meltCurve_Q70Z53_3_FRA10AC1.pdf</t>
  </si>
  <si>
    <t>Melting_Curves/meltCurve_Q712K3_UBE2R2.pdf</t>
  </si>
  <si>
    <t>Melting_Curves/meltCurve_Q71UI9_H2AFV.pdf</t>
  </si>
  <si>
    <t>Melting_Curves/meltCurve_Q765P7_MTSS1L.pdf</t>
  </si>
  <si>
    <t>Melting_Curves/meltCurve_Q7KYR7_BTN2A1.pdf</t>
  </si>
  <si>
    <t>Melting_Curves/meltCurve_Q7KZ85_SUPT6H.pdf</t>
  </si>
  <si>
    <t>Melting_Curves/meltCurve_Q7KZF4_SND1.pdf</t>
  </si>
  <si>
    <t>Melting_Curves/meltCurve_Q7KZN9_2_COX15.pdf</t>
  </si>
  <si>
    <t>Melting_Curves/meltCurve_Q7L014_DDX46.pdf</t>
  </si>
  <si>
    <t>Melting_Curves/meltCurve_Q7L099_4_RUFY3.pdf</t>
  </si>
  <si>
    <t>Melting_Curves/meltCurve_Q7L0J3_2_SV2A.pdf</t>
  </si>
  <si>
    <t>Melting_Curves/meltCurve_Q7L0Y3_TRMT10C.pdf</t>
  </si>
  <si>
    <t>Melting_Curves/meltCurve_Q7L1Q6_BZW1.pdf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</si>
  <si>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</si>
  <si>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</si>
  <si>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</si>
  <si>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</si>
  <si>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Melting_Curves/meltCurve_Q7L3S4_ZNF771.pdf</t>
  </si>
  <si>
    <t>Melting_Curves/meltCurve_Q7L3T8_PARS2.pdf</t>
  </si>
  <si>
    <t>Melting_Curves/meltCurve_Q7L4I2_RSRC2.pdf</t>
  </si>
  <si>
    <t>Melting_Curves/meltCurve_Q7L523_RRAGA.pdf</t>
  </si>
  <si>
    <t>Melting_Curves/meltCurve_Q7L592_NDUFAF7.pdf</t>
  </si>
  <si>
    <t>Melting_Curves/meltCurve_Q7L5N7_LPCAT2.pdf</t>
  </si>
  <si>
    <t>Melting_Curves/meltCurve_Q7L5Y1_ENOSF1.pdf</t>
  </si>
  <si>
    <t>Melting_Curves/meltCurve_Q7L7X3_TAOK1.pdf</t>
  </si>
  <si>
    <t>Melting_Curves/meltCurve_Q7L804_RAB11FIP2.pdf</t>
  </si>
  <si>
    <t>Melting_Curves/meltCurve_Q7L8J4_SH3BP5L.pdf</t>
  </si>
  <si>
    <t>Melting_Curves/meltCurve_Q7L8W6_ATPBD4.pdf</t>
  </si>
  <si>
    <t>Melting_Curves/meltCurve_Q7LBC6_KDM3B.pdf</t>
  </si>
  <si>
    <t>Melting_Curves/meltCurve_Q7LBR1_CHMP1B.pdf</t>
  </si>
  <si>
    <t>Melting_Curves/meltCurve_Q7LG56_RRM2B.pdf</t>
  </si>
  <si>
    <t>Melting_Curves/meltCurve_Q7RTP0_NIPA1.pdf</t>
  </si>
  <si>
    <t>Melting_Curves/meltCurve_Q7RTP6_MICAL3.pdf</t>
  </si>
  <si>
    <t>Melting_Curves/meltCurve_Q7RTS9_DYM.pdf</t>
  </si>
  <si>
    <t>Melting_Curves/meltCurve_Q7RTV0_PHF5A.pdf</t>
  </si>
  <si>
    <t>Melting_Curves/meltCurve_Q7Z2K8_GPRIN1.pdf</t>
  </si>
  <si>
    <t>Melting_Curves/meltCurve_Q7Z2W4_ZC3HAV1.pdf</t>
  </si>
  <si>
    <t>Melting_Curves/meltCurve_Q7Z2Z2_EFTUD1.pdf</t>
  </si>
  <si>
    <t>Melting_Curves/meltCurve_Q7Z3C6_2_ATG9A.pdf</t>
  </si>
  <si>
    <t>Melting_Curves/meltCurve_Q7Z3D4_LYSMD3.pdf</t>
  </si>
  <si>
    <t>Melting_Curves/meltCurve_Q7Z3E2_C10orf118.pdf</t>
  </si>
  <si>
    <t>Melting_Curves/meltCurve_Q7Z3K3_5_POGZ.pdf</t>
  </si>
  <si>
    <t>Melting_Curves/meltCurve_Q7Z3T8_ZFYVE16.pdf</t>
  </si>
  <si>
    <t>Melting_Curves/meltCurve_Q7Z417_NUFIP2.pdf</t>
  </si>
  <si>
    <t>Melting_Curves/meltCurve_Q7Z422_2_SZRD1.pdf</t>
  </si>
  <si>
    <t>Melting_Curves/meltCurve_Q7Z434_MAVS.pdf</t>
  </si>
  <si>
    <t>Melting_Curves/meltCurve_Q7Z4G4_2_TRMT11.pdf</t>
  </si>
  <si>
    <t>Melting_Curves/meltCurve_Q7Z4H3_HDDC2.pdf</t>
  </si>
  <si>
    <t>Melting_Curves/meltCurve_Q7Z4H8_KDELC2.pdf</t>
  </si>
  <si>
    <t>Melting_Curves/meltCurve_Q7Z4I7_4_LIMS2.pdf</t>
  </si>
  <si>
    <t>Melting_Curves/meltCurve_Q7Z4K8_4_TRIM46.pdf</t>
  </si>
  <si>
    <t>Melting_Curves/meltCurve_Q7Z4Q2_HEATR3.pdf</t>
  </si>
  <si>
    <t>Melting_Curves/meltCurve_Q7Z4V5_HDGFRP2.pdf</t>
  </si>
  <si>
    <t>Melting_Curves/meltCurve_Q7Z4W1_DCXR.pdf</t>
  </si>
  <si>
    <t>Melting_Curves/meltCurve_Q7Z5G4_3_GOLGA7.pdf</t>
  </si>
  <si>
    <t>Melting_Curves/meltCurve_Q7Z5K2_WAPAL.pdf</t>
  </si>
  <si>
    <t>Melting_Curves/meltCurve_Q7Z5L2_2_R3HCC1L.pdf</t>
  </si>
  <si>
    <t>Melting_Curves/meltCurve_Q7Z5L9_IRF2BP2.pdf</t>
  </si>
  <si>
    <t>Melting_Curves/meltCurve_Q7Z5U6_WDR53.pdf</t>
  </si>
  <si>
    <t>Melting_Curves/meltCurve_Q7Z5W3_BCDIN3D.pdf</t>
  </si>
  <si>
    <t>Melting_Curves/meltCurve_Q7Z5Y7_KCTD20.pdf</t>
  </si>
  <si>
    <t>Melting_Curves/meltCurve_Q7Z624_CAMKMT.pdf</t>
  </si>
  <si>
    <t>Melting_Curves/meltCurve_Q7Z674_DKFZp779C2259.pdf</t>
  </si>
  <si>
    <t>Melting_Curves/meltCurve_Q7Z6B0_2_CCDC91.pdf</t>
  </si>
  <si>
    <t>Melting_Curves/meltCurve_Q7Z6E9_2_RBBP6.pdf</t>
  </si>
  <si>
    <t>Melting_Curves/meltCurve_Q7Z6I8_C5orf24.pdf</t>
  </si>
  <si>
    <t>Melting_Curves/meltCurve_Q7Z6J0_SH3RF1.pdf</t>
  </si>
  <si>
    <t>Melting_Curves/meltCurve_Q7Z6J8_UBE3D.pdf</t>
  </si>
  <si>
    <t>Melting_Curves/meltCurve_Q7Z6J9_TSEN54.pdf</t>
  </si>
  <si>
    <t>Melting_Curves/meltCurve_Q7Z6L1_TECPR1.pdf</t>
  </si>
  <si>
    <t>Melting_Curves/meltCurve_Q7Z6M1_RABEPK.pdf</t>
  </si>
  <si>
    <t>Melting_Curves/meltCurve_Q7Z6M4_MTERFD2.pdf</t>
  </si>
  <si>
    <t>Melting_Curves/meltCurve_Q7Z6V5_2_ADAT2.pdf</t>
  </si>
  <si>
    <t>Melting_Curves/meltCurve_Q7Z6Z7_2_HUWE1.pdf</t>
  </si>
  <si>
    <t>Melting_Curves/meltCurve_Q7Z7A3_CTU1.pdf</t>
  </si>
  <si>
    <t>Melting_Curves/meltCurve_Q7Z7C8_TAF8.pdf</t>
  </si>
  <si>
    <t>Melting_Curves/meltCurve_Q7Z7E8_UBE2Q1.pdf</t>
  </si>
  <si>
    <t>Melting_Curves/meltCurve_Q7Z7F0_2_KIAA0907.pdf</t>
  </si>
  <si>
    <t>Melting_Curves/meltCurve_Q7Z7H5_3_TMED4.pdf</t>
  </si>
  <si>
    <t>Melting_Curves/meltCurve_Q7Z7L1_SLFN11.pdf</t>
  </si>
  <si>
    <t>Melting_Curves/meltCurve_Q7Z7L8_C11orf96.pdf</t>
  </si>
  <si>
    <t>Melting_Curves/meltCurve_Q7Z7N9_TMEM179B.pdf</t>
  </si>
  <si>
    <t>Melting_Curves/meltCurve_Q86SF2_GALNT7.pdf</t>
  </si>
  <si>
    <t>Melting_Curves/meltCurve_Q86SQ7_SDCCAG8.pdf</t>
  </si>
  <si>
    <t>Melting_Curves/meltCurve_Q86SQ9_3_DHDDS.pdf</t>
  </si>
  <si>
    <t>Melting_Curves/meltCurve_Q86SX6_GLRX5.pdf</t>
  </si>
  <si>
    <t>Melting_Curves/meltCurve_Q86T03_TMEM55B.pdf</t>
  </si>
  <si>
    <t>Melting_Curves/meltCurve_Q86TA1_MOB3B.pdf</t>
  </si>
  <si>
    <t>Melting_Curves/meltCurve_Q86TB9_4_PATL1.pdf</t>
  </si>
  <si>
    <t>Melting_Curves/meltCurve_Q86TG7_2_PEG10.pdf</t>
  </si>
  <si>
    <t>Melting_Curves/meltCurve_Q86TI2_DPP9.pdf</t>
  </si>
  <si>
    <t>Melting_Curves/meltCurve_Q86TN4_TRPT1.pdf</t>
  </si>
  <si>
    <t>Melting_Curves/meltCurve_Q86TP1_PRUNE.pdf</t>
  </si>
  <si>
    <t>Melting_Curves/meltCurve_Q86TU7_SETD3.pdf</t>
  </si>
  <si>
    <t>Melting_Curves/meltCurve_Q86TV3_LGMN.pdf</t>
  </si>
  <si>
    <t>Melting_Curves/meltCurve_Q86TW2_3_ADCK1.pdf</t>
  </si>
  <si>
    <t>Melting_Curves/meltCurve_Q86U28_ISCA2.pdf</t>
  </si>
  <si>
    <t>Melting_Curves/meltCurve_Q86U44_METTL3.pdf</t>
  </si>
  <si>
    <t>Melting_Curves/meltCurve_Q86U70_3_LDB1.pdf</t>
  </si>
  <si>
    <t>Melting_Curves/meltCurve_Q86U90_YRDC.pdf</t>
  </si>
  <si>
    <t>Melting_Curves/meltCurve_Q86UA1_PRPF39.pdf</t>
  </si>
  <si>
    <t>Melting_Curves/meltCurve_Q86UD0_SAPCD2.pdf</t>
  </si>
  <si>
    <t>Melting_Curves/meltCurve_Q86UE4_MTDH.pdf</t>
  </si>
  <si>
    <t>Melting_Curves/meltCurve_Q86UE8_2_TLK2.pdf</t>
  </si>
  <si>
    <t>Melting_Curves/meltCurve_Q86UK7_3_ZNF598.pdf</t>
  </si>
  <si>
    <t>Melting_Curves/meltCurve_Q86UL3_AGPAT6.pdf</t>
  </si>
  <si>
    <t>Melting_Curves/meltCurve_Q86UN3_RTN4RL2.pdf</t>
  </si>
  <si>
    <t>Melting_Curves/meltCurve_Q86UP2_KTN1.pdf</t>
  </si>
  <si>
    <t>Melting_Curves/meltCurve_Q86UT6_2_NLRX1.pdf</t>
  </si>
  <si>
    <t>Melting_Curves/meltCurve_Q86UU0_4_BCL9L.pdf</t>
  </si>
  <si>
    <t>Melting_Curves/meltCurve_Q86UU1_2_PHLDB1.pdf</t>
  </si>
  <si>
    <t>Melting_Curves/meltCurve_Q86UV5_USP48.pdf</t>
  </si>
  <si>
    <t>Melting_Curves/meltCurve_Q86UX3_ABCC5.pdf</t>
  </si>
  <si>
    <t>Melting_Curves/meltCurve_Q86UX7_2_FERMT3.pdf</t>
  </si>
  <si>
    <t>Melting_Curves/meltCurve_Q86UY0_TXNDC5.pdf</t>
  </si>
  <si>
    <t>Melting_Curves/meltCurve_Q86UY8_2_NT5DC3.pdf</t>
  </si>
  <si>
    <t>Melting_Curves/meltCurve_Q86V21_AACS.pdf</t>
  </si>
  <si>
    <t>Melting_Curves/meltCurve_Q86V48_LUZP1.pdf</t>
  </si>
  <si>
    <t>Melting_Curves/meltCurve_Q86V85_GPR180.pdf</t>
  </si>
  <si>
    <t>Melting_Curves/meltCurve_Q86VG3_C11orf74.pdf</t>
  </si>
  <si>
    <t>Melting_Curves/meltCurve_Q86VN1_2_VPS36.pdf</t>
  </si>
  <si>
    <t>Melting_Curves/meltCurve_Q86VP6_CAND1.pdf</t>
  </si>
  <si>
    <t>Melting_Curves/meltCurve_Q86VQ1_GLCCI1.pdf</t>
  </si>
  <si>
    <t>Melting_Curves/meltCurve_Q86VR2_FAM134C.pdf</t>
  </si>
  <si>
    <t>Melting_Curves/meltCurve_Q86VS8_HOOK3.pdf</t>
  </si>
  <si>
    <t>Melting_Curves/meltCurve_Q86VU5_COMTD1.pdf</t>
  </si>
  <si>
    <t>Melting_Curves/meltCurve_Q86VW0_SESTD1.pdf</t>
  </si>
  <si>
    <t>Melting_Curves/meltCurve_Q86VX9_MON1A.pdf</t>
  </si>
  <si>
    <t>Melting_Curves/meltCurve_Q86W33_TPRA1.pdf</t>
  </si>
  <si>
    <t>Melting_Curves/meltCurve_Q86W42_THOC6.pdf</t>
  </si>
  <si>
    <t>Melting_Curves/meltCurve_Q86W50_METTL16.pdf</t>
  </si>
  <si>
    <t>Melting_Curves/meltCurve_Q86W56_PARG.pdf</t>
  </si>
  <si>
    <t>Melting_Curves/meltCurve_Q86W92_4_PPFIBP1.pdf</t>
  </si>
  <si>
    <t>Melting_Curves/meltCurve_Q86WA6_2_BPHL.pdf</t>
  </si>
  <si>
    <t>Melting_Curves/meltCurve_Q86WJ1_2_CHD1L.pdf</t>
  </si>
  <si>
    <t>Melting_Curves/meltCurve_Q86WQ0_NR2C2AP.pdf</t>
  </si>
  <si>
    <t>Melting_Curves/meltCurve_Q86WR0_CCDC25.pdf</t>
  </si>
  <si>
    <t>Melting_Curves/meltCurve_Q86WR7_PROSER2.pdf</t>
  </si>
  <si>
    <t>Melting_Curves/meltCurve_Q86WV6_TMEM173.pdf</t>
  </si>
  <si>
    <t>Melting_Curves/meltCurve_Q86WV7_CCDC43.pdf</t>
  </si>
  <si>
    <t>Melting_Curves/meltCurve_Q86X02_CDR2L.pdf</t>
  </si>
  <si>
    <t>Melting_Curves/meltCurve_Q86X27_RALGPS2.pdf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</si>
  <si>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</si>
  <si>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</si>
  <si>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</si>
  <si>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</si>
  <si>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Melting_Curves/meltCurve_Q86XK3_3_SFR1.pdf</t>
  </si>
  <si>
    <t>Melting_Curves/meltCurve_Q86XP3_DDX42.pdf</t>
  </si>
  <si>
    <t>Melting_Curves/meltCurve_Q86Y37_CACUL1.pdf</t>
  </si>
  <si>
    <t>Melting_Curves/meltCurve_Q86Y56_HEATR2.pdf</t>
  </si>
  <si>
    <t>Melting_Curves/meltCurve_Q86Y79_PTRH1.pdf</t>
  </si>
  <si>
    <t>Melting_Curves/meltCurve_Q86Y82_STX12.pdf</t>
  </si>
  <si>
    <t>Melting_Curves/meltCurve_Q86YC8_STRADA.pdf</t>
  </si>
  <si>
    <t>Melting_Curves/meltCurve_Q86YH6_PDSS2.pdf</t>
  </si>
  <si>
    <t>Melting_Curves/meltCurve_Q86YP4_2_GATAD2A.pdf</t>
  </si>
  <si>
    <t>Melting_Curves/meltCurve_Q86YR5_4_GPSM1.pdf</t>
  </si>
  <si>
    <t>Melting_Curves/meltCurve_Q86YS3_2_RAB11FIP4.pdf</t>
  </si>
  <si>
    <t>Melting_Curves/meltCurve_Q86YV9_HPS6.pdf</t>
  </si>
  <si>
    <t>Melting_Curves/meltCurve_Q8IU81_IRF2BP1.pdf</t>
  </si>
  <si>
    <t>Melting_Curves/meltCurve_Q8IUC8_2_GALNT13.pdf</t>
  </si>
  <si>
    <t>Melting_Curves/meltCurve_Q8IUH4_ZDHHC13.pdf</t>
  </si>
  <si>
    <t>Melting_Curves/meltCurve_Q8IUI8_CRLF3.pdf</t>
  </si>
  <si>
    <t>Melting_Curves/meltCurve_Q8IUR0_TRAPPC5.pdf</t>
  </si>
  <si>
    <t>Melting_Curves/meltCurve_Q8IUW3_SPATA2L.pdf</t>
  </si>
  <si>
    <t>Melting_Curves/meltCurve_Q8IUW5_RELL1.pdf</t>
  </si>
  <si>
    <t>Melting_Curves/meltCurve_Q8IV08_PLD3.pdf</t>
  </si>
  <si>
    <t>Melting_Curves/meltCurve_Q8IV38_ANKMY2.pdf</t>
  </si>
  <si>
    <t>Melting_Curves/meltCurve_Q8IV63_3_VRK3.pdf</t>
  </si>
  <si>
    <t>Melting_Curves/meltCurve_Q8IVB5_LIX1L.pdf</t>
  </si>
  <si>
    <t>Melting_Curves/meltCurve_Q8IVD9_NUDCD3.pdf</t>
  </si>
  <si>
    <t>Melting_Curves/meltCurve_Q8IVF2_3_AHNAK2.pdf</t>
  </si>
  <si>
    <t>Melting_Curves/meltCurve_Q8IVH4_MMAA.pdf</t>
  </si>
  <si>
    <t>Melting_Curves/meltCurve_Q8IVM0_CCDC50.pdf</t>
  </si>
  <si>
    <t>Melting_Curves/meltCurve_Q8IVS2_MCAT.pdf</t>
  </si>
  <si>
    <t>Melting_Curves/meltCurve_Q8IVS8_GLYCTK.pdf</t>
  </si>
  <si>
    <t>Melting_Curves/meltCurve_Q8IVW6_4_ARID3B.pdf</t>
  </si>
  <si>
    <t>Melting_Curves/meltCurve_Q8IW45_CARKD.pdf</t>
  </si>
  <si>
    <t>Melting_Curves/meltCurve_Q8IWA0_WDR75.pdf</t>
  </si>
  <si>
    <t>Melting_Curves/meltCurve_Q8IWA4_MFN1.pdf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</si>
  <si>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</si>
  <si>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</si>
  <si>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</si>
  <si>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</si>
  <si>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Melting_Curves/meltCurve_Q8IWF6_DENND6A.pdf</t>
  </si>
  <si>
    <t>Melting_Curves/meltCurve_Q8IWI9_MGA.pdf</t>
  </si>
  <si>
    <t>Melting_Curves/meltCurve_Q8IWJ2_GCC2.pdf</t>
  </si>
  <si>
    <t>Melting_Curves/meltCurve_Q8IWL3_HSCB.pdf</t>
  </si>
  <si>
    <t>Melting_Curves/meltCurve_Q8IWP9_CCDC28A.pdf</t>
  </si>
  <si>
    <t>Melting_Curves/meltCurve_Q8IWV8_4_UBR2.pdf</t>
  </si>
  <si>
    <t>Melting_Curves/meltCurve_Q8IWW6_4_ARHGAP12.pdf</t>
  </si>
  <si>
    <t>Melting_Curves/meltCurve_Q8IWZ3_6_ANKHD1.pdf</t>
  </si>
  <si>
    <t>Melting_Curves/meltCurve_Q8IWZ8_SUGP1.pdf</t>
  </si>
  <si>
    <t>Melting_Curves/meltCurve_Q8IX04_6_UEVLD.pdf</t>
  </si>
  <si>
    <t>Melting_Curves/meltCurve_Q8IX12_2_CCAR1.pdf</t>
  </si>
  <si>
    <t>Melting_Curves/meltCurve_Q8IX18_3_DHX40.pdf</t>
  </si>
  <si>
    <t>Melting_Curves/meltCurve_Q8IX90_SKA3.pdf</t>
  </si>
  <si>
    <t>Melting_Curves/meltCurve_Q8IXB1_2_DNAJC10.pdf</t>
  </si>
  <si>
    <t>Melting_Curves/meltCurve_Q8IXI1_RHOT2.pdf</t>
  </si>
  <si>
    <t>Melting_Curves/meltCurve_Q8IXI2_4_RHOT1.pdf</t>
  </si>
  <si>
    <t>Melting_Curves/meltCurve_Q8IXJ6_2_SIRT2.pdf</t>
  </si>
  <si>
    <t>Melting_Curves/meltCurve_Q8IXQ3_C9orf40.pdf</t>
  </si>
  <si>
    <t>Melting_Curves/meltCurve_Q8IXQ4_KIAA1704.pdf</t>
  </si>
  <si>
    <t>Melting_Curves/meltCurve_Q8IXW5_2_RPAP2.pdf</t>
  </si>
  <si>
    <t>Melting_Curves/meltCurve_Q8IY47_KBTBD2.pdf</t>
  </si>
  <si>
    <t>Melting_Curves/meltCurve_Q8IY63_2_AMOTL1.pdf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</si>
  <si>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</si>
  <si>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</si>
  <si>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</si>
  <si>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</si>
  <si>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</si>
  <si>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Melting_Curves/meltCurve_Q8IYB9_ZNF595.pdf</t>
  </si>
  <si>
    <t>Melting_Curves/meltCurve_Q8IYD1_GSPT2.pdf</t>
  </si>
  <si>
    <t>Melting_Curves/meltCurve_Q8IYH5_4_ZZZ3.pdf</t>
  </si>
  <si>
    <t>Melting_Curves/meltCurve_Q8IYI6_EXOC8.pdf</t>
  </si>
  <si>
    <t>Melting_Curves/meltCurve_Q8IYL3_C1orf174.pdf</t>
  </si>
  <si>
    <t>Melting_Curves/meltCurve_Q8IYQ7_THNSL1.pdf</t>
  </si>
  <si>
    <t>Melting_Curves/meltCurve_Q8IYR2_SMYD4.pdf</t>
  </si>
  <si>
    <t>Melting_Curves/meltCurve_Q8IYS1_PM20D2.pdf</t>
  </si>
  <si>
    <t>Melting_Curves/meltCurve_Q8IYS2_KIAA2013.pdf</t>
  </si>
  <si>
    <t>Melting_Curves/meltCurve_Q8IYU2_4_HACE1.pdf</t>
  </si>
  <si>
    <t>Melting_Curves/meltCurve_Q8IYU8_MICU2.pdf</t>
  </si>
  <si>
    <t>Melting_Curves/meltCurve_Q8IZ07_ANKRD13A.pdf</t>
  </si>
  <si>
    <t>Melting_Curves/meltCurve_Q8IZ21_3_PHACTR4.pdf</t>
  </si>
  <si>
    <t>Melting_Curves/meltCurve_Q8IZ41_RASEF.pdf</t>
  </si>
  <si>
    <t>Melting_Curves/meltCurve_Q8IZ68_MTX2.pdf</t>
  </si>
  <si>
    <t>Melting_Curves/meltCurve_Q8IZ73_RPUSD2.pdf</t>
  </si>
  <si>
    <t>Melting_Curves/meltCurve_Q8IZA0_KIAA0319L.pdf</t>
  </si>
  <si>
    <t>Melting_Curves/meltCurve_Q8IZD4_DCP1B.pdf</t>
  </si>
  <si>
    <t>Melting_Curves/meltCurve_Q8IZJ1_2_UNC5B.pdf</t>
  </si>
  <si>
    <t>Melting_Curves/meltCurve_Q8IZN3_2_ZDHHC14.pdf</t>
  </si>
  <si>
    <t>Melting_Curves/meltCurve_Q8IZR5_3_CMTM4.pdf</t>
  </si>
  <si>
    <t>Melting_Curves/meltCurve_Q8IZV5_RDH10.pdf</t>
  </si>
  <si>
    <t>Melting_Curves/meltCurve_Q8N0T1_C8orf59.pdf</t>
  </si>
  <si>
    <t>Melting_Curves/meltCurve_Q8N0U4_3_FAM185A.pdf</t>
  </si>
  <si>
    <t>Melting_Curves/meltCurve_Q8N0U8_VKORC1L1.pdf</t>
  </si>
  <si>
    <t>Melting_Curves/meltCurve_Q8N0X4_2_CLYBL.pdf</t>
  </si>
  <si>
    <t>Melting_Curves/meltCurve_Q8N0X7_SPG20.pdf</t>
  </si>
  <si>
    <t>Melting_Curves/meltCurve_Q8N0Y2_2_ZNF444.pdf</t>
  </si>
  <si>
    <t>Melting_Curves/meltCurve_Q8N0Z6_TTC5.pdf</t>
  </si>
  <si>
    <t>Melting_Curves/meltCurve_Q8N108_17_MIER1.pdf</t>
  </si>
  <si>
    <t>Melting_Curves/meltCurve_Q8N118_3_CYP4X1.pdf</t>
  </si>
  <si>
    <t>Melting_Curves/meltCurve_Q8N129_CNPY4.pdf</t>
  </si>
  <si>
    <t>Melting_Curves/meltCurve_Q8N163_KIAA1967.pdf</t>
  </si>
  <si>
    <t>Melting_Curves/meltCurve_Q8N183_NDUFAF2.pdf</t>
  </si>
  <si>
    <t>Melting_Curves/meltCurve_Q8N1B4_VPS52.pdf</t>
  </si>
  <si>
    <t>Melting_Curves/meltCurve_Q8N1F7_NUP93.pdf</t>
  </si>
  <si>
    <t>Melting_Curves/meltCurve_Q8N1G2_FTSJD2.pdf</t>
  </si>
  <si>
    <t>Melting_Curves/meltCurve_Q8N1G4_LRRC47.pdf</t>
  </si>
  <si>
    <t>Melting_Curves/meltCurve_Q8N1Q1_CA13.pdf</t>
  </si>
  <si>
    <t>Melting_Curves/meltCurve_Q8N2F6_3_ARMC10.pdf</t>
  </si>
  <si>
    <t>Melting_Curves/meltCurve_Q8N2G8_3_GHDC.pdf</t>
  </si>
  <si>
    <t>Melting_Curves/meltCurve_Q8N2K0_ABHD12.pdf</t>
  </si>
  <si>
    <t>Melting_Curves/meltCurve_Q8N2W9_PIAS4.pdf</t>
  </si>
  <si>
    <t>Melting_Curves/meltCurve_Q8N2Z9_APITD1.pdf</t>
  </si>
  <si>
    <t>Melting_Curves/meltCurve_Q8N300_CCDC23.pdf</t>
  </si>
  <si>
    <t>Melting_Curves/meltCurve_Q8N335_GPD1L.pdf</t>
  </si>
  <si>
    <t>Melting_Curves/meltCurve_Q8N344_MIER2.pdf</t>
  </si>
  <si>
    <t>Melting_Curves/meltCurve_Q8N371_KDM8.pdf</t>
  </si>
  <si>
    <t>Melting_Curves/meltCurve_Q8N392_2_ARHGAP18.pdf</t>
  </si>
  <si>
    <t>Melting_Curves/meltCurve_Q8N3F8_MICALL1.pdf</t>
  </si>
  <si>
    <t>Melting_Curves/meltCurve_Q8N3J3_3_C17orf53.pdf</t>
  </si>
  <si>
    <t>Melting_Curves/meltCurve_Q8N3X1_FNBP4.pdf</t>
  </si>
  <si>
    <t>Melting_Curves/meltCurve_Q8N442_GUF1.pdf</t>
  </si>
  <si>
    <t>Melting_Curves/meltCurve_Q8N465_D2HGDH.pdf</t>
  </si>
  <si>
    <t>Melting_Curves/meltCurve_Q8N488_RYBP.pdf</t>
  </si>
  <si>
    <t>Melting_Curves/meltCurve_Q8N490_2_PNKD.pdf</t>
  </si>
  <si>
    <t>Melting_Curves/meltCurve_Q8N490_4_PNKD.pdf</t>
  </si>
  <si>
    <t>Melting_Curves/meltCurve_Q8N4C8_2_MINK1.pdf</t>
  </si>
  <si>
    <t>Melting_Curves/meltCurve_Q8N4N3_2_KLHL36.pdf</t>
  </si>
  <si>
    <t>Melting_Curves/meltCurve_Q8N4P3_HDDC3.pdf</t>
  </si>
  <si>
    <t>Melting_Curves/meltCurve_Q8N4Q0_ZADH2.pdf</t>
  </si>
  <si>
    <t>Melting_Curves/meltCurve_Q8N4V1_MMGT1.pdf</t>
  </si>
  <si>
    <t>Melting_Curves/meltCurve_Q8N573_2_OXR1.pdf</t>
  </si>
  <si>
    <t>Melting_Curves/meltCurve_Q8N573_8_OXR1.pdf</t>
  </si>
  <si>
    <t>Melting_Curves/meltCurve_Q8N584_TTC39C.pdf</t>
  </si>
  <si>
    <t>Melting_Curves/meltCurve_Q8N5A5_3_ZGPAT.pdf</t>
  </si>
  <si>
    <t>Melting_Curves/meltCurve_Q8N5C7_DTWD1.pdf</t>
  </si>
  <si>
    <t>Melting_Curves/meltCurve_Q8N5G0_2_SMIM20.pdf</t>
  </si>
  <si>
    <t>Melting_Curves/meltCurve_Q8N5I9_C12orf45.pdf</t>
  </si>
  <si>
    <t>Melting_Curves/meltCurve_Q8N5J2_FAM63A.pdf</t>
  </si>
  <si>
    <t>Melting_Curves/meltCurve_Q8N5K1_CISD2.pdf</t>
  </si>
  <si>
    <t>Melting_Curves/meltCurve_Q8N5L8_RPP25L.pdf</t>
  </si>
  <si>
    <t>Melting_Curves/meltCurve_Q8N5M1_ATPAF2.pdf</t>
  </si>
  <si>
    <t>Melting_Curves/meltCurve_Q8N5M9_JAGN1.pdf</t>
  </si>
  <si>
    <t>Melting_Curves/meltCurve_Q8N5N7_MRPL50.pdf</t>
  </si>
  <si>
    <t>Melting_Curves/meltCurve_Q8N5X7_EIF4E3.pdf</t>
  </si>
  <si>
    <t>Melting_Curves/meltCurve_Q8N5Z5_2_KCTD17.pdf</t>
  </si>
  <si>
    <t>Melting_Curves/meltCurve_Q8N612_FAM160A2.pdf</t>
  </si>
  <si>
    <t>Melting_Curves/meltCurve_Q8N655_C10orf12.pdf</t>
  </si>
  <si>
    <t>Melting_Curves/meltCurve_Q8N684_2_CPSF7.pdf</t>
  </si>
  <si>
    <t>Melting_Curves/meltCurve_Q8N697_SLC15A4.pdf</t>
  </si>
  <si>
    <t>Melting_Curves/meltCurve_Q8N6B5_FOXP2.pdf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</si>
  <si>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</si>
  <si>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</si>
  <si>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</si>
  <si>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</si>
  <si>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Melting_Curves/meltCurve_Q8N6Q8_METTL25.pdf</t>
  </si>
  <si>
    <t>Melting_Curves/meltCurve_Q8N6S4_2_ANKRD13C.pdf</t>
  </si>
  <si>
    <t>Melting_Curves/meltCurve_Q8N749_TOM1L1.pdf</t>
  </si>
  <si>
    <t>Melting_Curves/meltCurve_Q8N766_3_EMC1.pdf</t>
  </si>
  <si>
    <t>Melting_Curves/meltCurve_Q8N7H5_PAF1.pdf</t>
  </si>
  <si>
    <t>Melting_Curves/meltCurve_Q8N7R7_3_CCNYL1.pdf</t>
  </si>
  <si>
    <t>Melting_Curves/meltCurve_Q8N806_UBR7.pdf</t>
  </si>
  <si>
    <t>Melting_Curves/meltCurve_Q8N8J7_C4orf32.pdf</t>
  </si>
  <si>
    <t>Melting_Curves/meltCurve_Q8N8L6_ARL10.pdf</t>
  </si>
  <si>
    <t>Melting_Curves/meltCurve_Q8N8N7_PTGR2.pdf</t>
  </si>
  <si>
    <t>Melting_Curves/meltCurve_Q8N8R5_C2orf69.pdf</t>
  </si>
  <si>
    <t>Melting_Curves/meltCurve_Q8N8R7_ARL14EP.pdf</t>
  </si>
  <si>
    <t>Melting_Curves/meltCurve_Q8N8S7_ENAH.pdf</t>
  </si>
  <si>
    <t>Melting_Curves/meltCurve_Q8N8S7_2_ENAH.pdf</t>
  </si>
  <si>
    <t>Melting_Curves/meltCurve_Q8N954_GPATCH11.pdf</t>
  </si>
  <si>
    <t>Melting_Curves/meltCurve_Q8N983_4_MRPL43.pdf</t>
  </si>
  <si>
    <t>Melting_Curves/meltCurve_Q8N999_C12orf29.pdf</t>
  </si>
  <si>
    <t>Melting_Curves/meltCurve_Q8N9B5_2_JMY.pdf</t>
  </si>
  <si>
    <t>Melting_Curves/meltCurve_Q8N9D7_PTK2.pdf</t>
  </si>
  <si>
    <t>Melting_Curves/meltCurve_Q8N9F7_GDPD1.pdf</t>
  </si>
  <si>
    <t>Melting_Curves/meltCurve_Q8N9N7_LRRC57.pdf</t>
  </si>
  <si>
    <t>Melting_Curves/meltCurve_Q8N9N8_EIF1AD.pdf</t>
  </si>
  <si>
    <t>Melting_Curves/meltCurve_Q8N9U0_2_TC2N.pdf</t>
  </si>
  <si>
    <t>Melting_Curves/meltCurve_Q8N9V3_2_WDSUB1.pdf</t>
  </si>
  <si>
    <t>Melting_Curves/meltCurve_Q8NAF0_ZNF579.pdf</t>
  </si>
  <si>
    <t>Melting_Curves/meltCurve_Q8NAV1_PRPF38A.pdf</t>
  </si>
  <si>
    <t>Melting_Curves/meltCurve_Q8NB15_2_ZNF511.pdf</t>
  </si>
  <si>
    <t>Melting_Curves/meltCurve_Q8NB37_PDDC1.pdf</t>
  </si>
  <si>
    <t>Melting_Curves/meltCurve_Q8NB49_ATP11C.pdf</t>
  </si>
  <si>
    <t>Melting_Curves/meltCurve_Q8NBA8_DTWD2.pdf</t>
  </si>
  <si>
    <t>Melting_Curves/meltCurve_Q8NBF2_NHLRC2.pdf</t>
  </si>
  <si>
    <t>Melting_Curves/meltCurve_Q8NBF6_AVL9.pdf</t>
  </si>
  <si>
    <t>Melting_Curves/meltCurve_Q8NBI6_XXYLT1.pdf</t>
  </si>
  <si>
    <t>Melting_Curves/meltCurve_Q8NBJ4_2_GOLM1.pdf</t>
  </si>
  <si>
    <t>Melting_Curves/meltCurve_Q8NBJ5_COLGALT1.pdf</t>
  </si>
  <si>
    <t>Melting_Curves/meltCurve_Q8NBK3_4_SUMF1.pdf</t>
  </si>
  <si>
    <t>Melting_Curves/meltCurve_Q8NBL1_POGLUT1.pdf</t>
  </si>
  <si>
    <t>Melting_Curves/meltCurve_Q8NBM4_2_UBAC2.pdf</t>
  </si>
  <si>
    <t>Melting_Curves/meltCurve_Q8NBM8_PCYOX1L.pdf</t>
  </si>
  <si>
    <t>Melting_Curves/meltCurve_Q8NBN3_TMEM87A.pdf</t>
  </si>
  <si>
    <t>Melting_Curves/meltCurve_Q8NBN7_RDH13.pdf</t>
  </si>
  <si>
    <t>Melting_Curves/meltCurve_Q8NBU5_ATAD1.pdf</t>
  </si>
  <si>
    <t>Melting_Curves/meltCurve_Q8NBX0_SCCPDH.pdf</t>
  </si>
  <si>
    <t>Melting_Curves/meltCurve_Q8NC51_2_SERBP1.pdf</t>
  </si>
  <si>
    <t>Melting_Curves/meltCurve_Q8NC54_KCT2.pdf</t>
  </si>
  <si>
    <t>Melting_Curves/meltCurve_Q8NC56_LEMD2.pdf</t>
  </si>
  <si>
    <t>Melting_Curves/meltCurve_Q8NCC3_PLA2G15.pdf</t>
  </si>
  <si>
    <t>Melting_Curves/meltCurve_Q8NCE2_2_MTMR14.pdf</t>
  </si>
  <si>
    <t>Melting_Curves/meltCurve_Q8NCF5_NFATC2IP.pdf</t>
  </si>
  <si>
    <t>Melting_Curves/meltCurve_Q8NCH0_CHST14.pdf</t>
  </si>
  <si>
    <t>Melting_Curves/meltCurve_Q8NCN5_PDPR.pdf</t>
  </si>
  <si>
    <t>Melting_Curves/meltCurve_Q8NCW5_APOA1BP.pdf</t>
  </si>
  <si>
    <t>Melting_Curves/meltCurve_Q8ND24_RNF214.pdf</t>
  </si>
  <si>
    <t>Melting_Curves/meltCurve_Q8ND56_2_LSM14A.pdf</t>
  </si>
  <si>
    <t>Melting_Curves/meltCurve_Q8ND76_3_CCNY.pdf</t>
  </si>
  <si>
    <t>Melting_Curves/meltCurve_Q8NDC0_MAPK1IP1L.pdf</t>
  </si>
  <si>
    <t>Melting_Curves/meltCurve_Q8NDH3_5_NPEPL1.pdf</t>
  </si>
  <si>
    <t>Melting_Curves/meltCurve_Q8NDI1_3_EHBP1.pdf</t>
  </si>
  <si>
    <t>Melting_Curves/meltCurve_Q8NDZ4_C3orf58.pdf</t>
  </si>
  <si>
    <t>Melting_Curves/meltCurve_Q8NE01_CNNM3.pdf</t>
  </si>
  <si>
    <t>Melting_Curves/meltCurve_Q8NE62_CHDH.pdf</t>
  </si>
  <si>
    <t>Melting_Curves/meltCurve_Q8NE71_2_ABCF1.pdf</t>
  </si>
  <si>
    <t>Melting_Curves/meltCurve_Q8NE86_3_MCU.pdf</t>
  </si>
  <si>
    <t>Melting_Curves/meltCurve_Q8NEC6_MTMR1.pdf</t>
  </si>
  <si>
    <t>Melting_Curves/meltCurve_Q8NEC7_GSTCD.pdf</t>
  </si>
  <si>
    <t>Melting_Curves/meltCurve_Q8NEN9_PDZD8.pdf</t>
  </si>
  <si>
    <t>Melting_Curves/meltCurve_Q8NEU8_APPL2.pdf</t>
  </si>
  <si>
    <t>Melting_Curves/meltCurve_Q8NEZ5_FBXO22.pdf</t>
  </si>
  <si>
    <t>Melting_Curves/meltCurve_Q8NF37_LPCAT1.pdf</t>
  </si>
  <si>
    <t>Melting_Curves/meltCurve_Q8NF67_.pdf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</si>
  <si>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</si>
  <si>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</si>
  <si>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</si>
  <si>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</si>
  <si>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</si>
  <si>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Melting_Curves/meltCurve_Q8NFH8_4_REPS2.pdf</t>
  </si>
  <si>
    <t>Melting_Curves/meltCurve_Q8NFI3_ENGASE.pdf</t>
  </si>
  <si>
    <t>Melting_Curves/meltCurve_Q8NFP7_NUDT10.pdf</t>
  </si>
  <si>
    <t>Melting_Curves/meltCurve_Q8NFQ8_TOR1AIP2.pdf</t>
  </si>
  <si>
    <t>Melting_Curves/meltCurve_Q8NFU5_IPMK.pdf</t>
  </si>
  <si>
    <t>Melting_Curves/meltCurve_Q8NFV4_ABHD11.pdf</t>
  </si>
  <si>
    <t>Melting_Curves/meltCurve_Q8NFX7_2_STXBP6.pdf</t>
  </si>
  <si>
    <t>Melting_Curves/meltCurve_Q8NFZ4_NLGN2.pdf</t>
  </si>
  <si>
    <t>Melting_Curves/meltCurve_Q8NFZ8_CADM4.pdf</t>
  </si>
  <si>
    <t>Melting_Curves/meltCurve_Q8NG08_HELB.pdf</t>
  </si>
  <si>
    <t>Melting_Curves/meltCurve_Q8NG31_2_CASC5.pdf</t>
  </si>
  <si>
    <t>Melting_Curves/meltCurve_Q8NG68_TTL.pdf</t>
  </si>
  <si>
    <t>Melting_Curves/meltCurve_Q8NHG7_SVIP.pdf</t>
  </si>
  <si>
    <t>Melting_Curves/meltCurve_Q8NHG8_ZNRF2.pdf</t>
  </si>
  <si>
    <t>Melting_Curves/meltCurve_Q8NHP8_PLBD2.pdf</t>
  </si>
  <si>
    <t>Melting_Curves/meltCurve_Q8NHU6_TDRD7.pdf</t>
  </si>
  <si>
    <t>Melting_Curves/meltCurve_Q8NHV1_GIMAP7.pdf</t>
  </si>
  <si>
    <t>Melting_Curves/meltCurve_Q8NHV4_NEDD1.pdf</t>
  </si>
  <si>
    <t>Melting_Curves/meltCurve_Q8NHZ8_CDC26.pdf</t>
  </si>
  <si>
    <t>Melting_Curves/meltCurve_Q8NI27_THOC2.pdf</t>
  </si>
  <si>
    <t>Melting_Curves/meltCurve_Q8NI37_PPTC7.pdf</t>
  </si>
  <si>
    <t>Melting_Curves/meltCurve_Q8NI60_ADCK3.pdf</t>
  </si>
  <si>
    <t>Melting_Curves/meltCurve_Q8TAA5_GRPEL2.pdf</t>
  </si>
  <si>
    <t>Melting_Curves/meltCurve_Q8TAE6_PPP1R14C.pdf</t>
  </si>
  <si>
    <t>Melting_Curves/meltCurve_Q8TAE8_GADD45GIP1.pdf</t>
  </si>
  <si>
    <t>Melting_Curves/meltCurve_Q8TAP8_PPP1R35.pdf</t>
  </si>
  <si>
    <t>Melting_Curves/meltCurve_Q8TAT6_NPLOC4.pdf</t>
  </si>
  <si>
    <t>Melting_Curves/meltCurve_Q8TB03_CXorf38.pdf</t>
  </si>
  <si>
    <t>Melting_Curves/meltCurve_Q8TB36_GDAP1.pdf</t>
  </si>
  <si>
    <t>Melting_Curves/meltCurve_Q8TB37_NUBPL.pdf</t>
  </si>
  <si>
    <t>Melting_Curves/meltCurve_Q8TB52_FBXO30.pdf</t>
  </si>
  <si>
    <t>Melting_Curves/meltCurve_Q8TB61_3_SLC35B2.pdf</t>
  </si>
  <si>
    <t>Melting_Curves/meltCurve_Q8TB72_3_PUM2.pdf</t>
  </si>
  <si>
    <t>Melting_Curves/meltCurve_Q8TBA6_2_GOLGA5.pdf</t>
  </si>
  <si>
    <t>Melting_Curves/meltCurve_Q8TBB5_3_KLHDC4.pdf</t>
  </si>
  <si>
    <t>Melting_Curves/meltCurve_Q8TBC4_UBA3.pdf</t>
  </si>
  <si>
    <t>Melting_Curves/meltCurve_Q8TBE9_NANP.pdf</t>
  </si>
  <si>
    <t>Melting_Curves/meltCurve_Q8TBP6_SLC25A40.pdf</t>
  </si>
  <si>
    <t>Melting_Curves/meltCurve_Q8TBX8_PIP4K2C.pdf</t>
  </si>
  <si>
    <t>Melting_Curves/meltCurve_Q8TBZ6_TRMT10A.pdf</t>
  </si>
  <si>
    <t>Melting_Curves/meltCurve_Q8TC07_2_TBC1D15.pdf</t>
  </si>
  <si>
    <t>Melting_Curves/meltCurve_Q8TC12_RDH11.pdf</t>
  </si>
  <si>
    <t>Melting_Curves/meltCurve_Q8TC26_TMEM163.pdf</t>
  </si>
  <si>
    <t>Melting_Curves/meltCurve_Q8TC71_2_SPATA18.pdf</t>
  </si>
  <si>
    <t>Melting_Curves/meltCurve_Q8TCD1_C18orf32.pdf</t>
  </si>
  <si>
    <t>Melting_Curves/meltCurve_Q8TCD5_NT5C.pdf</t>
  </si>
  <si>
    <t>Melting_Curves/meltCurve_Q8TCG1_KIAA1524.pdf</t>
  </si>
  <si>
    <t>Melting_Curves/meltCurve_Q8TCJ2_STT3B.pdf</t>
  </si>
  <si>
    <t>Melting_Curves/meltCurve_Q8TCS8_PNPT1.pdf</t>
  </si>
  <si>
    <t>Melting_Curves/meltCurve_Q8TCT9_5_HM13.pdf</t>
  </si>
  <si>
    <t>Melting_Curves/meltCurve_Q8TD16_BICD2.pdf</t>
  </si>
  <si>
    <t>Melting_Curves/meltCurve_Q8TD19_NEK9.pdf</t>
  </si>
  <si>
    <t>Melting_Curves/meltCurve_Q8TD30_GPT2.pdf</t>
  </si>
  <si>
    <t>Melting_Curves/meltCurve_Q8TD55_2_PLEKHO2.pdf</t>
  </si>
  <si>
    <t>Melting_Curves/meltCurve_Q8TDD1_DDX54.pdf</t>
  </si>
  <si>
    <t>Melting_Curves/meltCurve_Q8TDH9_BLOC1S5.pdf</t>
  </si>
  <si>
    <t>Melting_Curves/meltCurve_Q8TDQ7_GNPDA2.pdf</t>
  </si>
  <si>
    <t>Melting_Curves/meltCurve_Q8TDX7_NEK7.pdf</t>
  </si>
  <si>
    <t>Melting_Curves/meltCurve_Q8TDY2_2_RB1CC1.pdf</t>
  </si>
  <si>
    <t>Melting_Curves/meltCurve_Q8TDZ2_MICAL1.pdf</t>
  </si>
  <si>
    <t>Melting_Curves/meltCurve_Q8TE04_2_PANK1.pdf</t>
  </si>
  <si>
    <t>Melting_Curves/meltCurve_Q8TE77_SSH3.pdf</t>
  </si>
  <si>
    <t>Melting_Curves/meltCurve_Q8TEA1_NSUN6.pdf</t>
  </si>
  <si>
    <t>Melting_Curves/meltCurve_Q8TEA8_DTD1.pdf</t>
  </si>
  <si>
    <t>Melting_Curves/meltCurve_Q8TEB7_2_RNF128.pdf</t>
  </si>
  <si>
    <t>Melting_Curves/meltCurve_Q8TEH3_DENND1A.pdf</t>
  </si>
  <si>
    <t>Melting_Curves/meltCurve_Q8TEM1_NUP210.pdf</t>
  </si>
  <si>
    <t>Melting_Curves/meltCurve_Q8TEQ6_GEMIN5.pdf</t>
  </si>
  <si>
    <t>Melting_Curves/meltCurve_Q8TEQ8_2_PIGO.pdf</t>
  </si>
  <si>
    <t>Melting_Curves/meltCurve_Q8TEW0_4_PARD3.pdf</t>
  </si>
  <si>
    <t>Melting_Curves/meltCurve_Q8TEX9_IPO4.pdf</t>
  </si>
  <si>
    <t>Melting_Curves/meltCurve_Q8TEY7_2_USP33.pdf</t>
  </si>
  <si>
    <t>Melting_Curves/meltCurve_Q8TF01_PNISR.pdf</t>
  </si>
  <si>
    <t>Melting_Curves/meltCurve_Q8TF05_2_PPP4R1.pdf</t>
  </si>
  <si>
    <t>Melting_Curves/meltCurve_Q8TF71_SLC16A10.pdf</t>
  </si>
  <si>
    <t>Melting_Curves/meltCurve_Q8TF74_WIPF2.pdf</t>
  </si>
  <si>
    <t>Melting_Curves/meltCurve_Q8WTR2_2_DUSP19.pdf</t>
  </si>
  <si>
    <t>Melting_Curves/meltCurve_Q8WTS1_ABHD5.pdf</t>
  </si>
  <si>
    <t>Melting_Curves/meltCurve_Q8WTS6_SETD7.pdf</t>
  </si>
  <si>
    <t>Melting_Curves/meltCurve_Q8WTW3_COG1.pdf</t>
  </si>
  <si>
    <t>Melting_Curves/meltCurve_Q8WU58_FAM222B.pdf</t>
  </si>
  <si>
    <t>Melting_Curves/meltCurve_Q8WU68_3_U2AF1L4.pdf</t>
  </si>
  <si>
    <t>Melting_Curves/meltCurve_Q8WU79_2_SMAP2.pdf</t>
  </si>
  <si>
    <t>Melting_Curves/meltCurve_Q8WU90_ZC3H15.pdf</t>
  </si>
  <si>
    <t>Melting_Curves/meltCurve_Q8WUA2_PPIL4.pdf</t>
  </si>
  <si>
    <t>Melting_Curves/meltCurve_Q8WUB8_3_PHF10.pdf</t>
  </si>
  <si>
    <t>Melting_Curves/meltCurve_Q8WUD1_RAB2B.pdf</t>
  </si>
  <si>
    <t>Melting_Curves/meltCurve_Q8WUD6_CHPT1.pdf</t>
  </si>
  <si>
    <t>Melting_Curves/meltCurve_Q8WUF5_PPP1R13L.pdf</t>
  </si>
  <si>
    <t>Melting_Curves/meltCurve_Q8WUF8_2_FAM172A.pdf</t>
  </si>
  <si>
    <t>Melting_Curves/meltCurve_Q8WUH1_CHURC1.pdf</t>
  </si>
  <si>
    <t>Melting_Curves/meltCurve_Q8WUH6_C12orf23.pdf</t>
  </si>
  <si>
    <t>Melting_Curves/meltCurve_Q8WUJ0_STYX.pdf</t>
  </si>
  <si>
    <t>Melting_Curves/meltCurve_Q8WUK0_PTPMT1.pdf</t>
  </si>
  <si>
    <t>Melting_Curves/meltCurve_Q8WUM0_NUP133.pdf</t>
  </si>
  <si>
    <t>Melting_Curves/meltCurve_Q8WUM4_PDCD6IP.pdf</t>
  </si>
  <si>
    <t>Melting_Curves/meltCurve_Q8WUN7_UBTD2.pdf</t>
  </si>
  <si>
    <t>Melting_Curves/meltCurve_Q8WUP2_FBLIM1.pdf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</si>
  <si>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</si>
  <si>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</si>
  <si>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</si>
  <si>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</si>
  <si>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Melting_Curves/meltCurve_Q8WV22_NSMCE1.pdf</t>
  </si>
  <si>
    <t>Melting_Curves/meltCurve_Q8WV92_MITD1.pdf</t>
  </si>
  <si>
    <t>Melting_Curves/meltCurve_Q8WVC0_LEO1.pdf</t>
  </si>
  <si>
    <t>Melting_Curves/meltCurve_Q8WVD3_RNF138.pdf</t>
  </si>
  <si>
    <t>Melting_Curves/meltCurve_Q8WVE0_N6AMT2.pdf</t>
  </si>
  <si>
    <t>Melting_Curves/meltCurve_Q8WVJ2_NUDCD2.pdf</t>
  </si>
  <si>
    <t>Melting_Curves/meltCurve_Q8WVK2_SNRNP27.pdf</t>
  </si>
  <si>
    <t>Melting_Curves/meltCurve_Q8WVL7_ANKRD49.pdf</t>
  </si>
  <si>
    <t>Melting_Curves/meltCurve_Q8WVM8_SCFD1.pdf</t>
  </si>
  <si>
    <t>Melting_Curves/meltCurve_Q8WVN8_3_UBE2Q2.pdf</t>
  </si>
  <si>
    <t>Melting_Curves/meltCurve_Q8WVT3_TRAPPC12.pdf</t>
  </si>
  <si>
    <t>Melting_Curves/meltCurve_Q8WVX9_FAR1.pdf</t>
  </si>
  <si>
    <t>Melting_Curves/meltCurve_Q8WVY7_UBLCP1.pdf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</si>
  <si>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</si>
  <si>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</si>
  <si>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</si>
  <si>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</si>
  <si>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Melting_Curves/meltCurve_Q8WWC4_C2orf47.pdf</t>
  </si>
  <si>
    <t>Melting_Curves/meltCurve_Q8WWH5_TRUB1.pdf</t>
  </si>
  <si>
    <t>Melting_Curves/meltCurve_Q8WWI5_SLC44A1.pdf</t>
  </si>
  <si>
    <t>Melting_Curves/meltCurve_Q8WWM7_ATXN2L.pdf</t>
  </si>
  <si>
    <t>Melting_Curves/meltCurve_Q8WWV3_RTN4IP1.pdf</t>
  </si>
  <si>
    <t>Melting_Curves/meltCurve_Q8WWX9_SELM.pdf</t>
  </si>
  <si>
    <t>Melting_Curves/meltCurve_Q8WX92_NELFB.pdf</t>
  </si>
  <si>
    <t>Melting_Curves/meltCurve_Q8WX93_3_PALLD.pdf</t>
  </si>
  <si>
    <t>Melting_Curves/meltCurve_Q8WXA3_RUFY2.pdf</t>
  </si>
  <si>
    <t>Melting_Curves/meltCurve_Q8WXA9_2_SREK1.pdf</t>
  </si>
  <si>
    <t>Melting_Curves/meltCurve_Q8WXD5_GEMIN6.pdf</t>
  </si>
  <si>
    <t>Melting_Curves/meltCurve_Q8WXE0_CASKIN2.pdf</t>
  </si>
  <si>
    <t>Melting_Curves/meltCurve_Q8WXE1_2_ATRIP.pdf</t>
  </si>
  <si>
    <t>Melting_Curves/meltCurve_Q8WXF1_PSPC1.pdf</t>
  </si>
  <si>
    <t>Melting_Curves/meltCurve_Q8WXI9_GATAD2B.pdf</t>
  </si>
  <si>
    <t>Melting_Curves/meltCurve_Q8WXX5_DNAJC9.pdf</t>
  </si>
  <si>
    <t>Melting_Curves/meltCurve_Q8WY22_BRI3BP.pdf</t>
  </si>
  <si>
    <t>Melting_Curves/meltCurve_Q8WY54_2_PPM1E.pdf</t>
  </si>
  <si>
    <t>Melting_Curves/meltCurve_Q8WY91_THAP4.pdf</t>
  </si>
  <si>
    <t>Melting_Curves/meltCurve_Q8WYA6_3_CTNNBL1.pdf</t>
  </si>
  <si>
    <t>Melting_Curves/meltCurve_Q8WYP5_AHCTF1.pdf</t>
  </si>
  <si>
    <t>Melting_Curves/meltCurve_Q8WZ82_OVCA2.pdf</t>
  </si>
  <si>
    <t>Melting_Curves/meltCurve_Q8WZA9_IRGQ.pdf</t>
  </si>
  <si>
    <t>Melting_Curves/meltCurve_Q92466_4_DDB2.pdf</t>
  </si>
  <si>
    <t>Melting_Curves/meltCurve_Q92499_DDX1.pdf</t>
  </si>
  <si>
    <t>Melting_Curves/meltCurve_Q92506_HSD17B8.pdf</t>
  </si>
  <si>
    <t>Melting_Curves/meltCurve_Q92520_FAM3C.pdf</t>
  </si>
  <si>
    <t>Melting_Curves/meltCurve_Q92522_H1FX.pdf</t>
  </si>
  <si>
    <t>Melting_Curves/meltCurve_Q92526_3_CCT6B.pdf</t>
  </si>
  <si>
    <t>Melting_Curves/meltCurve_Q92538_GBF1.pdf</t>
  </si>
  <si>
    <t>Melting_Curves/meltCurve_Q92541_RTF1.pdf</t>
  </si>
  <si>
    <t>Melting_Curves/meltCurve_Q92544_TM9SF4.pdf</t>
  </si>
  <si>
    <t>Melting_Curves/meltCurve_Q92547_TOPBP1.pdf</t>
  </si>
  <si>
    <t>Melting_Curves/meltCurve_Q92552_MRPS27.pdf</t>
  </si>
  <si>
    <t>Melting_Curves/meltCurve_Q92558_WASF1.pdf</t>
  </si>
  <si>
    <t>Melting_Curves/meltCurve_Q92572_AP3S1.pdf</t>
  </si>
  <si>
    <t>Melting_Curves/meltCurve_Q92575_UBXN4.pdf</t>
  </si>
  <si>
    <t>Melting_Curves/meltCurve_Q92576_2_PHF3.pdf</t>
  </si>
  <si>
    <t>Melting_Curves/meltCurve_Q92581_3_SLC9A6.pdf</t>
  </si>
  <si>
    <t>Melting_Curves/meltCurve_Q92585_MAML1.pdf</t>
  </si>
  <si>
    <t>Melting_Curves/meltCurve_Q92597_NDRG1.pdf</t>
  </si>
  <si>
    <t>Melting_Curves/meltCurve_Q92598_2_HSPH1.pdf</t>
  </si>
  <si>
    <t>Melting_Curves/meltCurve_Q92604_LPGAT1.pdf</t>
  </si>
  <si>
    <t>Melting_Curves/meltCurve_Q92615_LARP4B.pdf</t>
  </si>
  <si>
    <t>Melting_Curves/meltCurve_Q92616_GCN1L1.pdf</t>
  </si>
  <si>
    <t>Melting_Curves/meltCurve_Q92620_DHX38.pdf</t>
  </si>
  <si>
    <t>Melting_Curves/meltCurve_Q92621_NUP205.pdf</t>
  </si>
  <si>
    <t>Melting_Curves/meltCurve_Q92623_TTC9.pdf</t>
  </si>
  <si>
    <t>Melting_Curves/meltCurve_Q92625_ANKS1A.pdf</t>
  </si>
  <si>
    <t>Melting_Curves/meltCurve_Q92665_MRPS31.pdf</t>
  </si>
  <si>
    <t>Melting_Curves/meltCurve_Q92667_AKAP1.pdf</t>
  </si>
  <si>
    <t>Melting_Curves/meltCurve_Q92686_NRGN.pdf</t>
  </si>
  <si>
    <t>Melting_Curves/meltCurve_Q92688_ANP32B.pdf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</si>
  <si>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</si>
  <si>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</si>
  <si>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</si>
  <si>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</si>
  <si>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</si>
  <si>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</si>
  <si>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Melting_Curves/meltCurve_Q92783_2_STAM.pdf</t>
  </si>
  <si>
    <t>Melting_Curves/meltCurve_Q92793_2_CREBBP.pdf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</si>
  <si>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</si>
  <si>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</si>
  <si>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</si>
  <si>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</si>
  <si>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Melting_Curves/meltCurve_Q92834_4_RPGR.pdf</t>
  </si>
  <si>
    <t>Melting_Curves/meltCurve_Q92843_2_BCL2L2.pdf</t>
  </si>
  <si>
    <t>Melting_Curves/meltCurve_Q92845_4_KIFAP3.pdf</t>
  </si>
  <si>
    <t>Melting_Curves/meltCurve_Q92871_PMM1.pdf</t>
  </si>
  <si>
    <t>Melting_Curves/meltCurve_Q92878_RAD50.pdf</t>
  </si>
  <si>
    <t>Melting_Curves/meltCurve_Q92882_OSTF1.pdf</t>
  </si>
  <si>
    <t>Melting_Curves/meltCurve_Q92888_3_ARHGEF1.pdf</t>
  </si>
  <si>
    <t>Melting_Curves/meltCurve_Q92889_ERCC4.pdf</t>
  </si>
  <si>
    <t>Melting_Curves/meltCurve_Q92890_UFD1L.pdf</t>
  </si>
  <si>
    <t>Melting_Curves/meltCurve_Q92896_GLG1.pdf</t>
  </si>
  <si>
    <t>Melting_Curves/meltCurve_Q92900_2_UPF1.pdf</t>
  </si>
  <si>
    <t>Melting_Curves/meltCurve_Q92905_COPS5.pdf</t>
  </si>
  <si>
    <t>Melting_Curves/meltCurve_Q92917_GPKOW.pdf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</si>
  <si>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</si>
  <si>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</si>
  <si>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</si>
  <si>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</si>
  <si>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Melting_Curves/meltCurve_Q92968_PEX13.pdf</t>
  </si>
  <si>
    <t>Melting_Curves/meltCurve_Q92973_2_TNPO1.pdf</t>
  </si>
  <si>
    <t>Melting_Curves/meltCurve_Q92979_EMG1.pdf</t>
  </si>
  <si>
    <t>Melting_Curves/meltCurve_Q92990_GLMN.pdf</t>
  </si>
  <si>
    <t>Melting_Curves/meltCurve_Q92995_USP13.pdf</t>
  </si>
  <si>
    <t>Melting_Curves/meltCurve_Q93008_1_USP9X.pdf</t>
  </si>
  <si>
    <t>Melting_Curves/meltCurve_Q93015_2_NAT6.pdf</t>
  </si>
  <si>
    <t>Melting_Curves/meltCurve_Q93034_CUL5.pdf</t>
  </si>
  <si>
    <t>Melting_Curves/meltCurve_Q93052_LPP.pdf</t>
  </si>
  <si>
    <t>Melting_Curves/meltCurve_Q93077_HIST1H2AC.pdf</t>
  </si>
  <si>
    <t>Melting_Curves/meltCurve_Q93079_HIST1H2BH.pdf</t>
  </si>
  <si>
    <t>Melting_Curves/meltCurve_Q969E2_2_SCAMP4.pdf</t>
  </si>
  <si>
    <t>Melting_Curves/meltCurve_Q969E4_TCEAL3.pdf</t>
  </si>
  <si>
    <t>Melting_Curves/meltCurve_Q969E8_TSR2.pdf</t>
  </si>
  <si>
    <t>Melting_Curves/meltCurve_Q969F2_2_NKD2.pdf</t>
  </si>
  <si>
    <t>Melting_Curves/meltCurve_Q969G6_RFK.pdf</t>
  </si>
  <si>
    <t>Melting_Curves/meltCurve_Q969H8_C19orf10.pdf</t>
  </si>
  <si>
    <t>Melting_Curves/meltCurve_Q969K3_RNF34.pdf</t>
  </si>
  <si>
    <t>Melting_Curves/meltCurve_Q969M3_YIPF5.pdf</t>
  </si>
  <si>
    <t>Melting_Curves/meltCurve_Q969N2_4_PIGT.pdf</t>
  </si>
  <si>
    <t>Melting_Curves/meltCurve_Q969P0_3_IGSF8.pdf</t>
  </si>
  <si>
    <t>Melting_Curves/meltCurve_Q969Q0_RPL36AL.pdf</t>
  </si>
  <si>
    <t>Melting_Curves/meltCurve_Q969Q5_RAB24.pdf</t>
  </si>
  <si>
    <t>Melting_Curves/meltCurve_Q969S3_ZNF622.pdf</t>
  </si>
  <si>
    <t>Melting_Curves/meltCurve_Q969S9_2_GFM2.pdf</t>
  </si>
  <si>
    <t>Melting_Curves/meltCurve_Q969T7_2_NT5C3B.pdf</t>
  </si>
  <si>
    <t>Melting_Curves/meltCurve_Q969U7_PSMG2.pdf</t>
  </si>
  <si>
    <t>Melting_Curves/meltCurve_Q969V3_2_NCLN.pdf</t>
  </si>
  <si>
    <t>Melting_Curves/meltCurve_Q969X5_2_ERGIC1.pdf</t>
  </si>
  <si>
    <t>Melting_Curves/meltCurve_Q969Y2_3_GTPBP3.pdf</t>
  </si>
  <si>
    <t>Melting_Curves/meltCurve_Q969Z0_TBRG4.pdf</t>
  </si>
  <si>
    <t>Melting_Curves/meltCurve_Q96A19_CCDC102A.pdf</t>
  </si>
  <si>
    <t>Melting_Curves/meltCurve_Q96A33_CCDC47.pdf</t>
  </si>
  <si>
    <t>Melting_Curves/meltCurve_Q96A49_SYAP1.pdf</t>
  </si>
  <si>
    <t>Melting_Curves/meltCurve_Q96A65_EXOC4.pdf</t>
  </si>
  <si>
    <t>Melting_Curves/meltCurve_Q96A73_KIAA1191.pdf</t>
  </si>
  <si>
    <t>Melting_Curves/meltCurve_Q96AB3_ISOC2.pdf</t>
  </si>
  <si>
    <t>Melting_Curves/meltCurve_Q96AB6_NTAN1.pdf</t>
  </si>
  <si>
    <t>Melting_Curves/meltCurve_Q96AC1_FERMT2.pdf</t>
  </si>
  <si>
    <t>Melting_Curves/meltCurve_Q96AD5_PNPLA2.pdf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</si>
  <si>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</si>
  <si>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</si>
  <si>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</si>
  <si>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</si>
  <si>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Melting_Curves/meltCurve_Q96AQ8_MCUR1.pdf</t>
  </si>
  <si>
    <t>Melting_Curves/meltCurve_Q96AT1_KIAA1143.pdf</t>
  </si>
  <si>
    <t>Melting_Curves/meltCurve_Q96AT9_RPE.pdf</t>
  </si>
  <si>
    <t>Melting_Curves/meltCurve_Q96AY3_FKBP10.pdf</t>
  </si>
  <si>
    <t>Melting_Curves/meltCurve_Q96B01_2_RAD51AP1.pdf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</si>
  <si>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</si>
  <si>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</si>
  <si>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</si>
  <si>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</si>
  <si>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</si>
  <si>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Melting_Curves/meltCurve_Q96B70_LENG9.pdf</t>
  </si>
  <si>
    <t>Melting_Curves/meltCurve_Q96B97_SH3KBP1.pdf</t>
  </si>
  <si>
    <t>Melting_Curves/meltCurve_Q96BD8_2_SKA1.pdf</t>
  </si>
  <si>
    <t>Melting_Curves/meltCurve_Q96BF6_NACC2.pdf</t>
  </si>
  <si>
    <t>Melting_Curves/meltCurve_Q96BH1_RNF25.pdf</t>
  </si>
  <si>
    <t>Melting_Curves/meltCurve_Q96BK5_PINX1.pdf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</si>
  <si>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</si>
  <si>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</si>
  <si>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</si>
  <si>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</si>
  <si>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Melting_Curves/meltCurve_Q96BW5_2_PTER.pdf</t>
  </si>
  <si>
    <t>Melting_Curves/meltCurve_Q96BY7_ATG2B.pdf</t>
  </si>
  <si>
    <t>Melting_Curves/meltCurve_Q96BZ8_LENG1.pdf</t>
  </si>
  <si>
    <t>Melting_Curves/meltCurve_Q96C19_EFHD2.pdf</t>
  </si>
  <si>
    <t>Melting_Curves/meltCurve_Q96C23_GALM.pdf</t>
  </si>
  <si>
    <t>Melting_Curves/meltCurve_Q96C34_2_RUNDC1.pdf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</si>
  <si>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</si>
  <si>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</si>
  <si>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</si>
  <si>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</si>
  <si>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Melting_Curves/meltCurve_Q96C92_2_SDCCAG3.pdf</t>
  </si>
  <si>
    <t>Melting_Curves/meltCurve_Q96C92_4_SDCCAG3.pdf</t>
  </si>
  <si>
    <t>Melting_Curves/meltCurve_Q96CB9_4_NSUN4.pdf</t>
  </si>
  <si>
    <t>Melting_Curves/meltCurve_Q96CF2_CHMP4C.pdf</t>
  </si>
  <si>
    <t>Melting_Curves/meltCurve_Q96CG3_TIFA.pdf</t>
  </si>
  <si>
    <t>Melting_Curves/meltCurve_Q96CN7_ISOC1.pdf</t>
  </si>
  <si>
    <t>Melting_Curves/meltCurve_Q96CN9_GCC1.pdf</t>
  </si>
  <si>
    <t>Melting_Curves/meltCurve_Q96CP2_FLYWCH2.pdf</t>
  </si>
  <si>
    <t>Melting_Curves/meltCurve_Q96CS2_HAUS1.pdf</t>
  </si>
  <si>
    <t>Melting_Curves/meltCurve_Q96CS3_FAF2.pdf</t>
  </si>
  <si>
    <t>Melting_Curves/meltCurve_Q96CT7_CCDC124.pdf</t>
  </si>
  <si>
    <t>Melting_Curves/meltCurve_Q96CU9_3_FOXRED1.pdf</t>
  </si>
  <si>
    <t>Melting_Curves/meltCurve_Q96CV9_3_OPTN.pdf</t>
  </si>
  <si>
    <t>Melting_Curves/meltCurve_Q96CW1_2_AP2M1.pdf</t>
  </si>
  <si>
    <t>Melting_Curves/meltCurve_Q96CW5_2_TUBGCP3.pdf</t>
  </si>
  <si>
    <t>Melting_Curves/meltCurve_Q96CW6_SLC7A6OS.pdf</t>
  </si>
  <si>
    <t>Melting_Curves/meltCurve_Q96CX2_KCTD12.pdf</t>
  </si>
  <si>
    <t>Melting_Curves/meltCurve_Q96CX6_LRRC58.pdf</t>
  </si>
  <si>
    <t>Melting_Curves/meltCurve_Q96D05_C10orf35.pdf</t>
  </si>
  <si>
    <t>Melting_Curves/meltCurve_Q96D53_ADCK4.pdf</t>
  </si>
  <si>
    <t>Melting_Curves/meltCurve_Q96D71_3_REPS1.pdf</t>
  </si>
  <si>
    <t>Melting_Curves/meltCurve_Q96DA2_RAB39B.pdf</t>
  </si>
  <si>
    <t>Melting_Curves/meltCurve_Q96DA6_2_DNAJC19.pdf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</si>
  <si>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</si>
  <si>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</si>
  <si>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</si>
  <si>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</si>
  <si>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Melting_Curves/meltCurve_Q96DR7_ARHGEF26.pdf</t>
  </si>
  <si>
    <t>Melting_Curves/meltCurve_Q96DT6_ATG4C.pdf</t>
  </si>
  <si>
    <t>Melting_Curves/meltCurve_Q96DT7_2_ZBTB10.pdf</t>
  </si>
  <si>
    <t>Melting_Curves/meltCurve_Q96DU7_ITPKC.pdf</t>
  </si>
  <si>
    <t>Melting_Curves/meltCurve_Q96DX7_TRIM44.pdf</t>
  </si>
  <si>
    <t>Melting_Curves/meltCurve_Q96DZ1_2_ERLEC1.pdf</t>
  </si>
  <si>
    <t>Melting_Curves/meltCurve_Q96E09_FAM122A.pdf</t>
  </si>
  <si>
    <t>Melting_Curves/meltCurve_Q96E11_3_MRRF.pdf</t>
  </si>
  <si>
    <t>Melting_Curves/meltCurve_Q96E22_NUS1.pdf</t>
  </si>
  <si>
    <t>Melting_Curves/meltCurve_Q96E52_OMA1.pdf</t>
  </si>
  <si>
    <t>Melting_Curves/meltCurve_Q96EA4_SPDL1.pdf</t>
  </si>
  <si>
    <t>Melting_Curves/meltCurve_Q96EB6_SIRT1.pdf</t>
  </si>
  <si>
    <t>Melting_Curves/meltCurve_Q96EC8_YIPF6.pdf</t>
  </si>
  <si>
    <t>Melting_Curves/meltCurve_Q96EE3_SEH1L.pdf</t>
  </si>
  <si>
    <t>Melting_Curves/meltCurve_Q96EH3_MALSU1.pdf</t>
  </si>
  <si>
    <t>Melting_Curves/meltCurve_Q96EI5_TCEAL4.pdf</t>
  </si>
  <si>
    <t>Melting_Curves/meltCurve_Q96EK5_KIAA1279.pdf</t>
  </si>
  <si>
    <t>Melting_Curves/meltCurve_Q96EK6_GNPNAT1.pdf</t>
  </si>
  <si>
    <t>Melting_Curves/meltCurve_Q96EK9_KTI12.pdf</t>
  </si>
  <si>
    <t>Melting_Curves/meltCurve_Q96EL3_MRPL53.pdf</t>
  </si>
  <si>
    <t>Melting_Curves/meltCurve_Q96EM0_L3HYPDH.pdf</t>
  </si>
  <si>
    <t>Melting_Curves/meltCurve_Q96EP5_DAZAP1.pdf</t>
  </si>
  <si>
    <t>Melting_Curves/meltCurve_Q96EQ0_SGTB.pdf</t>
  </si>
  <si>
    <t>Melting_Curves/meltCurve_Q96ER3_SAAL1.pdf</t>
  </si>
  <si>
    <t>Melting_Curves/meltCurve_Q96ER9_CCDC51.pdf</t>
  </si>
  <si>
    <t>Melting_Curves/meltCurve_Q96EU6_RRP36.pdf</t>
  </si>
  <si>
    <t>Melting_Curves/meltCurve_Q96EU7_C1GALT1C1.pdf</t>
  </si>
  <si>
    <t>Melting_Curves/meltCurve_Q96EV2_RBM33.pdf</t>
  </si>
  <si>
    <t>Melting_Curves/meltCurve_Q96EV8_DTNBP1.pdf</t>
  </si>
  <si>
    <t>Melting_Curves/meltCurve_Q96EX3_WDR34.pdf</t>
  </si>
  <si>
    <t>Melting_Curves/meltCurve_Q96EY1_DNAJA3.pdf</t>
  </si>
  <si>
    <t>Melting_Curves/meltCurve_Q96EY5_MVB12A.pdf</t>
  </si>
  <si>
    <t>Melting_Curves/meltCurve_Q96EY8_MMAB.pdf</t>
  </si>
  <si>
    <t>Melting_Curves/meltCurve_Q96EY9_ADAT3.pdf</t>
  </si>
  <si>
    <t>Melting_Curves/meltCurve_Q96F10_SAT2.pdf</t>
  </si>
  <si>
    <t>Melting_Curves/meltCurve_Q96F24_2_NRBF2.pdf</t>
  </si>
  <si>
    <t>Melting_Curves/meltCurve_Q96F44_3_TRIM11.pdf</t>
  </si>
  <si>
    <t>Melting_Curves/meltCurve_Q96F45_ZNF503.pdf</t>
  </si>
  <si>
    <t>Melting_Curves/meltCurve_Q96F46_IL17RA.pdf</t>
  </si>
  <si>
    <t>Melting_Curves/meltCurve_Q96F63_CCDC97.pdf</t>
  </si>
  <si>
    <t>Melting_Curves/meltCurve_Q96F86_EDC3.pdf</t>
  </si>
  <si>
    <t>Melting_Curves/meltCurve_Q96FC9_4_DDX11.pdf</t>
  </si>
  <si>
    <t>Melting_Curves/meltCurve_Q96FH0_2_MEF2BNB.pdf</t>
  </si>
  <si>
    <t>Melting_Curves/meltCurve_Q96FJ0_STAMBPL1.pdf</t>
  </si>
  <si>
    <t>Melting_Curves/meltCurve_Q96FK6_WDR89.pdf</t>
  </si>
  <si>
    <t>Melting_Curves/meltCurve_Q96FN4_CPNE2.pdf</t>
  </si>
  <si>
    <t>Melting_Curves/meltCurve_Q96FV9_THOC1.pdf</t>
  </si>
  <si>
    <t>Melting_Curves/meltCurve_Q96FX7_TRMT61A.pdf</t>
  </si>
  <si>
    <t>Melting_Curves/meltCurve_Q96FZ2_C3orf37.pdf</t>
  </si>
  <si>
    <t>Melting_Curves/meltCurve_Q96FZ7_CHMP6.pdf</t>
  </si>
  <si>
    <t>Melting_Curves/meltCurve_Q96G03_PGM2.pdf</t>
  </si>
  <si>
    <t>Melting_Curves/meltCurve_Q96G23_CERS2.pdf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</si>
  <si>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</si>
  <si>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</si>
  <si>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</si>
  <si>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</si>
  <si>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Melting_Curves/meltCurve_Q96G74_3_OTUD5.pdf</t>
  </si>
  <si>
    <t>Melting_Curves/meltCurve_Q96GA7_SDSL.pdf</t>
  </si>
  <si>
    <t>Melting_Curves/meltCurve_Q96GD0_PDXP.pdf</t>
  </si>
  <si>
    <t>Melting_Curves/meltCurve_Q96GF1_RNF185.pdf</t>
  </si>
  <si>
    <t>Melting_Curves/meltCurve_Q96GG9_DCUN1D1.pdf</t>
  </si>
  <si>
    <t>Melting_Curves/meltCurve_Q96GK7_FAHD2A.pdf</t>
  </si>
  <si>
    <t>Melting_Curves/meltCurve_Q96GP6_2_SCARF2.pdf</t>
  </si>
  <si>
    <t>Melting_Curves/meltCurve_Q96GS4_C17orf59.pdf</t>
  </si>
  <si>
    <t>Melting_Curves/meltCurve_Q96GW9_MARS2.pdf</t>
  </si>
  <si>
    <t>Melting_Curves/meltCurve_Q96GX2_ATXN7L3B.pdf</t>
  </si>
  <si>
    <t>Melting_Curves/meltCurve_Q96GX5_2_MASTL.pdf</t>
  </si>
  <si>
    <t>Melting_Curves/meltCurve_Q96GX9_APIP.pdf</t>
  </si>
  <si>
    <t>Melting_Curves/meltCurve_Q96GY0_ZC2HC1A.pdf</t>
  </si>
  <si>
    <t>Melting_Curves/meltCurve_Q96H20_SNF8.pdf</t>
  </si>
  <si>
    <t>Melting_Curves/meltCurve_Q96H55_3_MYO19.pdf</t>
  </si>
  <si>
    <t>Melting_Curves/meltCurve_Q96H79_ZC3HAV1L.pdf</t>
  </si>
  <si>
    <t>Melting_Curves/meltCurve_Q96HA1_2_POM121.pdf</t>
  </si>
  <si>
    <t>Melting_Curves/meltCurve_Q96HA4_4_C1orf159.pdf</t>
  </si>
  <si>
    <t>Melting_Curves/meltCurve_Q96HC4_PDLIM5.pdf</t>
  </si>
  <si>
    <t>Melting_Curves/meltCurve_Q96HD1_CRELD1.pdf</t>
  </si>
  <si>
    <t>Melting_Curves/meltCurve_Q96HE7_ERO1L.pdf</t>
  </si>
  <si>
    <t>Melting_Curves/meltCurve_Q96HJ9_2_C7orf55.pdf</t>
  </si>
  <si>
    <t>Melting_Curves/meltCurve_Q96HN2_2_AHCYL2.pdf</t>
  </si>
  <si>
    <t>Melting_Curves/meltCurve_Q96HQ2_2_CDKN2AIPNL.pdf</t>
  </si>
  <si>
    <t>Melting_Curves/meltCurve_Q96HW7_2_INTS4.pdf</t>
  </si>
  <si>
    <t>Melting_Curves/meltCurve_Q96HY6_DDRGK1.pdf</t>
  </si>
  <si>
    <t>Melting_Curves/meltCurve_Q96I15_SCLY.pdf</t>
  </si>
  <si>
    <t>Melting_Curves/meltCurve_Q96I24_FUBP3.pdf</t>
  </si>
  <si>
    <t>Melting_Curves/meltCurve_Q96I25_RBM17.pdf</t>
  </si>
  <si>
    <t>Melting_Curves/meltCurve_Q96I36_COX14.pdf</t>
  </si>
  <si>
    <t>Melting_Curves/meltCurve_Q96I51_WBSCR16.pdf</t>
  </si>
  <si>
    <t>Melting_Curves/meltCurve_Q96I59_NARS2.pdf</t>
  </si>
  <si>
    <t>Melting_Curves/meltCurve_Q96I82_2_KAZALD1.pdf</t>
  </si>
  <si>
    <t>Melting_Curves/meltCurve_Q96I99_SUCLG2.pdf</t>
  </si>
  <si>
    <t>Melting_Curves/meltCurve_Q96IF1_AJUBA.pdf</t>
  </si>
  <si>
    <t>Melting_Curves/meltCurve_Q96IJ6_GMPPA.pdf</t>
  </si>
  <si>
    <t>Melting_Curves/meltCurve_Q96IK1_BOD1.pdf</t>
  </si>
  <si>
    <t>Melting_Curves/meltCurve_Q96IQ9_2_ZNF414.pdf</t>
  </si>
  <si>
    <t>Melting_Curves/meltCurve_Q96IU4_ABHD14B.pdf</t>
  </si>
  <si>
    <t>Melting_Curves/meltCurve_Q96IV0_3_NGLY1.pdf</t>
  </si>
  <si>
    <t>Melting_Curves/meltCurve_Q96IX5_USMG5.pdf</t>
  </si>
  <si>
    <t>Melting_Curves/meltCurve_Q96IY1_NSL1.pdf</t>
  </si>
  <si>
    <t>Melting_Curves/meltCurve_Q96IZ0_PAWR.pdf</t>
  </si>
  <si>
    <t>Melting_Curves/meltCurve_Q96IZ7_2_RSRC1.pdf</t>
  </si>
  <si>
    <t>Melting_Curves/meltCurve_Q96J01_THOC3.pdf</t>
  </si>
  <si>
    <t>Melting_Curves/meltCurve_Q96J02_2_ITCH.pdf</t>
  </si>
  <si>
    <t>Melting_Curves/meltCurve_Q96J84_KIRREL.pdf</t>
  </si>
  <si>
    <t>Melting_Curves/meltCurve_Q96JA1_LRIG1.pdf</t>
  </si>
  <si>
    <t>Melting_Curves/meltCurve_Q96JB5_2_CDK5RAP3.pdf</t>
  </si>
  <si>
    <t>Melting_Curves/meltCurve_Q96JC1_2_VPS39.pdf</t>
  </si>
  <si>
    <t>Melting_Curves/meltCurve_Q96JC9_EAF1.pdf</t>
  </si>
  <si>
    <t>Melting_Curves/meltCurve_Q96JG6_3_CCDC132.pdf</t>
  </si>
  <si>
    <t>Melting_Curves/meltCurve_Q96JH7_VCPIP1.pdf</t>
  </si>
  <si>
    <t>Melting_Curves/meltCurve_Q96JJ7_TMX3.pdf</t>
  </si>
  <si>
    <t>Melting_Curves/meltCurve_Q96JM3_CHAMP1.pdf</t>
  </si>
  <si>
    <t>Melting_Curves/meltCurve_Q96JP5_ZFP91.pdf</t>
  </si>
  <si>
    <t>Melting_Curves/meltCurve_Q96JQ2_CLMN.pdf</t>
  </si>
  <si>
    <t>Melting_Curves/meltCurve_Q96JY6_PDLIM2.pdf</t>
  </si>
  <si>
    <t>Melting_Curves/meltCurve_Q96K31_C8orf76.pdf</t>
  </si>
  <si>
    <t>Melting_Curves/meltCurve_Q96KA5_2_CLPTM1L.pdf</t>
  </si>
  <si>
    <t>Melting_Curves/meltCurve_Q96KB5_PBK.pdf</t>
  </si>
  <si>
    <t>Melting_Curves/meltCurve_Q96KC2_ARL5B.pdf</t>
  </si>
  <si>
    <t>Melting_Curves/meltCurve_Q96KC8_DNAJC1.pdf</t>
  </si>
  <si>
    <t>Melting_Curves/meltCurve_Q96KN1_FAM84B.pdf</t>
  </si>
  <si>
    <t>Melting_Curves/meltCurve_Q96KP1_EXOC2.pdf</t>
  </si>
  <si>
    <t>Melting_Curves/meltCurve_Q96KP4_CNDP2.pdf</t>
  </si>
  <si>
    <t>Melting_Curves/meltCurve_Q96KR1_ZFR.pdf</t>
  </si>
  <si>
    <t>Melting_Curves/meltCurve_Q96L35_EPHB4.pdf</t>
  </si>
  <si>
    <t>Melting_Curves/meltCurve_Q96L91_4_EP400.pdf</t>
  </si>
  <si>
    <t>Melting_Curves/meltCurve_Q96L92_3_SNX27.pdf</t>
  </si>
  <si>
    <t>Melting_Curves/meltCurve_Q96L93_6_KIF16B.pdf</t>
  </si>
  <si>
    <t>Melting_Curves/meltCurve_Q96LA8_2_PRMT6.pdf</t>
  </si>
  <si>
    <t>Melting_Curves/meltCurve_Q96LB3_IFT74.pdf</t>
  </si>
  <si>
    <t>Melting_Curves/meltCurve_Q96LR5_UBE2E2.pdf</t>
  </si>
  <si>
    <t>Melting_Curves/meltCurve_Q96M27_PRRC1.pdf</t>
  </si>
  <si>
    <t>Melting_Curves/meltCurve_Q96ME1_4_FBXL18.pdf</t>
  </si>
  <si>
    <t>Melting_Curves/meltCurve_Q96MG7_NDNL2.pdf</t>
  </si>
  <si>
    <t>Melting_Curves/meltCurve_Q96MH2_HEXIM2.pdf</t>
  </si>
  <si>
    <t>Melting_Curves/meltCurve_Q96N21_2_ENTHD2.pdf</t>
  </si>
  <si>
    <t>Melting_Curves/meltCurve_Q96N66_2_MBOAT7.pdf</t>
  </si>
  <si>
    <t>Melting_Curves/meltCurve_Q96NB1_FOPNL.pdf</t>
  </si>
  <si>
    <t>Melting_Curves/meltCurve_Q96NB2_SFXN2.pdf</t>
  </si>
  <si>
    <t>Melting_Curves/meltCurve_Q96NB3_ZNF830.pdf</t>
  </si>
  <si>
    <t>Melting_Curves/meltCurve_Q96NC0_ZMAT2.pdf</t>
  </si>
  <si>
    <t>Melting_Curves/meltCurve_Q96NL1_TMEM74.pdf</t>
  </si>
  <si>
    <t>Melting_Curves/meltCurve_Q96NL8_C8orf37.pdf</t>
  </si>
  <si>
    <t>Melting_Curves/meltCurve_Q96P11_2_NSUN5.pdf</t>
  </si>
  <si>
    <t>Melting_Curves/meltCurve_Q96P16_3_RPRD1A.pdf</t>
  </si>
  <si>
    <t>Melting_Curves/meltCurve_Q96P47_AGAP3.pdf</t>
  </si>
  <si>
    <t>Melting_Curves/meltCurve_Q96P48_3_ARAP1.pdf</t>
  </si>
  <si>
    <t>Melting_Curves/meltCurve_Q96P50_ACAP3.pdf</t>
  </si>
  <si>
    <t>Melting_Curves/meltCurve_Q96P70_IPO9.pdf</t>
  </si>
  <si>
    <t>Melting_Curves/meltCurve_Q96PE7_MCEE.pdf</t>
  </si>
  <si>
    <t>Melting_Curves/meltCurve_Q96PG8_BBC3.pdf</t>
  </si>
  <si>
    <t>Melting_Curves/meltCurve_Q96PK6_RBM14.pdf</t>
  </si>
  <si>
    <t>Melting_Curves/meltCurve_Q96PM5_RCHY1.pdf</t>
  </si>
  <si>
    <t>Melting_Curves/meltCurve_Q96PU5_2_NEDD4L.pdf</t>
  </si>
  <si>
    <t>Melting_Curves/meltCurve_Q96PU8_QKI.pdf</t>
  </si>
  <si>
    <t>Melting_Curves/meltCurve_Q96PZ0_PUS7.pdf</t>
  </si>
  <si>
    <t>Melting_Curves/meltCurve_Q96Q11_2_TRNT1.pdf</t>
  </si>
  <si>
    <t>Melting_Curves/meltCurve_Q96Q83_ALKBH3.pdf</t>
  </si>
  <si>
    <t>Melting_Curves/meltCurve_Q96QC0_PPP1R10.pdf</t>
  </si>
  <si>
    <t>Melting_Curves/meltCurve_Q96QD5_2_DEPDC7.pdf</t>
  </si>
  <si>
    <t>Melting_Curves/meltCurve_Q96QK1_VPS35.pdf</t>
  </si>
  <si>
    <t>Melting_Curves/meltCurve_Q96QR8_PURB.pdf</t>
  </si>
  <si>
    <t>Melting_Curves/meltCurve_Q96QU8_XPO6.pdf</t>
  </si>
  <si>
    <t>Melting_Curves/meltCurve_Q96R06_SPAG5.pdf</t>
  </si>
  <si>
    <t>Melting_Curves/meltCurve_Q96RD7_2_PANX1.pdf</t>
  </si>
  <si>
    <t>Melting_Curves/meltCurve_Q96RE7_NACC1.pdf</t>
  </si>
  <si>
    <t>Melting_Curves/meltCurve_Q96RF0_3_SNX18.pdf</t>
  </si>
  <si>
    <t>Melting_Curves/meltCurve_Q96RG2_PASK.pdf</t>
  </si>
  <si>
    <t>Melting_Curves/meltCurve_Q96RP9_GFM1.pdf</t>
  </si>
  <si>
    <t>Melting_Curves/meltCurve_Q96RR1_PEO1.pdf</t>
  </si>
  <si>
    <t>Melting_Curves/meltCurve_Q96RR4_2_CAMKK2.pdf</t>
  </si>
  <si>
    <t>Melting_Curves/meltCurve_Q96RS6_NUDCD1.pdf</t>
  </si>
  <si>
    <t>Melting_Curves/meltCurve_Q96RT1_7_ERBB2IP.pdf</t>
  </si>
  <si>
    <t>Melting_Curves/meltCurve_Q96RU2_2_USP28.pdf</t>
  </si>
  <si>
    <t>Melting_Curves/meltCurve_Q96RU3_4_FNBP1.pdf</t>
  </si>
  <si>
    <t>Melting_Curves/meltCurve_Q96S19_C16orf13.pdf</t>
  </si>
  <si>
    <t>Melting_Curves/meltCurve_Q96S38_2_RPS6KC1.pdf</t>
  </si>
  <si>
    <t>Melting_Curves/meltCurve_Q96S44_TP53RK.pdf</t>
  </si>
  <si>
    <t>Melting_Curves/meltCurve_Q96S52_PIGS.pdf</t>
  </si>
  <si>
    <t>Melting_Curves/meltCurve_Q96S55_2_WRNIP1.pdf</t>
  </si>
  <si>
    <t>Melting_Curves/meltCurve_Q96S59_RANBP9.pdf</t>
  </si>
  <si>
    <t>Melting_Curves/meltCurve_Q96S66_CLCC1.pdf</t>
  </si>
  <si>
    <t>Melting_Curves/meltCurve_Q96S90_2_LYSMD1.pdf</t>
  </si>
  <si>
    <t>Melting_Curves/meltCurve_Q96S99_PLEKHF1.pdf</t>
  </si>
  <si>
    <t>Melting_Curves/meltCurve_Q96SB3_PPP1R9B.pdf</t>
  </si>
  <si>
    <t>Melting_Curves/meltCurve_Q96SI1_KCTD15.pdf</t>
  </si>
  <si>
    <t>Melting_Curves/meltCurve_Q96SK2_2_TMEM209.pdf</t>
  </si>
  <si>
    <t>Melting_Curves/meltCurve_Q96ST2_IWS1.pdf</t>
  </si>
  <si>
    <t>Melting_Curves/meltCurve_Q96ST3_SIN3A.pdf</t>
  </si>
  <si>
    <t>Melting_Curves/meltCurve_Q96SZ5_ADO.pdf</t>
  </si>
  <si>
    <t>Melting_Curves/meltCurve_Q96SZ6_2_CDK5RAP1.pdf</t>
  </si>
  <si>
    <t>Melting_Curves/meltCurve_Q96T51_RUFY1.pdf</t>
  </si>
  <si>
    <t>Melting_Curves/meltCurve_Q96T58_SPEN.pdf</t>
  </si>
  <si>
    <t>Melting_Curves/meltCurve_Q96T76_9_MMS19.pdf</t>
  </si>
  <si>
    <t>Melting_Curves/meltCurve_Q96TA1_2_FAM129B.pdf</t>
  </si>
  <si>
    <t>Melting_Curves/meltCurve_Q96TA2_3_YME1L1.pdf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</si>
  <si>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</si>
  <si>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</si>
  <si>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</si>
  <si>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</si>
  <si>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Melting_Curves/meltCurve_Q99442_SEC62.pdf</t>
  </si>
  <si>
    <t>Melting_Curves/meltCurve_Q99447_PCYT2.pdf</t>
  </si>
  <si>
    <t>Melting_Curves/meltCurve_Q99459_CDC5L.pdf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</si>
  <si>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</si>
  <si>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</si>
  <si>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</si>
  <si>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</si>
  <si>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</si>
  <si>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</si>
  <si>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Melting_Curves/meltCurve_Q99504_2_EYA3.pdf</t>
  </si>
  <si>
    <t>Melting_Curves/meltCurve_Q99519_NEU1.pdf</t>
  </si>
  <si>
    <t>Melting_Curves/meltCurve_Q99523_SORT1.pdf</t>
  </si>
  <si>
    <t>Melting_Curves/meltCurve_Q99536_VAT1.pdf</t>
  </si>
  <si>
    <t>Melting_Curves/meltCurve_Q99543_DNAJC2.pdf</t>
  </si>
  <si>
    <t>Melting_Curves/meltCurve_Q99567_NUP88.pdf</t>
  </si>
  <si>
    <t>Melting_Curves/meltCurve_Q99575_POP1.pdf</t>
  </si>
  <si>
    <t>Melting_Curves/meltCurve_Q99583_MNT.pdf</t>
  </si>
  <si>
    <t>Melting_Curves/meltCurve_Q99584_S100A13.pdf</t>
  </si>
  <si>
    <t>Melting_Curves/meltCurve_Q99595_TIMM17A.pdf</t>
  </si>
  <si>
    <t>Melting_Curves/meltCurve_Q99598_TSNAX.pdf</t>
  </si>
  <si>
    <t>Melting_Curves/meltCurve_Q99611_SEPHS2.pdf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</si>
  <si>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</si>
  <si>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</si>
  <si>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</si>
  <si>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</si>
  <si>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Melting_Curves/meltCurve_Q99623_PHB2.pdf</t>
  </si>
  <si>
    <t>Melting_Curves/meltCurve_Q99633_PRPF18.pdf</t>
  </si>
  <si>
    <t>Melting_Curves/meltCurve_Q99640_3_PKMYT1.pdf</t>
  </si>
  <si>
    <t>Melting_Curves/meltCurve_Q99653_CHP1.pdf</t>
  </si>
  <si>
    <t>Melting_Curves/meltCurve_Q99661_KIF2C.pdf</t>
  </si>
  <si>
    <t>Melting_Curves/meltCurve_Q99704_DOK1.pdf</t>
  </si>
  <si>
    <t>Melting_Curves/meltCurve_Q99707_MTR.pdf</t>
  </si>
  <si>
    <t>Melting_Curves/meltCurve_Q99714_HSD17B10.pdf</t>
  </si>
  <si>
    <t>Melting_Curves/meltCurve_Q99720_4_SIGMAR1.pdf</t>
  </si>
  <si>
    <t>Melting_Curves/meltCurve_Q99729_3_HNRNPAB.pdf</t>
  </si>
  <si>
    <t>Melting_Curves/meltCurve_Q99733_NAP1L4.pdf</t>
  </si>
  <si>
    <t>Melting_Curves/meltCurve_Q99735_2_MGST2.pdf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</si>
  <si>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</si>
  <si>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</si>
  <si>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</si>
  <si>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</si>
  <si>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</si>
  <si>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Melting_Curves/meltCurve_Q99805_TM9SF2.pdf</t>
  </si>
  <si>
    <t>Melting_Curves/meltCurve_Q99807_COQ7.pdf</t>
  </si>
  <si>
    <t>Melting_Curves/meltCurve_Q99816_TSG101.pdf</t>
  </si>
  <si>
    <t>Melting_Curves/meltCurve_Q99832_CCT7.pdf</t>
  </si>
  <si>
    <t>Melting_Curves/meltCurve_Q99856_ARID3A.pdf</t>
  </si>
  <si>
    <t>Melting_Curves/meltCurve_Q99878_HIST1H2AJ.pdf</t>
  </si>
  <si>
    <t>Melting_Curves/meltCurve_Q99952_2_PTPN18.pdf</t>
  </si>
  <si>
    <t>Melting_Curves/meltCurve_Q99956_DUSP9.pdf</t>
  </si>
  <si>
    <t>Melting_Curves/meltCurve_Q99961_SH3GL1.pdf</t>
  </si>
  <si>
    <t>Melting_Curves/meltCurve_Q99963_4_SH3GL3.pdf</t>
  </si>
  <si>
    <t>Melting_Curves/meltCurve_Q99986_VRK1.pdf</t>
  </si>
  <si>
    <t>Melting_Curves/meltCurve_Q9BPU6_DPYSL5.pdf</t>
  </si>
  <si>
    <t>Melting_Curves/meltCurve_Q9BPW8_NIPSNAP1.pdf</t>
  </si>
  <si>
    <t>Melting_Curves/meltCurve_Q9BPX3_NCAPG.pdf</t>
  </si>
  <si>
    <t>Melting_Curves/meltCurve_Q9BPX5_ARPC5L.pdf</t>
  </si>
  <si>
    <t>Melting_Curves/meltCurve_Q9BPX7_C7orf25.pdf</t>
  </si>
  <si>
    <t>Melting_Curves/meltCurve_Q9BPZ3_PAIP2.pdf</t>
  </si>
  <si>
    <t>Melting_Curves/meltCurve_Q9BQ52_ELAC2.pdf</t>
  </si>
  <si>
    <t>Melting_Curves/meltCurve_Q9BQ61_C19orf43.pdf</t>
  </si>
  <si>
    <t>Melting_Curves/meltCurve_Q9BQ69_MACROD1.pdf</t>
  </si>
  <si>
    <t>Melting_Curves/meltCurve_Q9BQ70_TCF25.pdf</t>
  </si>
  <si>
    <t>Melting_Curves/meltCurve_Q9BQ95_ECSIT.pdf</t>
  </si>
  <si>
    <t>Melting_Curves/meltCurve_Q9BQC3_DPH2.pdf</t>
  </si>
  <si>
    <t>Melting_Curves/meltCurve_Q9BQG0_MYBBP1A.pdf</t>
  </si>
  <si>
    <t>Melting_Curves/meltCurve_Q9BQI3_2_EIF2AK1.pdf</t>
  </si>
  <si>
    <t>Melting_Curves/meltCurve_Q9BQP7_MGME1.pdf</t>
  </si>
  <si>
    <t>Melting_Curves/meltCurve_Q9BQS8_FYCO1.pdf</t>
  </si>
  <si>
    <t>Melting_Curves/meltCurve_Q9BQT8_2_SLC25A21.pdf</t>
  </si>
  <si>
    <t>Melting_Curves/meltCurve_Q9BR61_ACBD6.pdf</t>
  </si>
  <si>
    <t>Melting_Curves/meltCurve_Q9BR76_CORO1B.pdf</t>
  </si>
  <si>
    <t>Melting_Curves/meltCurve_Q9BRA2_TXNDC17.pdf</t>
  </si>
  <si>
    <t>Melting_Curves/meltCurve_Q9BRD0_2_BUD13.pdf</t>
  </si>
  <si>
    <t>Melting_Curves/meltCurve_Q9BRF8_CPPED1.pdf</t>
  </si>
  <si>
    <t>Melting_Curves/meltCurve_Q9BRG1_VPS25.pdf</t>
  </si>
  <si>
    <t>Melting_Curves/meltCurve_Q9BRJ2_MRPL45.pdf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</si>
  <si>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</si>
  <si>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</si>
  <si>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</si>
  <si>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</si>
  <si>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Melting_Curves/meltCurve_Q9BRR6_2_ADPGK.pdf</t>
  </si>
  <si>
    <t>Melting_Curves/meltCurve_Q9BRS2_RIOK1.pdf</t>
  </si>
  <si>
    <t>Melting_Curves/meltCurve_Q9BRT2_MNF1.pdf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</si>
  <si>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</si>
  <si>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</si>
  <si>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</si>
  <si>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</si>
  <si>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Melting_Curves/meltCurve_Q9BS26_ERP44.pdf</t>
  </si>
  <si>
    <t>Melting_Curves/meltCurve_Q9BS40_LXN.pdf</t>
  </si>
  <si>
    <t>Melting_Curves/meltCurve_Q9BSB4_ATG101.pdf</t>
  </si>
  <si>
    <t>Melting_Curves/meltCurve_Q9BSD7_NTPCR.pdf</t>
  </si>
  <si>
    <t>Melting_Curves/meltCurve_Q9BSF4_C19orf52.pdf</t>
  </si>
  <si>
    <t>Melting_Curves/meltCurve_Q9BSH4_TACO1.pdf</t>
  </si>
  <si>
    <t>Melting_Curves/meltCurve_Q9BSH5_HDHD3.pdf</t>
  </si>
  <si>
    <t>Melting_Curves/meltCurve_Q9BSJ2_TUBGCP2.pdf</t>
  </si>
  <si>
    <t>Melting_Curves/meltCurve_Q9BSJ5_3_C17orf80.pdf</t>
  </si>
  <si>
    <t>Melting_Curves/meltCurve_Q9BSJ8_ESYT1.pdf</t>
  </si>
  <si>
    <t>Melting_Curves/meltCurve_Q9BSK2_SLC25A33.pdf</t>
  </si>
  <si>
    <t>Melting_Curves/meltCurve_Q9BSK4_FEM1A.pdf</t>
  </si>
  <si>
    <t>Melting_Curves/meltCurve_Q9BSL1_UBAC1.pdf</t>
  </si>
  <si>
    <t>Melting_Curves/meltCurve_Q9BSR8_YIPF4.pdf</t>
  </si>
  <si>
    <t>Melting_Curves/meltCurve_Q9BST9_2_RTKN.pdf</t>
  </si>
  <si>
    <t>Melting_Curves/meltCurve_Q9BSU1_C16orf70.pdf</t>
  </si>
  <si>
    <t>Melting_Curves/meltCurve_Q9BSV6_TSEN34.pdf</t>
  </si>
  <si>
    <t>Melting_Curves/meltCurve_Q9BSY4_CHCHD5.pdf</t>
  </si>
  <si>
    <t>Melting_Curves/meltCurve_Q9BT09_CNPY3.pdf</t>
  </si>
  <si>
    <t>Melting_Curves/meltCurve_Q9BT17_MTG1.pdf</t>
  </si>
  <si>
    <t>Melting_Curves/meltCurve_Q9BT22_ALG1.pdf</t>
  </si>
  <si>
    <t>Melting_Curves/meltCurve_Q9BT23_LIMD2.pdf</t>
  </si>
  <si>
    <t>Melting_Curves/meltCurve_Q9BT30_ALKBH7.pdf</t>
  </si>
  <si>
    <t>Melting_Curves/meltCurve_Q9BT73_PSMG3.pdf</t>
  </si>
  <si>
    <t>Melting_Curves/meltCurve_Q9BT78_COPS4.pdf</t>
  </si>
  <si>
    <t>Melting_Curves/meltCurve_Q9BTA9_5_WAC.pdf</t>
  </si>
  <si>
    <t>Melting_Curves/meltCurve_Q9BTC0_DIDO1.pdf</t>
  </si>
  <si>
    <t>Melting_Curves/meltCurve_Q9BTE3_2_MCMBP.pdf</t>
  </si>
  <si>
    <t>Melting_Curves/meltCurve_Q9BTE6_AARSD1.pdf</t>
  </si>
  <si>
    <t>Melting_Curves/meltCurve_Q9BTE7_DCUN1D5.pdf</t>
  </si>
  <si>
    <t>Melting_Curves/meltCurve_Q9BTL3_FAM103A1.pdf</t>
  </si>
  <si>
    <t>Melting_Curves/meltCurve_Q9BTT0_ANP32E.pdf</t>
  </si>
  <si>
    <t>Melting_Curves/meltCurve_Q9BTT6_LRRC1.pdf</t>
  </si>
  <si>
    <t>Melting_Curves/meltCurve_Q9BTU6_PI4K2A.pdf</t>
  </si>
  <si>
    <t>Melting_Curves/meltCurve_Q9BTV5_FSD1.pdf</t>
  </si>
  <si>
    <t>Melting_Curves/meltCurve_Q9BTY2_FUCA2.pdf</t>
  </si>
  <si>
    <t>Melting_Curves/meltCurve_Q9BTY7_FAM203A.pdf</t>
  </si>
  <si>
    <t>Melting_Curves/meltCurve_Q9BTZ2_8_DHRS4.pdf</t>
  </si>
  <si>
    <t>Melting_Curves/meltCurve_Q9BU02_THTPA.pdf</t>
  </si>
  <si>
    <t>Melting_Curves/meltCurve_Q9BU23_3_LMF2.pdf</t>
  </si>
  <si>
    <t>Melting_Curves/meltCurve_Q9BU61_NDUFAF3.pdf</t>
  </si>
  <si>
    <t>Melting_Curves/meltCurve_Q9BU76_2_MMTAG2.pdf</t>
  </si>
  <si>
    <t>Melting_Curves/meltCurve_Q9BU89_DOHH.pdf</t>
  </si>
  <si>
    <t>Melting_Curves/meltCurve_Q9BUA3_C11orf84.pdf</t>
  </si>
  <si>
    <t>Melting_Curves/meltCurve_Q9BUB4_ADAT1.pdf</t>
  </si>
  <si>
    <t>Melting_Curves/meltCurve_Q9BUB7_2_TMEM70.pdf</t>
  </si>
  <si>
    <t>Melting_Curves/meltCurve_Q9BUE0_MED18.pdf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</si>
  <si>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</si>
  <si>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</si>
  <si>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</si>
  <si>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</si>
  <si>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Melting_Curves/meltCurve_Q9BUK6_3_MSTO1.pdf</t>
  </si>
  <si>
    <t>Melting_Curves/meltCurve_Q9BUL9_RPP25.pdf</t>
  </si>
  <si>
    <t>Melting_Curves/meltCurve_Q9BUP3_3_HTATIP2.pdf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</si>
  <si>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</si>
  <si>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</si>
  <si>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</si>
  <si>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</si>
  <si>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Melting_Curves/meltCurve_Q9BV20_MRI1.pdf</t>
  </si>
  <si>
    <t>Melting_Curves/meltCurve_Q9BV23_ABHD6.pdf</t>
  </si>
  <si>
    <t>Melting_Curves/meltCurve_Q9BV38_WDR18.pdf</t>
  </si>
  <si>
    <t>Melting_Curves/meltCurve_Q9BV40_VAMP8.pdf</t>
  </si>
  <si>
    <t>Melting_Curves/meltCurve_Q9BV44_THUMPD3.pdf</t>
  </si>
  <si>
    <t>Melting_Curves/meltCurve_Q9BV57_ADI1.pdf</t>
  </si>
  <si>
    <t>Melting_Curves/meltCurve_Q9BV68_2_RNF126.pdf</t>
  </si>
  <si>
    <t>Melting_Curves/meltCurve_Q9BV73_2_CEP250.pdf</t>
  </si>
  <si>
    <t>Melting_Curves/meltCurve_Q9BV79_MECR.pdf</t>
  </si>
  <si>
    <t>Melting_Curves/meltCurve_Q9BV86_NTMT1.pdf</t>
  </si>
  <si>
    <t>Melting_Curves/meltCurve_Q9BVA0_KATNB1.pdf</t>
  </si>
  <si>
    <t>Melting_Curves/meltCurve_Q9BVA1_TUBB2B.pdf</t>
  </si>
  <si>
    <t>Melting_Curves/meltCurve_Q9BVC3_DSCC1.pdf</t>
  </si>
  <si>
    <t>Melting_Curves/meltCurve_Q9BVC4_MLST8.pdf</t>
  </si>
  <si>
    <t>Melting_Curves/meltCurve_Q9BVC6_TMEM109.pdf</t>
  </si>
  <si>
    <t>Melting_Curves/meltCurve_Q9BVG4_PBDC1.pdf</t>
  </si>
  <si>
    <t>Melting_Curves/meltCurve_Q9BVG9_PTDSS2.pdf</t>
  </si>
  <si>
    <t>Melting_Curves/meltCurve_Q9BVJ6_3_UTP14A.pdf</t>
  </si>
  <si>
    <t>Melting_Curves/meltCurve_Q9BVK6_TMED9.pdf</t>
  </si>
  <si>
    <t>Melting_Curves/meltCurve_Q9BVL4_SELO.pdf</t>
  </si>
  <si>
    <t>Melting_Curves/meltCurve_Q9BVM2_DPCD.pdf</t>
  </si>
  <si>
    <t>Melting_Curves/meltCurve_Q9BVM4_GGACT.pdf</t>
  </si>
  <si>
    <t>Melting_Curves/meltCurve_Q9BVN2_2_RUSC1.pdf</t>
  </si>
  <si>
    <t>Melting_Curves/meltCurve_Q9BVP2_2_GNL3.pdf</t>
  </si>
  <si>
    <t>Melting_Curves/meltCurve_Q9BVV7_TIMM21.pdf</t>
  </si>
  <si>
    <t>Melting_Curves/meltCurve_Q9BVW5_TIPIN.pdf</t>
  </si>
  <si>
    <t>Melting_Curves/meltCurve_Q9BW19_KIFC1.pdf</t>
  </si>
  <si>
    <t>Melting_Curves/meltCurve_Q9BW27_NUP85.pdf</t>
  </si>
  <si>
    <t>Melting_Curves/meltCurve_Q9BW30_TPPP3.pdf</t>
  </si>
  <si>
    <t>Melting_Curves/meltCurve_Q9BW60_ELOVL1.pdf</t>
  </si>
  <si>
    <t>Melting_Curves/meltCurve_Q9BW61_DDA1.pdf</t>
  </si>
  <si>
    <t>Melting_Curves/meltCurve_Q9BW62_KATNAL1.pdf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</si>
  <si>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</si>
  <si>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</si>
  <si>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</si>
  <si>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</si>
  <si>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</si>
  <si>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</si>
  <si>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Melting_Curves/meltCurve_Q9BWF3_RBM4.pdf</t>
  </si>
  <si>
    <t>Melting_Curves/meltCurve_Q9BWG6_2_SCNM1.pdf</t>
  </si>
  <si>
    <t>Melting_Curves/meltCurve_Q9BWH2_FUNDC2.pdf</t>
  </si>
  <si>
    <t>Melting_Curves/meltCurve_Q9BWH6_2_RPAP1.pdf</t>
  </si>
  <si>
    <t>Melting_Curves/meltCurve_Q9BWJ5_SF3B5.pdf</t>
  </si>
  <si>
    <t>Melting_Curves/meltCurve_Q9BWM7_SFXN3.pdf</t>
  </si>
  <si>
    <t>Melting_Curves/meltCurve_Q9BWT6_MND1.pdf</t>
  </si>
  <si>
    <t>Melting_Curves/meltCurve_Q9BWT7_CARD10.pdf</t>
  </si>
  <si>
    <t>Melting_Curves/meltCurve_Q9BWU0_SLC4A1AP.pdf</t>
  </si>
  <si>
    <t>Melting_Curves/meltCurve_Q9BX40_LSM14B.pdf</t>
  </si>
  <si>
    <t>Melting_Curves/meltCurve_Q9BX63_BRIP1.pdf</t>
  </si>
  <si>
    <t>Melting_Curves/meltCurve_Q9BX66_9_SORBS1.pdf</t>
  </si>
  <si>
    <t>Melting_Curves/meltCurve_Q9BX67_JAM3.pdf</t>
  </si>
  <si>
    <t>Melting_Curves/meltCurve_Q9BX68_HINT2.pdf</t>
  </si>
  <si>
    <t>Melting_Curves/meltCurve_Q9BX95_SGPP1.pdf</t>
  </si>
  <si>
    <t>Melting_Curves/meltCurve_Q9BXF6_RAB11FIP5.pdf</t>
  </si>
  <si>
    <t>Melting_Curves/meltCurve_Q9BXH1_BBC3.pdf</t>
  </si>
  <si>
    <t>Melting_Curves/meltCurve_Q9BXJ9_NAA15.pdf</t>
  </si>
  <si>
    <t>Melting_Curves/meltCurve_Q9BXK1_KLF16.pdf</t>
  </si>
  <si>
    <t>Melting_Curves/meltCurve_Q9BXP2_SLC12A9.pdf</t>
  </si>
  <si>
    <t>Melting_Curves/meltCurve_Q9BXP5_4_SRRT.pdf</t>
  </si>
  <si>
    <t>Melting_Curves/meltCurve_Q9BXR0_QTRT1.pdf</t>
  </si>
  <si>
    <t>Melting_Curves/meltCurve_Q9BXV9_C14orf142.pdf</t>
  </si>
  <si>
    <t>Melting_Curves/meltCurve_Q9BXW6_OSBPL1A.pdf</t>
  </si>
  <si>
    <t>Melting_Curves/meltCurve_Q9BXW7_2_CECR5.pdf</t>
  </si>
  <si>
    <t>Melting_Curves/meltCurve_Q9BXW9_2_FANCD2.pdf</t>
  </si>
  <si>
    <t>Melting_Curves/meltCurve_Q9BY27_DGCR6L.pdf</t>
  </si>
  <si>
    <t>Melting_Curves/meltCurve_Q9BY32_ITPA.pdf</t>
  </si>
  <si>
    <t>Melting_Curves/meltCurve_Q9BY77_POLDIP3.pdf</t>
  </si>
  <si>
    <t>Melting_Curves/meltCurve_Q9BYB4_GNB1L.pdf</t>
  </si>
  <si>
    <t>Melting_Curves/meltCurve_Q9BYG5_PARD6B.pdf</t>
  </si>
  <si>
    <t>Melting_Curves/meltCurve_Q9BYM8_RBCK1.pdf</t>
  </si>
  <si>
    <t>Melting_Curves/meltCurve_Q9BYP7_3_WNK3.pdf</t>
  </si>
  <si>
    <t>Melting_Curves/meltCurve_Q9BYT3_STK33.pdf</t>
  </si>
  <si>
    <t>Melting_Curves/meltCurve_Q9BYT8_NLN.pdf</t>
  </si>
  <si>
    <t>Melting_Curves/meltCurve_Q9BYV8_CEP41.pdf</t>
  </si>
  <si>
    <t>Melting_Curves/meltCurve_Q9BYW2_SETD2.pdf</t>
  </si>
  <si>
    <t>Melting_Curves/meltCurve_Q9BZ23_3_PANK2.pdf</t>
  </si>
  <si>
    <t>Melting_Curves/meltCurve_Q9BZ67_2_FRMD8.pdf</t>
  </si>
  <si>
    <t>Melting_Curves/meltCurve_Q9BZD4_NUF2.pdf</t>
  </si>
  <si>
    <t>Melting_Curves/meltCurve_Q9BZE2_PUS3.pdf</t>
  </si>
  <si>
    <t>Melting_Curves/meltCurve_Q9BZE9_ASPSCR1.pdf</t>
  </si>
  <si>
    <t>Melting_Curves/meltCurve_Q9BZK7_TBL1XR1.pdf</t>
  </si>
  <si>
    <t>Melting_Curves/meltCurve_Q9BZL1_UBL5.pdf</t>
  </si>
  <si>
    <t>Melting_Curves/meltCurve_Q9BZM1_PLA2G12A.pdf</t>
  </si>
  <si>
    <t>Melting_Curves/meltCurve_Q9BZM4_ULBP3.pdf</t>
  </si>
  <si>
    <t>Melting_Curves/meltCurve_Q9BZM5_ULBP2.pdf</t>
  </si>
  <si>
    <t>Melting_Curves/meltCurve_Q9BZX2_UCK2.pdf</t>
  </si>
  <si>
    <t>Melting_Curves/meltCurve_Q9BZZ5_API5.pdf</t>
  </si>
  <si>
    <t>Melting_Curves/meltCurve_Q9BZZ5_2_API5.pdf</t>
  </si>
  <si>
    <t>Melting_Curves/meltCurve_Q9C005_DPY30.pdf</t>
  </si>
  <si>
    <t>Melting_Curves/meltCurve_Q9C037_2_TRIM4.pdf</t>
  </si>
  <si>
    <t>Melting_Curves/meltCurve_Q9C040_TRIM2.pdf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</si>
  <si>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</si>
  <si>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</si>
  <si>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</si>
  <si>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</si>
  <si>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</si>
  <si>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Melting_Curves/meltCurve_Q9C0C4_SEMA4C.pdf</t>
  </si>
  <si>
    <t>Melting_Curves/meltCurve_Q9C0C7_4_AMBRA1.pdf</t>
  </si>
  <si>
    <t>Melting_Curves/meltCurve_Q9C0C9_UBE2O.pdf</t>
  </si>
  <si>
    <t>Melting_Curves/meltCurve_Q9C0D3_ZYG11B.pdf</t>
  </si>
  <si>
    <t>Melting_Curves/meltCurve_Q9C0D5_2_TANC1.pdf</t>
  </si>
  <si>
    <t>Melting_Curves/meltCurve_Q9C0F1_CEP44.pdf</t>
  </si>
  <si>
    <t>Melting_Curves/meltCurve_Q9C0H2_2_TTYH3.pdf</t>
  </si>
  <si>
    <t>Melting_Curves/meltCurve_Q9C0I1_3_MTMR12.pdf</t>
  </si>
  <si>
    <t>Melting_Curves/meltCurve_Q9GZL7_WDR12.pdf</t>
  </si>
  <si>
    <t>Melting_Curves/meltCurve_Q9GZN1_ACTR6.pdf</t>
  </si>
  <si>
    <t>Melting_Curves/meltCurve_Q9GZN8_2_C20orf27.pdf</t>
  </si>
  <si>
    <t>Melting_Curves/meltCurve_Q9GZP4_PITHD1.pdf</t>
  </si>
  <si>
    <t>Melting_Curves/meltCurve_Q9GZP9_DERL2.pdf</t>
  </si>
  <si>
    <t>Melting_Curves/meltCurve_Q9GZS3_WDR61.pdf</t>
  </si>
  <si>
    <t>Melting_Curves/meltCurve_Q9GZT3_SLIRP.pdf</t>
  </si>
  <si>
    <t>Melting_Curves/meltCurve_Q9GZT4_SRR.pdf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</si>
  <si>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</si>
  <si>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</si>
  <si>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</si>
  <si>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</si>
  <si>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</si>
  <si>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Melting_Curves/meltCurve_Q9GZY8_MFF.pdf</t>
  </si>
  <si>
    <t>Melting_Curves/meltCurve_Q9GZY8_2_MFF.pdf</t>
  </si>
  <si>
    <t>Melting_Curves/meltCurve_Q9GZZ9_UBA5.pdf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</si>
  <si>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</si>
  <si>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</si>
  <si>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</si>
  <si>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</si>
  <si>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Melting_Curves/meltCurve_Q9H082_RAB33B.pdf</t>
  </si>
  <si>
    <t>Melting_Curves/meltCurve_Q9H089_LSG1.pdf</t>
  </si>
  <si>
    <t>Melting_Curves/meltCurve_Q9H098_FAM107B.pdf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</si>
  <si>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</si>
  <si>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</si>
  <si>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</si>
  <si>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</si>
  <si>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Melting_Curves/meltCurve_Q9H0E9_2_BRD8.pdf</t>
  </si>
  <si>
    <t>Melting_Curves/meltCurve_Q9H0G5_NSRP1.pdf</t>
  </si>
  <si>
    <t>Melting_Curves/meltCurve_Q9H0H5_RACGAP1.pdf</t>
  </si>
  <si>
    <t>Melting_Curves/meltCurve_Q9H0K6_PUS7L.pdf</t>
  </si>
  <si>
    <t>Melting_Curves/meltCurve_Q9H0L4_CSTF2T.pdf</t>
  </si>
  <si>
    <t>Melting_Curves/meltCurve_Q9H0P0_NT5C3A.pdf</t>
  </si>
  <si>
    <t>Melting_Curves/meltCurve_Q9H0R4_HDHD2.pdf</t>
  </si>
  <si>
    <t>Melting_Curves/meltCurve_Q9H0R6_QRSL1.pdf</t>
  </si>
  <si>
    <t>Melting_Curves/meltCurve_Q9H0U3_MAGT1.pdf</t>
  </si>
  <si>
    <t>Melting_Curves/meltCurve_Q9H0U4_RAB1B.pdf</t>
  </si>
  <si>
    <t>Melting_Curves/meltCurve_Q9H0V1_TMEM168.pdf</t>
  </si>
  <si>
    <t>Melting_Curves/meltCurve_Q9H0V9_LMAN2L.pdf</t>
  </si>
  <si>
    <t>Melting_Curves/meltCurve_Q9H0W9_C11orf54.pdf</t>
  </si>
  <si>
    <t>Melting_Curves/meltCurve_Q9H0X4_ITFG3.pdf</t>
  </si>
  <si>
    <t>Melting_Curves/meltCurve_Q9H173_SIL1.pdf</t>
  </si>
  <si>
    <t>Melting_Curves/meltCurve_Q9H1B7_IRF2BPL.pdf</t>
  </si>
  <si>
    <t>Melting_Curves/meltCurve_Q9H1E3_NUCKS1.pdf</t>
  </si>
  <si>
    <t>Melting_Curves/meltCurve_Q9H1K0_ZFYVE20.pdf</t>
  </si>
  <si>
    <t>Melting_Curves/meltCurve_Q9H1K1_ISCU.pdf</t>
  </si>
  <si>
    <t>Melting_Curves/meltCurve_Q9H1P3_2_OSBPL2.pdf</t>
  </si>
  <si>
    <t>Melting_Curves/meltCurve_Q9H1X3_DNAJC25.pdf</t>
  </si>
  <si>
    <t>Melting_Curves/meltCurve_Q9H1Y0_ATG5.pdf</t>
  </si>
  <si>
    <t>Melting_Curves/meltCurve_Q9H1Z4_WDR13.pdf</t>
  </si>
  <si>
    <t>Melting_Curves/meltCurve_Q9H211_CDT1.pdf</t>
  </si>
  <si>
    <t>Melting_Curves/meltCurve_Q9H223_EHD4.pdf</t>
  </si>
  <si>
    <t>Melting_Curves/meltCurve_Q9H246_C1orf21.pdf</t>
  </si>
  <si>
    <t>Melting_Curves/meltCurve_Q9H267_VPS33B.pdf</t>
  </si>
  <si>
    <t>Melting_Curves/meltCurve_Q9H270_VPS11.pdf</t>
  </si>
  <si>
    <t>Melting_Curves/meltCurve_Q9H2C0_GAN.pdf</t>
  </si>
  <si>
    <t>Melting_Curves/meltCurve_Q9H2D6_5_TRIOBP.pdf</t>
  </si>
  <si>
    <t>Melting_Curves/meltCurve_Q9H2G2_2_SLK.pdf</t>
  </si>
  <si>
    <t>Melting_Curves/meltCurve_Q9H2H8_PPIL3.pdf</t>
  </si>
  <si>
    <t>Melting_Curves/meltCurve_Q9H2J7_SLC6A15.pdf</t>
  </si>
  <si>
    <t>Melting_Curves/meltCurve_Q9H2K0_MTIF3.pdf</t>
  </si>
  <si>
    <t>Melting_Curves/meltCurve_Q9H2M9_RAB3GAP2.pdf</t>
  </si>
  <si>
    <t>Melting_Curves/meltCurve_Q9H2P9_3_DPH5.pdf</t>
  </si>
  <si>
    <t>Melting_Curves/meltCurve_Q9H2T7_RANBP17.pdf</t>
  </si>
  <si>
    <t>Melting_Curves/meltCurve_Q9H2U2_PPA2.pdf</t>
  </si>
  <si>
    <t>Melting_Curves/meltCurve_Q9H2W6_MRPL46.pdf</t>
  </si>
  <si>
    <t>Melting_Curves/meltCurve_Q9H300_PARL.pdf</t>
  </si>
  <si>
    <t>Melting_Curves/meltCurve_Q9H307_PNN.pdf</t>
  </si>
  <si>
    <t>Melting_Curves/meltCurve_Q9H330_2_TMEM245.pdf</t>
  </si>
  <si>
    <t>Melting_Curves/meltCurve_Q9H3C7_GGNBP2.pdf</t>
  </si>
  <si>
    <t>Melting_Curves/meltCurve_Q9H3G5_CPVL.pdf</t>
  </si>
  <si>
    <t>Melting_Curves/meltCurve_Q9H3H1_4_TRIT1.pdf</t>
  </si>
  <si>
    <t>Melting_Curves/meltCurve_Q9H3H3_C11orf68.pdf</t>
  </si>
  <si>
    <t>Melting_Curves/meltCurve_Q9H3K6_BOLA2.pdf</t>
  </si>
  <si>
    <t>Melting_Curves/meltCurve_Q9H3N1_TMX1.pdf</t>
  </si>
  <si>
    <t>Melting_Curves/meltCurve_Q9H3P7_ACBD3.pdf</t>
  </si>
  <si>
    <t>Melting_Curves/meltCurve_Q9H3Q1_CDC42EP4.pdf</t>
  </si>
  <si>
    <t>Melting_Curves/meltCurve_Q9H3S7_PTPN23.pdf</t>
  </si>
  <si>
    <t>Melting_Curves/meltCurve_Q9H3U1_UNC45A.pdf</t>
  </si>
  <si>
    <t>Melting_Curves/meltCurve_Q9H3U5_4_MFSD1.pdf</t>
  </si>
  <si>
    <t>Melting_Curves/meltCurve_Q9H3Y8_PPDPF.pdf</t>
  </si>
  <si>
    <t>Melting_Curves/meltCurve_Q9H410_DSN1.pdf</t>
  </si>
  <si>
    <t>Melting_Curves/meltCurve_Q9H425_C1orf198.pdf</t>
  </si>
  <si>
    <t>Melting_Curves/meltCurve_Q9H444_CHMP4B.pdf</t>
  </si>
  <si>
    <t>Melting_Curves/meltCurve_Q9H461_FZD8.pdf</t>
  </si>
  <si>
    <t>Melting_Curves/meltCurve_Q9H467_CUEDC2.pdf</t>
  </si>
  <si>
    <t>Melting_Curves/meltCurve_Q9H469_FBXL15.pdf</t>
  </si>
  <si>
    <t>Melting_Curves/meltCurve_Q9H488_POFUT1.pdf</t>
  </si>
  <si>
    <t>Melting_Curves/meltCurve_Q9H496_IFRG15.pdf</t>
  </si>
  <si>
    <t>Melting_Curves/meltCurve_Q9H4A5_GOLPH3L.pdf</t>
  </si>
  <si>
    <t>Melting_Curves/meltCurve_Q9H4A6_GOLPH3.pdf</t>
  </si>
  <si>
    <t>Melting_Curves/meltCurve_Q9H4B0_OSGEPL1.pdf</t>
  </si>
  <si>
    <t>Melting_Curves/meltCurve_Q9H4H8_FAM83D.pdf</t>
  </si>
  <si>
    <t>Melting_Curves/meltCurve_Q9H4K7_GTPBP5.pdf</t>
  </si>
  <si>
    <t>Melting_Curves/meltCurve_Q9H4L5_2_OSBPL3.pdf</t>
  </si>
  <si>
    <t>Melting_Curves/meltCurve_Q9H4L7_SMARCAD1.pdf</t>
  </si>
  <si>
    <t>Melting_Curves/meltCurve_Q9H4M9_EHD1.pdf</t>
  </si>
  <si>
    <t>Melting_Curves/meltCurve_Q9H4P4_2_RNF41.pdf</t>
  </si>
  <si>
    <t>Melting_Curves/meltCurve_Q9H4Z3_PCIF1.pdf</t>
  </si>
  <si>
    <t>Melting_Curves/meltCurve_Q9H553_ALG2.pdf</t>
  </si>
  <si>
    <t>Melting_Curves/meltCurve_Q9H5J0_ZBTB3.pdf</t>
  </si>
  <si>
    <t>Melting_Curves/meltCurve_Q9H5N1_RABEP2.pdf</t>
  </si>
  <si>
    <t>Melting_Curves/meltCurve_Q9H5Q4_TFB2M.pdf</t>
  </si>
  <si>
    <t>Melting_Curves/meltCurve_Q9H5V9_2_CXorf56.pdf</t>
  </si>
  <si>
    <t>Melting_Curves/meltCurve_Q9H5X1_FAM96A.pdf</t>
  </si>
  <si>
    <t>Melting_Curves/meltCurve_Q9H609_ZNF576.pdf</t>
  </si>
  <si>
    <t>Melting_Curves/meltCurve_Q9H6E4_CCDC134.pdf</t>
  </si>
  <si>
    <t>Melting_Curves/meltCurve_Q9H6F5_CCDC86.pdf</t>
  </si>
  <si>
    <t>Melting_Curves/meltCurve_Q9H6H4_REEP4.pdf</t>
  </si>
  <si>
    <t>Melting_Curves/meltCurve_Q9H6K1_2_C6orf106.pdf</t>
  </si>
  <si>
    <t>Melting_Curves/meltCurve_Q9H6K4_OPA3.pdf</t>
  </si>
  <si>
    <t>Melting_Curves/meltCurve_Q9H6Q4_NARFL.pdf</t>
  </si>
  <si>
    <t>Melting_Curves/meltCurve_Q9H6S0_YTHDC2.pdf</t>
  </si>
  <si>
    <t>Melting_Curves/meltCurve_Q9H6T3_2_RPAP3.pdf</t>
  </si>
  <si>
    <t>Melting_Curves/meltCurve_Q9H6U6_7_BCAS3.pdf</t>
  </si>
  <si>
    <t>Melting_Curves/meltCurve_Q9H6U8_ALG9.pdf</t>
  </si>
  <si>
    <t>Melting_Curves/meltCurve_Q9H6X2_ANTXR1.pdf</t>
  </si>
  <si>
    <t>Melting_Curves/meltCurve_Q9H6Y2_WDR55.pdf</t>
  </si>
  <si>
    <t>Melting_Curves/meltCurve_Q9H773_DCTPP1.pdf</t>
  </si>
  <si>
    <t>Melting_Curves/meltCurve_Q9H7B4_SMYD3.pdf</t>
  </si>
  <si>
    <t>Melting_Curves/meltCurve_Q9H7F0_ATP13A3.pdf</t>
  </si>
  <si>
    <t>Melting_Curves/meltCurve_Q9H7J1_PPP1R3E.pdf</t>
  </si>
  <si>
    <t>Melting_Curves/meltCurve_Q9H7N4_SCAF1.pdf</t>
  </si>
  <si>
    <t>Melting_Curves/meltCurve_Q9H7S9_ZNF703.pdf</t>
  </si>
  <si>
    <t>Melting_Curves/meltCurve_Q9H7X3_ZNF696.pdf</t>
  </si>
  <si>
    <t>Melting_Curves/meltCurve_Q9H7Z6_KAT8.pdf</t>
  </si>
  <si>
    <t>Melting_Curves/meltCurve_Q9H7Z7_PTGES2.pdf</t>
  </si>
  <si>
    <t>Melting_Curves/meltCurve_Q9H813_TMEM206.pdf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</si>
  <si>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</si>
  <si>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</si>
  <si>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</si>
  <si>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</si>
  <si>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</si>
  <si>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Melting_Curves/meltCurve_Q9H8G2_CAAP1.pdf</t>
  </si>
  <si>
    <t>Melting_Curves/meltCurve_Q9H8H0_NOL11.pdf</t>
  </si>
  <si>
    <t>Melting_Curves/meltCurve_Q9H8M7_FAM188A.pdf</t>
  </si>
  <si>
    <t>Melting_Curves/meltCurve_Q9H8S9_MOB1A.pdf</t>
  </si>
  <si>
    <t>Melting_Curves/meltCurve_Q9H8U3_ZFAND3.pdf</t>
  </si>
  <si>
    <t>Melting_Curves/meltCurve_Q9H8W4_PLEKHF2.pdf</t>
  </si>
  <si>
    <t>Melting_Curves/meltCurve_Q9H8Y5_ANKZF1.pdf</t>
  </si>
  <si>
    <t>Melting_Curves/meltCurve_Q9H8Y8_GORASP2.pdf</t>
  </si>
  <si>
    <t>Melting_Curves/meltCurve_Q9H910_2_HN1L.pdf</t>
  </si>
  <si>
    <t>Melting_Curves/meltCurve_Q9H936_SLC25A22.pdf</t>
  </si>
  <si>
    <t>Melting_Curves/meltCurve_Q9H939_PSTPIP2.pdf</t>
  </si>
  <si>
    <t>Melting_Curves/meltCurve_Q9H944_MED20.pdf</t>
  </si>
  <si>
    <t>Melting_Curves/meltCurve_Q9H974_4_QTRTD1.pdf</t>
  </si>
  <si>
    <t>Melting_Curves/meltCurve_Q9H977_WDR54.pdf</t>
  </si>
  <si>
    <t>Melting_Curves/meltCurve_Q9H981_ACTR8.pdf</t>
  </si>
  <si>
    <t>Melting_Curves/meltCurve_Q9H993_C6orf211.pdf</t>
  </si>
  <si>
    <t>Melting_Curves/meltCurve_Q9H9A6_LRRC40.pdf</t>
  </si>
  <si>
    <t>Melting_Curves/meltCurve_Q9H9B1_3_EHMT1.pdf</t>
  </si>
  <si>
    <t>Melting_Curves/meltCurve_Q9H9B4_SFXN1.pdf</t>
  </si>
  <si>
    <t>Melting_Curves/meltCurve_Q9H9F9_ACTR5.pdf</t>
  </si>
  <si>
    <t>Melting_Curves/meltCurve_Q9H9H4_VPS37B.pdf</t>
  </si>
  <si>
    <t>Melting_Curves/meltCurve_Q9H9P8_L2HGDH.pdf</t>
  </si>
  <si>
    <t>Melting_Curves/meltCurve_Q9H9S5_FKRP.pdf</t>
  </si>
  <si>
    <t>Melting_Curves/meltCurve_Q9H9T3_2_ELP3.pdf</t>
  </si>
  <si>
    <t>Melting_Curves/meltCurve_Q9H9V9_2_JMJD4.pdf</t>
  </si>
  <si>
    <t>Melting_Curves/meltCurve_Q9HA47_3_UCK1.pdf</t>
  </si>
  <si>
    <t>Melting_Curves/meltCurve_Q9HA64_FN3KRP.pdf</t>
  </si>
  <si>
    <t>Melting_Curves/meltCurve_Q9HA77_CARS2.pdf</t>
  </si>
  <si>
    <t>Melting_Curves/meltCurve_Q9HAB8_PPCS.pdf</t>
  </si>
  <si>
    <t>Melting_Curves/meltCurve_Q9HAD4_WDR41.pdf</t>
  </si>
  <si>
    <t>Melting_Curves/meltCurve_Q9HAF1_2_MEAF6.pdf</t>
  </si>
  <si>
    <t>Melting_Curves/meltCurve_Q9HAT8_PELI2.pdf</t>
  </si>
  <si>
    <t>Melting_Curves/meltCurve_Q9HAV0_GNB4.pdf</t>
  </si>
  <si>
    <t>Melting_Curves/meltCurve_Q9HAV4_XPO5.pdf</t>
  </si>
  <si>
    <t>Melting_Curves/meltCurve_Q9HAV5_EDA2R.pdf</t>
  </si>
  <si>
    <t>Melting_Curves/meltCurve_Q9HAV7_GRPEL1.pdf</t>
  </si>
  <si>
    <t>Melting_Curves/meltCurve_Q9HB07_C12orf10.pdf</t>
  </si>
  <si>
    <t>Melting_Curves/meltCurve_Q9HB09_BCL2L12.pdf</t>
  </si>
  <si>
    <t>Melting_Curves/meltCurve_Q9HB20_PLEKHA3.pdf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</si>
  <si>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</si>
  <si>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</si>
  <si>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</si>
  <si>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</si>
  <si>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Melting_Curves/meltCurve_Q9HBH1_PDF.pdf</t>
  </si>
  <si>
    <t>Melting_Curves/meltCurve_Q9HBH5_RDH14.pdf</t>
  </si>
  <si>
    <t>Melting_Curves/meltCurve_Q9HBI1_3_PARVB.pdf</t>
  </si>
  <si>
    <t>Melting_Curves/meltCurve_Q9HBK9_AS3MT.pdf</t>
  </si>
  <si>
    <t>Melting_Curves/meltCurve_Q9HBL7_PLGRKT.pdf</t>
  </si>
  <si>
    <t>Melting_Curves/meltCurve_Q9HBM1_SPC25.pdf</t>
  </si>
  <si>
    <t>Melting_Curves/meltCurve_Q9HBM6_TAF9B.pdf</t>
  </si>
  <si>
    <t>Melting_Curves/meltCurve_Q9HBM8_AGPAT1.pdf</t>
  </si>
  <si>
    <t>Melting_Curves/meltCurve_Q9HBN3_POLL.pdf</t>
  </si>
  <si>
    <t>Melting_Curves/meltCurve_Q9HBR0_SLC38A10.pdf</t>
  </si>
  <si>
    <t>Melting_Curves/meltCurve_Q9HC21_SLC25A19.pdf</t>
  </si>
  <si>
    <t>Melting_Curves/meltCurve_Q9HC38_2_GLOD4.pdf</t>
  </si>
  <si>
    <t>Melting_Curves/meltCurve_Q9HC44_GPBP1L1.pdf</t>
  </si>
  <si>
    <t>Melting_Curves/meltCurve_Q9HCC0_MCCC2.pdf</t>
  </si>
  <si>
    <t>Melting_Curves/meltCurve_Q9HCD6_TANC2.pdf</t>
  </si>
  <si>
    <t>Melting_Curves/meltCurve_Q9HCE5_METTL14.pdf</t>
  </si>
  <si>
    <t>Melting_Curves/meltCurve_Q9HCJ3_2_RAVER2.pdf</t>
  </si>
  <si>
    <t>Melting_Curves/meltCurve_Q9HCN4_3_GPN1.pdf</t>
  </si>
  <si>
    <t>Melting_Curves/meltCurve_Q9HCN8_SDF2L1.pdf</t>
  </si>
  <si>
    <t>Melting_Curves/meltCurve_Q9HCU5_PREB.pdf</t>
  </si>
  <si>
    <t>Melting_Curves/meltCurve_Q9HD15_SRA1.pdf</t>
  </si>
  <si>
    <t>Melting_Curves/meltCurve_Q9HD20_2_ATP13A1.pdf</t>
  </si>
  <si>
    <t>Melting_Curves/meltCurve_Q9HD26_2_GOPC.pdf</t>
  </si>
  <si>
    <t>Melting_Curves/meltCurve_Q9HD40_3_SEPSECS.pdf</t>
  </si>
  <si>
    <t>Melting_Curves/meltCurve_Q9HD42_CHMP1A.pdf</t>
  </si>
  <si>
    <t>Melting_Curves/meltCurve_Q9HD45_TM9SF3.pdf</t>
  </si>
  <si>
    <t>Melting_Curves/meltCurve_Q9HD47_2_RANGRF.pdf</t>
  </si>
  <si>
    <t>Melting_Curves/meltCurve_Q9HDC5_JPH1.pdf</t>
  </si>
  <si>
    <t>Melting_Curves/meltCurve_Q9HDC9_APMAP.pdf</t>
  </si>
  <si>
    <t>Melting_Curves/meltCurve_Q9NNW7_2_TXNRD2.pdf</t>
  </si>
  <si>
    <t>Melting_Curves/meltCurve_Q9NNX1_2_TUFT1.pdf</t>
  </si>
  <si>
    <t>Melting_Curves/meltCurve_Q9NP58_4_ABCB6.pdf</t>
  </si>
  <si>
    <t>Melting_Curves/meltCurve_Q9NP61_ARFGAP3.pdf</t>
  </si>
  <si>
    <t>Melting_Curves/meltCurve_Q9NP72_RAB18.pdf</t>
  </si>
  <si>
    <t>Melting_Curves/meltCurve_Q9NP77_SSU72.pdf</t>
  </si>
  <si>
    <t>Melting_Curves/meltCurve_Q9NP79_VTA1.pdf</t>
  </si>
  <si>
    <t>Melting_Curves/meltCurve_Q9NP80_3_PNPLA8.pdf</t>
  </si>
  <si>
    <t>Melting_Curves/meltCurve_Q9NPA0_EMC7.pdf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</si>
  <si>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</si>
  <si>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</si>
  <si>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</si>
  <si>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</si>
  <si>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</si>
  <si>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Melting_Curves/meltCurve_Q9NPF0_CD320.pdf</t>
  </si>
  <si>
    <t>Melting_Curves/meltCurve_Q9NPF4_OSGEP.pdf</t>
  </si>
  <si>
    <t>Melting_Curves/meltCurve_Q9NPG8_ZDHHC4.pdf</t>
  </si>
  <si>
    <t>Melting_Curves/meltCurve_Q9NPI6_DCP1A.pdf</t>
  </si>
  <si>
    <t>Melting_Curves/meltCurve_Q9NPJ3_ACOT13.pdf</t>
  </si>
  <si>
    <t>Melting_Curves/meltCurve_Q9NPJ6_MED4.pdf</t>
  </si>
  <si>
    <t>Melting_Curves/meltCurve_Q9NPL8_TIMMDC1.pdf</t>
  </si>
  <si>
    <t>Melting_Curves/meltCurve_Q9NPQ8_4_RIC8A.pdf</t>
  </si>
  <si>
    <t>Melting_Curves/meltCurve_Q9NPR9_GPR108.pdf</t>
  </si>
  <si>
    <t>Melting_Curves/meltCurve_Q9NQ11_3_ATP13A2.pdf</t>
  </si>
  <si>
    <t>Melting_Curves/meltCurve_Q9NQ29_LUC7L.pdf</t>
  </si>
  <si>
    <t>Melting_Curves/meltCurve_Q9NQ88_TIGAR.pdf</t>
  </si>
  <si>
    <t>Melting_Curves/meltCurve_Q9NQC3_RTN4.pdf</t>
  </si>
  <si>
    <t>Melting_Curves/meltCurve_Q9NQE9_HINT3.pdf</t>
  </si>
  <si>
    <t>Melting_Curves/meltCurve_Q9NQG5_RPRD1B.pdf</t>
  </si>
  <si>
    <t>Melting_Curves/meltCurve_Q9NQG7_3_HPS4.pdf</t>
  </si>
  <si>
    <t>Melting_Curves/meltCurve_Q9NQH7_2_XPNPEP3.pdf</t>
  </si>
  <si>
    <t>Melting_Curves/meltCurve_Q9NQL2_RRAGD.pdf</t>
  </si>
  <si>
    <t>Melting_Curves/meltCurve_Q9NQP4_PFDN4.pdf</t>
  </si>
  <si>
    <t>Melting_Curves/meltCurve_Q9NQR4_NIT2.pdf</t>
  </si>
  <si>
    <t>Melting_Curves/meltCurve_Q9NQS1_AVEN.pdf</t>
  </si>
  <si>
    <t>Melting_Curves/meltCurve_Q9NQT4_EXOSC5.pdf</t>
  </si>
  <si>
    <t>Melting_Curves/meltCurve_Q9NQT8_KIF13B.pdf</t>
  </si>
  <si>
    <t>Melting_Curves/meltCurve_Q9NQW6_ANLN.pdf</t>
  </si>
  <si>
    <t>Melting_Curves/meltCurve_Q9NQW7_3_XPNPEP1.pdf</t>
  </si>
  <si>
    <t>Melting_Curves/meltCurve_Q9NQZ5_STARD7.pdf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</si>
  <si>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</si>
  <si>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</si>
  <si>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</si>
  <si>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</si>
  <si>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</si>
  <si>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</si>
  <si>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</si>
  <si>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Melting_Curves/meltCurve_Q9NR50_EIF2B3.pdf</t>
  </si>
  <si>
    <t>Melting_Curves/meltCurve_Q9NRA8_EIF4ENIF1.pdf</t>
  </si>
  <si>
    <t>Melting_Curves/meltCurve_Q9NRC6_SPTBN5.pdf</t>
  </si>
  <si>
    <t>Melting_Curves/meltCurve_Q9NRD5_PICK1.pdf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</si>
  <si>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</si>
  <si>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</si>
  <si>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</si>
  <si>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</si>
  <si>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Melting_Curves/meltCurve_Q9NRG4_SMYD2.pdf</t>
  </si>
  <si>
    <t>Melting_Curves/meltCurve_Q9NRG7_2_SDR39U1.pdf</t>
  </si>
  <si>
    <t>Melting_Curves/meltCurve_Q9NRH1_YAE1D1.pdf</t>
  </si>
  <si>
    <t>Melting_Curves/meltCurve_Q9NRK6_ABCB10.pdf</t>
  </si>
  <si>
    <t>Melting_Curves/meltCurve_Q9NRN7_AASDHPPT.pdf</t>
  </si>
  <si>
    <t>Melting_Curves/meltCurve_Q9NRN9_METTL5.pdf</t>
  </si>
  <si>
    <t>Melting_Curves/meltCurve_Q9NRP0_OSTC.pdf</t>
  </si>
  <si>
    <t>Melting_Curves/meltCurve_Q9NRP2_CMC2.pdf</t>
  </si>
  <si>
    <t>Melting_Curves/meltCurve_Q9NRP4_ACN9.pdf</t>
  </si>
  <si>
    <t>Melting_Curves/meltCurve_Q9NRR5_UBQLN4.pdf</t>
  </si>
  <si>
    <t>Melting_Curves/meltCurve_Q9NRR8_CDC42SE1.pdf</t>
  </si>
  <si>
    <t>Melting_Curves/meltCurve_Q9NRS6_2_SNX15.pdf</t>
  </si>
  <si>
    <t>Melting_Curves/meltCurve_Q9NRV9_HEBP1.pdf</t>
  </si>
  <si>
    <t>Melting_Curves/meltCurve_Q9NRW1_RAB6B.pdf</t>
  </si>
  <si>
    <t>Melting_Curves/meltCurve_Q9NRW4_DUSP22.pdf</t>
  </si>
  <si>
    <t>Melting_Curves/meltCurve_Q9NRW7_VPS45.pdf</t>
  </si>
  <si>
    <t>Melting_Curves/meltCurve_Q9NRX4_PHPT1.pdf</t>
  </si>
  <si>
    <t>Melting_Curves/meltCurve_Q9NRX5_SERINC1.pdf</t>
  </si>
  <si>
    <t>Melting_Curves/meltCurve_Q9NRY4_ARHGAP35.pdf</t>
  </si>
  <si>
    <t>Melting_Curves/meltCurve_Q9NRY5_FAM114A2.pdf</t>
  </si>
  <si>
    <t>Melting_Curves/meltCurve_Q9NRY6_PLSCR3.pdf</t>
  </si>
  <si>
    <t>Melting_Curves/meltCurve_Q9NRZ5_AGPAT4.pdf</t>
  </si>
  <si>
    <t>Melting_Curves/meltCurve_Q9NRZ7_2_AGPAT3.pdf</t>
  </si>
  <si>
    <t>Melting_Curves/meltCurve_Q9NRZ9_3_HELLS.pdf</t>
  </si>
  <si>
    <t>Melting_Curves/meltCurve_Q9NS18_GLRX2.pdf</t>
  </si>
  <si>
    <t>Melting_Curves/meltCurve_Q9NS69_TOMM22.pdf</t>
  </si>
  <si>
    <t>Melting_Curves/meltCurve_Q9NS86_LANCL2.pdf</t>
  </si>
  <si>
    <t>Melting_Curves/meltCurve_Q9NSA3_CTNNBIP1.pdf</t>
  </si>
  <si>
    <t>Melting_Curves/meltCurve_Q9NSD9_FARSB.pdf</t>
  </si>
  <si>
    <t>Melting_Curves/meltCurve_Q9NSE4_IARS2.pdf</t>
  </si>
  <si>
    <t>Melting_Curves/meltCurve_Q9NSG2_3_C1orf112.pdf</t>
  </si>
  <si>
    <t>Melting_Curves/meltCurve_Q9NSI2_2_FAM207A.pdf</t>
  </si>
  <si>
    <t>Melting_Curves/meltCurve_Q9NT62_ATG3.pdf</t>
  </si>
  <si>
    <t>Melting_Curves/meltCurve_Q9NTG7_SIRT3.pdf</t>
  </si>
  <si>
    <t>Melting_Curves/meltCurve_Q9NTJ5_SACM1L.pdf</t>
  </si>
  <si>
    <t>Melting_Curves/meltCurve_Q9NTM9_CUTC.pdf</t>
  </si>
  <si>
    <t>Melting_Curves/meltCurve_Q9NTX5_3_ECHDC1.pdf</t>
  </si>
  <si>
    <t>Melting_Curves/meltCurve_Q9NTX7_2_RNF146.pdf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</si>
  <si>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</si>
  <si>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</si>
  <si>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</si>
  <si>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</si>
  <si>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Melting_Curves/meltCurve_Q9NUB1_2_ACSS1.pdf</t>
  </si>
  <si>
    <t>Melting_Curves/meltCurve_Q9NUE0_ZDHHC18.pdf</t>
  </si>
  <si>
    <t>Melting_Curves/meltCurve_Q9NUG6_PDRG1.pdf</t>
  </si>
  <si>
    <t>Melting_Curves/meltCurve_Q9NUJ1_ABHD10.pdf</t>
  </si>
  <si>
    <t>Melting_Curves/meltCurve_Q9NUM4_TMEM106B.pdf</t>
  </si>
  <si>
    <t>Melting_Curves/meltCurve_Q9NUN5_3_LMBRD1.pdf</t>
  </si>
  <si>
    <t>Melting_Curves/meltCurve_Q9NUP1_BLOC1S4.pdf</t>
  </si>
  <si>
    <t>Melting_Curves/meltCurve_Q9NUP7_TRMT13.pdf</t>
  </si>
  <si>
    <t>Melting_Curves/meltCurve_Q9NUP9_LIN7C.pdf</t>
  </si>
  <si>
    <t>Melting_Curves/meltCurve_Q9NUQ2_AGPAT5.pdf</t>
  </si>
  <si>
    <t>Melting_Curves/meltCurve_Q9NUQ3_TXLNG.pdf</t>
  </si>
  <si>
    <t>Melting_Curves/meltCurve_Q9NUQ7_UFSP2.pdf</t>
  </si>
  <si>
    <t>Melting_Curves/meltCurve_Q9NUQ8_ABCF3.pdf</t>
  </si>
  <si>
    <t>Melting_Curves/meltCurve_Q9NUQ9_FAM49B.pdf</t>
  </si>
  <si>
    <t>Melting_Curves/meltCurve_Q9NUU7_DDX19A.pdf</t>
  </si>
  <si>
    <t>Melting_Curves/meltCurve_Q9NUW8_TDP1.pdf</t>
  </si>
  <si>
    <t>Melting_Curves/meltCurve_Q9NUY8_2_TBC1D23.pdf</t>
  </si>
  <si>
    <t>Melting_Curves/meltCurve_Q9NV06_DCAF13.pdf</t>
  </si>
  <si>
    <t>Melting_Curves/meltCurve_Q9NV29_TMEM100.pdf</t>
  </si>
  <si>
    <t>Melting_Curves/meltCurve_Q9NV56_MRGBP.pdf</t>
  </si>
  <si>
    <t>Melting_Curves/meltCurve_Q9NV70_2_EXOC1.pdf</t>
  </si>
  <si>
    <t>Melting_Curves/meltCurve_Q9NV96_3_TMEM30A.pdf</t>
  </si>
  <si>
    <t>Melting_Curves/meltCurve_Q9NVC6_MED17.pdf</t>
  </si>
  <si>
    <t>Melting_Curves/meltCurve_Q9NVE7_PANK4.pdf</t>
  </si>
  <si>
    <t>Melting_Curves/meltCurve_Q9NVG8_TBC1D13.pdf</t>
  </si>
  <si>
    <t>Melting_Curves/meltCurve_Q9NVH0_EXD2.pdf</t>
  </si>
  <si>
    <t>Melting_Curves/meltCurve_Q9NVH1_3_DNAJC11.pdf</t>
  </si>
  <si>
    <t>Melting_Curves/meltCurve_Q9NVH2_4_INTS7.pdf</t>
  </si>
  <si>
    <t>Melting_Curves/meltCurve_Q9NVI1_FANCI.pdf</t>
  </si>
  <si>
    <t>Melting_Curves/meltCurve_Q9NVI7_2_ATAD3A.pdf</t>
  </si>
  <si>
    <t>Melting_Curves/meltCurve_Q9NVJ2_ARL8B.pdf</t>
  </si>
  <si>
    <t>Melting_Curves/meltCurve_Q9NVM1_EVA1B.pdf</t>
  </si>
  <si>
    <t>Melting_Curves/meltCurve_Q9NVM4_PRMT7.pdf</t>
  </si>
  <si>
    <t>Melting_Curves/meltCurve_Q9NVM6_DNAJC17.pdf</t>
  </si>
  <si>
    <t>Melting_Curves/meltCurve_Q9NVM9_ASUN.pdf</t>
  </si>
  <si>
    <t>Melting_Curves/meltCurve_Q9NVQ4_FAIM.pdf</t>
  </si>
  <si>
    <t>Melting_Curves/meltCurve_Q9NVR0_KLHL11.pdf</t>
  </si>
  <si>
    <t>Melting_Curves/meltCurve_Q9NVR5_DNAAF2.pdf</t>
  </si>
  <si>
    <t>Melting_Curves/meltCurve_Q9NVT9_ARMC1.pdf</t>
  </si>
  <si>
    <t>Melting_Curves/meltCurve_Q9NVV0_TMEM38B.pdf</t>
  </si>
  <si>
    <t>Melting_Curves/meltCurve_Q9NVX2_NLE1.pdf</t>
  </si>
  <si>
    <t>Melting_Curves/meltCurve_Q9NVX7_KBTBD4.pdf</t>
  </si>
  <si>
    <t>Melting_Curves/meltCurve_Q9NVZ3_NECAP2.pdf</t>
  </si>
  <si>
    <t>Melting_Curves/meltCurve_Q9NW64_RBM22.pdf</t>
  </si>
  <si>
    <t>Melting_Curves/meltCurve_Q9NW82_WDR70.pdf</t>
  </si>
  <si>
    <t>Melting_Curves/meltCurve_Q9NWA0_MED9.pdf</t>
  </si>
  <si>
    <t>Melting_Curves/meltCurve_Q9NWB6_ARGLU1.pdf</t>
  </si>
  <si>
    <t>Melting_Curves/meltCurve_Q9NWH9_SLTM.pdf</t>
  </si>
  <si>
    <t>Melting_Curves/meltCurve_Q9NWK9_2_ZNHIT6.pdf</t>
  </si>
  <si>
    <t>Melting_Curves/meltCurve_Q9NWM3_CUEDC1.pdf</t>
  </si>
  <si>
    <t>Melting_Curves/meltCurve_Q9NWM8_FKBP14.pdf</t>
  </si>
  <si>
    <t>Melting_Curves/meltCurve_Q9NWQ8_PAG1.pdf</t>
  </si>
  <si>
    <t>Melting_Curves/meltCurve_Q9NWQ9_C14orf119.pdf</t>
  </si>
  <si>
    <t>Melting_Curves/meltCurve_Q9NWR8_CCDC109B.pdf</t>
  </si>
  <si>
    <t>Melting_Curves/meltCurve_Q9NWS6_FAM118A.pdf</t>
  </si>
  <si>
    <t>Melting_Curves/meltCurve_Q9NWT6_HIF1AN.pdf</t>
  </si>
  <si>
    <t>Melting_Curves/meltCurve_Q9NWU1_OXSM.pdf</t>
  </si>
  <si>
    <t>Melting_Curves/meltCurve_Q9NWV4_C1orf123.pdf</t>
  </si>
  <si>
    <t>Melting_Curves/meltCurve_Q9NWX5_ASB6.pdf</t>
  </si>
  <si>
    <t>Melting_Curves/meltCurve_Q9NWX6_THG1L.pdf</t>
  </si>
  <si>
    <t>Melting_Curves/meltCurve_Q9NWY4_C4orf27.pdf</t>
  </si>
  <si>
    <t>Melting_Curves/meltCurve_Q9NWZ3_IRAK4.pdf</t>
  </si>
  <si>
    <t>Melting_Curves/meltCurve_Q9NX01_TXNL4B.pdf</t>
  </si>
  <si>
    <t>Melting_Curves/meltCurve_Q9NX08_COMMD8.pdf</t>
  </si>
  <si>
    <t>Melting_Curves/meltCurve_Q9NX14_NDUFB11.pdf</t>
  </si>
  <si>
    <t>Melting_Curves/meltCurve_Q9NX24_NHP2.pdf</t>
  </si>
  <si>
    <t>Melting_Curves/meltCurve_Q9NX38_FAM206A.pdf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</si>
  <si>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</si>
  <si>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</si>
  <si>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</si>
  <si>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</si>
  <si>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Melting_Curves/meltCurve_Q9NX62_IMPAD1.pdf</t>
  </si>
  <si>
    <t>Melting_Curves/meltCurve_Q9NX70_MED29.pdf</t>
  </si>
  <si>
    <t>Melting_Curves/meltCurve_Q9NX74_DUS2L.pdf</t>
  </si>
  <si>
    <t>Melting_Curves/meltCurve_Q9NXA8_SIRT5.pdf</t>
  </si>
  <si>
    <t>Melting_Curves/meltCurve_Q9NXF7_DCAF16.pdf</t>
  </si>
  <si>
    <t>Melting_Curves/meltCurve_Q9NXH9_TRMT1.pdf</t>
  </si>
  <si>
    <t>Melting_Curves/meltCurve_Q9NXN4_2_GDAP2.pdf</t>
  </si>
  <si>
    <t>Melting_Curves/meltCurve_Q9NXR1_2_NDE1.pdf</t>
  </si>
  <si>
    <t>Melting_Curves/meltCurve_Q9NXR7_BRE.pdf</t>
  </si>
  <si>
    <t>Melting_Curves/meltCurve_Q9NXU5_ARL15.pdf</t>
  </si>
  <si>
    <t>Melting_Curves/meltCurve_Q9NXV2_KCTD5.pdf</t>
  </si>
  <si>
    <t>Melting_Curves/meltCurve_Q9NXV6_CDKN2AIP.pdf</t>
  </si>
  <si>
    <t>Melting_Curves/meltCurve_Q9NXW9_ALKBH4.pdf</t>
  </si>
  <si>
    <t>Melting_Curves/meltCurve_Q9NY27_PPP4R2.pdf</t>
  </si>
  <si>
    <t>Melting_Curves/meltCurve_Q9NYB0_TERF2IP.pdf</t>
  </si>
  <si>
    <t>Melting_Curves/meltCurve_Q9NYH9_UTP6.pdf</t>
  </si>
  <si>
    <t>Melting_Curves/meltCurve_Q9NYJ1_COA4.pdf</t>
  </si>
  <si>
    <t>Melting_Curves/meltCurve_Q9NYJ8_TAB2.pdf</t>
  </si>
  <si>
    <t>Melting_Curves/meltCurve_Q9NYK5_MRPL39.pdf</t>
  </si>
  <si>
    <t>Melting_Curves/meltCurve_Q9NYL2_2_MLTK.pdf</t>
  </si>
  <si>
    <t>Melting_Curves/meltCurve_Q9NYL9_TMOD3.pdf</t>
  </si>
  <si>
    <t>Melting_Curves/meltCurve_Q9NYP9_MIS18A.pdf</t>
  </si>
  <si>
    <t>Melting_Curves/meltCurve_Q9NYU2_2_UGGT1.pdf</t>
  </si>
  <si>
    <t>Melting_Curves/meltCurve_Q9NYY8_FASTKD2.pdf</t>
  </si>
  <si>
    <t>Melting_Curves/meltCurve_Q9NYZ3_GTSE1.pdf</t>
  </si>
  <si>
    <t>Melting_Curves/meltCurve_Q9NZ01_TECR.pdf</t>
  </si>
  <si>
    <t>Melting_Curves/meltCurve_Q9NZ09_2_UBAP1.pdf</t>
  </si>
  <si>
    <t>Melting_Curves/meltCurve_Q9NZ32_ACTR10.pdf</t>
  </si>
  <si>
    <t>Melting_Curves/meltCurve_Q9NZ45_CISD1.pdf</t>
  </si>
  <si>
    <t>Melting_Curves/meltCurve_Q9NZ53_PODXL2.pdf</t>
  </si>
  <si>
    <t>Melting_Curves/meltCurve_Q9NZ63_C9orf78.pdf</t>
  </si>
  <si>
    <t>Melting_Curves/meltCurve_Q9NZA1_3_CLIC5.pdf</t>
  </si>
  <si>
    <t>Melting_Curves/meltCurve_Q9NZB8_2_MOCS1.pdf</t>
  </si>
  <si>
    <t>Melting_Curves/meltCurve_Q9NZC3_GDE1.pdf</t>
  </si>
  <si>
    <t>Melting_Curves/meltCurve_Q9NZC7_WWOX.pdf</t>
  </si>
  <si>
    <t>Melting_Curves/meltCurve_Q9NZC9_SMARCAL1.pdf</t>
  </si>
  <si>
    <t>Melting_Curves/meltCurve_Q9NZD8_2_SPG21.pdf</t>
  </si>
  <si>
    <t>Melting_Curves/meltCurve_Q9NZI8_IGF2BP1.pdf</t>
  </si>
  <si>
    <t>Melting_Curves/meltCurve_Q9NZJ4_2_SACS.pdf</t>
  </si>
  <si>
    <t>Melting_Curves/meltCurve_Q9NZJ6_COQ3.pdf</t>
  </si>
  <si>
    <t>Melting_Curves/meltCurve_Q9NZJ9_NUDT4.pdf</t>
  </si>
  <si>
    <t>Melting_Curves/meltCurve_Q9NZL4_HSPBP1.pdf</t>
  </si>
  <si>
    <t>Melting_Curves/meltCurve_Q9NZL9_MAT2B.pdf</t>
  </si>
  <si>
    <t>Melting_Curves/meltCurve_Q9NZL9_2_MAT2B.pdf</t>
  </si>
  <si>
    <t>Melting_Curves/meltCurve_Q9NZM3_4_ITSN2.pdf</t>
  </si>
  <si>
    <t>Melting_Curves/meltCurve_Q9NZN3_EHD3.pdf</t>
  </si>
  <si>
    <t>Melting_Curves/meltCurve_Q9NZN5_ARHGEF12.pdf</t>
  </si>
  <si>
    <t>Melting_Curves/meltCurve_Q9NZQ3_3_NCKIPSD.pdf</t>
  </si>
  <si>
    <t>Melting_Curves/meltCurve_Q9NZT2_2_OGFR.pdf</t>
  </si>
  <si>
    <t>Melting_Curves/meltCurve_Q9NZU5_LMCD1.pdf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</si>
  <si>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</si>
  <si>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</si>
  <si>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</si>
  <si>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</si>
  <si>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</si>
  <si>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Melting_Curves/meltCurve_Q9P021_CRIPT.pdf</t>
  </si>
  <si>
    <t>Melting_Curves/meltCurve_Q9P031_CCDC59.pdf</t>
  </si>
  <si>
    <t>Melting_Curves/meltCurve_Q9P032_NDUFAF4.pdf</t>
  </si>
  <si>
    <t>Melting_Curves/meltCurve_Q9P035_PTPLAD1.pdf</t>
  </si>
  <si>
    <t>Melting_Curves/meltCurve_Q9P0B6_CCDC167.pdf</t>
  </si>
  <si>
    <t>Melting_Curves/meltCurve_Q9P0J1_PDP1.pdf</t>
  </si>
  <si>
    <t>Melting_Curves/meltCurve_Q9P0L0_VAPA.pdf</t>
  </si>
  <si>
    <t>Melting_Curves/meltCurve_Q9P0L2_MARK1.pdf</t>
  </si>
  <si>
    <t>Melting_Curves/meltCurve_Q9P0P0_RNF181.pdf</t>
  </si>
  <si>
    <t>Melting_Curves/meltCurve_Q9P0R6_GSKIP.pdf</t>
  </si>
  <si>
    <t>Melting_Curves/meltCurve_Q9P0V3_SH3BP4.pdf</t>
  </si>
  <si>
    <t>Melting_Curves/meltCurve_Q9P0W5_SCHIP1.pdf</t>
  </si>
  <si>
    <t>Melting_Curves/meltCurve_Q9P1U0_ZNRD1.pdf</t>
  </si>
  <si>
    <t>Melting_Curves/meltCurve_Q9P1Y5_CAMSAP3.pdf</t>
  </si>
  <si>
    <t>Melting_Curves/meltCurve_Q9P1Z2_2_CALCOCO1.pdf</t>
  </si>
  <si>
    <t>Melting_Curves/meltCurve_Q9P206_KIAA1522.pdf</t>
  </si>
  <si>
    <t>Melting_Curves/meltCurve_Q9P258_RCC2.pdf</t>
  </si>
  <si>
    <t>Melting_Curves/meltCurve_Q9P260_2_KIAA1468.pdf</t>
  </si>
  <si>
    <t>Melting_Curves/meltCurve_Q9P265_DIP2B.pdf</t>
  </si>
  <si>
    <t>Melting_Curves/meltCurve_Q9P266_KIAA1462.pdf</t>
  </si>
  <si>
    <t>Melting_Curves/meltCurve_Q9P270_SLAIN2.pdf</t>
  </si>
  <si>
    <t>Melting_Curves/meltCurve_Q9P287_2_BCCIP.pdf</t>
  </si>
  <si>
    <t>Melting_Curves/meltCurve_Q9P2B2_PTGFRN.pdf</t>
  </si>
  <si>
    <t>Melting_Curves/meltCurve_Q9P2B4_CTTNBP2NL.pdf</t>
  </si>
  <si>
    <t>Melting_Curves/meltCurve_Q9P2D1_4_CHD7.pdf</t>
  </si>
  <si>
    <t>Melting_Curves/meltCurve_Q9P2D3_3_HEATR5B.pdf</t>
  </si>
  <si>
    <t>Melting_Curves/meltCurve_Q9P2D7_5_DNAH1.pdf</t>
  </si>
  <si>
    <t>Melting_Curves/meltCurve_Q9P2E9_RRBP1.pdf</t>
  </si>
  <si>
    <t>Melting_Curves/meltCurve_Q9P2I0_CPSF2.pdf</t>
  </si>
  <si>
    <t>Melting_Curves/meltCurve_Q9P2M7_CGN.pdf</t>
  </si>
  <si>
    <t>Melting_Curves/meltCurve_Q9P2N5_RBM27.pdf</t>
  </si>
  <si>
    <t>Melting_Curves/meltCurve_Q9P2R3_ANKFY1.pdf</t>
  </si>
  <si>
    <t>Melting_Curves/meltCurve_Q9P2W1_2_PSMC3IP.pdf</t>
  </si>
  <si>
    <t>Melting_Curves/meltCurve_Q9P2X0_DPM3.pdf</t>
  </si>
  <si>
    <t>Melting_Curves/meltCurve_Q9UBB4_ATXN10.pdf</t>
  </si>
  <si>
    <t>Melting_Curves/meltCurve_Q9UBB6_NCDN.pdf</t>
  </si>
  <si>
    <t>Melting_Curves/meltCurve_Q9UBB9_TFIP11.pdf</t>
  </si>
  <si>
    <t>Melting_Curves/meltCurve_Q9UBC2_2_EPS15L1.pdf</t>
  </si>
  <si>
    <t>Melting_Curves/meltCurve_Q9UBD5_3_ORC3.pdf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</si>
  <si>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</si>
  <si>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</si>
  <si>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</si>
  <si>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</si>
  <si>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Melting_Curves/meltCurve_Q9UBI6_GNG12.pdf</t>
  </si>
  <si>
    <t>Melting_Curves/meltCurve_Q9UBK8_2_MTRR.pdf</t>
  </si>
  <si>
    <t>Melting_Curves/meltCurve_Q9UBL6_2_CPNE7.pdf</t>
  </si>
  <si>
    <t>Melting_Curves/meltCurve_Q9UBM7_DHCR7.pdf</t>
  </si>
  <si>
    <t>Melting_Curves/meltCurve_Q9UBN6_TNFRSF10D.pdf</t>
  </si>
  <si>
    <t>Melting_Curves/meltCurve_Q9UBP0_3_SPAST.pdf</t>
  </si>
  <si>
    <t>Melting_Curves/meltCurve_Q9UBP6_METTL1.pdf</t>
  </si>
  <si>
    <t>Melting_Curves/meltCurve_Q9UBQ0_VPS29.pdf</t>
  </si>
  <si>
    <t>Melting_Curves/meltCurve_Q9UBQ7_GRHPR.pdf</t>
  </si>
  <si>
    <t>Melting_Curves/meltCurve_Q9UBS0_RPS6KB2.pdf</t>
  </si>
  <si>
    <t>Melting_Curves/meltCurve_Q9UBS4_DNAJB11.pdf</t>
  </si>
  <si>
    <t>Melting_Curves/meltCurve_Q9UBS8_2_RNF14.pdf</t>
  </si>
  <si>
    <t>Melting_Curves/meltCurve_Q9UBT2_UBA2.pdf</t>
  </si>
  <si>
    <t>Melting_Curves/meltCurve_Q9UBU6_FAM8A1.pdf</t>
  </si>
  <si>
    <t>Melting_Curves/meltCurve_Q9UBU8_2_MORF4L1.pdf</t>
  </si>
  <si>
    <t>Melting_Curves/meltCurve_Q9UBV8_PEF1.pdf</t>
  </si>
  <si>
    <t>Melting_Curves/meltCurve_Q9UBW7_ZMYM2.pdf</t>
  </si>
  <si>
    <t>Melting_Curves/meltCurve_Q9UBW8_COPS7A.pdf</t>
  </si>
  <si>
    <t>Melting_Curves/meltCurve_Q9UDX5_MTFP1.pdf</t>
  </si>
  <si>
    <t>Melting_Curves/meltCurve_Q9UDY2_3_TJP2.pdf</t>
  </si>
  <si>
    <t>Melting_Curves/meltCurve_Q9UDY4_DNAJB4.pdf</t>
  </si>
  <si>
    <t>Melting_Curves/meltCurve_Q9UDY8_2_MALT1.pdf</t>
  </si>
  <si>
    <t>Melting_Curves/meltCurve_Q9UEE9_CFDP1.pdf</t>
  </si>
  <si>
    <t>Melting_Curves/meltCurve_Q9UEL6_MPZL1.pdf</t>
  </si>
  <si>
    <t>Melting_Curves/meltCurve_Q9UER7_3_DAXX.pdf</t>
  </si>
  <si>
    <t>Melting_Curves/meltCurve_Q9UET6_2_FTSJ1.pdf</t>
  </si>
  <si>
    <t>Melting_Curves/meltCurve_Q9UEU0_VTI1B.pdf</t>
  </si>
  <si>
    <t>Melting_Curves/meltCurve_Q9UEW8_STK39.pdf</t>
  </si>
  <si>
    <t>Melting_Curves/meltCurve_Q9UEY8_2_ADD3.pdf</t>
  </si>
  <si>
    <t>Melting_Curves/meltCurve_Q9UFC0_LRWD1.pdf</t>
  </si>
  <si>
    <t>Melting_Curves/meltCurve_Q9UFG5_C19orf25.pdf</t>
  </si>
  <si>
    <t>Melting_Curves/meltCurve_Q9UFW8_CGGBP1.pdf</t>
  </si>
  <si>
    <t>Melting_Curves/meltCurve_Q9UG56_2_PISD.pdf</t>
  </si>
  <si>
    <t>Melting_Curves/meltCurve_Q9UG63_ABCF2.pdf</t>
  </si>
  <si>
    <t>Melting_Curves/meltCurve_Q9UGI8_TES.pdf</t>
  </si>
  <si>
    <t>Melting_Curves/meltCurve_Q9UGI8_2_TES.pdf</t>
  </si>
  <si>
    <t>Melting_Curves/meltCurve_Q9UGK8_SERGEF.pdf</t>
  </si>
  <si>
    <t>Melting_Curves/meltCurve_Q9UGP4_LIMD1.pdf</t>
  </si>
  <si>
    <t>Melting_Curves/meltCurve_Q9UGP8_SEC63.pdf</t>
  </si>
  <si>
    <t>Melting_Curves/meltCurve_Q9UGQ2_2_CACFD1.pdf</t>
  </si>
  <si>
    <t>Melting_Curves/meltCurve_Q9UGU0_2_TCF20.pdf</t>
  </si>
  <si>
    <t>Melting_Curves/meltCurve_Q9UH62_ARMCX3.pdf</t>
  </si>
  <si>
    <t>Melting_Curves/meltCurve_Q9UHA2_SS18L2.pdf</t>
  </si>
  <si>
    <t>Melting_Curves/meltCurve_Q9UHA4_LAMTOR3.pdf</t>
  </si>
  <si>
    <t>Melting_Curves/meltCurve_Q9UHB4_3_NDOR1.pdf</t>
  </si>
  <si>
    <t>Melting_Curves/meltCurve_Q9UHB6_LIMA1.pdf</t>
  </si>
  <si>
    <t>Melting_Curves/meltCurve_Q9UHD1_CHORDC1.pdf</t>
  </si>
  <si>
    <t>Melting_Curves/meltCurve_Q9UHD8_7_SEPT9.pdf</t>
  </si>
  <si>
    <t>Melting_Curves/meltCurve_Q9UHD9_UBQLN2.pdf</t>
  </si>
  <si>
    <t>Melting_Curves/meltCurve_Q9UHG2_PCSK1N.pdf</t>
  </si>
  <si>
    <t>Melting_Curves/meltCurve_Q9UHG3_PCYOX1.pdf</t>
  </si>
  <si>
    <t>Melting_Curves/meltCurve_Q9UHI6_DDX20.pdf</t>
  </si>
  <si>
    <t>Melting_Curves/meltCurve_Q9UHJ6_SHPK.pdf</t>
  </si>
  <si>
    <t>Melting_Curves/meltCurve_Q9UHN6_2_TMEM2.pdf</t>
  </si>
  <si>
    <t>Melting_Curves/meltCurve_Q9UHP3_USP25.pdf</t>
  </si>
  <si>
    <t>Melting_Curves/meltCurve_Q9UHQ4_BCAP29.pdf</t>
  </si>
  <si>
    <t>Melting_Curves/meltCurve_Q9UHQ9_CYB5R1.pdf</t>
  </si>
  <si>
    <t>Melting_Curves/meltCurve_Q9UHR4_BAIAP2L1.pdf</t>
  </si>
  <si>
    <t>Melting_Curves/meltCurve_Q9UHR6_ZNHIT2.pdf</t>
  </si>
  <si>
    <t>Melting_Curves/meltCurve_Q9UHV9_PFDN2.pdf</t>
  </si>
  <si>
    <t>Melting_Curves/meltCurve_Q9UHW5_GPN3.pdf</t>
  </si>
  <si>
    <t>Melting_Curves/meltCurve_Q9UHX1_4_PUF60.pdf</t>
  </si>
  <si>
    <t>Melting_Curves/meltCurve_Q9UHY1_NRBP1.pdf</t>
  </si>
  <si>
    <t>Melting_Curves/meltCurve_Q9UHY7_ENOPH1.pdf</t>
  </si>
  <si>
    <t>Melting_Curves/meltCurve_Q9UI08_EVL.pdf</t>
  </si>
  <si>
    <t>Melting_Curves/meltCurve_Q9UI12_2_ATP6V1H.pdf</t>
  </si>
  <si>
    <t>Melting_Curves/meltCurve_Q9UI26_IPO11.pdf</t>
  </si>
  <si>
    <t>Melting_Curves/meltCurve_Q9UI30_TRMT112.pdf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</si>
  <si>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</si>
  <si>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</si>
  <si>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</si>
  <si>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</si>
  <si>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Melting_Curves/meltCurve_Q9UIJ7_AK3.pdf</t>
  </si>
  <si>
    <t>Melting_Curves/meltCurve_Q9UIM3_FKBPL.pdf</t>
  </si>
  <si>
    <t>Melting_Curves/meltCurve_Q9UIQ6_3_LNPEP.pdf</t>
  </si>
  <si>
    <t>Melting_Curves/meltCurve_Q9UJ41_RABGEF1.pdf</t>
  </si>
  <si>
    <t>Melting_Curves/meltCurve_Q9UJ70_NAGK.pdf</t>
  </si>
  <si>
    <t>Melting_Curves/meltCurve_Q9UJA5_TRMT6.pdf</t>
  </si>
  <si>
    <t>Melting_Curves/meltCurve_Q9UJS0_SLC25A13.pdf</t>
  </si>
  <si>
    <t>Melting_Curves/meltCurve_Q9UJU6_DBNL.pdf</t>
  </si>
  <si>
    <t>Melting_Curves/meltCurve_Q9UJU6_2_DBNL.pdf</t>
  </si>
  <si>
    <t>Melting_Curves/meltCurve_Q9UJW0_2_DCTN4.pdf</t>
  </si>
  <si>
    <t>Melting_Curves/meltCurve_Q9UJX3_2_ANAPC7.pdf</t>
  </si>
  <si>
    <t>Melting_Curves/meltCurve_Q9UJX6_2_ANAPC2.pdf</t>
  </si>
  <si>
    <t>Melting_Curves/meltCurve_Q9UJY1_HSPB8.pdf</t>
  </si>
  <si>
    <t>Melting_Curves/meltCurve_Q9UJY4_GGA2.pdf</t>
  </si>
  <si>
    <t>Melting_Curves/meltCurve_Q9UJY5_4_GGA1.pdf</t>
  </si>
  <si>
    <t>Melting_Curves/meltCurve_Q9UJZ1_STOML2.pdf</t>
  </si>
  <si>
    <t>Melting_Curves/meltCurve_Q9UK23_NAGPA.pdf</t>
  </si>
  <si>
    <t>Melting_Curves/meltCurve_Q9UK45_LSM7.pdf</t>
  </si>
  <si>
    <t>Melting_Curves/meltCurve_Q9UK59_DBR1.pdf</t>
  </si>
  <si>
    <t>Melting_Curves/meltCurve_Q9UK76_HN1.pdf</t>
  </si>
  <si>
    <t>Melting_Curves/meltCurve_Q9UK99_FBXO3.pdf</t>
  </si>
  <si>
    <t>Melting_Curves/meltCurve_Q9UKB3_DNAJC12.pdf</t>
  </si>
  <si>
    <t>Melting_Curves/meltCurve_Q9UKF6_CPSF3.pdf</t>
  </si>
  <si>
    <t>Melting_Curves/meltCurve_Q9UKG1_APPL1.pdf</t>
  </si>
  <si>
    <t>Melting_Curves/meltCurve_Q9UKI8_TLK1.pdf</t>
  </si>
  <si>
    <t>Melting_Curves/meltCurve_Q9UKJ3_2_GPATCH8.pdf</t>
  </si>
  <si>
    <t>Melting_Curves/meltCurve_Q9UKK9_NUDT5.pdf</t>
  </si>
  <si>
    <t>Melting_Curves/meltCurve_Q9UKL6_2_PCTP.pdf</t>
  </si>
  <si>
    <t>Melting_Curves/meltCurve_Q9UKN8_GTF3C4.pdf</t>
  </si>
  <si>
    <t>Melting_Curves/meltCurve_Q9UKS6_PACSIN3.pdf</t>
  </si>
  <si>
    <t>Melting_Curves/meltCurve_Q9UKT4_2_FBXO5.pdf</t>
  </si>
  <si>
    <t>Melting_Curves/meltCurve_Q9UKU7_ACAD8.pdf</t>
  </si>
  <si>
    <t>Melting_Curves/meltCurve_Q9UKV5_AMFR.pdf</t>
  </si>
  <si>
    <t>Melting_Curves/meltCurve_Q9UKX7_NUP50.pdf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</si>
  <si>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</si>
  <si>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</si>
  <si>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</si>
  <si>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</si>
  <si>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</si>
  <si>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Melting_Curves/meltCurve_Q9UL42_PNMA2.pdf</t>
  </si>
  <si>
    <t>Melting_Curves/meltCurve_Q9UL46_PSME2.pdf</t>
  </si>
  <si>
    <t>Melting_Curves/meltCurve_Q9UL54_2_TAOK2.pdf</t>
  </si>
  <si>
    <t>Melting_Curves/meltCurve_Q9ULC3_RAB23.pdf</t>
  </si>
  <si>
    <t>Melting_Curves/meltCurve_Q9ULC4_MCTS1.pdf</t>
  </si>
  <si>
    <t>Melting_Curves/meltCurve_Q9ULE6_PALD1.pdf</t>
  </si>
  <si>
    <t>Melting_Curves/meltCurve_Q9ULF5_SLC39A10.pdf</t>
  </si>
  <si>
    <t>Melting_Curves/meltCurve_Q9ULH1_ASAP1.pdf</t>
  </si>
  <si>
    <t>Melting_Curves/meltCurve_Q9ULH7_4_MKL2.pdf</t>
  </si>
  <si>
    <t>Melting_Curves/meltCurve_Q9ULJ3_2_ZBTB21.pdf</t>
  </si>
  <si>
    <t>Melting_Curves/meltCurve_Q9ULJ6_ZMIZ1.pdf</t>
  </si>
  <si>
    <t>Melting_Curves/meltCurve_Q9ULJ7_2_ANKRD50.pdf</t>
  </si>
  <si>
    <t>Melting_Curves/meltCurve_Q9ULP9_2_TBC1D24.pdf</t>
  </si>
  <si>
    <t>Melting_Curves/meltCurve_Q9ULR0_ISY1.pdf</t>
  </si>
  <si>
    <t>Melting_Curves/meltCurve_Q9ULR3_PPM1H.pdf</t>
  </si>
  <si>
    <t>Melting_Curves/meltCurve_Q9ULR5_PAIP2B.pdf</t>
  </si>
  <si>
    <t>Melting_Curves/meltCurve_Q9ULT8_HECTD1.pdf</t>
  </si>
  <si>
    <t>Melting_Curves/meltCurve_Q9ULV4_CORO1C.pdf</t>
  </si>
  <si>
    <t>Melting_Curves/meltCurve_Q9ULW0_TPX2.pdf</t>
  </si>
  <si>
    <t>Melting_Curves/meltCurve_Q9ULX3_NOB1.pdf</t>
  </si>
  <si>
    <t>Melting_Curves/meltCurve_Q9UM13_ANAPC10.pdf</t>
  </si>
  <si>
    <t>Melting_Curves/meltCurve_Q9UMN6_WBP7.pdf</t>
  </si>
  <si>
    <t>Melting_Curves/meltCurve_Q9UMR2_DDX19B.pdf</t>
  </si>
  <si>
    <t>Melting_Curves/meltCurve_Q9UMS0_3_NFU1.pdf</t>
  </si>
  <si>
    <t>Melting_Curves/meltCurve_Q9UMS4_PRPF19.pdf</t>
  </si>
  <si>
    <t>Melting_Curves/meltCurve_Q9UMX0_UBQLN1.pdf</t>
  </si>
  <si>
    <t>Melting_Curves/meltCurve_Q9UMX1_SUFU.pdf</t>
  </si>
  <si>
    <t>Melting_Curves/meltCurve_Q9UMX5_NENF.pdf</t>
  </si>
  <si>
    <t>Melting_Curves/meltCurve_Q9UMY4_2_SNX12.pdf</t>
  </si>
  <si>
    <t>Melting_Curves/meltCurve_Q9UMZ2_6_SYNRG.pdf</t>
  </si>
  <si>
    <t>Melting_Curves/meltCurve_Q9UN37_VPS4A.pdf</t>
  </si>
  <si>
    <t>Melting_Curves/meltCurve_Q9UN86_2_G3BP2.pdf</t>
  </si>
  <si>
    <t>Melting_Curves/meltCurve_Q9UNE7_STUB1.pdf</t>
  </si>
  <si>
    <t>Melting_Curves/meltCurve_Q9UNF0_2_PACSIN2.pdf</t>
  </si>
  <si>
    <t>Melting_Curves/meltCurve_Q9UNF1_MAGED2.pdf</t>
  </si>
  <si>
    <t>Melting_Curves/meltCurve_Q9UNH6_SNX7.pdf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</si>
  <si>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</si>
  <si>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</si>
  <si>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</si>
  <si>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</si>
  <si>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</si>
  <si>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</si>
  <si>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</si>
  <si>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Melting_Curves/meltCurve_Q9UNS1_2_TIMELESS.pdf</t>
  </si>
  <si>
    <t>Melting_Curves/meltCurve_Q9UNS2_COPS3.pdf</t>
  </si>
  <si>
    <t>Melting_Curves/meltCurve_Q9UNT1_2_RABL2B.pdf</t>
  </si>
  <si>
    <t>Melting_Curves/meltCurve_Q9UNW1_MINPP1.pdf</t>
  </si>
  <si>
    <t>Melting_Curves/meltCurve_Q9UNW9_NOVA2.pdf</t>
  </si>
  <si>
    <t>Melting_Curves/meltCurve_Q9UNY4_TTF2.pdf</t>
  </si>
  <si>
    <t>Melting_Curves/meltCurve_Q9UNZ2_5_NSFL1C.pdf</t>
  </si>
  <si>
    <t>Melting_Curves/meltCurve_Q9UNZ5_C19orf53.pdf</t>
  </si>
  <si>
    <t>Melting_Curves/meltCurve_Q9UP83_COG5.pdf</t>
  </si>
  <si>
    <t>Melting_Curves/meltCurve_Q9UP95_5_SLC12A4.pdf</t>
  </si>
  <si>
    <t>Melting_Curves/meltCurve_Q9UPM9_B9D1.pdf</t>
  </si>
  <si>
    <t>Melting_Curves/meltCurve_Q9UPN6_SCAF8.pdf</t>
  </si>
  <si>
    <t>Melting_Curves/meltCurve_Q9UPN7_PPP6R1.pdf</t>
  </si>
  <si>
    <t>Melting_Curves/meltCurve_Q9UPN9_2_TRIM33.pdf</t>
  </si>
  <si>
    <t>Melting_Curves/meltCurve_Q9UPQ9_1_TNRC6B.pdf</t>
  </si>
  <si>
    <t>Melting_Curves/meltCurve_Q9UPR0_PLCL2.pdf</t>
  </si>
  <si>
    <t>Melting_Curves/meltCurve_Q9UPR3_SMG5.pdf</t>
  </si>
  <si>
    <t>Melting_Curves/meltCurve_Q9UPT5_2_EXOC7.pdf</t>
  </si>
  <si>
    <t>Melting_Curves/meltCurve_Q9UPT8_ZC3H4.pdf</t>
  </si>
  <si>
    <t>Melting_Curves/meltCurve_Q9UPT9_USP22.pdf</t>
  </si>
  <si>
    <t>Melting_Curves/meltCurve_Q9UPU5_USP24.pdf</t>
  </si>
  <si>
    <t>Melting_Curves/meltCurve_Q9UPW5_AGTPBP1.pdf</t>
  </si>
  <si>
    <t>Melting_Curves/meltCurve_Q9UPY8_MAPRE3.pdf</t>
  </si>
  <si>
    <t>Melting_Curves/meltCurve_Q9UPY8_2_MAPRE3.pdf</t>
  </si>
  <si>
    <t>Melting_Curves/meltCurve_Q9UQ13_2_SHOC2.pdf</t>
  </si>
  <si>
    <t>Melting_Curves/meltCurve_Q9UQ35_SRRM2.pdf</t>
  </si>
  <si>
    <t>Melting_Curves/meltCurve_Q9UQ53_2_MGAT4B.pdf</t>
  </si>
  <si>
    <t>Melting_Curves/meltCurve_Q9UQ80_PA2G4.pdf</t>
  </si>
  <si>
    <t>Melting_Curves/meltCurve_Q9UQ90_SPG7.pdf</t>
  </si>
  <si>
    <t>Melting_Curves/meltCurve_Q9UQE7_SMC3.pdf</t>
  </si>
  <si>
    <t>Melting_Curves/meltCurve_Q9UQN3_CHMP2B.pdf</t>
  </si>
  <si>
    <t>Melting_Curves/meltCurve_Q9UQR0_SCML2.pdf</t>
  </si>
  <si>
    <t>Melting_Curves/meltCurve_Q9Y217_MTMR6.pdf</t>
  </si>
  <si>
    <t>Melting_Curves/meltCurve_Q9Y224_C14orf166.pdf</t>
  </si>
  <si>
    <t>Melting_Curves/meltCurve_Q9Y230_RUVBL2.pdf</t>
  </si>
  <si>
    <t>Melting_Curves/meltCurve_Q9Y237_PIN4.pdf</t>
  </si>
  <si>
    <t>Melting_Curves/meltCurve_Q9Y242_TCF19.pdf</t>
  </si>
  <si>
    <t>Melting_Curves/meltCurve_Q9Y243_2_AKT3.pdf</t>
  </si>
  <si>
    <t>Melting_Curves/meltCurve_Q9Y248_GINS2.pdf</t>
  </si>
  <si>
    <t>Melting_Curves/meltCurve_Q9Y255_PRELID1.pdf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</si>
  <si>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</si>
  <si>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</si>
  <si>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</si>
  <si>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</si>
  <si>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Melting_Curves/meltCurve_Q9Y277_VDAC3.pdf</t>
  </si>
  <si>
    <t>Melting_Curves/meltCurve_Q9Y281_CFL2.pdf</t>
  </si>
  <si>
    <t>Melting_Curves/meltCurve_Q9Y289_SLC5A6.pdf</t>
  </si>
  <si>
    <t>Melting_Curves/meltCurve_Q9Y294_ASF1A.pdf</t>
  </si>
  <si>
    <t>Melting_Curves/meltCurve_Q9Y295_DRG1.pdf</t>
  </si>
  <si>
    <t>Melting_Curves/meltCurve_Q9Y2A7_NCKAP1.pdf</t>
  </si>
  <si>
    <t>Melting_Curves/meltCurve_Q9Y2B0_CNPY2.pdf</t>
  </si>
  <si>
    <t>Melting_Curves/meltCurve_Q9Y2C2_UST.pdf</t>
  </si>
  <si>
    <t>Melting_Curves/meltCurve_Q9Y2D5_6_AKAP2.pdf</t>
  </si>
  <si>
    <t>Melting_Curves/meltCurve_Q9Y2G2_4_CARD8.pdf</t>
  </si>
  <si>
    <t>Melting_Curves/meltCurve_Q9Y2G5_POFUT2.pdf</t>
  </si>
  <si>
    <t>Melting_Curves/meltCurve_Q9Y2H0_1_DLGAP4.pdf</t>
  </si>
  <si>
    <t>Melting_Curves/meltCurve_Q9Y2H1_STK38L.pdf</t>
  </si>
  <si>
    <t>Melting_Curves/meltCurve_Q9Y2H6_2_FNDC3A.pdf</t>
  </si>
  <si>
    <t>Melting_Curves/meltCurve_Q9Y2J2_EPB41L3.pdf</t>
  </si>
  <si>
    <t>Melting_Curves/meltCurve_Q9Y2J2_2_EPB41L3.pdf</t>
  </si>
  <si>
    <t>Melting_Curves/meltCurve_Q9Y2K6_USP20.pdf</t>
  </si>
  <si>
    <t>Melting_Curves/meltCurve_Q9Y2K7_4_KDM2A.pdf</t>
  </si>
  <si>
    <t>Melting_Curves/meltCurve_Q9Y2L1_DIS3.pdf</t>
  </si>
  <si>
    <t>Melting_Curves/meltCurve_Q9Y2Q0_3_ATP8A1.pdf</t>
  </si>
  <si>
    <t>Melting_Curves/meltCurve_Q9Y2Q5_LAMTOR2.pdf</t>
  </si>
  <si>
    <t>Melting_Curves/meltCurve_Q9Y2R0_COA3.pdf</t>
  </si>
  <si>
    <t>Melting_Curves/meltCurve_Q9Y2S0_POLR1D.pdf</t>
  </si>
  <si>
    <t>Melting_Curves/meltCurve_Q9Y2S6_TMA7.pdf</t>
  </si>
  <si>
    <t>Melting_Curves/meltCurve_Q9Y2S7_POLDIP2.pdf</t>
  </si>
  <si>
    <t>Melting_Curves/meltCurve_Q9Y2U5_MAP3K2.pdf</t>
  </si>
  <si>
    <t>Melting_Curves/meltCurve_Q9Y2U8_LEMD3.pdf</t>
  </si>
  <si>
    <t>Melting_Curves/meltCurve_Q9Y2V2_CARHSP1.pdf</t>
  </si>
  <si>
    <t>Melting_Curves/meltCurve_Q9Y2V7_2_COG6.pdf</t>
  </si>
  <si>
    <t>Melting_Curves/meltCurve_Q9Y2W1_THRAP3.pdf</t>
  </si>
  <si>
    <t>Melting_Curves/meltCurve_Q9Y2X3_NOP58.pdf</t>
  </si>
  <si>
    <t>Melting_Curves/meltCurve_Q9Y2X7_GIT1.pdf</t>
  </si>
  <si>
    <t>Melting_Curves/meltCurve_Q9Y2Y1_POLR3K.pdf</t>
  </si>
  <si>
    <t>Melting_Curves/meltCurve_Q9Y2Z0_2_SUGT1.pdf</t>
  </si>
  <si>
    <t>Melting_Curves/meltCurve_Q9Y2Z2_5_MTO1.pdf</t>
  </si>
  <si>
    <t>Melting_Curves/meltCurve_Q9Y2Z4_YARS2.pdf</t>
  </si>
  <si>
    <t>Melting_Curves/meltCurve_Q9Y2Z9_3_COQ6.pdf</t>
  </si>
  <si>
    <t>Melting_Curves/meltCurve_Q9Y303_2_AMDHD2.pdf</t>
  </si>
  <si>
    <t>Melting_Curves/meltCurve_Q9Y305_ACOT9.pdf</t>
  </si>
  <si>
    <t>Melting_Curves/meltCurve_Q9Y314_NOSIP.pdf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</si>
  <si>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</si>
  <si>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</si>
  <si>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</si>
  <si>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</si>
  <si>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</si>
  <si>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</si>
  <si>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</si>
  <si>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Melting_Curves/meltCurve_Q9Y385_UBE2J1.pdf</t>
  </si>
  <si>
    <t>Melting_Curves/meltCurve_Q9Y394_2_DHRS7.pdf</t>
  </si>
  <si>
    <t>Melting_Curves/meltCurve_Q9Y3A3_MOB4.pdf</t>
  </si>
  <si>
    <t>Melting_Curves/meltCurve_Q9Y3A5_SBDS.pdf</t>
  </si>
  <si>
    <t>Melting_Curves/meltCurve_Q9Y3A6_TMED5.pdf</t>
  </si>
  <si>
    <t>Melting_Curves/meltCurve_Q9Y3B3_2_TMED7.pdf</t>
  </si>
  <si>
    <t>Melting_Curves/meltCurve_Q9Y3B4_SF3B14.pdf</t>
  </si>
  <si>
    <t>Melting_Curves/meltCurve_Q9Y3B7_MRPL11.pdf</t>
  </si>
  <si>
    <t>Melting_Curves/meltCurve_Q9Y3B9_RRP15.pdf</t>
  </si>
  <si>
    <t>Melting_Curves/meltCurve_Q9Y3C4_TPRKB.pdf</t>
  </si>
  <si>
    <t>Melting_Curves/meltCurve_Q9Y3C5_RNF11.pdf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</si>
  <si>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</si>
  <si>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</si>
  <si>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</si>
  <si>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</si>
  <si>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</si>
  <si>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</si>
  <si>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Melting_Curves/meltCurve_Q9Y3E1_HDGFRP3.pdf</t>
  </si>
  <si>
    <t>Melting_Curves/meltCurve_Q9Y3E2_BOLA1.pdf</t>
  </si>
  <si>
    <t>Melting_Curves/meltCurve_Q9Y3E7_4_CHMP3.pdf</t>
  </si>
  <si>
    <t>Melting_Curves/meltCurve_Q9Y3F4_STRAP.pdf</t>
  </si>
  <si>
    <t>Melting_Curves/meltCurve_Q9Y3I0_C22orf28.pdf</t>
  </si>
  <si>
    <t>Melting_Curves/meltCurve_Q9Y3I1_FBXO7.pdf</t>
  </si>
  <si>
    <t>Melting_Curves/meltCurve_Q9Y3L5_RAP2C.pdf</t>
  </si>
  <si>
    <t>Melting_Curves/meltCurve_Q9Y3P9_RABGAP1.pdf</t>
  </si>
  <si>
    <t>Melting_Curves/meltCurve_Q9Y3Q8_TSC22D4.pdf</t>
  </si>
  <si>
    <t>Melting_Curves/meltCurve_Q9Y3S2_ZNF330.pdf</t>
  </si>
  <si>
    <t>Melting_Curves/meltCurve_Q9Y3T6_R3HCC1.pdf</t>
  </si>
  <si>
    <t>Melting_Curves/meltCurve_Q9Y3T9_NOC2L.pdf</t>
  </si>
  <si>
    <t>Melting_Curves/meltCurve_Q9Y3V2_2_RWDD3.pdf</t>
  </si>
  <si>
    <t>Melting_Curves/meltCurve_Q9Y3X0_CCDC9.pdf</t>
  </si>
  <si>
    <t>Melting_Curves/meltCurve_Q9Y3Z3_4_SAMHD1.pdf</t>
  </si>
  <si>
    <t>Melting_Curves/meltCurve_Q9Y448_KNSTRN.pdf</t>
  </si>
  <si>
    <t>Melting_Curves/meltCurve_Q9Y450_4_HBS1L.pdf</t>
  </si>
  <si>
    <t>Melting_Curves/meltCurve_Q9Y478_PRKAB1.pdf</t>
  </si>
  <si>
    <t>Melting_Curves/meltCurve_Q9Y490_TLN1.pdf</t>
  </si>
  <si>
    <t>Melting_Curves/meltCurve_Q9Y4B4_RAD54L2.pdf</t>
  </si>
  <si>
    <t>Melting_Curves/meltCurve_Q9Y4C1_KDM3A.pdf</t>
  </si>
  <si>
    <t>Melting_Curves/meltCurve_Q9Y4C2_2_FAM115A.pdf</t>
  </si>
  <si>
    <t>Melting_Curves/meltCurve_Q9Y4C4_MFHAS1.pdf</t>
  </si>
  <si>
    <t>Melting_Curves/meltCurve_Q9Y4D7_2_PLXND1.pdf</t>
  </si>
  <si>
    <t>Melting_Curves/meltCurve_Q9Y4E1_2_FAM21C.pdf</t>
  </si>
  <si>
    <t>Melting_Curves/meltCurve_Q9Y4E8_USP15.pdf</t>
  </si>
  <si>
    <t>Melting_Curves/meltCurve_Q9Y4G6_TLN2.pdf</t>
  </si>
  <si>
    <t>Melting_Curves/meltCurve_Q9Y4G8_RAPGEF2.pdf</t>
  </si>
  <si>
    <t>Melting_Curves/meltCurve_Q9Y4H2_IRS2.pdf</t>
  </si>
  <si>
    <t>Melting_Curves/meltCurve_Q9Y4K3_TRAF6.pdf</t>
  </si>
  <si>
    <t>Melting_Curves/meltCurve_Q9Y4K4_MAP4K5.pdf</t>
  </si>
  <si>
    <t>Melting_Curves/meltCurve_Q9Y4P1_6_ATG4B.pdf</t>
  </si>
  <si>
    <t>Melting_Curves/meltCurve_Q9Y4P8_3_WIPI2.pdf</t>
  </si>
  <si>
    <t>Melting_Curves/meltCurve_Q9Y4R8_TELO2.pdf</t>
  </si>
  <si>
    <t>Melting_Curves/meltCurve_Q9Y4U1_MMACHC.pdf</t>
  </si>
  <si>
    <t>Melting_Curves/meltCurve_Q9Y4W6_AFG3L2.pdf</t>
  </si>
  <si>
    <t>Melting_Curves/meltCurve_Q9Y4X5_ARIH1.pdf</t>
  </si>
  <si>
    <t>Melting_Curves/meltCurve_Q9Y4Z0_LSM4.pdf</t>
  </si>
  <si>
    <t>Melting_Curves/meltCurve_Q9Y508_RNF114.pdf</t>
  </si>
  <si>
    <t>Melting_Curves/meltCurve_Q9Y512_SAMM50.pdf</t>
  </si>
  <si>
    <t>Melting_Curves/meltCurve_Q9Y546_LRRC42.pdf</t>
  </si>
  <si>
    <t>Melting_Curves/meltCurve_Q9Y570_PPME1.pdf</t>
  </si>
  <si>
    <t>Melting_Curves/meltCurve_Q9Y584_TIMM22.pdf</t>
  </si>
  <si>
    <t>Melting_Curves/meltCurve_Q9Y597_3_KCTD3.pdf</t>
  </si>
  <si>
    <t>Melting_Curves/meltCurve_Q9Y5A9_YTHDF2.pdf</t>
  </si>
  <si>
    <t>Melting_Curves/meltCurve_Q9Y5B0_CTDP1.pdf</t>
  </si>
  <si>
    <t>Melting_Curves/meltCurve_Q9Y5B6_3_PAXBP1.pdf</t>
  </si>
  <si>
    <t>Melting_Curves/meltCurve_Q9Y5B8_2_NME7.pdf</t>
  </si>
  <si>
    <t>Melting_Curves/meltCurve_Q9Y5J5_PHLDA3.pdf</t>
  </si>
  <si>
    <t>Melting_Curves/meltCurve_Q9Y5J6_TIMM10B.pdf</t>
  </si>
  <si>
    <t>Melting_Curves/meltCurve_Q9Y5J7_TIMM9.pdf</t>
  </si>
  <si>
    <t>Melting_Curves/meltCurve_Q9Y5K5_2_UCHL5.pdf</t>
  </si>
  <si>
    <t>Melting_Curves/meltCurve_Q9Y5K6_CD2AP.pdf</t>
  </si>
  <si>
    <t>Melting_Curves/meltCurve_Q9Y5K8_ATP6V1D.pdf</t>
  </si>
  <si>
    <t>Melting_Curves/meltCurve_Q9Y5L4_TIMM13.pdf</t>
  </si>
  <si>
    <t>Melting_Curves/meltCurve_Q9Y5M8_SRPRB.pdf</t>
  </si>
  <si>
    <t>Melting_Curves/meltCurve_Q9Y5N5_N6AMT1.pdf</t>
  </si>
  <si>
    <t>Melting_Curves/meltCurve_Q9Y5N6_ORC6.pdf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</si>
  <si>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</si>
  <si>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</si>
  <si>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</si>
  <si>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</si>
  <si>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Melting_Curves/meltCurve_Q9Y5S2_CDC42BPB.pdf</t>
  </si>
  <si>
    <t>Melting_Curves/meltCurve_Q9Y5S9_RBM8A.pdf</t>
  </si>
  <si>
    <t>Melting_Curves/meltCurve_Q9Y5U2_2_TSSC4.pdf</t>
  </si>
  <si>
    <t>Melting_Curves/meltCurve_Q9Y5V0_ZNF706.pdf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</si>
  <si>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</si>
  <si>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</si>
  <si>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</si>
  <si>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</si>
  <si>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</si>
  <si>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</si>
  <si>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</si>
  <si>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Melting_Curves/meltCurve_Q9Y5Z9_2_UBIAD1.pdf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</si>
  <si>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</si>
  <si>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</si>
  <si>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</si>
  <si>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</si>
  <si>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Melting_Curves/meltCurve_Q9Y619_SLC25A15.pdf</t>
  </si>
  <si>
    <t>Melting_Curves/meltCurve_Q9Y639_1_NPTN.pdf</t>
  </si>
  <si>
    <t>Melting_Curves/meltCurve_Q9Y673_ALG5.pdf</t>
  </si>
  <si>
    <t>Melting_Curves/meltCurve_Q9Y678_COPG1.pdf</t>
  </si>
  <si>
    <t>Melting_Curves/meltCurve_Q9Y679_2_AUP1.pdf</t>
  </si>
  <si>
    <t>Melting_Curves/meltCurve_Q9Y680_3_FKBP7.pdf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</si>
  <si>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</si>
  <si>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</si>
  <si>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</si>
  <si>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</si>
  <si>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</si>
  <si>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</si>
  <si>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</si>
  <si>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</si>
  <si>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</si>
  <si>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</si>
  <si>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Melting_Curves/meltCurve_Q9Y6G9_DYNC1LI1.pdf</t>
  </si>
  <si>
    <t>Melting_Curves/meltCurve_Q9Y6H1_CHCHD2.pdf</t>
  </si>
  <si>
    <t>Melting_Curves/meltCurve_Q9Y6I3_3_EPN1.pdf</t>
  </si>
  <si>
    <t>Melting_Curves/meltCurve_Q9Y6I9_TEX264.pdf</t>
  </si>
  <si>
    <t>Melting_Curves/meltCurve_Q9Y6K0_CEPT1.pdf</t>
  </si>
  <si>
    <t>Melting_Curves/meltCurve_Q9Y6K9_IKBKG.pdf</t>
  </si>
  <si>
    <t>Melting_Curves/meltCurve_Q9Y6M5_SLC30A1.pdf</t>
  </si>
  <si>
    <t>Melting_Curves/meltCurve_Q9Y6N1_COX11.pdf</t>
  </si>
  <si>
    <t>Melting_Curves/meltCurve_Q9Y6N7_6_ROBO1.pdf</t>
  </si>
  <si>
    <t>Melting_Curves/meltCurve_Q9Y6Q2_STON1.pdf</t>
  </si>
  <si>
    <t>Melting_Curves/meltCurve_Q9Y6Q9_2_NCOA3.pdf</t>
  </si>
  <si>
    <t>Melting_Curves/meltCurve_Q9Y6R0_NUMBL.pdf</t>
  </si>
  <si>
    <t>Melting_Curves/meltCurve_Q9Y6V7_DDX49.pdf</t>
  </si>
  <si>
    <t>Melting_Curves/meltCurve_Q9Y6W3_CAPN7.pdf</t>
  </si>
  <si>
    <t>Melting_Curves/meltCurve_Q9Y6W5_WASF2.pdf</t>
  </si>
  <si>
    <t>Melting_Curves/meltCurve_Q9Y6X5_ENPP4.pdf</t>
  </si>
  <si>
    <t>Melting_Curves/meltCurve_Q9Y6X8_ZHX2.pdf</t>
  </si>
  <si>
    <t>Melting_Curves/meltCurve_R4GMN1_MOSPD2.pdf</t>
  </si>
  <si>
    <t>Melting_Curves/meltCurve_R4GMR5_PSMD8.pdf</t>
  </si>
  <si>
    <t>Melting_Curves/meltCurve_R4GMU8_LAMTOR5.pdf</t>
  </si>
  <si>
    <t>Melting_Curves/meltCurve_R4GMX3_BMI1.pdf</t>
  </si>
  <si>
    <t>Melting_Curves/meltCurve_R4GMZ8_FBXO44.pdf</t>
  </si>
  <si>
    <t>Melting_Curves/meltCurve_R4GN33_MAPKAPK5.pdf</t>
  </si>
  <si>
    <t>Melting_Curves/meltCurve_R4GN55_YTHDF3.pdf</t>
  </si>
  <si>
    <t>Melting_Curves/meltCurve_R4GNB2_DENND4C.pdf</t>
  </si>
  <si>
    <t>Melting_Curves/meltCurve_R4GNH3_PSMC3.pdf</t>
  </si>
  <si>
    <t>Yes</t>
  </si>
  <si>
    <t>No</t>
  </si>
  <si>
    <t>Transmembrane protein 129</t>
  </si>
  <si>
    <t>Ubiquitin-like modifier-activating enzyme 6</t>
  </si>
  <si>
    <t>Isoform 2 of Extended synaptotagmin-2</t>
  </si>
  <si>
    <t>UHRF1-binding protein 1-like</t>
  </si>
  <si>
    <t>Shootin-1</t>
  </si>
  <si>
    <t>Transmembrane protein 223</t>
  </si>
  <si>
    <t>Acetolactate synthase-like protein</t>
  </si>
  <si>
    <t>Uncharacterized protein C17orf89</t>
  </si>
  <si>
    <t>SH3 and PX domain-containing protein 2B</t>
  </si>
  <si>
    <t>Isoform 2 of O-acetyl-ADP-ribose deacetylase MACROD2</t>
  </si>
  <si>
    <t>Aconitate hydratase, mitochondrial</t>
  </si>
  <si>
    <t>Gamma-glutamyltransferase 7 light chain (Fragment)</t>
  </si>
  <si>
    <t>Protein AAR2 homolog</t>
  </si>
  <si>
    <t>HLA class I histocompatibility antigen, Cw-14 alpha chain</t>
  </si>
  <si>
    <t>Uncharacterized protein KIAA1467</t>
  </si>
  <si>
    <t>Exosome complex component RRP4</t>
  </si>
  <si>
    <t>Isoform 3 of Protein strawberry notch homolog 1</t>
  </si>
  <si>
    <t>Isoform 2 of Isoprenoid synthase domain-containing protein</t>
  </si>
  <si>
    <t>Isoform 2 of Killer cell lectin-like receptor subfamily G member 2</t>
  </si>
  <si>
    <t>Protein LCHN</t>
  </si>
  <si>
    <t>Metallo-beta-lactamase domain-containing protein 1</t>
  </si>
  <si>
    <t>RAB3GAP1 protein</t>
  </si>
  <si>
    <t>Heparan sulfate 2-O-sulfotransferase 1</t>
  </si>
  <si>
    <t>Paralemmin-3</t>
  </si>
  <si>
    <t>Phosphoglycolate phosphatase</t>
  </si>
  <si>
    <t>UPF0600 protein C5orf51</t>
  </si>
  <si>
    <t>RCC1 domain-containing protein 1</t>
  </si>
  <si>
    <t>HCF N-terminal chain 5</t>
  </si>
  <si>
    <t>GPI-anchor transamidase</t>
  </si>
  <si>
    <t>Oral-facial-digital syndrome 1 protein</t>
  </si>
  <si>
    <t>Zinc finger protein 281</t>
  </si>
  <si>
    <t>Charged multivesicular body protein 1a</t>
  </si>
  <si>
    <t>Proline-rich protein PRCC</t>
  </si>
  <si>
    <t>WAS/WASL-interacting protein family member 3</t>
  </si>
  <si>
    <t>TLC domain-containing protein 2</t>
  </si>
  <si>
    <t>Hematological and neurological-expressed 1-like protein</t>
  </si>
  <si>
    <t>Isoform 2 of Tubulin alpha chain-like 3</t>
  </si>
  <si>
    <t>Structural maintenance of chromosomes flexible hinge domain-containing protein 1</t>
  </si>
  <si>
    <t>Protein unc-119 homolog B</t>
  </si>
  <si>
    <t>Probable methyltransferase-like protein 15</t>
  </si>
  <si>
    <t>Putative lipoyltransferase 2, mitochondrial</t>
  </si>
  <si>
    <t>Aminopeptidase B</t>
  </si>
  <si>
    <t>Coiled-coil domain-containing protein 85C</t>
  </si>
  <si>
    <t>N-acylglucosamine 2-epimerase</t>
  </si>
  <si>
    <t>Zinc finger MYM-type protein 3</t>
  </si>
  <si>
    <t>Tripartite motif-containing protein 5</t>
  </si>
  <si>
    <t>Septin-8</t>
  </si>
  <si>
    <t>Diaphanous homolog 2 (Drosophila), isoform CRA_c</t>
  </si>
  <si>
    <t>Phosphorylase b kinase regulatory subunit alpha, skeletal muscle isoform</t>
  </si>
  <si>
    <t>DNA polymerase</t>
  </si>
  <si>
    <t>Annexin</t>
  </si>
  <si>
    <t>CD9 antigen</t>
  </si>
  <si>
    <t>Protein FAM127A</t>
  </si>
  <si>
    <t>Protein archease</t>
  </si>
  <si>
    <t>Selenoprotein K</t>
  </si>
  <si>
    <t>UPF0249 protein ydjC homolog</t>
  </si>
  <si>
    <t>Afadin</t>
  </si>
  <si>
    <t>Protein S100-B</t>
  </si>
  <si>
    <t>Protein RTF2 homolog</t>
  </si>
  <si>
    <t>Tetratricopeptide repeat protein 12</t>
  </si>
  <si>
    <t>Down syndrome critical region protein 3</t>
  </si>
  <si>
    <t>Protein TSSC1</t>
  </si>
  <si>
    <t>Geranylgeranyl diphosphate synthase 1, isoform CRA_b</t>
  </si>
  <si>
    <t>Protein FAM171A2</t>
  </si>
  <si>
    <t>UPF0577 protein KIAA1324-like</t>
  </si>
  <si>
    <t>TFIIH basal transcription factor complex helicase XPD subunit (Fragment)</t>
  </si>
  <si>
    <t>Retinoic acid-induced protein 1 (Fragment)</t>
  </si>
  <si>
    <t>Matrin-3</t>
  </si>
  <si>
    <t>Pituitary tumor-transforming gene 1 protein-interacting protein</t>
  </si>
  <si>
    <t>Nucleoside diphosphate-linked moiety X motif 19, mitochondrial</t>
  </si>
  <si>
    <t>Ras-related protein Rab-34, isoform NARR</t>
  </si>
  <si>
    <t>Phosphatidylinositol 3-kinase catalytic subunit type 3</t>
  </si>
  <si>
    <t>MIF4G domain-containing protein</t>
  </si>
  <si>
    <t>Uncharacterized protein KIAA0930</t>
  </si>
  <si>
    <t>6-phosphofructo-2-kinase/fructose-2, 6-bisphosphatase 2 transcript variant 3</t>
  </si>
  <si>
    <t>Eukaryotic translation initiation factor 3 subunit L</t>
  </si>
  <si>
    <t>Mitochondrial dynamic protein MID51</t>
  </si>
  <si>
    <t>TBC1 domain family member 22A</t>
  </si>
  <si>
    <t>RNA-binding protein EWS</t>
  </si>
  <si>
    <t>Copine-1</t>
  </si>
  <si>
    <t>COMM domain-containing protein 6</t>
  </si>
  <si>
    <t>HLA-B associated transcript 3, isoform CRA_a</t>
  </si>
  <si>
    <t>Abhydrolase domain-containing protein 16A</t>
  </si>
  <si>
    <t>Valine--tRNA ligase</t>
  </si>
  <si>
    <t>Flotillin-1 (Fragment)</t>
  </si>
  <si>
    <t>Apolipoprotein C-III</t>
  </si>
  <si>
    <t>Putative peripheral benzodiazepine receptor-related protein (Fragment)</t>
  </si>
  <si>
    <t>NHP2-like protein 1</t>
  </si>
  <si>
    <t>Centromere protein M</t>
  </si>
  <si>
    <t>3-hydroxymethyl-3-methylglutaryl-Coenzyme A lyase (Hydroxymethylglutaricaciduria), isoform CRA_b</t>
  </si>
  <si>
    <t>Ephrin type-B receptor 2</t>
  </si>
  <si>
    <t>Nardilysin</t>
  </si>
  <si>
    <t>Dynein light chain roadblock-type 1</t>
  </si>
  <si>
    <t>Astrocytic phosphoprotein PEA-15</t>
  </si>
  <si>
    <t>Phytanoyl-CoA dioxygenase, peroxisomal</t>
  </si>
  <si>
    <t>Transmembrane protein 9</t>
  </si>
  <si>
    <t>Septin 6, isoform CRA_b</t>
  </si>
  <si>
    <t>Exosome complex component CSL4 (Fragment)</t>
  </si>
  <si>
    <t>Trypsin-3 (Fragment)</t>
  </si>
  <si>
    <t>Guanylate kinase (Fragment)</t>
  </si>
  <si>
    <t>Upstream stimulatory factor 1</t>
  </si>
  <si>
    <t>Epidermal growth factor receptor substrate 15</t>
  </si>
  <si>
    <t>Homeobox protein Meis2</t>
  </si>
  <si>
    <t>Eukaryotic translation initiation factor 3 subunit H</t>
  </si>
  <si>
    <t>Eukaryotic translation initiation factor 3 subunit F</t>
  </si>
  <si>
    <t>Branched-chain-amino-acid aminotransferase</t>
  </si>
  <si>
    <t>Leucine zipper transcription factor-like 1, isoform CRA_b</t>
  </si>
  <si>
    <t>Protein artemis</t>
  </si>
  <si>
    <t>PHD finger protein 23</t>
  </si>
  <si>
    <t>Centromere protein H</t>
  </si>
  <si>
    <t>Pyridine nucleotide-disulfide oxidoreductase domain-containing protein 1</t>
  </si>
  <si>
    <t>Retinoic acid receptor RXR-alpha</t>
  </si>
  <si>
    <t>CDP-diacylglycerol--inositol 3-phosphatidyltransferase</t>
  </si>
  <si>
    <t>ADP-ribosylation factor-like protein 6-interacting protein 4</t>
  </si>
  <si>
    <t>Calponin-2</t>
  </si>
  <si>
    <t>Histidyl-tRNA synthetase-like, isoform CRA_a</t>
  </si>
  <si>
    <t>Receptor expression-enhancing protein 2</t>
  </si>
  <si>
    <t>Sorting nexin-2</t>
  </si>
  <si>
    <t>NADH dehydrogenase [ubiquinone] 1 alpha subcomplex subunit 13</t>
  </si>
  <si>
    <t>Sialin</t>
  </si>
  <si>
    <t>Checkpoint protein HUS1</t>
  </si>
  <si>
    <t>Catenin beta-1</t>
  </si>
  <si>
    <t>Phosphatidylinositol 5-phosphate 4-kinase type-2 alpha</t>
  </si>
  <si>
    <t>MAP1S light chain</t>
  </si>
  <si>
    <t>Phosphatidylinositol 4-phosphate 5-kinase type-1 beta</t>
  </si>
  <si>
    <t>Ras-related protein Rab-5A</t>
  </si>
  <si>
    <t>Brain mitochondrial carrier protein 1</t>
  </si>
  <si>
    <t>Small nuclear ribonucleoprotein Sm D3</t>
  </si>
  <si>
    <t>Citrate synthase</t>
  </si>
  <si>
    <t>Beta-soluble NSF attachment protein</t>
  </si>
  <si>
    <t>Endothelin-converting enzyme 1</t>
  </si>
  <si>
    <t>Zinc finger protein 286A</t>
  </si>
  <si>
    <t>Lipolysis-stimulated lipoprotein receptor</t>
  </si>
  <si>
    <t>Protein CHURC1-FNTB</t>
  </si>
  <si>
    <t>Kinesin-like protein KIF20A</t>
  </si>
  <si>
    <t>Chromosome 2 open reading frame 18, isoform CRA_c</t>
  </si>
  <si>
    <t>Mitochondrial dicarboxylate carrier</t>
  </si>
  <si>
    <t>Ribosomal protein S6 kinase beta-1</t>
  </si>
  <si>
    <t>Probable ATP-dependent RNA helicase DDX5</t>
  </si>
  <si>
    <t>E3 ubiquitin-protein ligase RNF220</t>
  </si>
  <si>
    <t>BSD domain-containing protein 1</t>
  </si>
  <si>
    <t>Kinesin light chain 4</t>
  </si>
  <si>
    <t>Protein FAM45A</t>
  </si>
  <si>
    <t>3-ketodihydrosphingosine reductase</t>
  </si>
  <si>
    <t>Prostaglandin E synthase 3</t>
  </si>
  <si>
    <t>Methylosome protein 50</t>
  </si>
  <si>
    <t>Survival motor neuron protein</t>
  </si>
  <si>
    <t>Sorting nexin-11</t>
  </si>
  <si>
    <t>6-phosphogluconate dehydrogenase, decarboxylating</t>
  </si>
  <si>
    <t>N-alpha-acetyltransferase 40</t>
  </si>
  <si>
    <t>E3 ubiquitin-protein ligase MGRN1</t>
  </si>
  <si>
    <t>Protein transport protein Sec61 subunit alpha isoform 1</t>
  </si>
  <si>
    <t>Serine/threonine-protein kinase 24 12 kDa subunit</t>
  </si>
  <si>
    <t>Synaptobrevin homolog YKT6</t>
  </si>
  <si>
    <t>C2 domain-containing protein 5</t>
  </si>
  <si>
    <t>UPF0586 protein C9orf41</t>
  </si>
  <si>
    <t>3(2),5-bisphosphate nucleotidase 1</t>
  </si>
  <si>
    <t>Eukaryotic translation initiation factor 3 subunit D</t>
  </si>
  <si>
    <t>Brain-specific angiogenesis inhibitor 1-associated protein 2</t>
  </si>
  <si>
    <t>2-hydroxyacyl-CoA lyase 1</t>
  </si>
  <si>
    <t>Fragile X mental retardation syndrome-related protein 1</t>
  </si>
  <si>
    <t>Nucleoporin NUP53</t>
  </si>
  <si>
    <t>ADP-ribosylation factor-like protein 1</t>
  </si>
  <si>
    <t>Histone deacetylase 6</t>
  </si>
  <si>
    <t>Cytoplasmic dynein 1 light intermediate chain 2</t>
  </si>
  <si>
    <t>Regulator of microtubule dynamics protein 1</t>
  </si>
  <si>
    <t>Transmembrane protein 134</t>
  </si>
  <si>
    <t>PHD finger protein 6</t>
  </si>
  <si>
    <t>Peroxisomal targeting signal 1 receptor</t>
  </si>
  <si>
    <t>Pyridoxine-5-phosphate oxidase</t>
  </si>
  <si>
    <t>Serine/threonine-protein kinase MST4</t>
  </si>
  <si>
    <t>Serine/arginine-rich-splicing factor 3</t>
  </si>
  <si>
    <t>3-ketoacyl-CoA thiolase</t>
  </si>
  <si>
    <t>Methyltransferase-like protein 13</t>
  </si>
  <si>
    <t>Segment polarity protein dishevelled homolog DVL-3</t>
  </si>
  <si>
    <t>Multidrug resistance protein 1</t>
  </si>
  <si>
    <t>Coiled-coil-helix-coiled-coil-helix domain-containing protein 10, mitochondrial</t>
  </si>
  <si>
    <t>Uncharacterized protein C6orf1</t>
  </si>
  <si>
    <t>Echinoderm microtubule-associated protein-like 4</t>
  </si>
  <si>
    <t>Synaptogyrin-1</t>
  </si>
  <si>
    <t>Pescadillo homolog</t>
  </si>
  <si>
    <t>Nuclear receptor coactivator 1</t>
  </si>
  <si>
    <t>Septin-2</t>
  </si>
  <si>
    <t>TBC1 domain family member 10A</t>
  </si>
  <si>
    <t>Protein RFT1 homolog</t>
  </si>
  <si>
    <t>Pleckstrin homology domain-containing family A member 8</t>
  </si>
  <si>
    <t>UPF0554 protein C2orf43</t>
  </si>
  <si>
    <t>Pre-mRNA-splicing factor CWC22 homolog</t>
  </si>
  <si>
    <t>Protein disulfide-isomerase A6</t>
  </si>
  <si>
    <t>Myotubularin-related protein 9</t>
  </si>
  <si>
    <t>Major facilitator superfamily domain-containing protein 8</t>
  </si>
  <si>
    <t>Cytohesin-3</t>
  </si>
  <si>
    <t>Cytosolic purine 5-nucleotidase</t>
  </si>
  <si>
    <t>Adenylyl cyclase-associated protein</t>
  </si>
  <si>
    <t>Delta-aminolevulinic acid dehydratase</t>
  </si>
  <si>
    <t>Tubulin-specific chaperone E</t>
  </si>
  <si>
    <t>ADP-ribosylation factor-binding protein GGA3</t>
  </si>
  <si>
    <t>Puromycin-sensitive aminopeptidase</t>
  </si>
  <si>
    <t>Deoxyribonuclease-2-alpha</t>
  </si>
  <si>
    <t>Mitochondrial import receptor subunit TOM40B</t>
  </si>
  <si>
    <t>Cysteine conjugate-beta lyase cytoplasmic (Glutamine transaminase K, kyneurenine aminotransferase), isoform CRA_b</t>
  </si>
  <si>
    <t>Stathmin</t>
  </si>
  <si>
    <t>Mothers against decapentaplegic homolog 2</t>
  </si>
  <si>
    <t>Junctional adhesion molecule A</t>
  </si>
  <si>
    <t>Tryptophan--tRNA ligase, mitochondrial</t>
  </si>
  <si>
    <t>Active breakpoint cluster region-related protein</t>
  </si>
  <si>
    <t>BTB/POZ domain-containing adapter for CUL3-mediated RhoA degradation protein 2</t>
  </si>
  <si>
    <t>Ran-binding protein 3</t>
  </si>
  <si>
    <t>Atlastin-2</t>
  </si>
  <si>
    <t>Ubiquitin carboxyl-terminal hydrolase</t>
  </si>
  <si>
    <t>Delta(24)-sterol reductase</t>
  </si>
  <si>
    <t>Coiled-coil domain-containing protein 117</t>
  </si>
  <si>
    <t>cDNA FLJ52038, highly similar to DNA (cytosine-5)-methyltransferase-like protein 2</t>
  </si>
  <si>
    <t>Medium-chain-specific acyl-CoA dehydrogenase, mitochondrial</t>
  </si>
  <si>
    <t>Sodium/potassium-transporting ATPase subunit beta-1</t>
  </si>
  <si>
    <t>Endophilin-B2</t>
  </si>
  <si>
    <t>PPP2R5E protein</t>
  </si>
  <si>
    <t>SCARB1 protein</t>
  </si>
  <si>
    <t>COX18 protein</t>
  </si>
  <si>
    <t>ER degradation-enhancing alpha-mannosidase-like protein 3</t>
  </si>
  <si>
    <t>CARMIL2b</t>
  </si>
  <si>
    <t>CB1 cannabinoid receptor-interacting protein 1</t>
  </si>
  <si>
    <t>Hyccin</t>
  </si>
  <si>
    <t>Small ubiquitin-related modifier 1</t>
  </si>
  <si>
    <t>Thymosin alpha-1</t>
  </si>
  <si>
    <t>Sorting nexin 13, isoform CRA_g</t>
  </si>
  <si>
    <t>Transcription elongation factor B (SIII), polypeptide 2 (18kDa, elongin B), isoform CRA_b</t>
  </si>
  <si>
    <t>Arf-GAP domain and FG repeat-containing protein 1</t>
  </si>
  <si>
    <t>U4/U6.U5 tri-snRNP-associated protein 2</t>
  </si>
  <si>
    <t>Mitochondrial inner membrane protein</t>
  </si>
  <si>
    <t>ZNF507 protein</t>
  </si>
  <si>
    <t>1-phosphatidylinositol 4,5-bisphosphate phosphodiesterase beta-2</t>
  </si>
  <si>
    <t>BAK1 protein</t>
  </si>
  <si>
    <t>ATG12 autophagy related 12 homolog (S. cerevisiae), isoform CRA_b</t>
  </si>
  <si>
    <t>Putative WAS protein family homolog 3</t>
  </si>
  <si>
    <t>Mediator of RNA polymerase II transcription subunit 30</t>
  </si>
  <si>
    <t>Asparagine synthetase domain-containing protein 1 (Fragment)</t>
  </si>
  <si>
    <t>Patatin-like phospholipase domain-containing protein 4 (Fragment)</t>
  </si>
  <si>
    <t>Integrin beta-1-binding protein 1 (Fragment)</t>
  </si>
  <si>
    <t>Protein-L-isoaspartate(D-aspartate) O-methyltransferase (Fragment)</t>
  </si>
  <si>
    <t>Nuclear-interacting partner of ALK</t>
  </si>
  <si>
    <t>Profilin-2</t>
  </si>
  <si>
    <t>Sorcin</t>
  </si>
  <si>
    <t>Zinc finger protein 655</t>
  </si>
  <si>
    <t>Inositol polyphosphate 1-phosphatase (Fragment)</t>
  </si>
  <si>
    <t>Multiple epidermal growth factor-like domains protein 9</t>
  </si>
  <si>
    <t>NEDD8-conjugating enzyme UBE2F</t>
  </si>
  <si>
    <t>Ubiquitin-conjugating enzyme E2 E1 (Fragment)</t>
  </si>
  <si>
    <t>Chromosome 3 open reading frame 31, isoform CRA_f</t>
  </si>
  <si>
    <t>NF-kappa-B essential modulator (Fragment)</t>
  </si>
  <si>
    <t>Peroxisomal carnitine O-octanoyltransferase</t>
  </si>
  <si>
    <t>Replication initiator 1</t>
  </si>
  <si>
    <t>Translocon-associated protein subunit alpha</t>
  </si>
  <si>
    <t>DNA-directed RNA polymerase</t>
  </si>
  <si>
    <t>Programmed cell death protein 10 (Fragment)</t>
  </si>
  <si>
    <t>Insulin-like growth factor 1 receptor</t>
  </si>
  <si>
    <t>Transport and Golgi organization 2 homolog (Fragment)</t>
  </si>
  <si>
    <t>Transmembrane protein 98 (Fragment)</t>
  </si>
  <si>
    <t>Nischarin</t>
  </si>
  <si>
    <t>26S proteasome non-ATPase regulatory subunit 6 (Fragment)</t>
  </si>
  <si>
    <t>Transportin-3</t>
  </si>
  <si>
    <t>L-lactate dehydrogenase B chain (Fragment)</t>
  </si>
  <si>
    <t>Succinate-semialdehyde dehydrogenase, mitochondrial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</si>
  <si>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</si>
  <si>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</si>
  <si>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</si>
  <si>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</si>
  <si>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Dr1-associated corepressor</t>
  </si>
  <si>
    <t>Transmembrane and ubiquitin-like domain-containing protein 1 (Fragment)</t>
  </si>
  <si>
    <t>Cdc42 effector protein 3 (Fragment)</t>
  </si>
  <si>
    <t>Protein OSCP1</t>
  </si>
  <si>
    <t>Transcription initiation factor TFIID subunit 6 (Fragment)</t>
  </si>
  <si>
    <t>Cytochrome c (Fragment)</t>
  </si>
  <si>
    <t>Angio-associated migratory cell protein</t>
  </si>
  <si>
    <t>Acylamino-acid-releasing enzyme</t>
  </si>
  <si>
    <t>MAWD binding protein, isoform CRA_a</t>
  </si>
  <si>
    <t>Pulmonary surfactant-associated protein A2</t>
  </si>
  <si>
    <t>Integrin alpha-6 heavy chain (Fragment)</t>
  </si>
  <si>
    <t>Phosphoribosylformylglycinamidine cyclo-ligase (Fragment)</t>
  </si>
  <si>
    <t>DNA-directed RNA polymerases I, II, and III subunit RPABC3 (Fragment)</t>
  </si>
  <si>
    <t>Apoptotic protease-activating factor 1</t>
  </si>
  <si>
    <t>Peptidyl-prolyl cis-trans isomerase (Fragment)</t>
  </si>
  <si>
    <t>Inositol hexakisphosphate kinase 1</t>
  </si>
  <si>
    <t>O-acetyl-ADP-ribose deacetylase 1 (Fragment)</t>
  </si>
  <si>
    <t>Collagen alpha-3(VI) chain (Fragment)</t>
  </si>
  <si>
    <t>Muscleblind-like protein 1</t>
  </si>
  <si>
    <t>Cartilage-associated protein</t>
  </si>
  <si>
    <t>Nuclear factor erythroid 2-related factor 1 (Fragment)</t>
  </si>
  <si>
    <t>ADP-ribosylation factor 4 (Fragment)</t>
  </si>
  <si>
    <t>NF-kappa-B inhibitor-interacting Ras-like protein 2</t>
  </si>
  <si>
    <t>Nucleoside diphosphate kinase</t>
  </si>
  <si>
    <t>Serine/threonine-protein kinase 11-interacting protein</t>
  </si>
  <si>
    <t>Vesicle-trafficking protein SEC22a (Fragment)</t>
  </si>
  <si>
    <t>Coiled-coil-helix-coiled-coil-helix domain-containing protein 3, mitochondrial</t>
  </si>
  <si>
    <t>Dipeptidyl peptidase 8</t>
  </si>
  <si>
    <t>Interleukin-1 receptor accessory protein (Fragment)</t>
  </si>
  <si>
    <t>Lipoyltransferase 1, mitochondrial (Fragment)</t>
  </si>
  <si>
    <t>Type 2 lactosamine alpha-2,3-sialyltransferase (Fragment)</t>
  </si>
  <si>
    <t>60S ribosomal protein L24</t>
  </si>
  <si>
    <t>DNA repair protein RAD51 homolog 2</t>
  </si>
  <si>
    <t>Ribonuclease P protein subunit p20 (Fragment)</t>
  </si>
  <si>
    <t>60S ribosomal protein L22-like 1</t>
  </si>
  <si>
    <t>Neuronal cell adhesion molecule</t>
  </si>
  <si>
    <t>ADP-sugar pyrophosphatase (Fragment)</t>
  </si>
  <si>
    <t>Inositol polyphosphate 5-phosphatase K (Fragment)</t>
  </si>
  <si>
    <t>Dehydrogenase/reductase SDR family member 2 (Fragment)</t>
  </si>
  <si>
    <t>Poly(rC)-binding protein 4 (Fragment)</t>
  </si>
  <si>
    <t>Ras association (RalGDS/AF-6) and pleckstrin homology domains 1, isoform CRA_b</t>
  </si>
  <si>
    <t>60S ribosomal protein L32 (Fragment)</t>
  </si>
  <si>
    <t>Interleukin-1 receptor-associated kinase 1</t>
  </si>
  <si>
    <t>Cyclin-dependent kinase 7</t>
  </si>
  <si>
    <t>DNA-directed RNA polymerase III subunit RPC7 (Fragment)</t>
  </si>
  <si>
    <t>DNA excision repair protein ERCC-6 (Fragment)</t>
  </si>
  <si>
    <t>Cytochrome c oxidase subunit 7C, mitochondrial</t>
  </si>
  <si>
    <t>Pleiotropic regulator 1 (Fragment)</t>
  </si>
  <si>
    <t>40S ribosomal protein S3a</t>
  </si>
  <si>
    <t>Soluble lamin-associated protein of 75 kDa</t>
  </si>
  <si>
    <t>Ubiquitin-conjugating enzyme E2 J2 (Fragment)</t>
  </si>
  <si>
    <t>ELMO domain-containing protein 2 (Fragment)</t>
  </si>
  <si>
    <t>Eukaryotic translation initiation factor 4E</t>
  </si>
  <si>
    <t>Estradiol 17-beta-dehydrogenase 11</t>
  </si>
  <si>
    <t>Transmembrane protein 175</t>
  </si>
  <si>
    <t>LIM and calponin homology domains-containing protein 1</t>
  </si>
  <si>
    <t>Embigin</t>
  </si>
  <si>
    <t>UDP-N-acetylglucosamine transferase subunit ALG13 homolog (Fragment)</t>
  </si>
  <si>
    <t>Glutamyl-tRNA(Gln) amidotransferase subunit B, mitochondrial</t>
  </si>
  <si>
    <t>CDC42 small effector protein 2</t>
  </si>
  <si>
    <t>Protein transport protein Sec31A</t>
  </si>
  <si>
    <t>Zinc finger protein 652</t>
  </si>
  <si>
    <t>Deoxycytidine kinase</t>
  </si>
  <si>
    <t>Cytochrome b5 type B</t>
  </si>
  <si>
    <t>Septin 11, isoform CRA_b</t>
  </si>
  <si>
    <t>Mitochondrial sodium/hydrogen exchanger 9B2 (Fragment)</t>
  </si>
  <si>
    <t>Protein CXorf40A</t>
  </si>
  <si>
    <t>Protein sprouty homolog 1 (Fragment)</t>
  </si>
  <si>
    <t>Centromere protein K</t>
  </si>
  <si>
    <t>Ribonuclease T2 (Fragment)</t>
  </si>
  <si>
    <t>Cytochrome c oxidase subunit 7A2, mitochondrial</t>
  </si>
  <si>
    <t>Rieske domain-containing protein</t>
  </si>
  <si>
    <t>Heterogeneous nuclear ribonucleoprotein L-like</t>
  </si>
  <si>
    <t>Pyrroline-5-carboxylate reductase 1, isoform CRA_c</t>
  </si>
  <si>
    <t>Protein C15orf38-AP3S2</t>
  </si>
  <si>
    <t>Geminin (Fragment)</t>
  </si>
  <si>
    <t>Dynamin-like 120 kDa protein, mitochondrial</t>
  </si>
  <si>
    <t>E3 SUMO-protein ligase NSE2</t>
  </si>
  <si>
    <t>Transcription factor COE1</t>
  </si>
  <si>
    <t>Inositol monophosphatase 1 (Fragment)</t>
  </si>
  <si>
    <t>Putative deoxyribonuclease TATDN1 (Fragment)</t>
  </si>
  <si>
    <t>Proton-coupled amino acid transporter 1 (Fragment)</t>
  </si>
  <si>
    <t>Transcription elongation factor B polypeptide 1 (Fragment)</t>
  </si>
  <si>
    <t>Cytochrome b-c1 complex subunit 7</t>
  </si>
  <si>
    <t>Hairy/enhancer-of-split-related with YRPW motif protein 1 (Fragment)</t>
  </si>
  <si>
    <t>Presenilin-2 CTF subunit (Fragment)</t>
  </si>
  <si>
    <t>TELO2-interacting protein 2</t>
  </si>
  <si>
    <t>DNA polymerase beta</t>
  </si>
  <si>
    <t>Transmembrane protein 55A</t>
  </si>
  <si>
    <t>PH and SEC7 domain-containing protein 3</t>
  </si>
  <si>
    <t>AP-3 complex subunit beta-1</t>
  </si>
  <si>
    <t>Zinc finger transcription factor Trps1</t>
  </si>
  <si>
    <t>AN1-type zinc finger protein 1</t>
  </si>
  <si>
    <t>Syndecan-2 (Fragment)</t>
  </si>
  <si>
    <t>8-oxo-dGDP phosphatase NUDT18</t>
  </si>
  <si>
    <t>S-phase kinase-associated protein 1</t>
  </si>
  <si>
    <t>Uncharacterized protein</t>
  </si>
  <si>
    <t>Centrin-3</t>
  </si>
  <si>
    <t>COP9 signalosome complex subunit 6</t>
  </si>
  <si>
    <t>Peroxisomal NADH pyrophosphatase NUDT12</t>
  </si>
  <si>
    <t>Acid trehalase-like protein 1</t>
  </si>
  <si>
    <t>Switch-associated protein 70</t>
  </si>
  <si>
    <t>A-kinase anchor protein 10, mitochondrial (Fragment)</t>
  </si>
  <si>
    <t>Acid ceramidase</t>
  </si>
  <si>
    <t>E3 ubiquitin-protein ligase UBR5</t>
  </si>
  <si>
    <t>Ankycorbin</t>
  </si>
  <si>
    <t>Transforming acidic coiled-coil-containing protein 2</t>
  </si>
  <si>
    <t>Zinc finger protein 143</t>
  </si>
  <si>
    <t>Nicastrin</t>
  </si>
  <si>
    <t>Nesprin-1</t>
  </si>
  <si>
    <t>Hexokinase-1</t>
  </si>
  <si>
    <t>Nuclear prelamin A recognition factor</t>
  </si>
  <si>
    <t>60S ribosomal protein L14</t>
  </si>
  <si>
    <t>CD44 antigen</t>
  </si>
  <si>
    <t>Target of Myb protein 1</t>
  </si>
  <si>
    <t>Pyridoxal-dependent decarboxylase domain-containing protein 1</t>
  </si>
  <si>
    <t>Protein PRRC2C</t>
  </si>
  <si>
    <t>NADH dehydrogenase [ubiquinone] flavoprotein 2, mitochondrial</t>
  </si>
  <si>
    <t>Alpha-synuclein</t>
  </si>
  <si>
    <t>TNFAIP3-interacting protein 1</t>
  </si>
  <si>
    <t>Beta-galactosidase</t>
  </si>
  <si>
    <t>N-alpha-acetyltransferase 50</t>
  </si>
  <si>
    <t>Transmembrane emp24 domain-containing protein 2 (Fragment)</t>
  </si>
  <si>
    <t>Sentrin-specific protease 6</t>
  </si>
  <si>
    <t>Protein YIPF3</t>
  </si>
  <si>
    <t>Dystrophin</t>
  </si>
  <si>
    <t>Apoptotic chromatin condensation inducer in the nucleus</t>
  </si>
  <si>
    <t>Cellular tumor antigen p53</t>
  </si>
  <si>
    <t>Protein FAM136A</t>
  </si>
  <si>
    <t>Synaptojanin-2</t>
  </si>
  <si>
    <t>Endoplasmic reticulum metallopeptidase 1</t>
  </si>
  <si>
    <t>Sulfate adenylyltransferase</t>
  </si>
  <si>
    <t>GEM-interacting protein</t>
  </si>
  <si>
    <t>Calcium-transporting ATPase type 2C member 1</t>
  </si>
  <si>
    <t>CLIP-associating protein 2</t>
  </si>
  <si>
    <t>Translation initiation factor eIF-2B subunit delta</t>
  </si>
  <si>
    <t>Microtubule-associated serine/threonine-protein kinase 2</t>
  </si>
  <si>
    <t>Zinc finger CCCH domain-containing protein 18</t>
  </si>
  <si>
    <t>Tetratricopeptide repeat protein 38</t>
  </si>
  <si>
    <t>Heat shock 70 kDa protein 4L</t>
  </si>
  <si>
    <t>Presenilin-1</t>
  </si>
  <si>
    <t>Claspin</t>
  </si>
  <si>
    <t>Integrin alpha-2</t>
  </si>
  <si>
    <t>Neurofilament medium polypeptide</t>
  </si>
  <si>
    <t>NADH dehydrogenase [ubiquinone] 1 alpha subcomplex subunit 10, mitochondrial</t>
  </si>
  <si>
    <t>Sn1-specific diacylglycerol lipase beta</t>
  </si>
  <si>
    <t>Probable E3 ubiquitin-protein ligase DTX2</t>
  </si>
  <si>
    <t>Aspartyl aminopeptidase</t>
  </si>
  <si>
    <t>Methyltransferase-like protein 8</t>
  </si>
  <si>
    <t>RNA-binding motif, single-stranded-interacting protein 1</t>
  </si>
  <si>
    <t>Procollagen-lysine,2-oxoglutarate 5-dioxygenase 2</t>
  </si>
  <si>
    <t>Serine/threonine-protein kinase MARK2</t>
  </si>
  <si>
    <t>Glutathione peroxidase</t>
  </si>
  <si>
    <t>Calmodulin</t>
  </si>
  <si>
    <t>Basic leucine zipper and W2 domain-containing protein 2 (Fragment)</t>
  </si>
  <si>
    <t>Fibroblast growth factor receptor</t>
  </si>
  <si>
    <t>Rab GDP dissociation inhibitor beta</t>
  </si>
  <si>
    <t>Casein kinase II subunit alpha</t>
  </si>
  <si>
    <t>UTP--glucose-1-phosphate uridylyltransferase</t>
  </si>
  <si>
    <t>Sperm-specific antigen 2</t>
  </si>
  <si>
    <t>Nucleoporin p54</t>
  </si>
  <si>
    <t>Eukaryotic translation initiation factor 4 gamma 1</t>
  </si>
  <si>
    <t>Propionyl-CoA carboxylase beta chain, mitochondrial</t>
  </si>
  <si>
    <t>Methyl-CpG-binding domain protein 1</t>
  </si>
  <si>
    <t>Microtubule-associated protein</t>
  </si>
  <si>
    <t>Autophagy-related protein 16-1</t>
  </si>
  <si>
    <t>Latrophilin-3</t>
  </si>
  <si>
    <t>Kinesin light chain 1</t>
  </si>
  <si>
    <t>Pseudouridine-5-monophosphatase (Fragment)</t>
  </si>
  <si>
    <t>Cytoplasmic FMR1-interacting protein 2</t>
  </si>
  <si>
    <t>U4/U6 small nuclear ribonucleoprotein Prp31</t>
  </si>
  <si>
    <t>Protein SDA1 homolog</t>
  </si>
  <si>
    <t>Unconventional myosin-VI</t>
  </si>
  <si>
    <t>Vacuolar fusion protein MON1 homolog B</t>
  </si>
  <si>
    <t>Sal-like protein 2</t>
  </si>
  <si>
    <t>Septin-10</t>
  </si>
  <si>
    <t>Abl interactor 2</t>
  </si>
  <si>
    <t>Exocyst complex component 6</t>
  </si>
  <si>
    <t>Zinc finger MIZ domain-containing protein 2</t>
  </si>
  <si>
    <t>NADH dehydrogenase [ubiquinone] 1 beta subcomplex subunit 5, mitochondrial</t>
  </si>
  <si>
    <t>MAGUK p55 subfamily member 2</t>
  </si>
  <si>
    <t>Ribosomal protein L15 (Fragment)</t>
  </si>
  <si>
    <t>Dynactin subunit 1</t>
  </si>
  <si>
    <t>Ribonucleoprotein PTB-binding 1</t>
  </si>
  <si>
    <t>G patch domain-containing protein 4</t>
  </si>
  <si>
    <t>Transcription factor HES-4</t>
  </si>
  <si>
    <t>THO complex subunit 4</t>
  </si>
  <si>
    <t>Hexokinase-2</t>
  </si>
  <si>
    <t>Acylglycerol kinase, mitochondrial</t>
  </si>
  <si>
    <t>LIM domain kinase 1</t>
  </si>
  <si>
    <t>Translation initiation factor eIF-2B subunit epsilon</t>
  </si>
  <si>
    <t>Tenascin</t>
  </si>
  <si>
    <t>Folliculin-interacting protein 1</t>
  </si>
  <si>
    <t>Guanylate cyclase soluble subunit beta-1</t>
  </si>
  <si>
    <t>Golgi SNAP receptor complex member 1</t>
  </si>
  <si>
    <t>ETS-related transcription factor Elf-2</t>
  </si>
  <si>
    <t>Heterogeneous nuclear ribonucleoprotein H</t>
  </si>
  <si>
    <t>Structural maintenance of chromosomes protein</t>
  </si>
  <si>
    <t>Cytoskeleton-associated protein 2</t>
  </si>
  <si>
    <t>Leucine-rich repeat and calponin homology domain-containing protein 3</t>
  </si>
  <si>
    <t>Unconventional myosin-Ib</t>
  </si>
  <si>
    <t>Voltage-dependent L-type calcium channel subunit alpha-1C</t>
  </si>
  <si>
    <t>Proton myo-inositol cotransporter</t>
  </si>
  <si>
    <t>Short-chain-specific acyl-CoA dehydrogenase, mitochondrial</t>
  </si>
  <si>
    <t>Probable phospholipid-transporting ATPase IH</t>
  </si>
  <si>
    <t>Cyclic AMP-dependent transcription factor ATF-2</t>
  </si>
  <si>
    <t>Exportin-7</t>
  </si>
  <si>
    <t>Protein kinase C-binding protein NELL1</t>
  </si>
  <si>
    <t>Disco-interacting protein 2 homolog A</t>
  </si>
  <si>
    <t>3-phosphoinositide-dependent protein kinase 1</t>
  </si>
  <si>
    <t>Protein diaphanous homolog 1</t>
  </si>
  <si>
    <t>Uncharacterized protein KIAA1107</t>
  </si>
  <si>
    <t>Nuclear pore complex protein Nup155</t>
  </si>
  <si>
    <t>Acyl-CoA synthetase family member 2, mitochondrial</t>
  </si>
  <si>
    <t>Hydroxyacyl-coenzyme A dehydrogenase, mitochondrial</t>
  </si>
  <si>
    <t>Transducin beta-like protein 2</t>
  </si>
  <si>
    <t>Epidermal growth factor receptor</t>
  </si>
  <si>
    <t>Glutathione S-transferase kappa 1</t>
  </si>
  <si>
    <t>Serine/threonine-protein phosphatase 2A 56 kDa regulatory subunit delta isoform</t>
  </si>
  <si>
    <t>Beta-mannosidase</t>
  </si>
  <si>
    <t>Sequestosome-1 (Fragment)</t>
  </si>
  <si>
    <t>FCH and double SH3 domains protein 2</t>
  </si>
  <si>
    <t>Centrosomal protein of 97 kDa</t>
  </si>
  <si>
    <t>Gamma-secretase C-terminal fragment 59</t>
  </si>
  <si>
    <t>Ephrin type-A receptor 4</t>
  </si>
  <si>
    <t>Ras GTPase-activating protein 1</t>
  </si>
  <si>
    <t>Solute carrier family 25 member 44</t>
  </si>
  <si>
    <t>Translin</t>
  </si>
  <si>
    <t>Ribosomal protein S6 kinase</t>
  </si>
  <si>
    <t>COP9 signalosome complex subunit 8</t>
  </si>
  <si>
    <t>Mediator of RNA polymerase II transcription subunit 22 (Fragment)</t>
  </si>
  <si>
    <t>Thioredoxin-dependent peroxide reductase, mitochondrial</t>
  </si>
  <si>
    <t>Condensin complex subunit 2</t>
  </si>
  <si>
    <t>Cytochrome P450 20A1</t>
  </si>
  <si>
    <t>Treacle protein</t>
  </si>
  <si>
    <t>Glutathione S-transferase Mu 2</t>
  </si>
  <si>
    <t>DNA-directed RNA polymerase II subunit RPB4</t>
  </si>
  <si>
    <t>Mitochondrial carrier homolog 2 (Fragment)</t>
  </si>
  <si>
    <t>Nuclear RNA export factor 1 (Fragment)</t>
  </si>
  <si>
    <t>Thioredoxin reductase 1, cytoplasmic</t>
  </si>
  <si>
    <t>T-complex protein 11-like protein 1</t>
  </si>
  <si>
    <t>UBX domain-containing protein 1 (Fragment)</t>
  </si>
  <si>
    <t>Selenoprotein S</t>
  </si>
  <si>
    <t>Cysteine and histidine-rich protein 1</t>
  </si>
  <si>
    <t>MAP kinase-interacting serine/threonine-protein kinase 1 (Fragment)</t>
  </si>
  <si>
    <t>CD81 antigen</t>
  </si>
  <si>
    <t>Oxysterol-binding protein</t>
  </si>
  <si>
    <t>Elongation factor 1-delta (Fragment)</t>
  </si>
  <si>
    <t>Protein fuzzy homolog</t>
  </si>
  <si>
    <t>Bcl-2-associated transcription factor 1</t>
  </si>
  <si>
    <t>CAAX prenyl protease 2</t>
  </si>
  <si>
    <t>Protein arginine N-methyltransferase 1</t>
  </si>
  <si>
    <t>Trafficking protein particle complex subunit 4</t>
  </si>
  <si>
    <t>Porimin</t>
  </si>
  <si>
    <t>Tetratricopeptide repeat protein 9C (Fragment)</t>
  </si>
  <si>
    <t>60S ribosomal protein L8 (Fragment)</t>
  </si>
  <si>
    <t>Signal peptidase complex subunit 2</t>
  </si>
  <si>
    <t>Transcription factor BTF3 homolog 4</t>
  </si>
  <si>
    <t>Collectin-12</t>
  </si>
  <si>
    <t>Hypoxia up-regulated protein 1</t>
  </si>
  <si>
    <t>Tetraspanin-18 (Fragment)</t>
  </si>
  <si>
    <t>Protein NEDD8-MDP1 (Fragment)</t>
  </si>
  <si>
    <t>Etoposide-induced protein 2.4 homolog (Fragment)</t>
  </si>
  <si>
    <t>60S ribosomal protein L27a</t>
  </si>
  <si>
    <t>Glycosylphosphatidylinositol anchor attachment 1 protein</t>
  </si>
  <si>
    <t>Methylosome subunit pICln</t>
  </si>
  <si>
    <t>Protein FAM118B (Fragment)</t>
  </si>
  <si>
    <t>Heat shock factor protein 1</t>
  </si>
  <si>
    <t>Myelin basic protein</t>
  </si>
  <si>
    <t>Receptor-binding cancer antigen-expressed on SiSo cells</t>
  </si>
  <si>
    <t>Tumor protein D53</t>
  </si>
  <si>
    <t>6-pyruvoyl tetrahydrobiopterin synthase</t>
  </si>
  <si>
    <t>Mth938 domain-containing protein</t>
  </si>
  <si>
    <t>Rho GTPase-activating protein 27</t>
  </si>
  <si>
    <t>CD59 glycoprotein</t>
  </si>
  <si>
    <t>Putative deoxyribose-phosphate aldolase</t>
  </si>
  <si>
    <t>Epiplakin</t>
  </si>
  <si>
    <t>Zinc finger CCCH domain-containing protein 11A</t>
  </si>
  <si>
    <t>N-acetylglucosamine-1-phosphotransferase subunit gamma</t>
  </si>
  <si>
    <t>Vacuolar protein sorting-associated protein 28 homolog (Fragment)</t>
  </si>
  <si>
    <t>Lysosomal acid phosphatase</t>
  </si>
  <si>
    <t>40S ribosomal protein S30</t>
  </si>
  <si>
    <t>Repressor of RNA polymerase III transcription MAF1 homolog (Fragment)</t>
  </si>
  <si>
    <t>CD151 antigen (Fragment)</t>
  </si>
  <si>
    <t>N-terminal kinase-like protein</t>
  </si>
  <si>
    <t>Protein NEDD8-MDP1</t>
  </si>
  <si>
    <t>Alpha-parvin (Fragment)</t>
  </si>
  <si>
    <t>Uracil phosphoribosyltransferase homolog</t>
  </si>
  <si>
    <t>Transmembrane 9 superfamily member 1</t>
  </si>
  <si>
    <t>Lysine-specific histone demethylase 1B</t>
  </si>
  <si>
    <t>Ras GTPase-activating-like protein IQGAP3</t>
  </si>
  <si>
    <t>Myosin-14</t>
  </si>
  <si>
    <t>Non-histone chromosomal protein HMG-14</t>
  </si>
  <si>
    <t>tRNA (uracil-5-)-methyltransferase homolog A</t>
  </si>
  <si>
    <t>Exportin-4</t>
  </si>
  <si>
    <t>Phosphatidylinositol transfer protein alpha isoform</t>
  </si>
  <si>
    <t>WASH complex subunit CCDC53</t>
  </si>
  <si>
    <t>Mothers against decapentaplegic homolog 5</t>
  </si>
  <si>
    <t>Chromodomain-helicase-DNA-binding protein 4</t>
  </si>
  <si>
    <t>Podocalyxin</t>
  </si>
  <si>
    <t>Protein FAM76B</t>
  </si>
  <si>
    <t>Succinyl-CoA ligase [ADP-forming] subunit beta, mitochondrial</t>
  </si>
  <si>
    <t>Arginyl-tRNA--protein transferase 1</t>
  </si>
  <si>
    <t>Receptor-type tyrosine-protein phosphatase kappa</t>
  </si>
  <si>
    <t>Dolichyl-diphosphooligosaccharide--protein glycosyltransferase subunit DAD1</t>
  </si>
  <si>
    <t>Vasculin</t>
  </si>
  <si>
    <t>Polypeptide N-acetylgalactosaminyltransferase 1 soluble form</t>
  </si>
  <si>
    <t>ATP-binding cassette sub-family D member 3</t>
  </si>
  <si>
    <t>Centrosomal protein of 112 kDa</t>
  </si>
  <si>
    <t>Striatin-4</t>
  </si>
  <si>
    <t>Ubiquitin thioesterase OTUB1</t>
  </si>
  <si>
    <t>V-type proton ATPase subunit d 1</t>
  </si>
  <si>
    <t>Paxillin</t>
  </si>
  <si>
    <t>FERM, RhoGEF and pleckstrin domain-containing protein 2</t>
  </si>
  <si>
    <t>Lactadherin short form</t>
  </si>
  <si>
    <t>Tripartite motif-containing protein 59</t>
  </si>
  <si>
    <t>Probable ATP-dependent RNA helicase DHX36</t>
  </si>
  <si>
    <t>4F2 cell-surface antigen heavy chain</t>
  </si>
  <si>
    <t>Mediator of RNA polymerase II transcription subunit 15</t>
  </si>
  <si>
    <t>Constitutive coactivator of peroxisome proliferator-activated receptor gamma</t>
  </si>
  <si>
    <t>Alpha-ketoglutarate-dependent dioxygenase alkB homolog 2 (Fragment)</t>
  </si>
  <si>
    <t>E3 ubiquitin-protein ligase TRIM21</t>
  </si>
  <si>
    <t>SEC23-interacting protein</t>
  </si>
  <si>
    <t>Speckle targeted PIP5K1A-regulated poly(A) polymerase</t>
  </si>
  <si>
    <t>Glycolipid transfer protein</t>
  </si>
  <si>
    <t>Armadillo repeat-containing protein 5</t>
  </si>
  <si>
    <t>Abl interactor 1</t>
  </si>
  <si>
    <t>Neural cell adhesion molecule L1</t>
  </si>
  <si>
    <t>Thioredoxin reductase 2, mitochondrial</t>
  </si>
  <si>
    <t>Uncharacterized protein KIAA1211</t>
  </si>
  <si>
    <t>Multiple PDZ domain protein</t>
  </si>
  <si>
    <t>Lipopolysaccharide-responsive and beige-like anchor protein</t>
  </si>
  <si>
    <t>Ankyrin repeat and LEM domain-containing protein 2</t>
  </si>
  <si>
    <t>Vacuole membrane protein 1</t>
  </si>
  <si>
    <t>Serine/threonine-protein kinase WNK1</t>
  </si>
  <si>
    <t>Protein lunapark</t>
  </si>
  <si>
    <t>Dynactin subunit 2</t>
  </si>
  <si>
    <t>Adaptin ear-binding coat-associated protein 1 (Fragment)</t>
  </si>
  <si>
    <t>High mobility group protein HMGI-C</t>
  </si>
  <si>
    <t>Fatty acid desaturase 3</t>
  </si>
  <si>
    <t>Neuropilin-2</t>
  </si>
  <si>
    <t>Protein transport protein Sec23A</t>
  </si>
  <si>
    <t>Frizzled-10</t>
  </si>
  <si>
    <t>Cell cycle checkpoint control protein RAD9A (Fragment)</t>
  </si>
  <si>
    <t>Importin subunit alpha</t>
  </si>
  <si>
    <t>Integral membrane protein 2C (Fragment)</t>
  </si>
  <si>
    <t>Peroxisomal membrane protein PEX14</t>
  </si>
  <si>
    <t>Protein wntless homolog</t>
  </si>
  <si>
    <t>Vacuolar protein sorting-associated protein 37C (Fragment)</t>
  </si>
  <si>
    <t>Ecotropic viral integration site 5 protein homolog</t>
  </si>
  <si>
    <t>Programmed cell death protein 2</t>
  </si>
  <si>
    <t>Proteasome inhibitor PI31 subunit</t>
  </si>
  <si>
    <t>Protein phosphatase Slingshot homolog 2</t>
  </si>
  <si>
    <t>Eukaryotic translation initiation factor 4 gamma 3</t>
  </si>
  <si>
    <t>V-type proton ATPase 116 kDa subunit a isoform 1</t>
  </si>
  <si>
    <t>Tubulin alpha-1C chain</t>
  </si>
  <si>
    <t>Nucleolar complex protein 4 homolog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</si>
  <si>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</si>
  <si>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</si>
  <si>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</si>
  <si>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Oxidoreductase NAD-binding domain-containing protein 1</t>
  </si>
  <si>
    <t>Antigen peptide transporter 1</t>
  </si>
  <si>
    <t>Mediator of RNA polymerase II transcription subunit 23</t>
  </si>
  <si>
    <t>Leucine--tRNA ligase, cytoplasmic</t>
  </si>
  <si>
    <t>Atlastin-3</t>
  </si>
  <si>
    <t>39S ribosomal protein L48, mitochondrial</t>
  </si>
  <si>
    <t>Axin interactor, dorsalization-associated protein</t>
  </si>
  <si>
    <t>WW domain-binding protein 11</t>
  </si>
  <si>
    <t>Methionine-R-sulfoxide reductase B3 (Fragment)</t>
  </si>
  <si>
    <t>Regulatory-associated protein of mTOR</t>
  </si>
  <si>
    <t>EF-hand calcium-binding domain-containing protein 14</t>
  </si>
  <si>
    <t>Dihydrolipoyllysine-residue acetyltransferase component of pyruvate dehydrogenase complex, mitochondrial</t>
  </si>
  <si>
    <t>MHC class I polypeptide-related sequence B</t>
  </si>
  <si>
    <t>Band 4.1-like protein 3</t>
  </si>
  <si>
    <t>Monocarboxylate transporter 2</t>
  </si>
  <si>
    <t>Type I inositol 3,4-bisphosphate 4-phosphatase</t>
  </si>
  <si>
    <t>Heat shock protein 75 kDa, mitochondrial</t>
  </si>
  <si>
    <t>DNA repair protein XRCC1</t>
  </si>
  <si>
    <t>PCTP-like protein (Fragment)</t>
  </si>
  <si>
    <t>Cleft lip and palate transmembrane protein 1</t>
  </si>
  <si>
    <t>Rab GTPase-activating protein 1-like</t>
  </si>
  <si>
    <t>Epsin-2 (Fragment)</t>
  </si>
  <si>
    <t>Signal-induced proliferation-associated protein 1</t>
  </si>
  <si>
    <t>Lysine-specific histone demethylase 1A</t>
  </si>
  <si>
    <t>TGF-beta-activated kinase 1 and MAP3K7-binding protein 3</t>
  </si>
  <si>
    <t>2,5-phosphodiesterase 12</t>
  </si>
  <si>
    <t>Integrin-alpha FG-GAP repeat-containing protein 2</t>
  </si>
  <si>
    <t>Eukaryotic translation initiation factor 4B (Fragment)</t>
  </si>
  <si>
    <t>DNA fragmentation factor subunit beta</t>
  </si>
  <si>
    <t>Spliceosome RNA helicase DDX39B</t>
  </si>
  <si>
    <t>Overexpressed in colon carcinoma 1 protein (Fragment)</t>
  </si>
  <si>
    <t>Methyltransferase-like protein 7A (Fragment)</t>
  </si>
  <si>
    <t>BRCA1-A complex subunit RAP80</t>
  </si>
  <si>
    <t>Methionine aminopeptidase</t>
  </si>
  <si>
    <t>Protein phosphatase 1 regulatory subunit 1A</t>
  </si>
  <si>
    <t>Serine/threonine-protein kinase Nek3</t>
  </si>
  <si>
    <t>Nuclear transcription factor Y subunit beta (Fragment)</t>
  </si>
  <si>
    <t>Plexin-A1</t>
  </si>
  <si>
    <t>Oxysterol-binding protein (Fragment)</t>
  </si>
  <si>
    <t>Sodium-coupled neutral amino acid transporter 2</t>
  </si>
  <si>
    <t>Coatomer subunit zeta-1</t>
  </si>
  <si>
    <t>Cysteine and glycine-rich protein 2</t>
  </si>
  <si>
    <t>Caspase-9 subunit p35</t>
  </si>
  <si>
    <t>Putative Dol-P-Glc:Glc(2)Man(9)GlcNAc(2)-PP-Dol alpha-1,2-glucosyltransferase</t>
  </si>
  <si>
    <t>Tetraspanin-31</t>
  </si>
  <si>
    <t>ADP-ribosylation factor GTPase-activating protein 1</t>
  </si>
  <si>
    <t>Alpha-globin transcription factor CP2 (Fragment)</t>
  </si>
  <si>
    <t>Sodium-coupled neutral amino acid transporter 1</t>
  </si>
  <si>
    <t>SWI/SNF complex subunit SMARCC2</t>
  </si>
  <si>
    <t>Protein SCAF11</t>
  </si>
  <si>
    <t>Aladin</t>
  </si>
  <si>
    <t>Nascent polypeptide-associated complex subunit alpha</t>
  </si>
  <si>
    <t>Chromatin complexes subunit BAP18</t>
  </si>
  <si>
    <t>YEATS domain-containing protein 4</t>
  </si>
  <si>
    <t>Nucleosome assembly protein 1-like 1</t>
  </si>
  <si>
    <t>Serine/threonine-protein phosphatase</t>
  </si>
  <si>
    <t>CCR4-NOT transcription complex subunit 2 (Fragment)</t>
  </si>
  <si>
    <t>60S ribosomal protein L6 (Fragment)</t>
  </si>
  <si>
    <t>FYVE, RhoGEF and PH domain-containing protein 4</t>
  </si>
  <si>
    <t>Transcription factor RFX4</t>
  </si>
  <si>
    <t>UDP-N-acetylglucosamine--dolichyl-phosphate N-acetylglucosaminephosphotransferase</t>
  </si>
  <si>
    <t>Heterogeneous nuclear ribonucleoprotein A1</t>
  </si>
  <si>
    <t>Membrane-associated guanylate kinase, WW and PDZ domain-containing protein 1</t>
  </si>
  <si>
    <t>Myb-related protein B</t>
  </si>
  <si>
    <t>Transducin-like enhancer protein 4</t>
  </si>
  <si>
    <t>Protein sidekick-1</t>
  </si>
  <si>
    <t>Echinoderm microtubule-associated protein-like 1</t>
  </si>
  <si>
    <t>Ubiquitin-associated protein 2-like</t>
  </si>
  <si>
    <t>Adiponectin receptor protein 1</t>
  </si>
  <si>
    <t>Molybdopterin molybdenumtransferase</t>
  </si>
  <si>
    <t>Protein FAM162A</t>
  </si>
  <si>
    <t>Protein FAM73A</t>
  </si>
  <si>
    <t>Nucleolysin TIA-1 isoform p40</t>
  </si>
  <si>
    <t>Actin-binding LIM protein 1</t>
  </si>
  <si>
    <t>Calcium-dependent secretion activator 2</t>
  </si>
  <si>
    <t>Syntaxin-5</t>
  </si>
  <si>
    <t>DNA polymerase delta subunit 2</t>
  </si>
  <si>
    <t>Mitochondrial import receptor subunit TOM5 homolog</t>
  </si>
  <si>
    <t>Insulin-like growth factor 2 mRNA-binding protein 2</t>
  </si>
  <si>
    <t>Exocyst complex component 5</t>
  </si>
  <si>
    <t>Serine/threonine-protein kinase WNK2</t>
  </si>
  <si>
    <t>Mediator of RNA polymerase II transcription subunit 24</t>
  </si>
  <si>
    <t>Syntaxin-16 (Fragment)</t>
  </si>
  <si>
    <t>CLIP-associating protein 1</t>
  </si>
  <si>
    <t>Calponin-3</t>
  </si>
  <si>
    <t>Uridine kinase</t>
  </si>
  <si>
    <t>Disintegrin and metalloproteinase domain-containing protein 22 (Fragment)</t>
  </si>
  <si>
    <t>Eukaryotic translation initiation factor 2 subunit 1</t>
  </si>
  <si>
    <t>Cohesin subunit SA-2</t>
  </si>
  <si>
    <t>Aldehyde dehydrogenase family 16 member A1</t>
  </si>
  <si>
    <t>39S ribosomal protein L40, mitochondrial</t>
  </si>
  <si>
    <t>Decapping and exoribonuclease protein</t>
  </si>
  <si>
    <t>SAC3 domain-containing protein 1</t>
  </si>
  <si>
    <t>Zinc finger protein 687</t>
  </si>
  <si>
    <t>DNA (cytosine-5)-methyltransferase 3A</t>
  </si>
  <si>
    <t>AN1-type zinc finger protein 2B</t>
  </si>
  <si>
    <t>COBW domain-containing protein 2</t>
  </si>
  <si>
    <t>Dol-P-Man:Man(5)GlcNAc(2)-PP-Dol alpha-1,3-mannosyltransferase</t>
  </si>
  <si>
    <t>NADH dehydrogenase (Ubiquinone) flavoprotein 1, 51kDa, isoform CRA_c</t>
  </si>
  <si>
    <t>OTU domain containing 4, isoform CRA_f</t>
  </si>
  <si>
    <t>MTERF domain containing 1, isoform CRA_c</t>
  </si>
  <si>
    <t>Dipeptidyl peptidase 3</t>
  </si>
  <si>
    <t>Paraoxonase 2, isoform CRA_a</t>
  </si>
  <si>
    <t>HCG1745306, isoform CRA_a</t>
  </si>
  <si>
    <t>Loss of heterozygosity 12 chromosomal region 1 protein</t>
  </si>
  <si>
    <t>Transcription factor 8 (Represses interleukin 2 expression), isoform CRA_b</t>
  </si>
  <si>
    <t>Inositol-3-phosphate synthase 1</t>
  </si>
  <si>
    <t>Polypeptide N-acetylgalactosaminyltransferase 2 soluble form</t>
  </si>
  <si>
    <t>Activating transcription factor 7 interacting protein, isoform CRA_f</t>
  </si>
  <si>
    <t>Golgi transport 1 homolog B (S. cerevisiae), isoform CRA_c</t>
  </si>
  <si>
    <t>60S ribosomal protein L18</t>
  </si>
  <si>
    <t>Methyltransferase-like protein 10</t>
  </si>
  <si>
    <t>HCG2044781</t>
  </si>
  <si>
    <t>Cyclin-dependent kinase inhibitor 3</t>
  </si>
  <si>
    <t>Homeobox protein SIX4</t>
  </si>
  <si>
    <t>Pentatricopeptide repeat-containing protein 1, mitochondrial</t>
  </si>
  <si>
    <t>DDB1- and CUL4-associated factor 8</t>
  </si>
  <si>
    <t>DNA-(apurinic or apyrimidinic site) lyase (Fragment)</t>
  </si>
  <si>
    <t>Ataxin-3 (Fragment)</t>
  </si>
  <si>
    <t>Apoptosis regulatory protein Siva (Fragment)</t>
  </si>
  <si>
    <t>HAUS augmin-like complex subunit 4 (Fragment)</t>
  </si>
  <si>
    <t>Protein NDRG2</t>
  </si>
  <si>
    <t>Protein FAM177A1 (Fragment)</t>
  </si>
  <si>
    <t>cTAGE family member 5</t>
  </si>
  <si>
    <t>Cyclin-K</t>
  </si>
  <si>
    <t>Maleylacetoacetate isomerase</t>
  </si>
  <si>
    <t>Cyclin-dependent kinase 2</t>
  </si>
  <si>
    <t>Nesprin-2</t>
  </si>
  <si>
    <t>Proteasome subunit alpha type</t>
  </si>
  <si>
    <t>Nucleoporin NDC1</t>
  </si>
  <si>
    <t>AT rich interactive domain 1B (SWI1-like), isoform CRA_a</t>
  </si>
  <si>
    <t>Mitogen-activated protein kinase kinase kinase kinase 4</t>
  </si>
  <si>
    <t>Laminin subunit beta-1</t>
  </si>
  <si>
    <t>Mitochondrial import inner membrane translocase subunit Tim8 B</t>
  </si>
  <si>
    <t>ATP-binding cassette sub-family B member 8, mitochondrial</t>
  </si>
  <si>
    <t>ATG4 autophagy related 4 homolog A (S. cerevisiae), isoform CRA_e</t>
  </si>
  <si>
    <t>G protein-coupled receptor 107, isoform CRA_c</t>
  </si>
  <si>
    <t>Son of sevenless homolog 1</t>
  </si>
  <si>
    <t>Tight junction protein 1 (Zona occludens 1), isoform CRA_e</t>
  </si>
  <si>
    <t>Golgi SNAP receptor complex member 1 (Fragment)</t>
  </si>
  <si>
    <t>Phosphatidylinositol 4-kinase type 2 beta</t>
  </si>
  <si>
    <t>CUG triplet repeat, RNA binding protein 1, isoform CRA_c</t>
  </si>
  <si>
    <t>Tropomodulin 2 (Neuronal), isoform CRA_a</t>
  </si>
  <si>
    <t>Protein disulfide isomerase family A, member 3, isoform CRA_b</t>
  </si>
  <si>
    <t>Mirror-image polydactyly 1, isoform CRA_b</t>
  </si>
  <si>
    <t>Cordon-bleu protein-like 1</t>
  </si>
  <si>
    <t>G/T mismatch-specific thymine DNA glycosylase</t>
  </si>
  <si>
    <t>Myosin light polypeptide 6</t>
  </si>
  <si>
    <t>tRNA pseudouridine synthase (Fragment)</t>
  </si>
  <si>
    <t>Melanoma inhibitory activity protein 3</t>
  </si>
  <si>
    <t>ELKS/Rab6-interacting/CAST family member 1</t>
  </si>
  <si>
    <t>M-phase inducer phosphatase 2</t>
  </si>
  <si>
    <t>WD repeat domain phosphoinositide-interacting protein 4</t>
  </si>
  <si>
    <t>Prolyl 3-hydroxylase 3</t>
  </si>
  <si>
    <t>Transforming acidic coiled-coil-containing protein 1</t>
  </si>
  <si>
    <t>Lysosomal thioesterase PPT2 (Fragment)</t>
  </si>
  <si>
    <t>Multivesicular body subunit 12B</t>
  </si>
  <si>
    <t>Negative elongation factor C/D</t>
  </si>
  <si>
    <t>ADP-ribosylation factor-related protein 1 (Fragment)</t>
  </si>
  <si>
    <t>Phosphatidylinositol-glycan biosynthesis class X protein</t>
  </si>
  <si>
    <t>Centrosomal protein of 170 kDa (Fragment)</t>
  </si>
  <si>
    <t>Monofunctional C1-tetrahydrofolate synthase, mitochondrial (Fragment)</t>
  </si>
  <si>
    <t>AMP deaminase 2 (Fragment)</t>
  </si>
  <si>
    <t>Zinc transporter 7 (Fragment)</t>
  </si>
  <si>
    <t>Outer dense fiber protein 2 (Fragment)</t>
  </si>
  <si>
    <t>60S ribosomal protein L35 (Fragment)</t>
  </si>
  <si>
    <t>Disabled homolog 2-interacting protein (Fragment)</t>
  </si>
  <si>
    <t>Eukaryotic translation initiation factor 4 gamma 2</t>
  </si>
  <si>
    <t>Negative elongation factor A (Fragment)</t>
  </si>
  <si>
    <t>Zinc finger protein 185 (Fragment)</t>
  </si>
  <si>
    <t>Inosine-5-monophosphate dehydrogenase 2 (Fragment)</t>
  </si>
  <si>
    <t>Solute carrier family 23 member 2 (Fragment)</t>
  </si>
  <si>
    <t>Latrophilin-2 (Fragment)</t>
  </si>
  <si>
    <t>Prolyl endopeptidase (Fragment)</t>
  </si>
  <si>
    <t>E3 ubiquitin-protein ligase TRIM33 (Fragment)</t>
  </si>
  <si>
    <t>Ubiquitin-fold modifier 1 (Fragment)</t>
  </si>
  <si>
    <t>ADP-ribosylation factor GTPase-activating protein 3 (Fragment)</t>
  </si>
  <si>
    <t>Zinc fingers and homeoboxes protein 3 (Fragment)</t>
  </si>
  <si>
    <t>Golgin subfamily A member 4 (Fragment)</t>
  </si>
  <si>
    <t>Nucleoside diphosphate kinase, mitochondrial (Fragment)</t>
  </si>
  <si>
    <t>Bromodomain-containing protein 2 (Fragment)</t>
  </si>
  <si>
    <t>Transcription factor Sp3</t>
  </si>
  <si>
    <t>ATP-binding cassette sub-family D member 1 (Fragment)</t>
  </si>
  <si>
    <t>Stromal interaction molecule 2</t>
  </si>
  <si>
    <t>Mitochondrial carrier homolog 1 (Fragment)</t>
  </si>
  <si>
    <t>Inositol hexakisphosphate and diphosphoinositol-pentakisphosphate kinase 2 (Fragment)</t>
  </si>
  <si>
    <t>Ubiquitin-conjugating enzyme E2 B (Fragment)</t>
  </si>
  <si>
    <t>Translation machinery-associated protein 16 (Fragment)</t>
  </si>
  <si>
    <t>RNA-binding protein 24 (Fragment)</t>
  </si>
  <si>
    <t>Amyloid beta A4 precursor protein-binding family B member 2 (Fragment)</t>
  </si>
  <si>
    <t>28S ribosomal protein S35, mitochondrial (Fragment)</t>
  </si>
  <si>
    <t>UPF0317 protein C14orf159, mitochondrial (Fragment)</t>
  </si>
  <si>
    <t>Integrator complex subunit 8 (Fragment)</t>
  </si>
  <si>
    <t>Lysosome-associated membrane glycoprotein 2 (Fragment)</t>
  </si>
  <si>
    <t>Double-stranded RNA-specific adenosine deaminase (Fragment)</t>
  </si>
  <si>
    <t>Probable dolichyl pyrophosphate Glc1Man9GlcNAc2 alpha-1,3-glucosyltransferase (Fragment)</t>
  </si>
  <si>
    <t>Single Ig IL-1-related receptor (Fragment)</t>
  </si>
  <si>
    <t>Serine/threonine-protein phosphatase (Fragment)</t>
  </si>
  <si>
    <t>Tumor necrosis factor receptor superfamily member 5 (Fragment)</t>
  </si>
  <si>
    <t>Sjoegren syndrome/scleroderma autoantigen 1 (Fragment)</t>
  </si>
  <si>
    <t>Ribonuclease H2 subunit C (Fragment)</t>
  </si>
  <si>
    <t>40S ribosomal protein S2 (Fragment)</t>
  </si>
  <si>
    <t>UPF0598 protein C8orf82 (Fragment)</t>
  </si>
  <si>
    <t>Cell adhesion molecule 1 (Fragment)</t>
  </si>
  <si>
    <t>Oligoribonuclease, mitochondrial (Fragment)</t>
  </si>
  <si>
    <t>Josephin-1 (Fragment)</t>
  </si>
  <si>
    <t>Ataxin-2 (Fragment)</t>
  </si>
  <si>
    <t>Rab-3A-interacting protein (Fragment)</t>
  </si>
  <si>
    <t>F-box only protein 21 (Fragment)</t>
  </si>
  <si>
    <t>LETM1 domain-containing protein 1 (Fragment)</t>
  </si>
  <si>
    <t>Uncharacterized protein (Fragment)</t>
  </si>
  <si>
    <t>ER membrane protein complex subunit 4</t>
  </si>
  <si>
    <t>Transducin-like enhancer protein 3</t>
  </si>
  <si>
    <t>Isocitrate dehydrogenase [NAD] subunit alpha, mitochondrial</t>
  </si>
  <si>
    <t>POU domain, class 2, transcription factor 1</t>
  </si>
  <si>
    <t>Phosphatidylinositol N-acetylglucosaminyltransferase subunit H</t>
  </si>
  <si>
    <t>GMP reductase 2</t>
  </si>
  <si>
    <t>60S ribosomal protein L28</t>
  </si>
  <si>
    <t>TNF receptor-associated factor 3 (Fragment)</t>
  </si>
  <si>
    <t>Ankyrin repeat and SOCS box protein 7</t>
  </si>
  <si>
    <t>A-kinase anchor protein 13 (Fragment)</t>
  </si>
  <si>
    <t>Signal peptidase complex catalytic subunit SEC11A</t>
  </si>
  <si>
    <t>Integrin alpha-7</t>
  </si>
  <si>
    <t>Aflatoxin B1 aldehyde reductase member 2 (Fragment)</t>
  </si>
  <si>
    <t>Transmembrane protein 63B (Fragment)</t>
  </si>
  <si>
    <t>DNA repair protein SWI5 homolog (Fragment)</t>
  </si>
  <si>
    <t>Dysbindin domain-containing protein 1</t>
  </si>
  <si>
    <t>Probable ATP-dependent RNA helicase DDX17</t>
  </si>
  <si>
    <t>NEDD8 ultimate buster 1</t>
  </si>
  <si>
    <t>cAMP-regulated phosphoprotein 19</t>
  </si>
  <si>
    <t>Protein spinster homolog 1</t>
  </si>
  <si>
    <t>Uncharacterized protein C15orf39 (Fragment)</t>
  </si>
  <si>
    <t>RNA-binding protein with serine-rich domain 1</t>
  </si>
  <si>
    <t>Protein GTLF3B</t>
  </si>
  <si>
    <t>Putative sodium-coupled neutral amino acid transporter 7 (Fragment)</t>
  </si>
  <si>
    <t>Uncharacterized protein KIAA0513 (Fragment)</t>
  </si>
  <si>
    <t>Beta-hexosaminidase</t>
  </si>
  <si>
    <t>SUMO-conjugating enzyme UBC9 (Fragment)</t>
  </si>
  <si>
    <t>Microtubule-actin cross-linking factor 1, isoforms 1/2/3/5</t>
  </si>
  <si>
    <t>Hydroxyacylglutathione hydrolase, mitochondrial (Fragment)</t>
  </si>
  <si>
    <t>Battenin (Fragment)</t>
  </si>
  <si>
    <t>Protein NDRG4 (Fragment)</t>
  </si>
  <si>
    <t>Sorting nexin-33 (Fragment)</t>
  </si>
  <si>
    <t>Fructose-bisphosphate aldolase A (Fragment)</t>
  </si>
  <si>
    <t>snRNA-activating protein complex subunit 5</t>
  </si>
  <si>
    <t>HCG2044799</t>
  </si>
  <si>
    <t>Telomeric repeat-binding factor 2 (Fragment)</t>
  </si>
  <si>
    <t>Dynactin subunit 5</t>
  </si>
  <si>
    <t>E3 ubiquitin-protein ligase ZNRF1</t>
  </si>
  <si>
    <t>FAD-linked sulfhydryl oxidase ALR (Fragment)</t>
  </si>
  <si>
    <t>Zinc finger FYVE domain-containing protein 19</t>
  </si>
  <si>
    <t>Ubiquitin domain-containing protein UBFD1</t>
  </si>
  <si>
    <t>Peroxisomal coenzyme A diphosphatase NUDT7</t>
  </si>
  <si>
    <t>Nuclear factor of-activated T-cells, cytoplasmic 3 (Fragment)</t>
  </si>
  <si>
    <t>Protein FAM219B (Fragment)</t>
  </si>
  <si>
    <t>Eukaryotic translation initiation factor 3 subunit C</t>
  </si>
  <si>
    <t>von Willebrand factor A domain-containing protein 9</t>
  </si>
  <si>
    <t>Zinc finger protein 768</t>
  </si>
  <si>
    <t>Transmembrane protein 178B</t>
  </si>
  <si>
    <t>Y+L amino acid transporter 2 (Fragment)</t>
  </si>
  <si>
    <t>Conserved oligomeric Golgi complex subunit 8 (Fragment)</t>
  </si>
  <si>
    <t>Gamma-aminobutyric acid receptor-associated protein-like 2</t>
  </si>
  <si>
    <t>UPF0420 protein C16orf58</t>
  </si>
  <si>
    <t>Cytoplasmic tRNA 2-thiolation protein 2</t>
  </si>
  <si>
    <t>Protein fem-1 homolog B (Fragment)</t>
  </si>
  <si>
    <t>ADP-dependent glucokinase (Fragment)</t>
  </si>
  <si>
    <t>Microtubule-associated protein 1 light chain 3 beta, isoform CRA_f</t>
  </si>
  <si>
    <t>[3-methyl-2-oxobutanoate dehydrogenase [lipoamide]] kinase, mitochondrial (Fragment)</t>
  </si>
  <si>
    <t>ADP-ribosylation factor-like protein 2-binding protein</t>
  </si>
  <si>
    <t>Phosphopantothenoylcysteine decarboxylase</t>
  </si>
  <si>
    <t>Ataxin-2-like protein</t>
  </si>
  <si>
    <t>2-oxoglutarate and iron-dependent oxygenase domain-containing protein 1</t>
  </si>
  <si>
    <t>Ubiquitin-like protein 7 (Fragment)</t>
  </si>
  <si>
    <t>Grancalcin</t>
  </si>
  <si>
    <t>Serine/threonine-protein phosphatase 6 regulatory subunit 3</t>
  </si>
  <si>
    <t>Endoplasmic reticulum-Golgi intermediate compartment protein 3</t>
  </si>
  <si>
    <t>BET1-like protein</t>
  </si>
  <si>
    <t>Tetraspanin-14</t>
  </si>
  <si>
    <t>Protein-L-isoaspartate O-methyltransferase</t>
  </si>
  <si>
    <t>Tail-anchored protein insertion receptor WRB (Fragment)</t>
  </si>
  <si>
    <t>Integrator complex subunit 9</t>
  </si>
  <si>
    <t>Tropomyosin 1 (Alpha), isoform CRA_m</t>
  </si>
  <si>
    <t>L-seryl-tRNA(Sec) kinase (Fragment)</t>
  </si>
  <si>
    <t>Thioredoxin (Fragment)</t>
  </si>
  <si>
    <t>Non-homologous end-joining factor 1 (Fragment)</t>
  </si>
  <si>
    <t>Inositol 1,4,5-trisphosphate receptor-interacting protein-like 1 (Fragment)</t>
  </si>
  <si>
    <t>IQ motif and SEC7 domain-containing protein 1 (Fragment)</t>
  </si>
  <si>
    <t>F-box/LRR-repeat protein 19 (Fragment)</t>
  </si>
  <si>
    <t>Mitotic-spindle organizing protein 2B (Fragment)</t>
  </si>
  <si>
    <t>AP-1 complex subunit sigma-1A (Fragment)</t>
  </si>
  <si>
    <t>Coiled-coil and C2 domain-containing protein 1B (Fragment)</t>
  </si>
  <si>
    <t>Apolipoprotein O (Fragment)</t>
  </si>
  <si>
    <t>Fanconi anemia-associated protein of 20 kDa (Fragment)</t>
  </si>
  <si>
    <t>Synaptosomal-associated protein 47 (Fragment)</t>
  </si>
  <si>
    <t>Protein FAM134A (Fragment)</t>
  </si>
  <si>
    <t>COX assembly mitochondrial protein homolog (Fragment)</t>
  </si>
  <si>
    <t>Glucosamine (N-acetyl)-6-sulfatase (Sanfilippo disease IIID), isoform CRA_b</t>
  </si>
  <si>
    <t>Ecto-ADP-ribosyltransferase 5 (Fragment)</t>
  </si>
  <si>
    <t>Interferon-related developmental regulator 2 (Fragment)</t>
  </si>
  <si>
    <t>Protein ARV1 (Fragment)</t>
  </si>
  <si>
    <t>Coiled-coil domain-containing protein 58 (Fragment)</t>
  </si>
  <si>
    <t>Isoamyl acetate-hydrolyzing esterase 1 homolog (Fragment)</t>
  </si>
  <si>
    <t>Putative glycerol kinase 5 (Fragment)</t>
  </si>
  <si>
    <t>Protein EFR3 homolog A</t>
  </si>
  <si>
    <t>Protein regulator of cytokinesis 1</t>
  </si>
  <si>
    <t>PWWP domain-containing protein 2B</t>
  </si>
  <si>
    <t>Calcium uptake protein 1, mitochondrial</t>
  </si>
  <si>
    <t>Cyclic AMP-responsive element-binding protein 5 (Fragment)</t>
  </si>
  <si>
    <t>GA binding protein transcription factor beta subunit 1 transcript variant gamma-2</t>
  </si>
  <si>
    <t>WAS protein family homolog 6</t>
  </si>
  <si>
    <t>Golgi SNAP receptor complex member 2 (Fragment)</t>
  </si>
  <si>
    <t>E3 ubiquitin-protein ligase RNF167</t>
  </si>
  <si>
    <t>Vesicle-fusing ATPase</t>
  </si>
  <si>
    <t>RNA methyltransferase-like protein 1</t>
  </si>
  <si>
    <t>TBC1 domain family member 16 (Fragment)</t>
  </si>
  <si>
    <t>Diphthamide biosynthesis protein 1 (Fragment)</t>
  </si>
  <si>
    <t>Mitochondrial 2-oxoglutarate/malate carrier protein (Fragment)</t>
  </si>
  <si>
    <t>Clustered mitochondria protein homolog</t>
  </si>
  <si>
    <t>Gem-associated protein 4</t>
  </si>
  <si>
    <t>5-azacytidine-induced protein 1</t>
  </si>
  <si>
    <t>Protein FAM195B</t>
  </si>
  <si>
    <t>Segment polarity protein dishevelled homolog DVL-2</t>
  </si>
  <si>
    <t>Proline-, glutamic acid- and leucine-rich protein 1</t>
  </si>
  <si>
    <t>ATP synthase mitochondrial F1 complex assembly factor 1</t>
  </si>
  <si>
    <t>LSM domain-containing protein 1</t>
  </si>
  <si>
    <t>NF-kappa-B inhibitor beta (Fragment)</t>
  </si>
  <si>
    <t>Epididymal secretory protein E1</t>
  </si>
  <si>
    <t>Zinc finger protein ubi-d4</t>
  </si>
  <si>
    <t>Low-density lipoprotein receptor (Fragment)</t>
  </si>
  <si>
    <t>Proteasome-associated protein ECM29 homolog</t>
  </si>
  <si>
    <t>Fibrosin-1-like protein</t>
  </si>
  <si>
    <t>26S proteasome non-ATPase regulatory subunit 9</t>
  </si>
  <si>
    <t>Obscurin-like protein 1</t>
  </si>
  <si>
    <t>BCL2/adenovirus E1B 19 kDa protein-interacting protein 2</t>
  </si>
  <si>
    <t>Torsin-1A-interacting protein 1</t>
  </si>
  <si>
    <t>Tropomyosin alpha-3 chain</t>
  </si>
  <si>
    <t>Arylacetamide deacetylase-like 1</t>
  </si>
  <si>
    <t>Mitochondrial inner membrane protein OXA1L</t>
  </si>
  <si>
    <t>Transcription initiation factor IIA beta chain</t>
  </si>
  <si>
    <t>Copper chaperone for superoxide dismutase</t>
  </si>
  <si>
    <t>Conserved oligomeric Golgi complex subunit 4</t>
  </si>
  <si>
    <t>Chitinase domain-containing protein 1</t>
  </si>
  <si>
    <t>Protein transport protein Sec16A</t>
  </si>
  <si>
    <t>Zinc finger FYVE domain-containing protein 1</t>
  </si>
  <si>
    <t>BRCA1-associated protein</t>
  </si>
  <si>
    <t>Zinc finger protein 1 homolog</t>
  </si>
  <si>
    <t>MAP/microtubule affinity-regulating kinase 3</t>
  </si>
  <si>
    <t>Methylmalonate-semialdehyde dehydrogenase [acylating], mitochondrial</t>
  </si>
  <si>
    <t>Four and a half LIM domains protein 2</t>
  </si>
  <si>
    <t>RanBP2-like and GRIP domain-containing protein 4</t>
  </si>
  <si>
    <t>Serine/arginine-rich-splicing factor 2 (Fragment)</t>
  </si>
  <si>
    <t>Receptor-type tyrosine-protein phosphatase alpha</t>
  </si>
  <si>
    <t>Ankyrin repeat domain-containing protein 46 (Fragment)</t>
  </si>
  <si>
    <t>Nuclear pore complex protein Nup98-Nup96</t>
  </si>
  <si>
    <t>Deoxynucleotidyltransferase terminal-interacting protein 2</t>
  </si>
  <si>
    <t>Phosphatase and actin regulator 2</t>
  </si>
  <si>
    <t>Heparan-sulfate 6-O-sulfotransferase 2</t>
  </si>
  <si>
    <t>Kinesin-like protein KIF3A</t>
  </si>
  <si>
    <t>Histone deacetylase 9</t>
  </si>
  <si>
    <t>Calcium/calmodulin-dependent protein kinase kinase 1</t>
  </si>
  <si>
    <t>Synaptojanin-1</t>
  </si>
  <si>
    <t>Calcineurin B homologous protein 3</t>
  </si>
  <si>
    <t>Cisplatin resistance-associated overexpressed protein, isoform CRA_b</t>
  </si>
  <si>
    <t>Beta-arrestin-1</t>
  </si>
  <si>
    <t>TraB domain-containing protein</t>
  </si>
  <si>
    <t>Coiled-coil-helix-coiled-coil-helix domain-containing protein 7</t>
  </si>
  <si>
    <t>Sulfurtransferase</t>
  </si>
  <si>
    <t>Sin3 histone deacetylase corepressor complex component SDS3</t>
  </si>
  <si>
    <t>Histone deacetylase 2</t>
  </si>
  <si>
    <t>DNA-binding protein RFXANK</t>
  </si>
  <si>
    <t>Obg-like ATPase 1</t>
  </si>
  <si>
    <t>Peptidyl-tRNA hydrolase 2, mitochondrial</t>
  </si>
  <si>
    <t>Uncharacterized protein C6orf203</t>
  </si>
  <si>
    <t>THUMP domain-containing protein 1</t>
  </si>
  <si>
    <t>SUN domain-containing protein 2</t>
  </si>
  <si>
    <t>GTP-binding nuclear protein Ran (Fragment)</t>
  </si>
  <si>
    <t>Glucosylceramidase</t>
  </si>
  <si>
    <t>Sulfatase-modifying factor 2</t>
  </si>
  <si>
    <t>Apolipoprotein L2</t>
  </si>
  <si>
    <t>AP-1 complex subunit gamma-1</t>
  </si>
  <si>
    <t>Coiled-coil domain containing 12, isoform CRA_a</t>
  </si>
  <si>
    <t>Tubulin-specific chaperone D</t>
  </si>
  <si>
    <t>Uncharacterized protein C16orf55 (Fragment)</t>
  </si>
  <si>
    <t>Small ubiquitin-related modifier 2</t>
  </si>
  <si>
    <t>Mitogen-activated protein kinase kinase kinase 3</t>
  </si>
  <si>
    <t>Chromobox protein homolog 1 (Fragment)</t>
  </si>
  <si>
    <t>Peptidyl-tRNA hydrolase ICT1, mitochondrial (Fragment)</t>
  </si>
  <si>
    <t>Transmembrane protein 199</t>
  </si>
  <si>
    <t>Bleomycin hydrolase (Fragment)</t>
  </si>
  <si>
    <t>Archaemetzincin-2 (Fragment)</t>
  </si>
  <si>
    <t>F-box and leucine-rich repeat protein 20, isoform CRA_a</t>
  </si>
  <si>
    <t>Aurora kinase B (Fragment)</t>
  </si>
  <si>
    <t>Serine/arginine-rich-splicing factor 1</t>
  </si>
  <si>
    <t>Calcium homeostasis endoplasmic reticulum protein</t>
  </si>
  <si>
    <t>SWI/SNF-related matrix-associated actin-dependent regulator of chromatin subfamily E member 1 (Fragment)</t>
  </si>
  <si>
    <t>Protein SCO1 homolog, mitochondrial</t>
  </si>
  <si>
    <t>Golgi apparatus membrane protein TVP23 homolog B</t>
  </si>
  <si>
    <t>Secernin-2</t>
  </si>
  <si>
    <t>Zinc transporter ZIP11 (Fragment)</t>
  </si>
  <si>
    <t>Flotillin-2</t>
  </si>
  <si>
    <t>28S ribosomal protein S23, mitochondrial</t>
  </si>
  <si>
    <t>28S ribosomal protein S7, mitochondrial</t>
  </si>
  <si>
    <t>SAP30-binding protein (Fragment)</t>
  </si>
  <si>
    <t>60S ribosomal protein L17 (Fragment)</t>
  </si>
  <si>
    <t>NADPH:adrenodoxin oxidoreductase, mitochondrial</t>
  </si>
  <si>
    <t>Male-specific lethal 1 homolog</t>
  </si>
  <si>
    <t>Centromere protein X (Fragment)</t>
  </si>
  <si>
    <t>YTH domain-containing protein 1</t>
  </si>
  <si>
    <t>Ribosomal protein L19</t>
  </si>
  <si>
    <t>Fatty aldehyde dehydrogenase</t>
  </si>
  <si>
    <t>ORM1-like protein 3 (Fragment)</t>
  </si>
  <si>
    <t>Myosin regulatory light chain 12A</t>
  </si>
  <si>
    <t>Zinc finger protein 207</t>
  </si>
  <si>
    <t>Tyrosine-protein kinase Yes</t>
  </si>
  <si>
    <t>Vesicle-associated membrane protein 2</t>
  </si>
  <si>
    <t>Probable helicase with zinc finger domain</t>
  </si>
  <si>
    <t>Cyclin-dependent kinase 12 (Fragment)</t>
  </si>
  <si>
    <t>UPF0606 protein KIAA1549</t>
  </si>
  <si>
    <t>Huntingtin-interacting protein K</t>
  </si>
  <si>
    <t>COP9 signalosome complex subunit 7b (Fragment)</t>
  </si>
  <si>
    <t>Coiled-coil-helix-coiled-coil-helix domain-containing protein 6, mitochondrial</t>
  </si>
  <si>
    <t>Dystonin</t>
  </si>
  <si>
    <t>Protein Njmu-R1</t>
  </si>
  <si>
    <t>Lamin B2, isoform CRA_a</t>
  </si>
  <si>
    <t>Cytoplasmic phosphatidylinositol transfer protein 1</t>
  </si>
  <si>
    <t>Transmembrane and coiled-coil domain-containing protein 1</t>
  </si>
  <si>
    <t>Arylsulfatase G</t>
  </si>
  <si>
    <t>RWD domain containing 4A</t>
  </si>
  <si>
    <t>Cullin 4B, isoform CRA_e</t>
  </si>
  <si>
    <t>Max-like protein X (Fragment)</t>
  </si>
  <si>
    <t>Methyl-CpG binding domain protein 3, isoform CRA_b</t>
  </si>
  <si>
    <t>Echinoderm microtubule-associated protein-like 2</t>
  </si>
  <si>
    <t>Protein YIPF2 (Fragment)</t>
  </si>
  <si>
    <t>Tubulin gamma chain (Fragment)</t>
  </si>
  <si>
    <t>Mothers against decapentaplegic homolog 4</t>
  </si>
  <si>
    <t>SEC14-like protein 1 (Fragment)</t>
  </si>
  <si>
    <t>40S ribosomal protein S15 (Fragment)</t>
  </si>
  <si>
    <t>Kinetochore protein Spc24 (Fragment)</t>
  </si>
  <si>
    <t>AP-1 complex subunit mu-1</t>
  </si>
  <si>
    <t>Signal peptidase complex catalytic subunit SEC11C</t>
  </si>
  <si>
    <t>Histone H3 (Fragment)</t>
  </si>
  <si>
    <t>Protein lin-37 homolog</t>
  </si>
  <si>
    <t>Lon protease homolog, mitochondrial</t>
  </si>
  <si>
    <t>39S ribosomal protein L4, mitochondrial</t>
  </si>
  <si>
    <t>Transmembrane and ubiquitin-like domain-containing protein 2 (Fragment)</t>
  </si>
  <si>
    <t>Hsp90 co-chaperone Cdc37 (Fragment)</t>
  </si>
  <si>
    <t>Protein phosphatase 1 regulatory subunit 12C (Fragment)</t>
  </si>
  <si>
    <t>60S ribosomal protein L27 (Fragment)</t>
  </si>
  <si>
    <t>Glucosidase 2 subunit beta</t>
  </si>
  <si>
    <t>Syntaxin-10 (Fragment)</t>
  </si>
  <si>
    <t>Katanin p60 ATPase-containing subunit A-like 2 (Fragment)</t>
  </si>
  <si>
    <t>Transmembrane protein 205 (Fragment)</t>
  </si>
  <si>
    <t>Actin, cytoplasmic 2, N-terminally processed (Fragment)</t>
  </si>
  <si>
    <t>Transcription elongation factor 1 homolog</t>
  </si>
  <si>
    <t>R3H domain-containing protein 4</t>
  </si>
  <si>
    <t>Asparagine--tRNA ligase, cytoplasmic</t>
  </si>
  <si>
    <t>Uncharacterized protein C18orf8</t>
  </si>
  <si>
    <t>ETS domain-containing protein Elk-1</t>
  </si>
  <si>
    <t>ATP synthase subunit s-like protein</t>
  </si>
  <si>
    <t>UBX domain-containing protein 6 (Fragment)</t>
  </si>
  <si>
    <t>MOB kinase activator 3A (Fragment)</t>
  </si>
  <si>
    <t>NADH dehydrogenase [ubiquinone] 1 alpha subcomplex subunit 11</t>
  </si>
  <si>
    <t>Glutaminyl-peptide cyclotransferase-like protein (Fragment)</t>
  </si>
  <si>
    <t>Phenylalanine--tRNA ligase alpha subunit</t>
  </si>
  <si>
    <t>Uncharacterized protein C19orf55</t>
  </si>
  <si>
    <t>Eukaryotic translation initiation factor 3 subunit K</t>
  </si>
  <si>
    <t>Dystrobrevin alpha (Fragment)</t>
  </si>
  <si>
    <t>Protein YIF1B (Fragment)</t>
  </si>
  <si>
    <t>Ubiquitin-conjugating enzyme E2 O (Fragment)</t>
  </si>
  <si>
    <t>Protein FAM86A</t>
  </si>
  <si>
    <t>Cyclic AMP-dependent transcription factor ATF-7 (Fragment)</t>
  </si>
  <si>
    <t>UV excision repair protein RAD23 homolog A</t>
  </si>
  <si>
    <t>Glucose-6-phosphatase 3 (Fragment)</t>
  </si>
  <si>
    <t>Dynamin-2</t>
  </si>
  <si>
    <t>Thioredoxin-like protein 4A</t>
  </si>
  <si>
    <t>Dephospho-CoA kinase domain-containing protein (Fragment)</t>
  </si>
  <si>
    <t>Serine--tRNA ligase, mitochondrial</t>
  </si>
  <si>
    <t>BRISC and BRCA1-A complex member 1</t>
  </si>
  <si>
    <t>Protein Wiz</t>
  </si>
  <si>
    <t>Coatomer protein complex, subunit epsilon, isoform CRA_g</t>
  </si>
  <si>
    <t>Protein ETHE1, mitochondrial</t>
  </si>
  <si>
    <t>Mucolipin-1 (Fragment)</t>
  </si>
  <si>
    <t>Nuclear pore glycoprotein p62</t>
  </si>
  <si>
    <t>Upstream stimulatory factor 2</t>
  </si>
  <si>
    <t>Zinc finger protein 428 (Fragment)</t>
  </si>
  <si>
    <t>KxDL motif-containing protein 1</t>
  </si>
  <si>
    <t>PIH1 domain-containing protein 1 (Fragment)</t>
  </si>
  <si>
    <t>Bifunctional polynucleotide phosphatase/kinase</t>
  </si>
  <si>
    <t>Tubulin beta-4A chain (Fragment)</t>
  </si>
  <si>
    <t>60S ribosomal protein L13a (Fragment)</t>
  </si>
  <si>
    <t>Vesicle transport protein USE1 (Fragment)</t>
  </si>
  <si>
    <t>GRAM domain-containing protein 1A</t>
  </si>
  <si>
    <t>AP-2 complex subunit sigma</t>
  </si>
  <si>
    <t>Uncharacterized protein C19orf44</t>
  </si>
  <si>
    <t>Protein SMG9 (Fragment)</t>
  </si>
  <si>
    <t>Heterogeneous nuclear ribonucleoprotein M (Fragment)</t>
  </si>
  <si>
    <t>Serine/threonine-protein kinase D</t>
  </si>
  <si>
    <t>Sphingosine kinase 2</t>
  </si>
  <si>
    <t>40S ribosomal protein S5 (Fragment)</t>
  </si>
  <si>
    <t>Sodium/potassium-transporting ATPase subunit alpha-3</t>
  </si>
  <si>
    <t>60S ribosomal protein L18a</t>
  </si>
  <si>
    <t>Ras-related protein Rab-4B (Fragment)</t>
  </si>
  <si>
    <t>Ribosomal protein L34</t>
  </si>
  <si>
    <t>rRNA 2-O-methyltransferase fibrillarin (Fragment)</t>
  </si>
  <si>
    <t>ER membrane protein complex subunit 10</t>
  </si>
  <si>
    <t>Prenylated Rab acceptor protein 1</t>
  </si>
  <si>
    <t>Alkyldihydroxyacetonephosphate synthase, peroxisomal</t>
  </si>
  <si>
    <t>Isoform 3 of UBX domain-containing protein 8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</si>
  <si>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</si>
  <si>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</si>
  <si>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</si>
  <si>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</si>
  <si>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Unconventional myosin-Ic</t>
  </si>
  <si>
    <t>Synaptosomal-associated protein 23</t>
  </si>
  <si>
    <t>Isoform 5 of HCLS1-associated protein X-1</t>
  </si>
  <si>
    <t>AH receptor-interacting protein</t>
  </si>
  <si>
    <t>GTP-binding protein 1</t>
  </si>
  <si>
    <t>Syntaxin-binding protein 3</t>
  </si>
  <si>
    <t>Small acidic protein</t>
  </si>
  <si>
    <t>Isoform 2 of Amyloid beta A4 precursor protein-binding family B member 1</t>
  </si>
  <si>
    <t>NADH dehydrogenase [ubiquinone] iron-sulfur protein 8, mitochondrial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</si>
  <si>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</si>
  <si>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</si>
  <si>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</si>
  <si>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</si>
  <si>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</si>
  <si>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</si>
  <si>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</si>
  <si>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</si>
  <si>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</si>
  <si>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</si>
  <si>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</si>
  <si>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Pyruvate dehydrogenase protein X component, mitochondrial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</si>
  <si>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</si>
  <si>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</si>
  <si>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</si>
  <si>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</si>
  <si>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</si>
  <si>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</si>
  <si>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</si>
  <si>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</si>
  <si>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</si>
  <si>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4-phosphate 3-kinase C2 domain-containing subunit alpha</t>
  </si>
  <si>
    <t>GDNF family receptor alpha-2</t>
  </si>
  <si>
    <t>Phosphatidylinositol 3-kinase regulatory subunit beta</t>
  </si>
  <si>
    <t>Golgi integral membrane protein 4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</si>
  <si>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</si>
  <si>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</si>
  <si>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</si>
  <si>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</si>
  <si>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Serine/threonine-protein kinase 25</t>
  </si>
  <si>
    <t>B-cell CLL/lymphoma 9 protein</t>
  </si>
  <si>
    <t>Isoform 3 of Syntenin-1</t>
  </si>
  <si>
    <t>ATP-dependent RNA helicase DDX3X</t>
  </si>
  <si>
    <t>Pirin</t>
  </si>
  <si>
    <t>Importin subunit alpha-4</t>
  </si>
  <si>
    <t>Tripartite motif-containing protein 38</t>
  </si>
  <si>
    <t>Transcription factor E2F3</t>
  </si>
  <si>
    <t>Serine/threonine-protein phosphatase 6 catalytic subunit</t>
  </si>
  <si>
    <t>Cocaine esterase</t>
  </si>
  <si>
    <t>Isoform 2 of Lysosomal alpha-mannosidase</t>
  </si>
  <si>
    <t>Ubiquitin-conjugating enzyme E2 C</t>
  </si>
  <si>
    <t>Pyridoxal kinase</t>
  </si>
  <si>
    <t>Acyl-CoA desaturase</t>
  </si>
  <si>
    <t>Isoform 2 of AT-rich interactive domain-containing protein 1A</t>
  </si>
  <si>
    <t>Isoform 2 of Cyclin-dependent kinase 2-associated protein 1</t>
  </si>
  <si>
    <t>C2 domain-containing protein 2-like</t>
  </si>
  <si>
    <t>Isoform 2 of Transmembrane protein 194A</t>
  </si>
  <si>
    <t>TRAF-type zinc finger domain-containing protein 1</t>
  </si>
  <si>
    <t>Cdc42 effector protein 2</t>
  </si>
  <si>
    <t>Isoform 4 of AP-3 complex subunit delta-1</t>
  </si>
  <si>
    <t>Isoform 2 of Segment polarity protein dishevelled homolog DVL-1</t>
  </si>
  <si>
    <t>Torsin-1B</t>
  </si>
  <si>
    <t>Disintegrin and metalloproteinase domain-containing protein 10</t>
  </si>
  <si>
    <t>Histone-lysine N-methyltransferase MLL2</t>
  </si>
  <si>
    <t>Isoform 2 of Inositol monophosphatase 2</t>
  </si>
  <si>
    <t>Dual specificity mitogen-activated protein kinase kinase 7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</si>
  <si>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</si>
  <si>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</si>
  <si>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</si>
  <si>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</si>
  <si>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</si>
  <si>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</si>
  <si>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Fucose-1-phosphate guanylyltransferase</t>
  </si>
  <si>
    <t>Isoform 2 of Tripeptidyl-peptidase 1</t>
  </si>
  <si>
    <t>Isoform 2 of Transcription elongation regulator 1</t>
  </si>
  <si>
    <t>Kinetochore protein NDC80 homolog</t>
  </si>
  <si>
    <t>Isoform 2 of Transportin-2</t>
  </si>
  <si>
    <t>Complexin-1</t>
  </si>
  <si>
    <t>Proteasome subunit alpha type-7</t>
  </si>
  <si>
    <t>Secretory carrier-associated membrane protein 3</t>
  </si>
  <si>
    <t>Transcription regulator protein BACH1</t>
  </si>
  <si>
    <t>Isoform 2 of Gem-associated protein 2</t>
  </si>
  <si>
    <t>Tax1-binding protein 3</t>
  </si>
  <si>
    <t>PDZ domain-containing protein GIPC1</t>
  </si>
  <si>
    <t>Protein lin-7 homolog A</t>
  </si>
  <si>
    <t>Inhibitor of nuclear factor kappa-B kinase subunit beta</t>
  </si>
  <si>
    <t>Mitochondrial import inner membrane translocase subunit Tim23</t>
  </si>
  <si>
    <t>Histone acetyltransferase type B catalytic subunit</t>
  </si>
  <si>
    <t>Isoform 3 of Peripheral plasma membrane protein CASK</t>
  </si>
  <si>
    <t>Hepatocyte growth factor-regulated tyrosine kinase substrate</t>
  </si>
  <si>
    <t>Aurora kinase A</t>
  </si>
  <si>
    <t>Isoform 2 of Ras-related protein Rab-7L1</t>
  </si>
  <si>
    <t>Calmegin</t>
  </si>
  <si>
    <t>Isoform 2 of Protein phosphatase 1 regulatory subunit 12A</t>
  </si>
  <si>
    <t>Cyclin-G-associated kinase</t>
  </si>
  <si>
    <t>Isoform 3 of Heterogeneous nuclear ribonucleoprotein D-like</t>
  </si>
  <si>
    <t>Exportin-1</t>
  </si>
  <si>
    <t>TATA-binding protein-associated factor 172</t>
  </si>
  <si>
    <t>Isoform 4 of Rho guanine nucleotide exchange factor 10</t>
  </si>
  <si>
    <t>Zinc finger protein 609</t>
  </si>
  <si>
    <t>Plexin-B2</t>
  </si>
  <si>
    <t>Histone-lysine N-methyltransferase SETD1A</t>
  </si>
  <si>
    <t>Phosphoribosylformylglycinamidine synthase</t>
  </si>
  <si>
    <t>Rho guanine nucleotide exchange factor 11</t>
  </si>
  <si>
    <t>Isoform 4 of Mitochondrial ribonuclease P protein 3</t>
  </si>
  <si>
    <t>Inhibitor of nuclear factor kappa-B kinase subunit alpha</t>
  </si>
  <si>
    <t>U6 snRNA-associated Sm-like protein LSm1</t>
  </si>
  <si>
    <t>Niemann-Pick C1 protein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</si>
  <si>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</si>
  <si>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</si>
  <si>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</si>
  <si>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</si>
  <si>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</si>
  <si>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</si>
  <si>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</si>
  <si>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</si>
  <si>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Isoform Short of Transcription intermediary factor 1-alpha</t>
  </si>
  <si>
    <t>Isoform 2 of Axin-1</t>
  </si>
  <si>
    <t>Membrane-associated progesterone receptor component 2</t>
  </si>
  <si>
    <t>Prefoldin subunit 6</t>
  </si>
  <si>
    <t>Dihydroxyacetone phosphate acyltransferase</t>
  </si>
  <si>
    <t>Protein CASC3</t>
  </si>
  <si>
    <t>NADH dehydrogenase [ubiquinone] 1 alpha subcomplex subunit 1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</si>
  <si>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</si>
  <si>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</si>
  <si>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</si>
  <si>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</si>
  <si>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</si>
  <si>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Midline-1</t>
  </si>
  <si>
    <t>High mobility group protein B3</t>
  </si>
  <si>
    <t>Protein phosphatase 1G</t>
  </si>
  <si>
    <t>Phosphatidylinositol 3,4,5-trisphosphate 5-phosphatase 2</t>
  </si>
  <si>
    <t>Importin-8</t>
  </si>
  <si>
    <t>Isoform 2 of Syntaxin-7</t>
  </si>
  <si>
    <t>Isoform 2 of Multidrug resistance-associated protein 4</t>
  </si>
  <si>
    <t>DNA-directed RNA polymerase I subunit RPA34</t>
  </si>
  <si>
    <t>Isoform IIa of Prolyl 4-hydroxylase subunit alpha-2</t>
  </si>
  <si>
    <t>Actin-related protein 2/3 complex subunit 5</t>
  </si>
  <si>
    <t>RING finger protein 113A</t>
  </si>
  <si>
    <t>Putative pre-mRNA-splicing factor ATP-dependent RNA helicase DHX15</t>
  </si>
  <si>
    <t>mRNA cap guanine-N7 methyltransferase</t>
  </si>
  <si>
    <t>Isoform 2 of Arf-GAP with SH3 domain, ANK repeat and PH domain-containing protein 2</t>
  </si>
  <si>
    <t>Leucine-rich repeat transmembrane protein FLRT2</t>
  </si>
  <si>
    <t>TELO2-interacting protein 1 homolog</t>
  </si>
  <si>
    <t>Isoform 2 of E3 ubiquitin-protein ligase Praja-2</t>
  </si>
  <si>
    <t>Isoform 2 of U4/U6 small nuclear ribonucleoprotein Prp4</t>
  </si>
  <si>
    <t>D-3-phosphoglycerate dehydrogenase</t>
  </si>
  <si>
    <t>26S proteasome non-ATPase regulatory subunit 3</t>
  </si>
  <si>
    <t>Isoform 6 of RNA binding protein fox-1 homolog 2</t>
  </si>
  <si>
    <t>Bifunctional 3-phosphoadenosine 5-phosphosulfate synthase 1</t>
  </si>
  <si>
    <t>Zinc finger HIT domain-containing protein 1</t>
  </si>
  <si>
    <t>Centromere/kinetochore protein zw10 homolog</t>
  </si>
  <si>
    <t>U4/U6.U5 tri-snRNP-associated protein 1</t>
  </si>
  <si>
    <t>Heat shock 70 kDa protein 12A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</si>
  <si>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</si>
  <si>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</si>
  <si>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</si>
  <si>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Receptor-interacting serine/threonine-protein kinase 2</t>
  </si>
  <si>
    <t>WD repeat-containing protein 62</t>
  </si>
  <si>
    <t>U4/U6 small nuclear ribonucleoprotein Prp3</t>
  </si>
  <si>
    <t>Thioredoxin-like protein 1</t>
  </si>
  <si>
    <t>Tumor protein D54</t>
  </si>
  <si>
    <t>Isoform 2 of Tumor protein D54</t>
  </si>
  <si>
    <t>ER membrane protein complex subunit 8</t>
  </si>
  <si>
    <t>Isoform C of T-box transcription factor TBX1</t>
  </si>
  <si>
    <t>Peptidyl-prolyl cis-trans isomerase H</t>
  </si>
  <si>
    <t>Isoform 3 of Serine protease HTRA2, mitochondrial</t>
  </si>
  <si>
    <t>Isoform 2 of Krueppel-like factor 4</t>
  </si>
  <si>
    <t>Protein Mis18-beta</t>
  </si>
  <si>
    <t>Band 4.1-like protein 2</t>
  </si>
  <si>
    <t>Isoform TGN46 of Trans-Golgi network integral membrane protein 2</t>
  </si>
  <si>
    <t>DNA repair protein RAD51 homolog 3</t>
  </si>
  <si>
    <t>N-acetyllactosaminide beta-1,3-N-acetylglucosaminyltransferase</t>
  </si>
  <si>
    <t>WAS/WASL-interacting protein family member 1</t>
  </si>
  <si>
    <t>Isoform Bim-alpha3 of Bcl-2-like protein 11</t>
  </si>
  <si>
    <t>Forkhead box protein O3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</si>
  <si>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</si>
  <si>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</si>
  <si>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</si>
  <si>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</si>
  <si>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</si>
  <si>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</si>
  <si>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</si>
  <si>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</si>
  <si>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Tetraspanin-6</t>
  </si>
  <si>
    <t>Isoform 2 of Regulator of G-protein signaling 10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</si>
  <si>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</si>
  <si>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</si>
  <si>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</si>
  <si>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ASNA1</t>
  </si>
  <si>
    <t>Mitotic checkpoint protein BUB3</t>
  </si>
  <si>
    <t>Isoform 2 of 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</si>
  <si>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</si>
  <si>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</si>
  <si>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</si>
  <si>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</si>
  <si>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Syntaxin-6</t>
  </si>
  <si>
    <t>Small glutamine-rich tetratricopeptide repeat-containing protein alpha</t>
  </si>
  <si>
    <t>Lipoyl synthase, mitochondrial</t>
  </si>
  <si>
    <t>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</si>
  <si>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</si>
  <si>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</si>
  <si>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</si>
  <si>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</si>
  <si>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</si>
  <si>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</si>
  <si>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</si>
  <si>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</si>
  <si>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Putative GTP-binding protein 6</t>
  </si>
  <si>
    <t>Glucose-6-phosphate translocase</t>
  </si>
  <si>
    <t>Isocitrate dehydrogenase [NAD] subunit beta, mitochondrial</t>
  </si>
  <si>
    <t>Calumenin</t>
  </si>
  <si>
    <t>Putative adenosylhomocysteinase 2</t>
  </si>
  <si>
    <t>Kinesin-like protein KIF1C</t>
  </si>
  <si>
    <t>Isoform 2 of Origin recognition complex subunit 5</t>
  </si>
  <si>
    <t>NADH dehydrogenase [ubiquinone] iron-sulfur protein 5</t>
  </si>
  <si>
    <t>Origin recognition complex subunit 4</t>
  </si>
  <si>
    <t>Peroxisome biogenesis factor 1</t>
  </si>
  <si>
    <t>Mitochondrial import inner membrane translocase subunit Tim8 A</t>
  </si>
  <si>
    <t>Putative pre-mRNA-splicing factor ATP-dependent RNA helicase DHX16</t>
  </si>
  <si>
    <t>Phosphoribosyl pyrophosphate synthase-associated protein 2</t>
  </si>
  <si>
    <t>Guanine nucleotide-binding protein G(I)/G(S)/G(O) subunit gamma-7</t>
  </si>
  <si>
    <t>Isoform 4 of C-Jun-amino-terminal kinase-interacting protein 4</t>
  </si>
  <si>
    <t>Sushi domain-containing protein 5</t>
  </si>
  <si>
    <t>Kinesin heavy chain isoform 5C</t>
  </si>
  <si>
    <t>Isoform 2 of Kinesin-like protein KIF1B</t>
  </si>
  <si>
    <t>Isoform 2 of TBC1 domain family member 4</t>
  </si>
  <si>
    <t>Isoform D of Endothelin-converting enzyme 2</t>
  </si>
  <si>
    <t>TBC1 domain family member 12</t>
  </si>
  <si>
    <t>Isoform 2 of Frizzled-6</t>
  </si>
  <si>
    <t>Putative nucleoside diphosphate kinase</t>
  </si>
  <si>
    <t>Fatty acid desaturase 1</t>
  </si>
  <si>
    <t>Isoform 3 of Lymphocyte antigen 75</t>
  </si>
  <si>
    <t>Mannosyl-oligosaccharide 1,2-alpha-mannosidase IB</t>
  </si>
  <si>
    <t>Isoform Short of Long-chain-fatty-acid--CoA ligase 4</t>
  </si>
  <si>
    <t>Sorting nexin-3</t>
  </si>
  <si>
    <t>Bifunctional protein NCOAT</t>
  </si>
  <si>
    <t>Adenylate cyclase type 9</t>
  </si>
  <si>
    <t>Isoform Beta of Vinexin</t>
  </si>
  <si>
    <t>Isoform 4 of Heterogeneous nuclear ribonucleoprotein Q</t>
  </si>
  <si>
    <t>Ran-binding protein 6</t>
  </si>
  <si>
    <t>Isoform 4 of Nuclear export mediator factor NEMF</t>
  </si>
  <si>
    <t>GDP-mannose 4,6 dehydratase</t>
  </si>
  <si>
    <t>Forkhead box protein D2</t>
  </si>
  <si>
    <t>Mitotic checkpoint serine/threonine-protein kinase BUB1 beta</t>
  </si>
  <si>
    <t>Procollagen-lysine,2-oxoglutarate 5-dioxygenase 3</t>
  </si>
  <si>
    <t>15 kDa selenoprotein</t>
  </si>
  <si>
    <t>Isoform 3 of Exocyst complex component 3</t>
  </si>
  <si>
    <t>Perilipin-3</t>
  </si>
  <si>
    <t>Protein arginine N-methyltransferase 3</t>
  </si>
  <si>
    <t>UDP-glucose 6-dehydrogenase</t>
  </si>
  <si>
    <t>Protein-tyrosine sulfotransferase 2</t>
  </si>
  <si>
    <t>Isoform 1A of Catenin delta-1</t>
  </si>
  <si>
    <t>Protein-S-isoprenylcysteine O-methyltransferase</t>
  </si>
  <si>
    <t>General vesicular transport factor p115</t>
  </si>
  <si>
    <t>Coiled-coil domain-containing protein 22</t>
  </si>
  <si>
    <t>Polyglutamine-binding protein 1</t>
  </si>
  <si>
    <t>Mitochondrial import inner membrane translocase subunit Tim17-B</t>
  </si>
  <si>
    <t>PRA1 family protein 2</t>
  </si>
  <si>
    <t>H/ACA ribonucleoprotein complex subunit 4</t>
  </si>
  <si>
    <t>Eukaryotic translation initiation factor 5B</t>
  </si>
  <si>
    <t>Endothelial differentiation-related factor 1</t>
  </si>
  <si>
    <t>DnaJ homolog subfamily A member 2</t>
  </si>
  <si>
    <t>Bromodomain-containing protein 4</t>
  </si>
  <si>
    <t>Isoform C of Protein CutA</t>
  </si>
  <si>
    <t>Sphingomyelin phosphodiesterase 2</t>
  </si>
  <si>
    <t>Prefoldin subunit 1</t>
  </si>
  <si>
    <t>Protein phosphatase 1 regulatory subunit 11</t>
  </si>
  <si>
    <t>Nibrin</t>
  </si>
  <si>
    <t>mRNA-capping enzyme</t>
  </si>
  <si>
    <t>ATP-binding cassette sub-family B member 7, mitochondrial</t>
  </si>
  <si>
    <t>SLIT-ROBO Rho GTPase-activating protein 2</t>
  </si>
  <si>
    <t>Plexin-A2</t>
  </si>
  <si>
    <t>Glycosaminoglycan xylosylkinase</t>
  </si>
  <si>
    <t>WD repeat-containing protein 1</t>
  </si>
  <si>
    <t>Frizzled-7</t>
  </si>
  <si>
    <t>Probable phospholipid-transporting ATPase IIA</t>
  </si>
  <si>
    <t>NEDD4-binding protein 1</t>
  </si>
  <si>
    <t>Rho-associated protein kinase 2</t>
  </si>
  <si>
    <t>Copine-3</t>
  </si>
  <si>
    <t>Isoform 2 of Autophagy-related protein 13</t>
  </si>
  <si>
    <t>Huntingtin-interacting protein 1-related protein</t>
  </si>
  <si>
    <t>E3 ubiquitin-protein ligase BRE1B</t>
  </si>
  <si>
    <t>Cullin-associated NEDD8-dissociated protein 2</t>
  </si>
  <si>
    <t>Isoform 2 of TSC22 domain family protein 2</t>
  </si>
  <si>
    <t>Lysine-specific demethylase 4A</t>
  </si>
  <si>
    <t>Isoform 6 of Serine/threonine-protein phosphatase 6 regulatory subunit 2</t>
  </si>
  <si>
    <t>CCR4-NOT transcription complex subunit 3</t>
  </si>
  <si>
    <t>Isoform 2 of Ankyrin repeat domain-containing protein 17</t>
  </si>
  <si>
    <t>Xylulose kinase</t>
  </si>
  <si>
    <t>Ubiquinone biosynthesis protein COQ9, mitochondrial</t>
  </si>
  <si>
    <t>Gamma-glutamylcyclotransferase</t>
  </si>
  <si>
    <t>Isoform 2 of NADH dehydrogenase [ubiquinone] iron-sulfur protein 2, mitochondrial</t>
  </si>
  <si>
    <t>Zinc finger protein ZPR1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</si>
  <si>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</si>
  <si>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</si>
  <si>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</si>
  <si>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</si>
  <si>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</si>
  <si>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</si>
  <si>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SH3 domain-binding glutamic acid-rich-like protein</t>
  </si>
  <si>
    <t>Isoform 8 of Filamin-B</t>
  </si>
  <si>
    <t>Nuclear receptor corepressor 1</t>
  </si>
  <si>
    <t>Vesicle-associated membrane protein 4</t>
  </si>
  <si>
    <t>NADH dehydrogenase [ubiquinone] iron-sulfur protein 6, mitochondrial</t>
  </si>
  <si>
    <t>Sperm-associated antigen 7</t>
  </si>
  <si>
    <t>Vesicle-trafficking protein SEC22b</t>
  </si>
  <si>
    <t>Isoform 2 of 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</si>
  <si>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</si>
  <si>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</si>
  <si>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</si>
  <si>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</si>
  <si>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</si>
  <si>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</si>
  <si>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Katanin p60 ATPase-containing subunit A1</t>
  </si>
  <si>
    <t>PC4 and SFRS1-interacting protein</t>
  </si>
  <si>
    <t>NADH dehydrogenase [ubiquinone] iron-sulfur protein 3, mitochondrial</t>
  </si>
  <si>
    <t>Heat shock factor-binding protein 1</t>
  </si>
  <si>
    <t>Isoform 2 of Enoyl-CoA delta isomerase 2, mitochondrial</t>
  </si>
  <si>
    <t>RNA-binding motif protein, X-linked-like-2</t>
  </si>
  <si>
    <t>Transcriptional adapter 3</t>
  </si>
  <si>
    <t>Barrier-to-autointegration factor</t>
  </si>
  <si>
    <t>Splicing factor 3B subunit 1</t>
  </si>
  <si>
    <t>Isoform Short of Cold shock domain-containing protein E1</t>
  </si>
  <si>
    <t>WW domain-binding protein 4</t>
  </si>
  <si>
    <t>Peptide chain release factor 1, mitochondrial</t>
  </si>
  <si>
    <t>Ribosomal protein S6 kinase alpha-5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</si>
  <si>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</si>
  <si>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</si>
  <si>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</si>
  <si>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</si>
  <si>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</si>
  <si>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U5 small nuclear ribonucleoprotein 200 kDa helicase</t>
  </si>
  <si>
    <t>Mitochondrial tRNA-specific 2-thiouridylase 1</t>
  </si>
  <si>
    <t>TIP41-like protein</t>
  </si>
  <si>
    <t>Protein phosphatase 1B</t>
  </si>
  <si>
    <t>Arf-GAP with dual PH domain-containing protein 1</t>
  </si>
  <si>
    <t>Protein XRP2</t>
  </si>
  <si>
    <t>WD repeat and HMG-box DNA-binding protein 1</t>
  </si>
  <si>
    <t>Calcium-binding mitochondrial carrier protein Aralar1</t>
  </si>
  <si>
    <t>Paralemmin-1</t>
  </si>
  <si>
    <t>Ribonuclease H2 subunit A</t>
  </si>
  <si>
    <t>Cell division cycle protein 123 homolog</t>
  </si>
  <si>
    <t>Calpain-15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</si>
  <si>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</si>
  <si>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</si>
  <si>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</si>
  <si>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</si>
  <si>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26S proteasome non-ATPase regulatory subunit 10</t>
  </si>
  <si>
    <t>CAAX prenyl protease 1 homolog</t>
  </si>
  <si>
    <t>Isocitrate dehydrogenase [NADP] cytoplasmic</t>
  </si>
  <si>
    <t>Putative hydrolase RBBP9</t>
  </si>
  <si>
    <t>Signal transducing adapter molecule 2</t>
  </si>
  <si>
    <t>PRA1 family protein 3</t>
  </si>
  <si>
    <t>Isoform Short of Small EDRK-rich factor 1</t>
  </si>
  <si>
    <t>Isoform 3 of E3 SUMO-protein ligase PIAS2</t>
  </si>
  <si>
    <t>Pre-mRNA-splicing factor SPF27</t>
  </si>
  <si>
    <t>DnaJ homolog subfamily C member 8</t>
  </si>
  <si>
    <t>Survival of motor neuron-related-splicing factor 30</t>
  </si>
  <si>
    <t>ATP synthase subunit d, mitochondrial</t>
  </si>
  <si>
    <t>ATP synthase subunit g, mitochondrial</t>
  </si>
  <si>
    <t>Carboxypeptidase D</t>
  </si>
  <si>
    <t>Glutaredoxin-3</t>
  </si>
  <si>
    <t>Wolframin</t>
  </si>
  <si>
    <t>ATP-dependent Clp protease ATP-binding subunit clpX-like, mitochondrial</t>
  </si>
  <si>
    <t>Isoform 2 of Nebulette</t>
  </si>
  <si>
    <t>Gamma-synuclein</t>
  </si>
  <si>
    <t>Probable cytosolic iron-sulfur protein assembly protein CIAO1</t>
  </si>
  <si>
    <t>Isoform Beta of DNA fragmentation factor subunit beta</t>
  </si>
  <si>
    <t>AN1-type zinc finger protein 5</t>
  </si>
  <si>
    <t>Signal recognition particle subunit SRP72</t>
  </si>
  <si>
    <t>Isoform 2 of Protein JTB</t>
  </si>
  <si>
    <t>N(G),N(G)-dimethylarginine dimethylaminohydrolase 1</t>
  </si>
  <si>
    <t>ATP-dependent DNA helicase Q4</t>
  </si>
  <si>
    <t>Galactosylgalactosylxylosylprotein 3-beta-glucuronosyltransferase 3</t>
  </si>
  <si>
    <t>Metastasis-associated protein MTA2</t>
  </si>
  <si>
    <t>Ubiquitin carboxyl-terminal hydrolase 1</t>
  </si>
  <si>
    <t>Isoform 2 of Retinal dehydrogenase 2</t>
  </si>
  <si>
    <t>Serine/threonine-protein kinase 10</t>
  </si>
  <si>
    <t>Tubulin polymerization-promoting protein</t>
  </si>
  <si>
    <t>Isoform 3 of Slit homolog 2 protein</t>
  </si>
  <si>
    <t>Kelch repeat and BTB domain-containing protein 11</t>
  </si>
  <si>
    <t>E3 ubiquitin-protein ligase listerin</t>
  </si>
  <si>
    <t>Mitochondrial import receptor subunit TOM70</t>
  </si>
  <si>
    <t>Importin-13</t>
  </si>
  <si>
    <t>Phospholipase DDHD2</t>
  </si>
  <si>
    <t>Unconventional myosin-Id</t>
  </si>
  <si>
    <t>Isoform 5 of Protein-methionine sulfoxide oxidase MICAL2</t>
  </si>
  <si>
    <t>Protein transport protein Sec24D</t>
  </si>
  <si>
    <t>Isoform 2 of STAGA complex 65 subunit gamma</t>
  </si>
  <si>
    <t>E3 UFM1-protein ligase 1</t>
  </si>
  <si>
    <t>SAM and SH3 domain-containing protein 1</t>
  </si>
  <si>
    <t>UBX domain-containing protein 7</t>
  </si>
  <si>
    <t>Leucine-rich repeats and immunoglobulin-like domains protein 2</t>
  </si>
  <si>
    <t>Proline synthase co-transcribed bacterial homolog protein</t>
  </si>
  <si>
    <t>Erlin-2</t>
  </si>
  <si>
    <t>Endonuclease domain-containing 1 protein</t>
  </si>
  <si>
    <t>Cyclin-dependent kinase 14</t>
  </si>
  <si>
    <t>Isoform 3 of Glutaminase kidney isoform, mitochondrial</t>
  </si>
  <si>
    <t>HAUS augmin-like complex subunit 5</t>
  </si>
  <si>
    <t>Isoform 2 of WD repeat-containing protein 47</t>
  </si>
  <si>
    <t>AP-2 complex subunit alpha-2</t>
  </si>
  <si>
    <t>Isoform 2 of AP-2 complex subunit alpha-2</t>
  </si>
  <si>
    <t>Protein HEXIM1</t>
  </si>
  <si>
    <t>G2/mitotic-specific cyclin-B2</t>
  </si>
  <si>
    <t>Arf-GAP domain and FG repeat-containing protein 2</t>
  </si>
  <si>
    <t>Isoform 3 of Splicing factor, arginine/serine-rich 15</t>
  </si>
  <si>
    <t>Sphingosine 1-phosphate receptor 2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</si>
  <si>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</si>
  <si>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</si>
  <si>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</si>
  <si>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</si>
  <si>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</si>
  <si>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</si>
  <si>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</si>
  <si>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Isoform 7 of Reticulon-3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</si>
  <si>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</si>
  <si>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</si>
  <si>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</si>
  <si>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</si>
  <si>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</si>
  <si>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</si>
  <si>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</si>
  <si>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</si>
  <si>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</si>
  <si>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</si>
  <si>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</si>
  <si>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</si>
  <si>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</si>
  <si>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</si>
  <si>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</si>
  <si>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</si>
  <si>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</si>
  <si>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</si>
  <si>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</si>
  <si>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</si>
  <si>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</si>
  <si>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</si>
  <si>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</si>
  <si>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Zinc finger FYVE domain-containing protein 9</t>
  </si>
  <si>
    <t>Isoform 2 of BAG family molecular chaperone regulator 4</t>
  </si>
  <si>
    <t>Activator of 90 kDa heat shock protein ATPase homolog 1</t>
  </si>
  <si>
    <t>Isoform 2 of Poly(A)-specific ribonuclease PARN</t>
  </si>
  <si>
    <t>dTDP-D-glucose 4,6-dehydratase</t>
  </si>
  <si>
    <t>Proteasome assembly chaperone 1</t>
  </si>
  <si>
    <t>Sphingosine-1-phosphate lyase 1</t>
  </si>
  <si>
    <t>Protein transport protein Sec24A</t>
  </si>
  <si>
    <t>Isoform 2 of Protein transport protein Sec24B</t>
  </si>
  <si>
    <t>NAD kinase</t>
  </si>
  <si>
    <t>Tyrosyl-DNA phosphodiesterase 2</t>
  </si>
  <si>
    <t>Long-chain-fatty-acid--CoA ligase 3</t>
  </si>
  <si>
    <t>Krueppel-like factor 8</t>
  </si>
  <si>
    <t>Isoform 2 of Pericentrin</t>
  </si>
  <si>
    <t>tRNA-dihydrouridine(20a/20b) synthase [NAD(P)+]-like</t>
  </si>
  <si>
    <t>Isoform 5 of CCR4-NOT transcription complex subunit 4</t>
  </si>
  <si>
    <t>STAM-binding protein</t>
  </si>
  <si>
    <t>Isoform 2 of N-acetylserotonin O-methyltransferase-like protein</t>
  </si>
  <si>
    <t>FGFR1 oncogene partner</t>
  </si>
  <si>
    <t>Ras-related protein Rab-3D</t>
  </si>
  <si>
    <t>Synaptosomal-associated protein 29</t>
  </si>
  <si>
    <t>Serine/threonine-protein kinase OSR1</t>
  </si>
  <si>
    <t>Protein LDOC1</t>
  </si>
  <si>
    <t>Isoform 2 of Ras-related protein Rab-36</t>
  </si>
  <si>
    <t>Isoform 1 of Polypyrimidine tract-binding protein 3</t>
  </si>
  <si>
    <t>N-alpha-acetyltransferase 38, NatC auxiliary subunit</t>
  </si>
  <si>
    <t>Isoform B of AP-2 complex subunit alpha-1</t>
  </si>
  <si>
    <t>BAG family molecular chaperone regulator 2</t>
  </si>
  <si>
    <t>BAG family molecular chaperone regulator 3</t>
  </si>
  <si>
    <t>Malonyl-CoA decarboxylase, mitochondrial</t>
  </si>
  <si>
    <t>Quinone oxidoreductase-like protein 1</t>
  </si>
  <si>
    <t>Isoform 3 of Apoptosis-inducing factor 1, mitochondrial</t>
  </si>
  <si>
    <t>Serine/threonine-protein kinase LATS1</t>
  </si>
  <si>
    <t>Tetraspanin-13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</si>
  <si>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</si>
  <si>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</si>
  <si>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</si>
  <si>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</si>
  <si>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</si>
  <si>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Diphosphoinositol polyphosphate phosphohydrolase 1</t>
  </si>
  <si>
    <t>Securin</t>
  </si>
  <si>
    <t>B-cell lymphoma/leukemia 10</t>
  </si>
  <si>
    <t>NADH dehydrogenase [ubiquinone] 1 beta subcomplex subunit 10</t>
  </si>
  <si>
    <t>Zinc finger BED domain-containing protein 1</t>
  </si>
  <si>
    <t>Mitochondrial import receptor subunit TOM40 homolog</t>
  </si>
  <si>
    <t>Peroxisomal membrane protein 11B</t>
  </si>
  <si>
    <t>Serine/threonine-protein kinase PAK 4</t>
  </si>
  <si>
    <t>Serine/threonine-protein kinase Chk2</t>
  </si>
  <si>
    <t>Actin-like protein 6A</t>
  </si>
  <si>
    <t>Molybdopterin synthase sulfur carrier subunit</t>
  </si>
  <si>
    <t>Isoform 2 of Cytochrome b5</t>
  </si>
  <si>
    <t>L-lactate dehydrogenase A chain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</si>
  <si>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</si>
  <si>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</si>
  <si>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</si>
  <si>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</si>
  <si>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</si>
  <si>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</si>
  <si>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</si>
  <si>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</si>
  <si>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</si>
  <si>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Isoform IB of Tyrosine-protein kinase ABL1</t>
  </si>
  <si>
    <t>Phosphoglycerate kinase 1</t>
  </si>
  <si>
    <t>Adenosine deaminase</t>
  </si>
  <si>
    <t>Carbonic anhydrase 2</t>
  </si>
  <si>
    <t>Cystatin-C</t>
  </si>
  <si>
    <t>GTPase NRas</t>
  </si>
  <si>
    <t>GTPase HRas</t>
  </si>
  <si>
    <t>GTPase KRas</t>
  </si>
  <si>
    <t>Isoform 2B of GTPase KRas</t>
  </si>
  <si>
    <t>Ig heavy chain V-II region OU</t>
  </si>
  <si>
    <t>HLA class I histocompatibility antigen, B-7 alpha chain</t>
  </si>
  <si>
    <t>Hemoglobin subunit zeta</t>
  </si>
  <si>
    <t>Hemoglobin subunit epsilon</t>
  </si>
  <si>
    <t>Prelamin-A/C</t>
  </si>
  <si>
    <t>Transferrin receptor protein 1</t>
  </si>
  <si>
    <t>Ferritin heavy chain</t>
  </si>
  <si>
    <t>Metallothionein-2</t>
  </si>
  <si>
    <t>ATP synthase protein 8</t>
  </si>
  <si>
    <t>Catalase</t>
  </si>
  <si>
    <t>Tissue alpha-L-fucosidase</t>
  </si>
  <si>
    <t>Fructose-bisphosphate aldolase A</t>
  </si>
  <si>
    <t>Cystatin-B</t>
  </si>
  <si>
    <t>Annexin A1</t>
  </si>
  <si>
    <t>Isoform Beta-B of Glucocorticoid receptor</t>
  </si>
  <si>
    <t>Ornithine aminotransferase, mitochondrial</t>
  </si>
  <si>
    <t>Thymidine kinase, cytosolic</t>
  </si>
  <si>
    <t>Tubulin beta-4A chain</t>
  </si>
  <si>
    <t>Glyceraldehyde-3-phosphate dehydrogenase</t>
  </si>
  <si>
    <t>Isoform 4 of Receptor tyrosine-protein kinase erbB-2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</si>
  <si>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</si>
  <si>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</si>
  <si>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</si>
  <si>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</si>
  <si>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</si>
  <si>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</si>
  <si>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B1 of Anion exchange protein 2</t>
  </si>
  <si>
    <t>Isoform 4 of Sodium/potassium-transporting ATPase subunit alpha-1</t>
  </si>
  <si>
    <t>Aldehyde dehydrogenase, mitochondrial</t>
  </si>
  <si>
    <t>ADP/ATP translocase 2</t>
  </si>
  <si>
    <t>Non-histone chromosomal protein HMG-17</t>
  </si>
  <si>
    <t>60S acidic ribosomal protein P1</t>
  </si>
  <si>
    <t>60S acidic ribosomal protein P2</t>
  </si>
  <si>
    <t>60S acidic ribosomal protein P0</t>
  </si>
  <si>
    <t>Transcription factor AP-1</t>
  </si>
  <si>
    <t>Lupus La protein</t>
  </si>
  <si>
    <t>Integrin beta-1</t>
  </si>
  <si>
    <t>Isoform Beta-II of Protein kinase C beta type</t>
  </si>
  <si>
    <t>Keratin, type I cytoskeletal 18</t>
  </si>
  <si>
    <t>Isoform MLC3 of Myosin light chain 1/3, skeletal muscle isoform</t>
  </si>
  <si>
    <t>Uroporphyrinogen decarboxylase</t>
  </si>
  <si>
    <t>Tyrosine-protein kinase Fyn</t>
  </si>
  <si>
    <t>Alpha-galactosidase A</t>
  </si>
  <si>
    <t>Retinoblastoma-associated protein</t>
  </si>
  <si>
    <t>Cyclin-dependent kinase 1</t>
  </si>
  <si>
    <t>ATP synthase subunit beta, mitochondrial</t>
  </si>
  <si>
    <t>Alpha-enolase</t>
  </si>
  <si>
    <t>Isoform 2 of Glycogen phosphorylase, liver form</t>
  </si>
  <si>
    <t>Glucose-6-phosphate isomerase</t>
  </si>
  <si>
    <t>Nucleophosmin</t>
  </si>
  <si>
    <t>Isoform 2 of Tropomyosin alpha-3 chain</t>
  </si>
  <si>
    <t>Isoform 3 of Integrin alpha-V</t>
  </si>
  <si>
    <t>Acyl-CoA-binding protein</t>
  </si>
  <si>
    <t>L-lactate dehydrogenase B chain</t>
  </si>
  <si>
    <t>Neurofilament light polypeptide</t>
  </si>
  <si>
    <t>Glutathione peroxidase 1</t>
  </si>
  <si>
    <t>Thrombomodulin</t>
  </si>
  <si>
    <t>Phosphoglycerate kinase 2</t>
  </si>
  <si>
    <t>Protein disulfide-isomerase</t>
  </si>
  <si>
    <t>Cathepsin D</t>
  </si>
  <si>
    <t>Annexin A2</t>
  </si>
  <si>
    <t>Calpain-1 catalytic subunit</t>
  </si>
  <si>
    <t>Beta-hexosaminidase subunit beta</t>
  </si>
  <si>
    <t>Cathepsin L1</t>
  </si>
  <si>
    <t>Profilin-1</t>
  </si>
  <si>
    <t>Bisphosphoglycerate mutase</t>
  </si>
  <si>
    <t>Adenine phosphoribosyltransferase</t>
  </si>
  <si>
    <t>Cathepsin B</t>
  </si>
  <si>
    <t>Heat shock protein HSP 90-alpha</t>
  </si>
  <si>
    <t>Galactose-1-phosphate uridylyltransferase</t>
  </si>
  <si>
    <t>Cytochrome b-c1 complex subunit 6, mitochondrial</t>
  </si>
  <si>
    <t>Tyrosine-protein kinase Lyn</t>
  </si>
  <si>
    <t>Isoform Cytoplasmic of Fumarate hydratase, mitochondrial</t>
  </si>
  <si>
    <t>DNA excision repair protein ERCC-1</t>
  </si>
  <si>
    <t>Transcription factor Sp1</t>
  </si>
  <si>
    <t>Heat shock 70 kDa protein 1A/1B</t>
  </si>
  <si>
    <t>Annexin A6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</si>
  <si>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</si>
  <si>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</si>
  <si>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</si>
  <si>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</si>
  <si>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</si>
  <si>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</si>
  <si>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Cytochrome c1, heme protein, mitochondrial</t>
  </si>
  <si>
    <t>U2 small nuclear ribonucleoprotein B</t>
  </si>
  <si>
    <t>Hepatocyte growth factor receptor</t>
  </si>
  <si>
    <t>Melanotransferrin</t>
  </si>
  <si>
    <t>Integrin alpha-5</t>
  </si>
  <si>
    <t>Vimentin</t>
  </si>
  <si>
    <t>Guanine nucleotide-binding protein G(k) subunit alpha</t>
  </si>
  <si>
    <t>Annexin A5</t>
  </si>
  <si>
    <t>Gamma-enolase</t>
  </si>
  <si>
    <t>3-ketoacyl-CoA thiolase, peroxisomal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</si>
  <si>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</si>
  <si>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</si>
  <si>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</si>
  <si>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</si>
  <si>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</si>
  <si>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</si>
  <si>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SPARC</t>
  </si>
  <si>
    <t>Isoform 4 of Tropomyosin alpha-1 chain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</si>
  <si>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</si>
  <si>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</si>
  <si>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</si>
  <si>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</si>
  <si>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</si>
  <si>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Dihydrolipoyl dehydrogenase, mitochondrial</t>
  </si>
  <si>
    <t>U2 small nuclear ribonucleoprotein A</t>
  </si>
  <si>
    <t>Poly [ADP-ribose] polymerase 1</t>
  </si>
  <si>
    <t>Ubiquitin carboxyl-terminal hydrolase isozyme L1</t>
  </si>
  <si>
    <t>Furin</t>
  </si>
  <si>
    <t>Leukotriene A-4 hydrolase</t>
  </si>
  <si>
    <t>Fructose-bisphosphate aldolase C</t>
  </si>
  <si>
    <t>F-box/SPRY domain-containing protein 1</t>
  </si>
  <si>
    <t>CDGSH iron-sulfur domain-containing protein 3, mitochondrial</t>
  </si>
  <si>
    <t>Ataxin-1-like</t>
  </si>
  <si>
    <t>Chromosome transmission fidelity protein 8 homolog isoform 2</t>
  </si>
  <si>
    <t>Thymosin beta-15B</t>
  </si>
  <si>
    <t>40S ribosomal protein S17-like</t>
  </si>
  <si>
    <t>Small integral membrane protein 13</t>
  </si>
  <si>
    <t>Adrenodoxin, mitochondrial</t>
  </si>
  <si>
    <t>Isoform 3 of 60 kDa SS-A/Ro ribonucleoprotein</t>
  </si>
  <si>
    <t>Lysosomal alpha-glucosidase</t>
  </si>
  <si>
    <t>Ras-related protein R-Ras</t>
  </si>
  <si>
    <t>Serine/threonine-protein kinase A-Raf</t>
  </si>
  <si>
    <t>Isoform 2 of Receptor-type tyrosine-protein phosphatase F</t>
  </si>
  <si>
    <t>Nuclear receptor subfamily 2 group F member 6</t>
  </si>
  <si>
    <t>Thioredoxin</t>
  </si>
  <si>
    <t>Cytochrome c oxidase subunit 5B, mitochondrial</t>
  </si>
  <si>
    <t>Lysosomal protective protein</t>
  </si>
  <si>
    <t>Microtubule-associated protein tau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</si>
  <si>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</si>
  <si>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</si>
  <si>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</si>
  <si>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</si>
  <si>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</si>
  <si>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78 kDa glucose-regulated protein</t>
  </si>
  <si>
    <t>Laminin subunit gamma-1</t>
  </si>
  <si>
    <t>Heat shock cognate 71 kDa protein</t>
  </si>
  <si>
    <t>Solute carrier family 2, facilitated glucose transporter member 1</t>
  </si>
  <si>
    <t>Solute carrier family 2, facilitated glucose transporter member 3</t>
  </si>
  <si>
    <t>Protein 4.1</t>
  </si>
  <si>
    <t>Isoform 4 of Protein 4.1</t>
  </si>
  <si>
    <t>Uridine 5-monophosphate synthase</t>
  </si>
  <si>
    <t>Isoform 2 of Pyruvate dehydrogenase E1 component subunit beta, mitochondrial</t>
  </si>
  <si>
    <t>Glycogen phosphorylase, brain form</t>
  </si>
  <si>
    <t>Ras-related protein Ral-A</t>
  </si>
  <si>
    <t>Ras-related protein Ral-B</t>
  </si>
  <si>
    <t>Isoform 2 of Breakpoint cluster region protein</t>
  </si>
  <si>
    <t>Lysosome-associated membrane glycoprotein 1</t>
  </si>
  <si>
    <t>DNA topoisomerase 1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</si>
  <si>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</si>
  <si>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</si>
  <si>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</si>
  <si>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</si>
  <si>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</si>
  <si>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</si>
  <si>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</si>
  <si>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</si>
  <si>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Polyadenylate-binding protein 1</t>
  </si>
  <si>
    <t>Proliferating cell nuclear antigen</t>
  </si>
  <si>
    <t>Histidine--tRNA ligase, cytoplasmic</t>
  </si>
  <si>
    <t>Collagen alpha-1(VI) chain</t>
  </si>
  <si>
    <t>ADP/ATP translocase 1</t>
  </si>
  <si>
    <t>ADP/ATP translocase 3</t>
  </si>
  <si>
    <t>Nucleoprotein TPR</t>
  </si>
  <si>
    <t>Creatine kinase B-type</t>
  </si>
  <si>
    <t>Annexin A3</t>
  </si>
  <si>
    <t>Creatine kinase U-type, mitochondrial</t>
  </si>
  <si>
    <t>Isoform 2 of Alpha-actinin-1</t>
  </si>
  <si>
    <t>Myosin-1</t>
  </si>
  <si>
    <t>Proto-oncogene tyrosine-protein kinase Src</t>
  </si>
  <si>
    <t>Isoform 3 of Xaa-Pro dipeptidase</t>
  </si>
  <si>
    <t>X-ray repair cross-complementing protein 6</t>
  </si>
  <si>
    <t>X-ray repair cross-complementing protein 5</t>
  </si>
  <si>
    <t>Uracil-DNA glycosylase</t>
  </si>
  <si>
    <t>Nuclear receptor subfamily 2 group C member 1</t>
  </si>
  <si>
    <t>Cytochrome c oxidase subunit 4 isoform 1, mitochondrial</t>
  </si>
  <si>
    <t>5-aminolevulinate synthase, nonspecific, mitochondrial</t>
  </si>
  <si>
    <t>Ribonuclease inhibitor</t>
  </si>
  <si>
    <t>Cytochrome b-245 light chain</t>
  </si>
  <si>
    <t>Isoform 2 of Neural cell adhesion molecule 1</t>
  </si>
  <si>
    <t>Integrin alpha-4</t>
  </si>
  <si>
    <t>Elongation factor 2</t>
  </si>
  <si>
    <t>Protein disulfide-isomerase A4</t>
  </si>
  <si>
    <t>Isoform 2 of Prolyl 4-hydroxylase subunit alpha-1</t>
  </si>
  <si>
    <t>Translationally-controlled tumor protein</t>
  </si>
  <si>
    <t>Plastin-3</t>
  </si>
  <si>
    <t>Electron transfer flavoprotein subunit alpha, mitochondrial</t>
  </si>
  <si>
    <t>cAMP-dependent protein kinase type II-alpha regulatory subunit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</si>
  <si>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</si>
  <si>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</si>
  <si>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</si>
  <si>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</si>
  <si>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Farnesyl pyrophosphate synthase</t>
  </si>
  <si>
    <t>Alcohol dehydrogenase [NADP(+)]</t>
  </si>
  <si>
    <t>Pyruvate kinase isozymes M1/M2</t>
  </si>
  <si>
    <t>Isoform M1 of Pyruvate kinase isozymes M1/M2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</si>
  <si>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</si>
  <si>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</si>
  <si>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</si>
  <si>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</si>
  <si>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</si>
  <si>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</si>
  <si>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</si>
  <si>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</si>
  <si>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Junction plakoglobin</t>
  </si>
  <si>
    <t>Glutamine synthetase</t>
  </si>
  <si>
    <t>Aldose reductase</t>
  </si>
  <si>
    <t>Isoform Gamma of Poliovirus receptor</t>
  </si>
  <si>
    <t>Isoform 2 of Eukaryotic peptide chain release factor GTP-binding subunit ERF3A</t>
  </si>
  <si>
    <t>Arylsulfatase A</t>
  </si>
  <si>
    <t>Ezrin</t>
  </si>
  <si>
    <t>Ubiquitin carboxyl-terminal hydrolase isozyme L3</t>
  </si>
  <si>
    <t>Isoform 3 of Membrane cofactor protein</t>
  </si>
  <si>
    <t>Nucleoside diphosphate kinase A</t>
  </si>
  <si>
    <t>Arylsulfatase B</t>
  </si>
  <si>
    <t>N-chimaerin</t>
  </si>
  <si>
    <t>Transcription factor E2-alpha</t>
  </si>
  <si>
    <t>Isoform E47 of Transcription factor E2-alpha</t>
  </si>
  <si>
    <t>Desmoplakin</t>
  </si>
  <si>
    <t>Replication protein A 32 kDa subunit</t>
  </si>
  <si>
    <t>Carbonyl reductase [NADPH] 1</t>
  </si>
  <si>
    <t>Isoform 3 of Cyclic AMP-responsive element-binding protein 1</t>
  </si>
  <si>
    <t>Serine/threonine-protein phosphatase 2B catalytic subunit beta isoform</t>
  </si>
  <si>
    <t>GC-rich sequence DNA-binding factor 2</t>
  </si>
  <si>
    <t>Histone H1.2</t>
  </si>
  <si>
    <t>NADPH--cytochrome P450 reductase</t>
  </si>
  <si>
    <t>Isoform 3 of Tyrosine-protein kinase Fer</t>
  </si>
  <si>
    <t>Sarcoplasmic/endoplasmic reticulum calcium ATPase 2</t>
  </si>
  <si>
    <t>Fumarylacetoacetase</t>
  </si>
  <si>
    <t>Y-box-binding protein 3</t>
  </si>
  <si>
    <t>Isoform 2 of Y-box-binding protein 3</t>
  </si>
  <si>
    <t>Zinc finger protein 24</t>
  </si>
  <si>
    <t>Alpha-N-acetylgalactosaminidase</t>
  </si>
  <si>
    <t>Heat shock 70 kDa protein 6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</si>
  <si>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</si>
  <si>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</si>
  <si>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</si>
  <si>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</si>
  <si>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Gap junction alpha-1 protein</t>
  </si>
  <si>
    <t>Homeobox protein Hox-B6</t>
  </si>
  <si>
    <t>Transcription factor jun-D</t>
  </si>
  <si>
    <t>NADH dehydrogenase [ubiquinone] 1 beta subcomplex subunit 7</t>
  </si>
  <si>
    <t>cAMP-dependent protein kinase catalytic subunit alpha</t>
  </si>
  <si>
    <t>Calpain-2 catalytic subunit</t>
  </si>
  <si>
    <t>Neuromodulin</t>
  </si>
  <si>
    <t>Isoform PTPA of Tyrosine-protein phosphatase non-receptor type 2</t>
  </si>
  <si>
    <t>CTP synthase 1</t>
  </si>
  <si>
    <t>6-phosphofructokinase, liver type</t>
  </si>
  <si>
    <t>T-complex protein 1 subunit alpha</t>
  </si>
  <si>
    <t>Tyrosine-protein phosphatase non-receptor type 1</t>
  </si>
  <si>
    <t>Insulin-like growth factor-binding protein 2</t>
  </si>
  <si>
    <t>Integrin beta-5</t>
  </si>
  <si>
    <t>60S ribosomal protein L7</t>
  </si>
  <si>
    <t>Isoform 1 of Vinculin</t>
  </si>
  <si>
    <t>Isoform E of Protein SON</t>
  </si>
  <si>
    <t>Negative elongation factor E</t>
  </si>
  <si>
    <t>Phosphoglycerate mutase 1</t>
  </si>
  <si>
    <t>Regulator of chromosome condensation</t>
  </si>
  <si>
    <t>Cyclic AMP-dependent transcription factor ATF-1</t>
  </si>
  <si>
    <t>DNA ligase 1</t>
  </si>
  <si>
    <t>ATP synthase-coupling factor 6, mitochondrial</t>
  </si>
  <si>
    <t>Cadherin-2</t>
  </si>
  <si>
    <t>Isoform 2 of 1-phosphatidylinositol 4,5-bisphosphate phosphodiesterase gamma-1</t>
  </si>
  <si>
    <t>Nucleolin</t>
  </si>
  <si>
    <t>DNA-directed RNA polymerase II subunit RPB3</t>
  </si>
  <si>
    <t>DNA-directed RNA polymerases I, II, and III subunit RPABC1</t>
  </si>
  <si>
    <t>Spermidine synthase</t>
  </si>
  <si>
    <t>Nuclear factor NF-kappa-B p105 subunit</t>
  </si>
  <si>
    <t>Isoform K of Plasma membrane calcium-transporting ATPase 1</t>
  </si>
  <si>
    <t>Eukaryotic translation initiation factor 2 subunit 2</t>
  </si>
  <si>
    <t>Cyclin-A2</t>
  </si>
  <si>
    <t>Transcription factor BTF3</t>
  </si>
  <si>
    <t>Isoform 2 of Transcription factor BTF3</t>
  </si>
  <si>
    <t>Ras-related protein Rab-3A</t>
  </si>
  <si>
    <t>Ras-related protein Rab-3B</t>
  </si>
  <si>
    <t>Ras-related protein Rab-4A</t>
  </si>
  <si>
    <t>Ras-related protein Rab-6A</t>
  </si>
  <si>
    <t>Isoform 2 of Ras-related protein Rab-6A</t>
  </si>
  <si>
    <t>Proteasome subunit beta type-1</t>
  </si>
  <si>
    <t>Cation-dependent mannose-6-phosphate receptor</t>
  </si>
  <si>
    <t>Cytochrome c oxidase subunit 5A, mitochondrial</t>
  </si>
  <si>
    <t>Lamin-B1</t>
  </si>
  <si>
    <t>Isoform 5 of Calpastatin</t>
  </si>
  <si>
    <t>Parathymosin</t>
  </si>
  <si>
    <t>Isoform 8 of Cyclin-dependent kinase 11B</t>
  </si>
  <si>
    <t>Glutathione S-transferase Mu 3</t>
  </si>
  <si>
    <t>V-type proton ATPase subunit B, brain isoform</t>
  </si>
  <si>
    <t>V-type proton ATPase subunit C 1</t>
  </si>
  <si>
    <t>Cytoplasmic aconitate hydratase</t>
  </si>
  <si>
    <t>Voltage-dependent anion-selective channel protein 1</t>
  </si>
  <si>
    <t>Succinate dehydrogenase [ubiquinone] iron-sulfur subunit, mitochondrial</t>
  </si>
  <si>
    <t>2-oxoisovalerate dehydrogenase subunit beta, mitochondrial</t>
  </si>
  <si>
    <t>Isoform Soluble of Catechol O-methyltransferase</t>
  </si>
  <si>
    <t>Methylmalonyl-CoA mutase, mitochondrial</t>
  </si>
  <si>
    <t>Oxysterol-binding protein 1</t>
  </si>
  <si>
    <t>Trifunctional purine biosynthetic protein adenosine-3</t>
  </si>
  <si>
    <t>Multifunctional protein ADE2</t>
  </si>
  <si>
    <t>Isoform 7 of Non-specific lipid-transfer protein</t>
  </si>
  <si>
    <t>Ubiquitin-like modifier-activating enzyme 1</t>
  </si>
  <si>
    <t>Ectonucleotide pyrophosphatase/phosphodiesterase family member 1</t>
  </si>
  <si>
    <t>Galanin peptides</t>
  </si>
  <si>
    <t>Heterogeneous nuclear ribonucleoproteins A2/B1</t>
  </si>
  <si>
    <t>E3 ubiquitin-protein ligase CBL</t>
  </si>
  <si>
    <t>Cytochrome b-c1 complex subunit 2, mitochondrial</t>
  </si>
  <si>
    <t>Ferrochelatase, mitochondrial</t>
  </si>
  <si>
    <t>DNA repair protein complementing XP-A cells</t>
  </si>
  <si>
    <t>Transcription elongation factor A protein 1</t>
  </si>
  <si>
    <t>Splicing factor, proline- and glutamine-rich</t>
  </si>
  <si>
    <t>Peptidyl-prolyl cis-trans isomerase B</t>
  </si>
  <si>
    <t>NAD-dependent malic enzyme, mitochondrial</t>
  </si>
  <si>
    <t>Glycine dehydrogenase [decarboxylating], mitochondrial</t>
  </si>
  <si>
    <t>Tryptophan--tRNA ligase, cytoplasmic</t>
  </si>
  <si>
    <t>40S ribosomal protein S3</t>
  </si>
  <si>
    <t>Glycine cleavage system H protein, mitochondrial</t>
  </si>
  <si>
    <t>Isoform 2 of Receptor-type tyrosine-protein phosphatase gamma</t>
  </si>
  <si>
    <t>Nuclear autoantigen Sp-100</t>
  </si>
  <si>
    <t>Colorectal mutant cancer protein</t>
  </si>
  <si>
    <t>Isoform Short of Nuclear transcription factor Y subunit alpha</t>
  </si>
  <si>
    <t>Adenosylhomocysteinase</t>
  </si>
  <si>
    <t>Histone H2B type 1-O</t>
  </si>
  <si>
    <t>Cofilin-1</t>
  </si>
  <si>
    <t>Eukaryotic translation initiation factor 4B</t>
  </si>
  <si>
    <t>Isoform XB of Plasma membrane calcium-transporting ATPase 4</t>
  </si>
  <si>
    <t>Carnitine O-palmitoyltransferase 2, mitochondrial</t>
  </si>
  <si>
    <t>Thymidylate kinase</t>
  </si>
  <si>
    <t>Ribonucleoside-diphosphate reductase large subunit</t>
  </si>
  <si>
    <t>Elongation factor 1-beta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</si>
  <si>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</si>
  <si>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</si>
  <si>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</si>
  <si>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</si>
  <si>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Beta-adrenergic receptor kinase 1</t>
  </si>
  <si>
    <t>DNA replication licensing factor MCM3</t>
  </si>
  <si>
    <t>40S ribosomal protein S12</t>
  </si>
  <si>
    <t>Isoform 6 of Tumor necrosis factor receptor superfamily member 6</t>
  </si>
  <si>
    <t>Transcriptional repressor protein YY1</t>
  </si>
  <si>
    <t>DnaJ homolog subfamily B member 1</t>
  </si>
  <si>
    <t>ATP synthase subunit alpha, mitochondrial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</si>
  <si>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</si>
  <si>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</si>
  <si>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</si>
  <si>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</si>
  <si>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</si>
  <si>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Integrin alpha-3</t>
  </si>
  <si>
    <t>Moesin</t>
  </si>
  <si>
    <t>Probable ATP-dependent RNA helicase DDX6</t>
  </si>
  <si>
    <t>DNA (cytosine-5)-methyltransferase 1</t>
  </si>
  <si>
    <t>Isoform 2 of Splicing factor U2AF 65 kDa subunit</t>
  </si>
  <si>
    <t>60S ribosomal protein L13</t>
  </si>
  <si>
    <t>Rab proteins geranylgeranyltransferase component A 2</t>
  </si>
  <si>
    <t>Isovaleryl-CoA dehydrogenase, mitochondrial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</si>
  <si>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</si>
  <si>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</si>
  <si>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</si>
  <si>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</si>
  <si>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</si>
  <si>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</si>
  <si>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</si>
  <si>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</si>
  <si>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</si>
  <si>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3 of Aryl hydrocarbon receptor nuclear translocator</t>
  </si>
  <si>
    <t>Isoform 2 of Ceramide synthase 1</t>
  </si>
  <si>
    <t>60S ribosomal protein L10</t>
  </si>
  <si>
    <t>Replication protein A 70 kDa DNA-binding subunit</t>
  </si>
  <si>
    <t>Calreticulin</t>
  </si>
  <si>
    <t>Calnexin</t>
  </si>
  <si>
    <t>Proteasome subunit alpha type-5</t>
  </si>
  <si>
    <t>Proteasome subunit beta type-4</t>
  </si>
  <si>
    <t>Proteasome subunit beta type-6</t>
  </si>
  <si>
    <t>Proteasome subunit beta type-5</t>
  </si>
  <si>
    <t>Tropomodulin-1</t>
  </si>
  <si>
    <t>Isoform 4 of NADH-ubiquinone oxidoreductase 75 kDa subunit, mitochondrial</t>
  </si>
  <si>
    <t>Mitogen-activated protein kinase 1</t>
  </si>
  <si>
    <t>Retinoic acid receptor RXR-beta</t>
  </si>
  <si>
    <t>DNA repair protein complementing XP-G cells</t>
  </si>
  <si>
    <t>Granulins</t>
  </si>
  <si>
    <t>Isoform 2 of Cytosol aminopeptidase</t>
  </si>
  <si>
    <t>General transcription factor IIE subunit 1</t>
  </si>
  <si>
    <t>Transcription initiation factor IIE subunit beta</t>
  </si>
  <si>
    <t>Inositol monophosphatase 1</t>
  </si>
  <si>
    <t>Ephrin type-A receptor 2</t>
  </si>
  <si>
    <t>Isoform 7 of SHC-transforming protein 1</t>
  </si>
  <si>
    <t>Cellular retinoic acid-binding protein 2</t>
  </si>
  <si>
    <t>Transketolase</t>
  </si>
  <si>
    <t>Protein PML</t>
  </si>
  <si>
    <t>Myristoylated alanine-rich C-kinase substrate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</si>
  <si>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</si>
  <si>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</si>
  <si>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</si>
  <si>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</si>
  <si>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</si>
  <si>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</si>
  <si>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</si>
  <si>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</si>
  <si>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</si>
  <si>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</si>
  <si>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</si>
  <si>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</si>
  <si>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</si>
  <si>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</si>
  <si>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</si>
  <si>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Isoform 2 of M-phase inducer phosphatase 3</t>
  </si>
  <si>
    <t>Peptidyl-prolyl cis-trans isomerase F, mitochondrial</t>
  </si>
  <si>
    <t>Glycylpeptide N-tetradecanoyltransferase 1</t>
  </si>
  <si>
    <t>Heme oxygenase 2</t>
  </si>
  <si>
    <t>Adenylosuccinate synthetase isozyme 2</t>
  </si>
  <si>
    <t>Alpha-2-macroglobulin receptor-associated protein</t>
  </si>
  <si>
    <t>Adenylosuccinate lyase</t>
  </si>
  <si>
    <t>Isoform L-type of Pyruvate kinase isozymes R/L</t>
  </si>
  <si>
    <t>Isoform 2 of CAP-Gly domain-containing linker protein 1</t>
  </si>
  <si>
    <t>Leukocyte elastase inhibitor</t>
  </si>
  <si>
    <t>High affinity cationic amino acid transporter 1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</si>
  <si>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</si>
  <si>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</si>
  <si>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</si>
  <si>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</si>
  <si>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</si>
  <si>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II-beta regulatory subunit</t>
  </si>
  <si>
    <t>Carbamoyl-phosphate synthase [ammonia], mitochondrial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</si>
  <si>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</si>
  <si>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</si>
  <si>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</si>
  <si>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</si>
  <si>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</si>
  <si>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</si>
  <si>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</si>
  <si>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</si>
  <si>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</si>
  <si>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Isoform 2 of 14-3-3 protein sigma</t>
  </si>
  <si>
    <t>Stress-induced-phosphoprotein 1</t>
  </si>
  <si>
    <t>Protein S100-A11</t>
  </si>
  <si>
    <t>Isoform 3 of Type II inositol 1,4,5-trisphosphate 5-phosphatase</t>
  </si>
  <si>
    <t>Peroxiredoxin-2</t>
  </si>
  <si>
    <t>Isoform 5 of Beta-arrestin-2</t>
  </si>
  <si>
    <t>Isoform 2 of Deoxycytidylate deaminase</t>
  </si>
  <si>
    <t>Isoform 2 of ETS-related transcription factor Elf-1</t>
  </si>
  <si>
    <t>Isoform 2 of Syntaxin-2</t>
  </si>
  <si>
    <t>Cystathionine gamma-lyase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</si>
  <si>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</si>
  <si>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</si>
  <si>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</si>
  <si>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</si>
  <si>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</si>
  <si>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Isoform 7 of Multidrug resistance-associated protein 1</t>
  </si>
  <si>
    <t>Cyclin-dependent kinases regulatory subunit 2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</si>
  <si>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</si>
  <si>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</si>
  <si>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</si>
  <si>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</si>
  <si>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</si>
  <si>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Isoform 2 of Serine hydroxymethyltransferase, cytosolic</t>
  </si>
  <si>
    <t>Isoform 3 of Serine hydroxymethyltransferase, mitochondrial</t>
  </si>
  <si>
    <t>Heat shock 70 kDa protein 1-like</t>
  </si>
  <si>
    <t>Heat shock 70 kDa protein 4</t>
  </si>
  <si>
    <t>Mannose-6-phosphate isomerase</t>
  </si>
  <si>
    <t>Carbonic anhydrase-related protein</t>
  </si>
  <si>
    <t>Catenin alpha-1</t>
  </si>
  <si>
    <t>Prohibitin</t>
  </si>
  <si>
    <t>Serpin B6</t>
  </si>
  <si>
    <t>Isoform 5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</si>
  <si>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</si>
  <si>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</si>
  <si>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</si>
  <si>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</si>
  <si>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</si>
  <si>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</si>
  <si>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</si>
  <si>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</si>
  <si>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Cystathionine beta-synthase</t>
  </si>
  <si>
    <t>Fibrillin-2</t>
  </si>
  <si>
    <t>Glycogen debranching enzyme</t>
  </si>
  <si>
    <t>Myosin-9</t>
  </si>
  <si>
    <t>Myosin-10</t>
  </si>
  <si>
    <t>Coatomer subunit beta</t>
  </si>
  <si>
    <t>Isoform 2 of Alpha-adducin</t>
  </si>
  <si>
    <t>Beta-adducin</t>
  </si>
  <si>
    <t>Isoform 2 of Basigin</t>
  </si>
  <si>
    <t>Isoform Short of RNA-binding protein FUS</t>
  </si>
  <si>
    <t>Isoform 2 of Nuclear pore complex protein Nup214</t>
  </si>
  <si>
    <t>Protein DEK</t>
  </si>
  <si>
    <t>Glutaredoxin-1</t>
  </si>
  <si>
    <t>Isoform 2 of 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</si>
  <si>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</si>
  <si>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</si>
  <si>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</si>
  <si>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</si>
  <si>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Isoform Gamma of E3 ubiquitin-protein ligase TRIM23</t>
  </si>
  <si>
    <t>Dual specificity mitogen-activated protein kinase kinase 2</t>
  </si>
  <si>
    <t>ATP synthase subunit gamma, mitochondrial</t>
  </si>
  <si>
    <t>V-type proton ATPase subunit E 1</t>
  </si>
  <si>
    <t>Coproporphyrinogen-III oxidase, mitochondrial</t>
  </si>
  <si>
    <t>Isoform p18 of 7,8-dihydro-8-oxoguanine triphosphatase</t>
  </si>
  <si>
    <t>Phosphoglucomutase-1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</si>
  <si>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</si>
  <si>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</si>
  <si>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</si>
  <si>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Isoform Cytoplasmic of Phospholipid hydroperoxide glutathione peroxidase, mitochondrial</t>
  </si>
  <si>
    <t>Signal recognition particle 14 kDa protein</t>
  </si>
  <si>
    <t>Squalene synthase</t>
  </si>
  <si>
    <t>Isoform 3 of Phosphatidylinositol N-acetylglucosaminyltransferase subunit A</t>
  </si>
  <si>
    <t>Transgelin-2</t>
  </si>
  <si>
    <t>Transaldolase</t>
  </si>
  <si>
    <t>Electron transfer flavoprotein subunit beta</t>
  </si>
  <si>
    <t>V-type proton ATPase catalytic subunit A</t>
  </si>
  <si>
    <t>Stress-70 protein, mitochondrial</t>
  </si>
  <si>
    <t>Eukaryotic initiation factor 4A-III</t>
  </si>
  <si>
    <t>40S ribosomal protein S19</t>
  </si>
  <si>
    <t>60S ribosomal protein L3</t>
  </si>
  <si>
    <t>Dolichyl-diphosphooligosaccharide--protein glycosyltransferase 48 kDa subunit</t>
  </si>
  <si>
    <t>Acidic leucine-rich nuclear phosphoprotein 32 family member A</t>
  </si>
  <si>
    <t>Flap endonuclease 1</t>
  </si>
  <si>
    <t>Isoform 3 of Homeobox protein cut-like 1</t>
  </si>
  <si>
    <t>Isoform 2 of Macrophage-capping protein</t>
  </si>
  <si>
    <t>Isoform 3 of Interleukin-6 receptor subunit beta</t>
  </si>
  <si>
    <t>Alpha-taxilin</t>
  </si>
  <si>
    <t>T-complex protein 1 subunit zeta</t>
  </si>
  <si>
    <t>Signal transducer and activator of transcription 3</t>
  </si>
  <si>
    <t>Isoform Del-701 of 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</si>
  <si>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</si>
  <si>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</si>
  <si>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</si>
  <si>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</si>
  <si>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Isoform 2 of Replication factor C subunit 3</t>
  </si>
  <si>
    <t>Trifunctional enzyme subunit alpha, mitochondrial</t>
  </si>
  <si>
    <t>Eukaryotic translation initiation factor 2 subunit 3</t>
  </si>
  <si>
    <t>Centrin-2</t>
  </si>
  <si>
    <t>Eukaryotic translation initiation factor 2D</t>
  </si>
  <si>
    <t>Peripherin</t>
  </si>
  <si>
    <t>Protein BUD31 homolog</t>
  </si>
  <si>
    <t>Isoform 2 of N-alpha-acetyltransferase 10</t>
  </si>
  <si>
    <t>Isoform 2 of Lysine-specific demethylase 5C</t>
  </si>
  <si>
    <t>Protein phosphatase inhibitor 2</t>
  </si>
  <si>
    <t>Tyrosine-protein kinase CSK</t>
  </si>
  <si>
    <t>Glycine--tRNA ligase</t>
  </si>
  <si>
    <t>Folate transporter 1</t>
  </si>
  <si>
    <t>Eukaryotic translation initiation factor 1</t>
  </si>
  <si>
    <t>Protein kinase C iota type</t>
  </si>
  <si>
    <t>Isoform 2 of Enoyl-CoA delta isomerase 1, mitochondrial</t>
  </si>
  <si>
    <t>Lamina-associated polypeptide 2, isoform alpha</t>
  </si>
  <si>
    <t>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</si>
  <si>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</si>
  <si>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</si>
  <si>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</si>
  <si>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</si>
  <si>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Phosphatidylinositol 4,5-bisphosphate 3-kinase catalytic subunit alpha isoform</t>
  </si>
  <si>
    <t>Serine/threonine-protein kinase mTOR</t>
  </si>
  <si>
    <t>Caspase-3</t>
  </si>
  <si>
    <t>Caspase-2</t>
  </si>
  <si>
    <t>40S ribosomal protein S27</t>
  </si>
  <si>
    <t>Isoform 6 of Abelson tyrosine-protein kinase 2</t>
  </si>
  <si>
    <t>Condensin-2 complex subunit D3</t>
  </si>
  <si>
    <t>Leukemia inhibitory factor receptor</t>
  </si>
  <si>
    <t>Leucine-rich PPR motif-containing protein, mitochondrial</t>
  </si>
  <si>
    <t>3-ketoacyl-CoA thiolase, mitochondrial</t>
  </si>
  <si>
    <t>Cyclin-dependent kinase inhibitor 2A, isoforms 1/2/3</t>
  </si>
  <si>
    <t>Cyclin-dependent kinase 4 inhibitor C</t>
  </si>
  <si>
    <t>Lysosomal Pro-X carboxypeptidase</t>
  </si>
  <si>
    <t>Methylenetetrahydrofolate reductase</t>
  </si>
  <si>
    <t>Isoform 2 of Excitatory amino acid transporter 1</t>
  </si>
  <si>
    <t>Neutral amino acid transporter A</t>
  </si>
  <si>
    <t>Platelet-activating factor acetylhydrolase IB subunit alpha</t>
  </si>
  <si>
    <t>Cell surface glycoprotein MUC18</t>
  </si>
  <si>
    <t>Isoform 2 of Carnitine O-acetyltransferase</t>
  </si>
  <si>
    <t>DNA mismatch repair protein Msh2</t>
  </si>
  <si>
    <t>Isoform GRK6B of G protein-coupled receptor kinase 6</t>
  </si>
  <si>
    <t>Glycerol-3-phosphate dehydrogenase, mitochondrial</t>
  </si>
  <si>
    <t>Tyrosine-protein phosphatase non-receptor type 9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</si>
  <si>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</si>
  <si>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</si>
  <si>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</si>
  <si>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</si>
  <si>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</si>
  <si>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</si>
  <si>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Isoform 2 of 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</si>
  <si>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</si>
  <si>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</si>
  <si>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</si>
  <si>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</si>
  <si>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Beta-1 of Mitogen-activated protein kinase 9</t>
  </si>
  <si>
    <t>Dual specificity mitogen-activated protein kinase kinase 4</t>
  </si>
  <si>
    <t>Antigen KI-67</t>
  </si>
  <si>
    <t>Isoform Short of Antigen KI-67</t>
  </si>
  <si>
    <t>Ran GTPase-activating protein 1</t>
  </si>
  <si>
    <t>ATP-dependent DNA helicase Q1</t>
  </si>
  <si>
    <t>Isoform 2 of Putative ribosomal RNA methyltransferase NOP2</t>
  </si>
  <si>
    <t>Adapter molecule crk</t>
  </si>
  <si>
    <t>Isoform Crk-I of Adapter molecule crk</t>
  </si>
  <si>
    <t>Crk-like protein</t>
  </si>
  <si>
    <t>Translation initiation factor IF-2, mitochondrial</t>
  </si>
  <si>
    <t>Neurogenic locus notch homolog protein 1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</si>
  <si>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</si>
  <si>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</si>
  <si>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</si>
  <si>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</si>
  <si>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</si>
  <si>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</si>
  <si>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</si>
  <si>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</si>
  <si>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</si>
  <si>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Yorkie homolog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</si>
  <si>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</si>
  <si>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</si>
  <si>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</si>
  <si>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</si>
  <si>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</si>
  <si>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Cytosolic phospholipase A2</t>
  </si>
  <si>
    <t>F-actin-capping protein subunit alpha-2</t>
  </si>
  <si>
    <t>Isoform 2 of F-actin-capping protein subunit beta</t>
  </si>
  <si>
    <t>Eukaryotic translation initiation factor 1A, X-chromosomal</t>
  </si>
  <si>
    <t>60S ribosomal protein L29</t>
  </si>
  <si>
    <t>DNA-binding protein inhibitor ID-4</t>
  </si>
  <si>
    <t>Cytochrome b-c1 complex subunit Rieske, mitochondrial</t>
  </si>
  <si>
    <t>Isoform 3 of Sodium- and chloride-dependent creatine transporter 1</t>
  </si>
  <si>
    <t>ATP synthase subunit O, mitochondrial</t>
  </si>
  <si>
    <t>Inward rectifier potassium channel 4</t>
  </si>
  <si>
    <t>LIM and senescent cell antigen-like-containing domain protein 1</t>
  </si>
  <si>
    <t>Sodium- and chloride-dependent GABA transporter 3</t>
  </si>
  <si>
    <t>Prolyl endopeptidase</t>
  </si>
  <si>
    <t>NADP-dependent malic enzyme</t>
  </si>
  <si>
    <t>Iron-responsive element-binding protein 2</t>
  </si>
  <si>
    <t>Coatomer subunit delta</t>
  </si>
  <si>
    <t>Isoform 3 of Lanosterol synthase</t>
  </si>
  <si>
    <t>Glutamate--cysteine ligase catalytic subunit</t>
  </si>
  <si>
    <t>Glutamate--cysteine ligase regulatory subunit</t>
  </si>
  <si>
    <t>Protein PRRC2A</t>
  </si>
  <si>
    <t>Glutathione synthetase</t>
  </si>
  <si>
    <t>T-complex protein 1 subunit epsilon</t>
  </si>
  <si>
    <t>Heat shock 70 kDa protein 13</t>
  </si>
  <si>
    <t>Casein kinase I isoform alpha</t>
  </si>
  <si>
    <t>Isocitrate dehydrogenase [NADP], mitochondrial</t>
  </si>
  <si>
    <t>Phosphatidylinositol transfer protein beta isoform</t>
  </si>
  <si>
    <t>Protein NOV homolog</t>
  </si>
  <si>
    <t>Isoform 2 of CD97 antigen</t>
  </si>
  <si>
    <t>MARCKS-related protein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</si>
  <si>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</si>
  <si>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</si>
  <si>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</si>
  <si>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</si>
  <si>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</si>
  <si>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</si>
  <si>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</si>
  <si>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</si>
  <si>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</si>
  <si>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</si>
  <si>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</si>
  <si>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</si>
  <si>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</si>
  <si>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Elongation factor Tu, mitochondrial</t>
  </si>
  <si>
    <t>Isoform 2 of Alpha-aminoadipic semialdehyde dehydrogenase</t>
  </si>
  <si>
    <t>Ubiquitin-conjugating enzyme E2 R1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</si>
  <si>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</si>
  <si>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</si>
  <si>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</si>
  <si>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</si>
  <si>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</si>
  <si>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</si>
  <si>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Protein phosphatase 1F</t>
  </si>
  <si>
    <t>DNA primase small subunit</t>
  </si>
  <si>
    <t>DNA primase large subunit</t>
  </si>
  <si>
    <t>Casein kinase I isoform epsilon</t>
  </si>
  <si>
    <t>Proteasome subunit beta type-2</t>
  </si>
  <si>
    <t>DNA replication licensing factor MCM2</t>
  </si>
  <si>
    <t>Isoform 2 of Very long-chain specific acyl-CoA dehydrogenase, mitochondrial</t>
  </si>
  <si>
    <t>Isoform 3 of YLP motif-containing protein 1</t>
  </si>
  <si>
    <t>Transmembrane emp24 domain-containing protein 10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</si>
  <si>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</si>
  <si>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</si>
  <si>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</si>
  <si>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</si>
  <si>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</si>
  <si>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</si>
  <si>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Glycogen synthase kinase-3 alpha</t>
  </si>
  <si>
    <t>Glycogen synthase kinase-3 beta</t>
  </si>
  <si>
    <t>Selenide, water dikinase 1</t>
  </si>
  <si>
    <t>5-formyltetrahydrofolate cyclo-ligase</t>
  </si>
  <si>
    <t>GMP synthase [glutamine-hydrolyzing]</t>
  </si>
  <si>
    <t>Double-strand break repair protein MRE11A</t>
  </si>
  <si>
    <t>Ketohexokinase</t>
  </si>
  <si>
    <t>Guanine nucleotide-binding protein G(q) subunit alpha</t>
  </si>
  <si>
    <t>Guanine nucleotide-binding protein G(I)/G(S)/G(O) subunit gamma-4</t>
  </si>
  <si>
    <t>Guanine nucleotide-binding protein G(I)/G(S)/G(O) subunit gamma-10</t>
  </si>
  <si>
    <t>Motor neuron and pancreas homeobox protein 1</t>
  </si>
  <si>
    <t>Sulfotransferase 1A3/1A4</t>
  </si>
  <si>
    <t>Sulfotransferase 1A1</t>
  </si>
  <si>
    <t>Protoporphyrinogen oxidase</t>
  </si>
  <si>
    <t>Emerin</t>
  </si>
  <si>
    <t>Isoform 2 of Carnitine O-palmitoyltransferase 1, liver isoform</t>
  </si>
  <si>
    <t>Serpin B8</t>
  </si>
  <si>
    <t>Serpin H1</t>
  </si>
  <si>
    <t>PDZ and LIM domain protein 4</t>
  </si>
  <si>
    <t>Hsc70-interacting protein</t>
  </si>
  <si>
    <t>Vasodilator-stimulated phosphoprotein</t>
  </si>
  <si>
    <t>Methionine aminopeptidase 2</t>
  </si>
  <si>
    <t>Bis(5-nucleosyl)-tetraphosphatase [asymmetrical]</t>
  </si>
  <si>
    <t>Biotin--protein ligase</t>
  </si>
  <si>
    <t>Kinetochore-associated protein 1</t>
  </si>
  <si>
    <t>Ras association domain-containing protein 2</t>
  </si>
  <si>
    <t>Basal cell adhesion molecule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</si>
  <si>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</si>
  <si>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</si>
  <si>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</si>
  <si>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</si>
  <si>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</si>
  <si>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</si>
  <si>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</si>
  <si>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</si>
  <si>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</si>
  <si>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</si>
  <si>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Death-associated protein 1</t>
  </si>
  <si>
    <t>Isoform 2 of 28S ribosomal protein S29, mitochondrial</t>
  </si>
  <si>
    <t>Dual specificity protein phosphatase 3</t>
  </si>
  <si>
    <t>Matrix metalloproteinase-15</t>
  </si>
  <si>
    <t>Isoform 4 of RNA-binding protein Nova-1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</si>
  <si>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</si>
  <si>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</si>
  <si>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</si>
  <si>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</si>
  <si>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</si>
  <si>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</si>
  <si>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Isoform 2 of Host cell factor 1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</si>
  <si>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</si>
  <si>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</si>
  <si>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</si>
  <si>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</si>
  <si>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Signal transducer and activator of transcription 5B</t>
  </si>
  <si>
    <t>Isoform 3 of H(+)/Cl(-) exchange transporter 3</t>
  </si>
  <si>
    <t>H(+)/Cl(-) exchange transporter 5</t>
  </si>
  <si>
    <t>Isoform 2 of H(+)/Cl(-) exchange transporter 7</t>
  </si>
  <si>
    <t>Vesicle-associated membrane protein 7</t>
  </si>
  <si>
    <t>Ribosomal protein S6 kinase alpha-3</t>
  </si>
  <si>
    <t>cAMP-dependent protein kinase catalytic subunit PRKX</t>
  </si>
  <si>
    <t>Hepatoma-derived growth factor</t>
  </si>
  <si>
    <t>Cyclin-H</t>
  </si>
  <si>
    <t>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</si>
  <si>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</si>
  <si>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</si>
  <si>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</si>
  <si>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</si>
  <si>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</si>
  <si>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</si>
  <si>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</si>
  <si>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Rho GDP-dissociation inhibitor 1</t>
  </si>
  <si>
    <t>Low affinity cationic amino acid transporter 2</t>
  </si>
  <si>
    <t>Heterogeneous nuclear ribonucleoprotein F</t>
  </si>
  <si>
    <t>Isoform 2 of Signal transducer and activator of transcription 2</t>
  </si>
  <si>
    <t>Transcription initiation factor IIA subunit 2</t>
  </si>
  <si>
    <t>DNA mismatch repair protein Msh6</t>
  </si>
  <si>
    <t>Kinesin-like protein KIF11</t>
  </si>
  <si>
    <t>Isoform 3 of Guanine nucleotide exchange factor VAV2</t>
  </si>
  <si>
    <t>Ribonuclease UK114</t>
  </si>
  <si>
    <t>Spermine synthase</t>
  </si>
  <si>
    <t>Ephrin-B2</t>
  </si>
  <si>
    <t>39S ribosomal protein L12, mitochondrial</t>
  </si>
  <si>
    <t>Thimet oligopeptidase</t>
  </si>
  <si>
    <t>F-actin-capping protein subunit alpha-1</t>
  </si>
  <si>
    <t>Cysteine-rich protein 2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</si>
  <si>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</si>
  <si>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</si>
  <si>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</si>
  <si>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</si>
  <si>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</si>
  <si>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</si>
  <si>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</si>
  <si>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</si>
  <si>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</si>
  <si>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</si>
  <si>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</si>
  <si>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</si>
  <si>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Coatomer subunit alpha</t>
  </si>
  <si>
    <t>Dipeptidyl peptidase 1</t>
  </si>
  <si>
    <t>Cytochrome c-type heme lyase</t>
  </si>
  <si>
    <t>Mitogen-activated protein kinase 12</t>
  </si>
  <si>
    <t>Sodium/myo-inositol cotransporter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</si>
  <si>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</si>
  <si>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</si>
  <si>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</si>
  <si>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</si>
  <si>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</si>
  <si>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</si>
  <si>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</si>
  <si>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Isoform Monomeric of Arginine--tRNA ligase, cytoplasmic</t>
  </si>
  <si>
    <t>Atrophin-1</t>
  </si>
  <si>
    <t>Isoform 4 of Voltage-dependent calcium channel subunit alpha-2/delta-1</t>
  </si>
  <si>
    <t>Tyrosine--tRNA ligase, cytoplasmic</t>
  </si>
  <si>
    <t>Isoform 2 of Ubiquitin carboxyl-terminal hydrolase 14</t>
  </si>
  <si>
    <t>Isoform 2 of 5-AMP-activated protein kinase subunit gamma-1</t>
  </si>
  <si>
    <t>5-AMP-activated protein kinase catalytic subunit alpha-2</t>
  </si>
  <si>
    <t>Branched-chain-amino-acid aminotransferase, cytosolic</t>
  </si>
  <si>
    <t>Potassium-transporting ATPase alpha chain 2</t>
  </si>
  <si>
    <t>Sodium/potassium-transporting ATPase subunit beta-3</t>
  </si>
  <si>
    <t>UV excision repair protein RAD23 homolog B</t>
  </si>
  <si>
    <t>Alpha-N-acetylglucosaminidase</t>
  </si>
  <si>
    <t>Adenylate kinase 2, mitochondrial</t>
  </si>
  <si>
    <t>Growth arrest-specific protein 1</t>
  </si>
  <si>
    <t>Isoform Short of 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</si>
  <si>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</si>
  <si>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</si>
  <si>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</si>
  <si>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</si>
  <si>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</si>
  <si>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</si>
  <si>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</si>
  <si>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</si>
  <si>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Isoform 2 of Microfibril-associated glycoprotein 3</t>
  </si>
  <si>
    <t>Mesencephalic astrocyte-derived neurotrophic factor</t>
  </si>
  <si>
    <t>Isoform 4 of Caspase-7</t>
  </si>
  <si>
    <t>Caspase-6</t>
  </si>
  <si>
    <t>Isoform 2 of Adenosine kinase</t>
  </si>
  <si>
    <t>Laminin subunit beta-2</t>
  </si>
  <si>
    <t>Isoform 2 of Tumor protein D52</t>
  </si>
  <si>
    <t>Protein SEC13 homolog</t>
  </si>
  <si>
    <t>Eukaryotic translation initiation factor 3 subunit B</t>
  </si>
  <si>
    <t>BH3-interacting domain death agonist</t>
  </si>
  <si>
    <t>Isoform 2 of NADH dehydrogenase [ubiquinone] flavoprotein 3, mitochondrial</t>
  </si>
  <si>
    <t>Ribosomal RNA processing protein 1 homolog A</t>
  </si>
  <si>
    <t>Methionine--tRNA ligase, cytoplasmic</t>
  </si>
  <si>
    <t>Isoform 2 of Myc-associated zinc finger protein</t>
  </si>
  <si>
    <t>Cx9C motif-containing protein 4</t>
  </si>
  <si>
    <t>AP-1 complex subunit sigma-2</t>
  </si>
  <si>
    <t>ATP synthase subunit e, mitochondrial</t>
  </si>
  <si>
    <t>Histone deacetylase 4</t>
  </si>
  <si>
    <t>Eukaryotic translation initiation factor 6</t>
  </si>
  <si>
    <t>Peroxisomal biogenesis factor 3</t>
  </si>
  <si>
    <t>Isoform 3 of 3-keto-steroid reductase</t>
  </si>
  <si>
    <t>Isoform 4 of Breast cancer anti-estrogen resistance protein 1</t>
  </si>
  <si>
    <t>Syntaxin-17</t>
  </si>
  <si>
    <t>Isoform C of Phosphatidylinositol N-acetylglucosaminyltransferase subunit P</t>
  </si>
  <si>
    <t>RWD domain-containing protein 2B</t>
  </si>
  <si>
    <t>Uncharacterized protein C21orf59</t>
  </si>
  <si>
    <t>Isoform 2 of tRNA (guanine-N(7)-)-methyltransferase subunit WDR4</t>
  </si>
  <si>
    <t>Transmembrane protein 33</t>
  </si>
  <si>
    <t>Synaptojanin-2-binding protein</t>
  </si>
  <si>
    <t>Isoform 3 of Coronin-7</t>
  </si>
  <si>
    <t>Nuclear pore complex protein Nup107</t>
  </si>
  <si>
    <t>Selenocysteine-specific elongation factor</t>
  </si>
  <si>
    <t>Sestrin-2</t>
  </si>
  <si>
    <t>Sestrin-3</t>
  </si>
  <si>
    <t>Isoform 3 of A disintegrin and metalloproteinase with thrombospondin motifs 12</t>
  </si>
  <si>
    <t>Myotrophin</t>
  </si>
  <si>
    <t>Putative ribonuclease</t>
  </si>
  <si>
    <t>Actin-related protein 2/3 complex subunit 4</t>
  </si>
  <si>
    <t>Protein transport protein Sec61 subunit gamma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</si>
  <si>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</si>
  <si>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</si>
  <si>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</si>
  <si>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</si>
  <si>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</si>
  <si>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</si>
  <si>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</si>
  <si>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</si>
  <si>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</si>
  <si>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</si>
  <si>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</si>
  <si>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</si>
  <si>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Protein S100-A10</t>
  </si>
  <si>
    <t>Cell division control protein 42 homolog</t>
  </si>
  <si>
    <t>Isoform 1 of 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</si>
  <si>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</si>
  <si>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</si>
  <si>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</si>
  <si>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</si>
  <si>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</si>
  <si>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</si>
  <si>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</si>
  <si>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</si>
  <si>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</si>
  <si>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</si>
  <si>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</si>
  <si>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</si>
  <si>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</si>
  <si>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</si>
  <si>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</si>
  <si>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</si>
  <si>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</si>
  <si>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</si>
  <si>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</si>
  <si>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</si>
  <si>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</si>
  <si>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</si>
  <si>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</si>
  <si>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60S ribosomal protein L26</t>
  </si>
  <si>
    <t>Proteasome activator complex subunit 3</t>
  </si>
  <si>
    <t>Protein mago nashi homolog</t>
  </si>
  <si>
    <t>Transforming protein RhoA</t>
  </si>
  <si>
    <t>Rho-related GTP-binding protein RhoE</t>
  </si>
  <si>
    <t>N-alpha-acetyltransferase 20</t>
  </si>
  <si>
    <t>10 kDa heat shock protein, mitochondrial</t>
  </si>
  <si>
    <t>Prefoldin subunit 3</t>
  </si>
  <si>
    <t>Syntaxin-binding protein 1</t>
  </si>
  <si>
    <t>cAMP-dependent protein kinase inhibitor alpha</t>
  </si>
  <si>
    <t>Isoform 2 of Ubiquitin-fold modifier 1</t>
  </si>
  <si>
    <t>DDB1- and CUL4-associated factor 7</t>
  </si>
  <si>
    <t>WD repeat-containing protein 5</t>
  </si>
  <si>
    <t>Nuclear transport factor 2</t>
  </si>
  <si>
    <t>Isoform 2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</si>
  <si>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</si>
  <si>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</si>
  <si>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</si>
  <si>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</si>
  <si>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</si>
  <si>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</si>
  <si>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26S protease regulatory subunit 4</t>
  </si>
  <si>
    <t>Isoform 2 of 26S protease regulatory subunit 8</t>
  </si>
  <si>
    <t>40S ribosomal protein S16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</si>
  <si>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</si>
  <si>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</si>
  <si>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</si>
  <si>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</si>
  <si>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</si>
  <si>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</si>
  <si>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</si>
  <si>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</si>
  <si>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</si>
  <si>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</si>
  <si>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</si>
  <si>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</si>
  <si>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</si>
  <si>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</si>
  <si>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</si>
  <si>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</si>
  <si>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</si>
  <si>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</si>
  <si>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</si>
  <si>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</si>
  <si>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</si>
  <si>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3 of Cellular nucleic acid-binding protein</t>
  </si>
  <si>
    <t>Isoform 4 of Cellular nucleic acid-binding protein</t>
  </si>
  <si>
    <t>40S ribosomal protein S4, X isoform</t>
  </si>
  <si>
    <t>Serine/threonine-protein phosphatase 2A catalytic subunit beta isoform</t>
  </si>
  <si>
    <t>Rho-related GTP-binding protein RhoB</t>
  </si>
  <si>
    <t>60S ribosomal protein L23a</t>
  </si>
  <si>
    <t>40S ribosomal protein S6</t>
  </si>
  <si>
    <t>Histone H4</t>
  </si>
  <si>
    <t>Histone H2B type 1-C/E/F/G/I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</si>
  <si>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</si>
  <si>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</si>
  <si>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</si>
  <si>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</si>
  <si>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</si>
  <si>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</si>
  <si>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</si>
  <si>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</si>
  <si>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Guanine nucleotide-binding protein G(I)/G(S)/G(T) subunit beta-2</t>
  </si>
  <si>
    <t>60S ribosomal protein L30</t>
  </si>
  <si>
    <t>60S ribosomal protein L31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</si>
  <si>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</si>
  <si>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</si>
  <si>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</si>
  <si>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</si>
  <si>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</si>
  <si>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</si>
  <si>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</si>
  <si>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Ras-related C3 botulinum toxin substrate 1</t>
  </si>
  <si>
    <t>AP-2 complex subunit beta</t>
  </si>
  <si>
    <t>Guanine nucleotide-binding protein G(s) subunit alpha isoforms short</t>
  </si>
  <si>
    <t>Guanine nucleotide-binding protein G(i) subunit alpha-1</t>
  </si>
  <si>
    <t>14-3-3 protein zeta/delta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</si>
  <si>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</si>
  <si>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</si>
  <si>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</si>
  <si>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</si>
  <si>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40S ribosomal protein S21</t>
  </si>
  <si>
    <t>Eukaryotic translation initiation factor 5A-1</t>
  </si>
  <si>
    <t>Guanine nucleotide-binding protein subunit beta-2-like 1</t>
  </si>
  <si>
    <t>Actin, cytoplasmic 2</t>
  </si>
  <si>
    <t>Transcription elongation factor SPT4</t>
  </si>
  <si>
    <t>Serine/threonine-protein phosphatase 2A catalytic subunit alpha isoform</t>
  </si>
  <si>
    <t>Nuclease-sensitive element-binding protein 1</t>
  </si>
  <si>
    <t>Tropomyosin alpha-4 chain</t>
  </si>
  <si>
    <t>Actin, alpha cardiac muscle 1</t>
  </si>
  <si>
    <t>Ubiquitin-conjugating enzyme E2 L3</t>
  </si>
  <si>
    <t>Elongation factor 1-alpha 1</t>
  </si>
  <si>
    <t>Peptidyl-prolyl cis-trans isomerase FKBP1B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</si>
  <si>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</si>
  <si>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</si>
  <si>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</si>
  <si>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</si>
  <si>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gamma-2</t>
  </si>
  <si>
    <t>Coxsackievirus and adenovirus receptor</t>
  </si>
  <si>
    <t>Immunoglobulin-binding protein 1</t>
  </si>
  <si>
    <t>Tyrosine-protein phosphatase non-receptor type substrate 1</t>
  </si>
  <si>
    <t>Phosphoserine phosphatase</t>
  </si>
  <si>
    <t>Isoform 2 of General transcription factor II-I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</si>
  <si>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</si>
  <si>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</si>
  <si>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</si>
  <si>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</si>
  <si>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</si>
  <si>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Biogenesis of lysosome-related organelles complex 1 subunit 1</t>
  </si>
  <si>
    <t>Arginase-2, mitochondrial</t>
  </si>
  <si>
    <t>Interferon-induced 35 kDa protein</t>
  </si>
  <si>
    <t>Metallothionein-1X</t>
  </si>
  <si>
    <t>Nucleobindin-2</t>
  </si>
  <si>
    <t>Brain acid soluble protein 1</t>
  </si>
  <si>
    <t>G-protein-signaling modulator 2</t>
  </si>
  <si>
    <t>TATA element modulatory factor</t>
  </si>
  <si>
    <t>28S ribosomal protein S10, mitochondrial</t>
  </si>
  <si>
    <t>28S ribosomal protein S36, mitochondrial</t>
  </si>
  <si>
    <t>SAP domain-containing ribonucleoprotein</t>
  </si>
  <si>
    <t>Conserved oligomeric Golgi complex subunit 7</t>
  </si>
  <si>
    <t>Neuron-specific calcium-binding protein hippocalcin</t>
  </si>
  <si>
    <t>ADP-ribosylation factor 1</t>
  </si>
  <si>
    <t>ADP-ribosylation factor 5</t>
  </si>
  <si>
    <t>Enhancer of rudimentary homolog</t>
  </si>
  <si>
    <t>Rho-related GTP-binding protein RhoG</t>
  </si>
  <si>
    <t>Small EDRK-rich factor 2</t>
  </si>
  <si>
    <t>Matrix-remodeling-associated protein 7</t>
  </si>
  <si>
    <t>Isoform 2 of Matrix-remodeling-associated protein 7</t>
  </si>
  <si>
    <t>Isoform 3 of Matrix-remodeling-associated protein 7</t>
  </si>
  <si>
    <t>Forkhead box protein K1</t>
  </si>
  <si>
    <t>Hydroxyacyl-thioester dehydratase type 2, mitochondrial</t>
  </si>
  <si>
    <t>Vacuolar fusion protein CCZ1 homolog</t>
  </si>
  <si>
    <t>Isoform 3 of Disabled homolog 2</t>
  </si>
  <si>
    <t>Ephrin-B1</t>
  </si>
  <si>
    <t>Isoform 3 of Protein FAM3A</t>
  </si>
  <si>
    <t>Isoform 2 of RNA-binding protein 10</t>
  </si>
  <si>
    <t>Putative RNA-binding protein 3</t>
  </si>
  <si>
    <t>Isoform 2 of 55 kDa erythrocyte membrane protein</t>
  </si>
  <si>
    <t>Transcription factor A, mitochondrial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</si>
  <si>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</si>
  <si>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</si>
  <si>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</si>
  <si>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</si>
  <si>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</si>
  <si>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</si>
  <si>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</si>
  <si>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</si>
  <si>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</si>
  <si>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</si>
  <si>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</si>
  <si>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</si>
  <si>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</si>
  <si>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Splicing factor U2AF 35 kDa subunit</t>
  </si>
  <si>
    <t>Spectrin beta chain, non-erythrocytic 1</t>
  </si>
  <si>
    <t>Isoform 2 of Nucleolysin TIAR</t>
  </si>
  <si>
    <t>Protein SET</t>
  </si>
  <si>
    <t>Forkhead box protein K2</t>
  </si>
  <si>
    <t>N-acetylgalactosamine kinase</t>
  </si>
  <si>
    <t>Fatty acid-binding protein, epidermal</t>
  </si>
  <si>
    <t>Isoform 2 of Adenylyl cyclase-associated protein 1</t>
  </si>
  <si>
    <t>Isoform 2 of Friend leukemia integration 1 transcription factor</t>
  </si>
  <si>
    <t>Hydroxymethylglutaryl-CoA synthase, cytoplasmic</t>
  </si>
  <si>
    <t>Large neutral amino acids transporter small subunit 1</t>
  </si>
  <si>
    <t>Protein Dr1</t>
  </si>
  <si>
    <t>6-phosphofructokinase type C</t>
  </si>
  <si>
    <t>Inositol polyphosphate 5-phosphatase OCRL-1</t>
  </si>
  <si>
    <t>1-phosphatidylinositol 4,5-bisphosphate phosphodiesterase beta-3</t>
  </si>
  <si>
    <t>Isoform RSRFC4 of Myocyte-specific enhancer factor 2A</t>
  </si>
  <si>
    <t>Isoform 2 of N-acylethanolamine-hydrolyzing acid amidase</t>
  </si>
  <si>
    <t>Isoform 2 of Transcription factor Sp2</t>
  </si>
  <si>
    <t>Dihydroorotate dehydrogenase (quinone), mitochondrial</t>
  </si>
  <si>
    <t>Protein kinase C epsilon type</t>
  </si>
  <si>
    <t>Kinesin-like protein KIF23</t>
  </si>
  <si>
    <t>Transcription factor Sp4</t>
  </si>
  <si>
    <t>Isoform 2B of Desmocollin-2</t>
  </si>
  <si>
    <t>DNA-binding protein inhibitor ID-3</t>
  </si>
  <si>
    <t>Dual specificity mitogen-activated protein kinase kinase 1</t>
  </si>
  <si>
    <t>Isoform 2 of Angiopoietin-1 receptor</t>
  </si>
  <si>
    <t>Peptidyl-prolyl cis-trans isomerase FKBP4</t>
  </si>
  <si>
    <t>Procollagen-lysine,2-oxoglutarate 5-dioxygenase 1</t>
  </si>
  <si>
    <t>Nucleobindin-1</t>
  </si>
  <si>
    <t>Isoform 3 of A-kinase anchor protein 12</t>
  </si>
  <si>
    <t>Aminoacylase-1</t>
  </si>
  <si>
    <t>Antigen peptide transporter 2</t>
  </si>
  <si>
    <t>1,4-alpha-glucan-branching enzyme</t>
  </si>
  <si>
    <t>Neurogenic locus notch homolog protein 2</t>
  </si>
  <si>
    <t>Transducin-like enhancer protein 1</t>
  </si>
  <si>
    <t>Lactoylglutathione lyase</t>
  </si>
  <si>
    <t>Aldo-keto reductase family 1 member C1</t>
  </si>
  <si>
    <t>Single-stranded DNA-binding protein, mitochondrial</t>
  </si>
  <si>
    <t>14-3-3 protein eta</t>
  </si>
  <si>
    <t>Proteolipid protein 2</t>
  </si>
  <si>
    <t>Cleavage stimulation factor subunit 1</t>
  </si>
  <si>
    <t>Isoform III of Ubiquitin-protein ligase E3A</t>
  </si>
  <si>
    <t>Tyrosine-protein phosphatase non-receptor type 12</t>
  </si>
  <si>
    <t>Isoform 2 of Serine/arginine-rich splicing factor 11</t>
  </si>
  <si>
    <t>Elongation factor 1-alpha 2</t>
  </si>
  <si>
    <t>Protein kinase C delta type</t>
  </si>
  <si>
    <t>Isoform 4 of Caldesmon</t>
  </si>
  <si>
    <t>Isoform 5 of Caldesmon</t>
  </si>
  <si>
    <t>Isoform 3 of Folylpolyglutamate synthase, mitochondrial</t>
  </si>
  <si>
    <t>Tyrosine-protein phosphatase non-receptor type 11</t>
  </si>
  <si>
    <t>Amidophosphoribosyltransferase</t>
  </si>
  <si>
    <t>Isoform 2 of Glutamine--fructose-6-phosphate aminotransferase [isomerizing] 1</t>
  </si>
  <si>
    <t>Exosome complex component RRP45</t>
  </si>
  <si>
    <t>Proteasome activator complex subunit 1</t>
  </si>
  <si>
    <t>Isoform 5 of Recombining binding protein suppressor of hairless</t>
  </si>
  <si>
    <t>Amyloid-like protein 2</t>
  </si>
  <si>
    <t>GA-binding protein alpha chain</t>
  </si>
  <si>
    <t>Isoform 2 of GA-binding protein subunit beta-1</t>
  </si>
  <si>
    <t>Isoform 3 of DNA repair protein RAD51 homolog 1</t>
  </si>
  <si>
    <t>Peroxiredoxin-1</t>
  </si>
  <si>
    <t>Complement component 1 Q subcomponent-binding protein, mitochondrial</t>
  </si>
  <si>
    <t>Cytoskeleton-associated protein 4</t>
  </si>
  <si>
    <t>Glutamyl aminopeptidase</t>
  </si>
  <si>
    <t>KH domain-containing, RNA-binding, signal transduction-associated protein 1</t>
  </si>
  <si>
    <t>Isoform Epsilon of Apoptosis regulator BAX</t>
  </si>
  <si>
    <t>Isoform 2 of Induced myeloid leukemia cell differentiation protein Mcl-1</t>
  </si>
  <si>
    <t>Isoform N of Kinesin light chain 1</t>
  </si>
  <si>
    <t>Activated CDC42 kinase 1</t>
  </si>
  <si>
    <t>Rho GTPase-activating protein 1</t>
  </si>
  <si>
    <t>Isoform 2 of Serine/threonine-protein phosphatase 2B catalytic subunit alpha isoform</t>
  </si>
  <si>
    <t>Quinone oxidoreductase</t>
  </si>
  <si>
    <t>Isoform 2f of Voltage-dependent L-type calcium channel subunit beta-2</t>
  </si>
  <si>
    <t>Sodium-dependent phosphate transporter 2</t>
  </si>
  <si>
    <t>Isoform 2 of Golgin subfamily A member 3</t>
  </si>
  <si>
    <t>Golgin subfamily A member 2</t>
  </si>
  <si>
    <t>Peroxisomal bifunctional enzyme</t>
  </si>
  <si>
    <t>Isoform OA3-293 of Leukocyte surface antigen CD47</t>
  </si>
  <si>
    <t>Peptidyl-prolyl cis-trans isomerase D</t>
  </si>
  <si>
    <t>FACT complex subunit SSRP1</t>
  </si>
  <si>
    <t>Isoform 2 of Calmodulin-regulated spectrin-associated protein 2</t>
  </si>
  <si>
    <t>Isoform 2 of Protein spire homolog 1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</si>
  <si>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</si>
  <si>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</si>
  <si>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</si>
  <si>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</si>
  <si>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</si>
  <si>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</si>
  <si>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</si>
  <si>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</si>
  <si>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Isoform 3 of FCH domain only protein 2</t>
  </si>
  <si>
    <t>Heat shock 70 kDa protein 14</t>
  </si>
  <si>
    <t>Secernin-3</t>
  </si>
  <si>
    <t>Alpha-1,6-mannosyl-glycoprotein 2-beta-N-acetylglucosaminyltransferase</t>
  </si>
  <si>
    <t>Isoform B of AP-1 complex subunit beta-1</t>
  </si>
  <si>
    <t>Mitochondrial-processing peptidase subunit alpha</t>
  </si>
  <si>
    <t>Secernin-1</t>
  </si>
  <si>
    <t>Nuclear pore complex protein Nup160</t>
  </si>
  <si>
    <t>Transducin beta-like protein 3</t>
  </si>
  <si>
    <t>Twinfilin-1</t>
  </si>
  <si>
    <t>Cell division cycle protein 20 homolog</t>
  </si>
  <si>
    <t>Follistatin-related protein 1</t>
  </si>
  <si>
    <t>Syntaxin-4</t>
  </si>
  <si>
    <t>G-rich sequence factor 1</t>
  </si>
  <si>
    <t>Isoform 2 of Contactin-1</t>
  </si>
  <si>
    <t>Splicing factor, suppressor of white-apricot homolog</t>
  </si>
  <si>
    <t>Splicing factor 3A subunit 3</t>
  </si>
  <si>
    <t>Tumor suppressor p53-binding protein 1</t>
  </si>
  <si>
    <t>Transmembrane protein 115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</si>
  <si>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</si>
  <si>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</si>
  <si>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</si>
  <si>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</si>
  <si>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Epidermal growth factor receptor kinase substrate 8</t>
  </si>
  <si>
    <t>Isoform 3 of TNF receptor-associated factor 2</t>
  </si>
  <si>
    <t>Forkhead box protein C1</t>
  </si>
  <si>
    <t>Isoform 4 of Ankyrin-3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</si>
  <si>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</si>
  <si>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</si>
  <si>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</si>
  <si>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</si>
  <si>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Vesicle transport protein SEC20</t>
  </si>
  <si>
    <t>Cleavage stimulation factor subunit 3</t>
  </si>
  <si>
    <t>Delta(3,5)-Delta(2,4)-dienoyl-CoA isomerase, mitochondrial</t>
  </si>
  <si>
    <t>Protein AF1q</t>
  </si>
  <si>
    <t>Isoform 2 of Rho GTPase-activating protein 5</t>
  </si>
  <si>
    <t>Isoform Alpha of Striatin-3</t>
  </si>
  <si>
    <t>Serine/threonine-protein kinase 4</t>
  </si>
  <si>
    <t>Protein flightless-1 homolog</t>
  </si>
  <si>
    <t>Isoform 2 of Protein flightless-1 homolog</t>
  </si>
  <si>
    <t>Bifunctional coenzyme A synthase</t>
  </si>
  <si>
    <t>COP9 signalosome complex subunit 1</t>
  </si>
  <si>
    <t>Isoform 2 of Chromatin assembly factor 1 subunit A</t>
  </si>
  <si>
    <t>Chromatin assembly factor 1 subunit B</t>
  </si>
  <si>
    <t>Protein Red</t>
  </si>
  <si>
    <t>S-methyl-5-thioadenosine phosphorylase</t>
  </si>
  <si>
    <t>5-AMP-activated protein kinase catalytic subunit alpha-1</t>
  </si>
  <si>
    <t>Isoform 2 of Liprin-alpha-1</t>
  </si>
  <si>
    <t>Isoform 4 of Calcium-binding and coiled-coil domain-containing protein 2</t>
  </si>
  <si>
    <t>TAR DNA-binding protein 43</t>
  </si>
  <si>
    <t>Heterogeneous nuclear ribonucleoprotein A0</t>
  </si>
  <si>
    <t>Serine/threonine-protein kinase PAK 1</t>
  </si>
  <si>
    <t>Protein FADD</t>
  </si>
  <si>
    <t>Peroxiredoxin-4</t>
  </si>
  <si>
    <t>Isoform 2 of Mitogen-activated protein kinase 7</t>
  </si>
  <si>
    <t>Serine/threonine-protein kinase PAK 2</t>
  </si>
  <si>
    <t>Chromobox protein homolog 3</t>
  </si>
  <si>
    <t>Serine/threonine-protein kinase 3</t>
  </si>
  <si>
    <t>26S proteasome non-ATPase regulatory subunit 2</t>
  </si>
  <si>
    <t>DnaJ homolog subfamily C member 3</t>
  </si>
  <si>
    <t>Isoform 2 of Selenium-binding protein 1</t>
  </si>
  <si>
    <t>Nucleoside diphosphate kinase 3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</si>
  <si>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</si>
  <si>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</si>
  <si>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</si>
  <si>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</si>
  <si>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</si>
  <si>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</si>
  <si>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Inactive tyrosine-protein kinase 7</t>
  </si>
  <si>
    <t>S-phase kinase-associated protein 2</t>
  </si>
  <si>
    <t>Isoform 3 of Polyadenylate-binding protein 4</t>
  </si>
  <si>
    <t>Isoform 1 of Growth factor receptor-bound protein 10</t>
  </si>
  <si>
    <t>Interferon-induced protein with tetratricopeptide repeats 5</t>
  </si>
  <si>
    <t>Eukaryotic translation initiation factor 3 subunit I</t>
  </si>
  <si>
    <t>Peptidyl-prolyl cis-trans isomerase-like 2</t>
  </si>
  <si>
    <t>Isoform 4 of Serine/threonine-protein phosphatase 2A 56 kDa regulatory subunit gamma isoform</t>
  </si>
  <si>
    <t>C-terminal-binding protein 1</t>
  </si>
  <si>
    <t>Probable methyltransferase TARBP1</t>
  </si>
  <si>
    <t>39S ribosomal protein L49, mitochondrial</t>
  </si>
  <si>
    <t>Isoform 2F of Cytoplasmic dynein 1 intermediate chain 2</t>
  </si>
  <si>
    <t>Origin recognition complex subunit 2</t>
  </si>
  <si>
    <t>Integrin-linked protein kinase</t>
  </si>
  <si>
    <t>NAD(P) transhydrogenase, mitochondrial</t>
  </si>
  <si>
    <t>Alpha-1-syntrophin</t>
  </si>
  <si>
    <t>DNA repair protein XRCC4</t>
  </si>
  <si>
    <t>Isoform B of Protein unc-119 homolog A</t>
  </si>
  <si>
    <t>Splicing factor 3B subunit 2</t>
  </si>
  <si>
    <t>Isoform 5 of Protein OS-9</t>
  </si>
  <si>
    <t>28 kDa heat- and acid-stable phosphoprotein</t>
  </si>
  <si>
    <t>Disintegrin and metalloproteinase domain-containing protein 9</t>
  </si>
  <si>
    <t>Isoform 8 of Disintegrin and metalloproteinase domain-containing protein 15</t>
  </si>
  <si>
    <t>Transmembrane emp24 domain-containing protein 1</t>
  </si>
  <si>
    <t>Peptidyl-prolyl cis-trans isomerase FKBP5</t>
  </si>
  <si>
    <t>Rho-associated protein kinase 1</t>
  </si>
  <si>
    <t>Isoform 2 of GRB2-associated-binding protein 1</t>
  </si>
  <si>
    <t>Isoform 3 of Phosphatidylinositol-binding clathrin assembly protein</t>
  </si>
  <si>
    <t>Mediator of RNA polymerase II transcription subunit 21</t>
  </si>
  <si>
    <t>Isoform 3 of Metaxin-1</t>
  </si>
  <si>
    <t>Tubulin beta-3 chain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</si>
  <si>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</si>
  <si>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</si>
  <si>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</si>
  <si>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Isoform 2 of Receptor-interacting serine/threonine-protein kinase 1</t>
  </si>
  <si>
    <t>Isoform 2 of NEDD8-activating enzyme E1 regulatory subunit</t>
  </si>
  <si>
    <t>Inositol-tetrakisphosphate 1-kinase</t>
  </si>
  <si>
    <t>SNW domain-containing protein 1</t>
  </si>
  <si>
    <t>Ras GTPase-activating-like protein IQGAP2</t>
  </si>
  <si>
    <t>Stromal interaction molecule 1</t>
  </si>
  <si>
    <t>Isoform 1A of Sorting nexin-1</t>
  </si>
  <si>
    <t>Myotubularin-related protein 2</t>
  </si>
  <si>
    <t>Cullin-1</t>
  </si>
  <si>
    <t>Cullin-2</t>
  </si>
  <si>
    <t>Isoform 2 of Cullin-3</t>
  </si>
  <si>
    <t>Apoptosis-stimulating of p53 protein 2</t>
  </si>
  <si>
    <t>GDP-L-fucose synthase</t>
  </si>
  <si>
    <t>Ras-related protein Rab-31</t>
  </si>
  <si>
    <t>Trophoblast glycoprotein</t>
  </si>
  <si>
    <t>Isoform 5 of Four and a half LIM domains protein 1</t>
  </si>
  <si>
    <t>Four and a half LIM domains protein 3</t>
  </si>
  <si>
    <t>Alkylated DNA repair protein alkB homolog 1</t>
  </si>
  <si>
    <t>Mannosyl-oligosaccharide glucosidase</t>
  </si>
  <si>
    <t>Isoform 2 of CD166 antigen</t>
  </si>
  <si>
    <t>Protein Shroom2</t>
  </si>
  <si>
    <t>Isoform 3 of Spectrin alpha chain, non-erythrocytic 1</t>
  </si>
  <si>
    <t>Methylglutaconyl-CoA hydratase, mitochondrial</t>
  </si>
  <si>
    <t>Beta-1-syntrophin</t>
  </si>
  <si>
    <t>Tubulin beta-2A chain</t>
  </si>
  <si>
    <t>Bystin</t>
  </si>
  <si>
    <t>Isopentenyl-diphosphate Delta-isomerase 1</t>
  </si>
  <si>
    <t>Isoform 2 of Core-binding factor subunit beta</t>
  </si>
  <si>
    <t>Isoform 2 of Nuclear transcription factor Y subunit gamma</t>
  </si>
  <si>
    <t>Isoform 2 of Cytoskeleton-associated protein 5</t>
  </si>
  <si>
    <t>Cold-inducible RNA-binding protein</t>
  </si>
  <si>
    <t>Calcium/calmodulin-dependent protein kinase type 1</t>
  </si>
  <si>
    <t>Coactosin-like protein</t>
  </si>
  <si>
    <t>Collagen alpha-3(IX) chain</t>
  </si>
  <si>
    <t>Cytochrome c oxidase copper chaperone</t>
  </si>
  <si>
    <t>Isoform 3 of Heterogeneous nuclear ribonucleoprotein D0</t>
  </si>
  <si>
    <t>Lysosome membrane protein 2</t>
  </si>
  <si>
    <t>Dystroglycan</t>
  </si>
  <si>
    <t>Desmoglein-2</t>
  </si>
  <si>
    <t>Protein DGCR6</t>
  </si>
  <si>
    <t>Transcription cofactor vestigial-like protein 4</t>
  </si>
  <si>
    <t>Ribosome biogenesis protein BOP1</t>
  </si>
  <si>
    <t>Ubiquitin conjugation factor E4 A</t>
  </si>
  <si>
    <t>Kelch-like ECH-associated protein 1</t>
  </si>
  <si>
    <t>MORC family CW-type zinc finger protein 3</t>
  </si>
  <si>
    <t>Scaffold attachment factor B2</t>
  </si>
  <si>
    <t>Eukaryotic translation initiation factor 3 subunit A</t>
  </si>
  <si>
    <t>Isoform 2 of Ubiquitin-associated protein 2-like</t>
  </si>
  <si>
    <t>Protein scribble homolog</t>
  </si>
  <si>
    <t>Malectin</t>
  </si>
  <si>
    <t>Tubulin--tyrosine ligase-like protein 12</t>
  </si>
  <si>
    <t>DNA polymerase alpha subunit B</t>
  </si>
  <si>
    <t>Isoform LCRMP-4 of Dihydropyrimidinase-related protein 3</t>
  </si>
  <si>
    <t>Cytoplasmic dynein 1 heavy chain 1</t>
  </si>
  <si>
    <t>Translation initiation factor eIF-2B subunit alpha</t>
  </si>
  <si>
    <t>Eukaryotic initiation factor 4A-II</t>
  </si>
  <si>
    <t>Ensconsin</t>
  </si>
  <si>
    <t>Src substrate cortactin</t>
  </si>
  <si>
    <t>Reticulocalbin-2</t>
  </si>
  <si>
    <t>Isoform 2 of Filamin-C</t>
  </si>
  <si>
    <t>Isoform 2 of 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</si>
  <si>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</si>
  <si>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</si>
  <si>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</si>
  <si>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</si>
  <si>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</si>
  <si>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Putative glycerol kinase 3</t>
  </si>
  <si>
    <t>Isoform 2 of Caprin-1</t>
  </si>
  <si>
    <t>Transcription factor HES-1</t>
  </si>
  <si>
    <t>Isoform 2 of RNA-binding protein 39</t>
  </si>
  <si>
    <t>Isoform 2 of Hyaluronan-binding protein 2</t>
  </si>
  <si>
    <t>Isoform 2 of Helicase-like transcription factor</t>
  </si>
  <si>
    <t>Squalene monooxygenase</t>
  </si>
  <si>
    <t>Protein disulfide-isomerase A5</t>
  </si>
  <si>
    <t>Phosphoribosyl pyrophosphate synthase-associated protein 1</t>
  </si>
  <si>
    <t>DNA replication licensing factor MCM6</t>
  </si>
  <si>
    <t>Plastin-1</t>
  </si>
  <si>
    <t>Interferon regulatory factor 3</t>
  </si>
  <si>
    <t>L antigen family member 3</t>
  </si>
  <si>
    <t>Isoform 2 of E3 ubiquitin-protein ligase TRIP12</t>
  </si>
  <si>
    <t>Pumilio homolog 1</t>
  </si>
  <si>
    <t>Separin</t>
  </si>
  <si>
    <t>Isoform 3 of Mediator of DNA damage checkpoint protein 1</t>
  </si>
  <si>
    <t>Clathrin interactor 1</t>
  </si>
  <si>
    <t>BTB/POZ domain-containing protein KCTD2</t>
  </si>
  <si>
    <t>Structural maintenance of chromosomes protein 1A</t>
  </si>
  <si>
    <t>Nuclear receptor coactivator 6</t>
  </si>
  <si>
    <t>Isoform 2 of Genetic suppressor element 1</t>
  </si>
  <si>
    <t>DNA replication complex GINS protein PSF1</t>
  </si>
  <si>
    <t>Ubiquitin carboxyl-terminal hydrolase 10</t>
  </si>
  <si>
    <t>LDLR chaperone MESD</t>
  </si>
  <si>
    <t>Neutral alpha-glucosidase AB</t>
  </si>
  <si>
    <t>Raftlin</t>
  </si>
  <si>
    <t>Lamin-B receptor</t>
  </si>
  <si>
    <t>Isoform 2 of Conserved oligomeric Golgi complex subunit 2</t>
  </si>
  <si>
    <t>Golgin subfamily B member 1</t>
  </si>
  <si>
    <t>Caspase-8</t>
  </si>
  <si>
    <t>N-alpha-acetyltransferase 30</t>
  </si>
  <si>
    <t>Isoform MEF2DA0 of Myocyte-specific enhancer factor 2D</t>
  </si>
  <si>
    <t>LIM and SH3 domain protein 1</t>
  </si>
  <si>
    <t>Metal regulatory transcription factor 1</t>
  </si>
  <si>
    <t>Ras-related protein Rab-39A</t>
  </si>
  <si>
    <t>Zinc finger protein 638</t>
  </si>
  <si>
    <t>Importin subunit beta-1</t>
  </si>
  <si>
    <t>Nucleolar and coiled-body phosphoprotein 1</t>
  </si>
  <si>
    <t>Isoform 2 of Nuclear mitotic apparatus protein 1</t>
  </si>
  <si>
    <t>Isoform 6 of GTPase-activating protein and VPS9 domain-containing protein 1</t>
  </si>
  <si>
    <t>UBX domain-containing protein 2B</t>
  </si>
  <si>
    <t>Isoform 2 of N-alpha-acetyltransferase 25, NatB auxiliary subunit</t>
  </si>
  <si>
    <t>FAST kinase domain-containing protein 3</t>
  </si>
  <si>
    <t>PCNA-associated factor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</si>
  <si>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</si>
  <si>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</si>
  <si>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</si>
  <si>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</si>
  <si>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Lysosomal-associated transmembrane protein 4A</t>
  </si>
  <si>
    <t>MAD2L1-binding protein</t>
  </si>
  <si>
    <t>BRISC complex subunit Abro1</t>
  </si>
  <si>
    <t>Condensin complex subunit 1</t>
  </si>
  <si>
    <t>Exosome complex component RRP42</t>
  </si>
  <si>
    <t>Isoform 2 of 116 kDa U5 small nuclear ribonucleoprotein component</t>
  </si>
  <si>
    <t>Probable leucine--tRNA ligase, mitochondrial</t>
  </si>
  <si>
    <t>Isoform 2 of R3H domain-containing protein 1</t>
  </si>
  <si>
    <t>Isoform 2 of Sorting nexin-17</t>
  </si>
  <si>
    <t>Isoform 2 of DAZ-associated protein 2</t>
  </si>
  <si>
    <t>Isoform 2 of Zinc transporter ZIP14</t>
  </si>
  <si>
    <t>Lysine--tRNA ligase</t>
  </si>
  <si>
    <t>Isoform 3 of Histone-lysine N-methyltransferase SETDB1</t>
  </si>
  <si>
    <t>IQ calmodulin-binding motif-containing protein 1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</si>
  <si>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</si>
  <si>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</si>
  <si>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</si>
  <si>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</si>
  <si>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</si>
  <si>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</si>
  <si>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</si>
  <si>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</si>
  <si>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Inactive phospholipase C-like protein 1</t>
  </si>
  <si>
    <t>[Pyruvate dehydrogenase [lipoamide]] kinase isozyme 1, mitochondrial</t>
  </si>
  <si>
    <t>[Pyruvate dehydrogenase [lipoamide]] kinase isozyme 3, mitochondrial</t>
  </si>
  <si>
    <t>3-beta-hydroxysteroid-Delta(8),Delta(7)-isomerase</t>
  </si>
  <si>
    <t>Phosphomevalonate kinase</t>
  </si>
  <si>
    <t>Isoform 4 of Plectin</t>
  </si>
  <si>
    <t>Nodal modulator 1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</si>
  <si>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</si>
  <si>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</si>
  <si>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</si>
  <si>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</si>
  <si>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</si>
  <si>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Non-POU domain-containing octamer-binding protein</t>
  </si>
  <si>
    <t>Serine/threonine-protein phosphatase 2A activator</t>
  </si>
  <si>
    <t>Rab GTPase-binding effector protein 1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</si>
  <si>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</si>
  <si>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</si>
  <si>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</si>
  <si>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</si>
  <si>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</si>
  <si>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Leucine-rich repeat-containing protein 41</t>
  </si>
  <si>
    <t>Poly(rC)-binding protein 1</t>
  </si>
  <si>
    <t>Isoform 2 of Poly(rC)-binding protein 2</t>
  </si>
  <si>
    <t>Isoform 3 of Poly(rC)-binding protein 2</t>
  </si>
  <si>
    <t>Ephrin type-A receptor 7</t>
  </si>
  <si>
    <t>GTP-binding protein Rheb</t>
  </si>
  <si>
    <t>Ubiquitin-protein ligase E3C</t>
  </si>
  <si>
    <t>Mitochondrial import receptor subunit TOM20 homolog</t>
  </si>
  <si>
    <t>Splicing factor 3B subunit 3</t>
  </si>
  <si>
    <t>Isoform 3 of Disks large-associated protein 5</t>
  </si>
  <si>
    <t>Ras suppressor protein 1</t>
  </si>
  <si>
    <t>Isoform 2 of Scaffold attachment factor B1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</si>
  <si>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</si>
  <si>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</si>
  <si>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</si>
  <si>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</si>
  <si>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</si>
  <si>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SH2 domain-containing adapter protein B</t>
  </si>
  <si>
    <t>Sperm surface protein Sp17</t>
  </si>
  <si>
    <t>Isoform 2 of Surfeit locus protein 1</t>
  </si>
  <si>
    <t>Surfeit locus protein 2</t>
  </si>
  <si>
    <t>Transcription initiation factor TFIID subunit 13</t>
  </si>
  <si>
    <t>Transcription initiation factor TFIID subunit 7</t>
  </si>
  <si>
    <t>Microtubule-associated protein RP/EB family member 2</t>
  </si>
  <si>
    <t>Nuclear receptor coactivator 2</t>
  </si>
  <si>
    <t>Isoform 2 of Na(+)/H(+) exchange regulatory cofactor NHE-RF2</t>
  </si>
  <si>
    <t>Tumor necrosis factor receptor type 1-associated DEATH domain protein</t>
  </si>
  <si>
    <t>Isoform 5 of Splicing factor 1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</si>
  <si>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</si>
  <si>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</si>
  <si>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</si>
  <si>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</si>
  <si>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</si>
  <si>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Isoform 2 of Probable JmjC domain-containing histone demethylation protein 2C</t>
  </si>
  <si>
    <t>Thyroid receptor-interacting protein 6</t>
  </si>
  <si>
    <t>Microtubule-associated protein RP/EB family member 1</t>
  </si>
  <si>
    <t>TSC22 domain family protein 1</t>
  </si>
  <si>
    <t>Sterol-4-alpha-carboxylate 3-dehydrogenase, decarboxylating</t>
  </si>
  <si>
    <t>TGF-beta-activated kinase 1 and MAP3K7-binding protein 1</t>
  </si>
  <si>
    <t>Neutral amino acid transporter B(0)</t>
  </si>
  <si>
    <t>Mitogen-activated protein kinase 11</t>
  </si>
  <si>
    <t>Ephrin-B3</t>
  </si>
  <si>
    <t>Myeloid leukemia factor 2</t>
  </si>
  <si>
    <t>Mitochondrial import receptor subunit TOM34</t>
  </si>
  <si>
    <t>Mothers against decapentaplegic homolog 1</t>
  </si>
  <si>
    <t>Isoform 2 of Methylsterol monooxygenase 1</t>
  </si>
  <si>
    <t>Tubulin-specific chaperone C</t>
  </si>
  <si>
    <t>Neuronal pentraxin-1</t>
  </si>
  <si>
    <t>Ubiquitin-conjugating enzyme E2 variant 2</t>
  </si>
  <si>
    <t>Serine/threonine-protein kinase STK11</t>
  </si>
  <si>
    <t>Isoform 2 of Syntaxin-binding protein 2</t>
  </si>
  <si>
    <t>Vesicle-associated membrane protein 3</t>
  </si>
  <si>
    <t>V-type proton ATPase subunit S1</t>
  </si>
  <si>
    <t>Ras-related protein Rab-11B</t>
  </si>
  <si>
    <t>Zyxin</t>
  </si>
  <si>
    <t>Electron transfer flavoprotein-ubiquinone oxidoreductase, mitochondrial</t>
  </si>
  <si>
    <t>Beta-synuclein</t>
  </si>
  <si>
    <t>Septin-7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</si>
  <si>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</si>
  <si>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</si>
  <si>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</si>
  <si>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</si>
  <si>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Isoform 2 of 26S proteasome non-ATPase regulatory subunit 5</t>
  </si>
  <si>
    <t>Serine/threonine-protein kinase N1</t>
  </si>
  <si>
    <t>Serine/threonine-protein kinase N2</t>
  </si>
  <si>
    <t>Isoform TAFII15 of Transcription initiation factor TFIID subunit 12</t>
  </si>
  <si>
    <t>DNA damage-binding protein 1</t>
  </si>
  <si>
    <t>Mitogen-activated protein kinase 14</t>
  </si>
  <si>
    <t>Isoform CSBP1 of Mitogen-activated protein kinase 14</t>
  </si>
  <si>
    <t>Hsp90 co-chaperone Cdc37</t>
  </si>
  <si>
    <t>Dihydropyrimidinase-related protein 2</t>
  </si>
  <si>
    <t>Calcium/calmodulin-dependent protein kinase type IV</t>
  </si>
  <si>
    <t>Histone-binding protein RBBP7</t>
  </si>
  <si>
    <t>Isoform 2 of Histone-binding protein RBBP7</t>
  </si>
  <si>
    <t>Isoform 5 of Zinc finger protein 74</t>
  </si>
  <si>
    <t>Transcription initiation factor TFIID subunit 9</t>
  </si>
  <si>
    <t>Isoform 4 of Occludin</t>
  </si>
  <si>
    <t>Male-enhanced antigen 1</t>
  </si>
  <si>
    <t>Cleavage and polyadenylation specificity factor subunit 6</t>
  </si>
  <si>
    <t>Drebrin</t>
  </si>
  <si>
    <t>Fascin</t>
  </si>
  <si>
    <t>Alpha-mannosidase 2</t>
  </si>
  <si>
    <t>NADH dehydrogenase [ubiquinone] 1 alpha subcomplex subunit 5</t>
  </si>
  <si>
    <t>Putative ATP-dependent Clp protease proteolytic subunit, mitochondrial</t>
  </si>
  <si>
    <t>Thiosulfate sulfurtransferase</t>
  </si>
  <si>
    <t>Ubiquitin-conjugating enzyme E2 S</t>
  </si>
  <si>
    <t>Reticulon-1</t>
  </si>
  <si>
    <t>Phosphoenolpyruvate carboxykinase [GTP], mitochondrial</t>
  </si>
  <si>
    <t>Uridine phosphorylase 1</t>
  </si>
  <si>
    <t>Lanosterol 14-alpha demethylase</t>
  </si>
  <si>
    <t>V-type proton ATPase subunit F</t>
  </si>
  <si>
    <t>Isoform 2 of Putative deoxyribonuclease TATDN3</t>
  </si>
  <si>
    <t>Protein FAM98C</t>
  </si>
  <si>
    <t>Proto-oncogene c-Rel</t>
  </si>
  <si>
    <t>Transmembrane protein 132A</t>
  </si>
  <si>
    <t>Isoform 2 of Inverted formin-2</t>
  </si>
  <si>
    <t>Sister chromatid cohesion protein PDS5 homolog A</t>
  </si>
  <si>
    <t>Glutamine and serine-rich protein 1</t>
  </si>
  <si>
    <t>Isoform 2 of Protein CLEC16A</t>
  </si>
  <si>
    <t>Kinesin-like protein KIF7</t>
  </si>
  <si>
    <t>Isoform 2 of AP2-associated protein kinase 1</t>
  </si>
  <si>
    <t>DNA excision repair protein ERCC-6-like</t>
  </si>
  <si>
    <t>Pre-rRNA-processing protein TSR1 homolog</t>
  </si>
  <si>
    <t>Peroxisomal leader peptide-processing protease</t>
  </si>
  <si>
    <t>Glutamine-rich protein 1</t>
  </si>
  <si>
    <t>RELA protein</t>
  </si>
  <si>
    <t>Golgin subfamily A member 7B</t>
  </si>
  <si>
    <t>WD40 repeat-containing protein SMU1</t>
  </si>
  <si>
    <t>Leucine-rich repeat flightless-interacting protein 1</t>
  </si>
  <si>
    <t>Isoform 3 of Leucine-rich repeat flightless-interacting protein 1</t>
  </si>
  <si>
    <t>Isoform 4 of Leucine-rich repeat flightless-interacting protein 1</t>
  </si>
  <si>
    <t>DNA polymerase delta subunit 3</t>
  </si>
  <si>
    <t>CDP-diacylglycerol--glycerol-3-phosphate 3-phosphatidyltransferase, mitochondrial</t>
  </si>
  <si>
    <t>Prolyl 3-hydroxylase 1</t>
  </si>
  <si>
    <t>tRNA (guanine(37)-N1)-methyltransferase</t>
  </si>
  <si>
    <t>UDP-N-acetylhexosamine pyrophosphorylase-like protein 1</t>
  </si>
  <si>
    <t>Alpha-ketoglutarate-dependent dioxygenase alkB homolog 6</t>
  </si>
  <si>
    <t>Bifunctional ATP-dependent dihydroxyacetone kinase/FAD-AMP lyase (cyclizing)</t>
  </si>
  <si>
    <t>Protein LSM12 homolog</t>
  </si>
  <si>
    <t>TBC1 domain family member 25</t>
  </si>
  <si>
    <t>Putative tRNA pseudouridine synthase Pus10</t>
  </si>
  <si>
    <t>Inactive hydroxysteroid dehydrogenase-like protein 1</t>
  </si>
  <si>
    <t>Isoform 2 of ADP-ribosylation factor-like protein 13B</t>
  </si>
  <si>
    <t>Isoform 2 of Girdin</t>
  </si>
  <si>
    <t>Rab-like protein 6</t>
  </si>
  <si>
    <t>Vacuolar ATPase assembly integral membrane protein VMA21</t>
  </si>
  <si>
    <t>Tubulin beta-8 chain</t>
  </si>
  <si>
    <t>Mitochondrial import inner membrane translocase subunit TIM50</t>
  </si>
  <si>
    <t>Galectin-related protein</t>
  </si>
  <si>
    <t>Isoform 2 of Alpha-(1,3)-fucosyltransferase 11</t>
  </si>
  <si>
    <t>Isoform 2 of Cerebral dopamine neurotrophic factor</t>
  </si>
  <si>
    <t>UPF0489 protein C5orf22</t>
  </si>
  <si>
    <t>Cytochrome c oxidase assembly protein COX19</t>
  </si>
  <si>
    <t>Vacuolar protein sorting-associated protein 26B</t>
  </si>
  <si>
    <t>Protein CCSMST1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</si>
  <si>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</si>
  <si>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</si>
  <si>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</si>
  <si>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</si>
  <si>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</si>
  <si>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</si>
  <si>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</si>
  <si>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Dynein light chain 1, axonemal</t>
  </si>
  <si>
    <t>GRIP1-associated protein 1</t>
  </si>
  <si>
    <t>B-cell CLL/lymphoma 7 protein family member A</t>
  </si>
  <si>
    <t>Isoform 2 of Membralin</t>
  </si>
  <si>
    <t>Isoform 2 of PAB-dependent poly(A)-specific ribonuclease subunit 2</t>
  </si>
  <si>
    <t>Uncharacterized protein C4orf46</t>
  </si>
  <si>
    <t>Isoform 2 of Protein FAM98B</t>
  </si>
  <si>
    <t>Rho GTPase-activating protein 29</t>
  </si>
  <si>
    <t>Isoform 2 of Programmed cell death protein 4</t>
  </si>
  <si>
    <t>CREB-regulated transcription coactivator 2</t>
  </si>
  <si>
    <t>Centrosomal protein of 55 kDa</t>
  </si>
  <si>
    <t>Isoform 2 of PDZ and LIM domain protein 3</t>
  </si>
  <si>
    <t>Estradiol 17-beta-dehydrogenase 12</t>
  </si>
  <si>
    <t>Akirin-2</t>
  </si>
  <si>
    <t>Beta-lactamase-like protein 2</t>
  </si>
  <si>
    <t>Pyrroline-5-carboxylate reductase 3</t>
  </si>
  <si>
    <t>Single-strand selective monofunctional uracil DNA glycosylase</t>
  </si>
  <si>
    <t>BolA-like protein 3</t>
  </si>
  <si>
    <t>Transmembrane protein 177</t>
  </si>
  <si>
    <t>HCLS1-binding protein 3</t>
  </si>
  <si>
    <t>Beta-actin-like protein 2</t>
  </si>
  <si>
    <t>Vesicle transport protein SFT2C</t>
  </si>
  <si>
    <t>Putative heat shock protein HSP 90-beta 2</t>
  </si>
  <si>
    <t>Putative heat shock protein HSP 90-alpha A4</t>
  </si>
  <si>
    <t>DDB1- and CUL4-associated factor 6</t>
  </si>
  <si>
    <t>UPF0692 protein C19orf54</t>
  </si>
  <si>
    <t>RILP-like protein 1</t>
  </si>
  <si>
    <t>PDZ domain-containing protein 11</t>
  </si>
  <si>
    <t>Isoform 3 of Probable E3 ubiquitin-protein ligase HERC4</t>
  </si>
  <si>
    <t>cAMP-dependent protein kinase inhibitor gamma</t>
  </si>
  <si>
    <t>Metalloproteinase inhibitor 1</t>
  </si>
  <si>
    <t>Filamin-A</t>
  </si>
  <si>
    <t>Fidgetin</t>
  </si>
  <si>
    <t>Metaxin-3</t>
  </si>
  <si>
    <t>Rab-like protein 3</t>
  </si>
  <si>
    <t>2-methoxy-6-polyprenyl-1,4-benzoquinol methylase, mitochondrial</t>
  </si>
  <si>
    <t>Isoform 2 of SH3 domain-containing protein 19</t>
  </si>
  <si>
    <t>Tubulin beta chain</t>
  </si>
  <si>
    <t>Isoform 2 of Nodal modulator 2</t>
  </si>
  <si>
    <t>Probable glutamate--tRNA ligase, mitochondrial</t>
  </si>
  <si>
    <t>Elongation factor 1-alpha 1 (Fragment)</t>
  </si>
  <si>
    <t>Rho-related GTP-binding protein RhoC (Fragment)</t>
  </si>
  <si>
    <t>40S ribosomal protein S8</t>
  </si>
  <si>
    <t>Nucleoporin p58/p45 (Fragment)</t>
  </si>
  <si>
    <t>Ubiquitin-like modifier-activating enzyme 1 (Fragment)</t>
  </si>
  <si>
    <t>Presequence protease, mitochondrial</t>
  </si>
  <si>
    <t>Proteasome assembly chaperone 4</t>
  </si>
  <si>
    <t>Isoform 2 of WD repeat-containing protein 44</t>
  </si>
  <si>
    <t>High mobility group nucleosome-binding domain-containing protein 5 (Fragment)</t>
  </si>
  <si>
    <t>Protein PRRC2B</t>
  </si>
  <si>
    <t>Isoform 2 of Tight junction-associated protein 1</t>
  </si>
  <si>
    <t>Isoform 2 of 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</si>
  <si>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</si>
  <si>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</si>
  <si>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</si>
  <si>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Torsin-2A</t>
  </si>
  <si>
    <t>Vacuolar protein sorting-associated protein 16 homolog</t>
  </si>
  <si>
    <t>Rap guanine nucleotide exchange factor 1 (Fragment)</t>
  </si>
  <si>
    <t>Discs, large homolog 3 (Neuroendocrine-dlg, Drosophila), isoform CRA_b</t>
  </si>
  <si>
    <t>FERM domain-containing protein 3 (Fragment)</t>
  </si>
  <si>
    <t>FERM and PDZ domain-containing protein 3</t>
  </si>
  <si>
    <t>Isoform 3 of PCI domain-containing protein 2</t>
  </si>
  <si>
    <t>Intracellular hyaluronan-binding protein 4</t>
  </si>
  <si>
    <t>Double-stranded RNA-binding protein Staufen homolog 1</t>
  </si>
  <si>
    <t>Transmembrane protein 230 (Fragment)</t>
  </si>
  <si>
    <t>Mortality factor 4-like protein 2 (Fragment)</t>
  </si>
  <si>
    <t>Crooked neck-like protein 1</t>
  </si>
  <si>
    <t>Sorting nexin-21</t>
  </si>
  <si>
    <t>Long-chain fatty acid transport protein 3</t>
  </si>
  <si>
    <t>Cytospin-B</t>
  </si>
  <si>
    <t>WD repeat domain phosphoinositide-interacting protein 3</t>
  </si>
  <si>
    <t>EGF domain-specific O-linked N-acetylglucosamine transferase</t>
  </si>
  <si>
    <t>Tubulin-specific chaperone cofactor E-like protein</t>
  </si>
  <si>
    <t>Peroxisomal biogenesis factor 19 (Fragment)</t>
  </si>
  <si>
    <t>ATP synthase subunit b, mitochondrial</t>
  </si>
  <si>
    <t>Dolichol-phosphate mannosyltransferase</t>
  </si>
  <si>
    <t>SRSF protein kinase 1</t>
  </si>
  <si>
    <t>Isoform 4 of Rab GTPase-activating protein 1-like</t>
  </si>
  <si>
    <t>Pleckstrin homology domain-containing family A member 1</t>
  </si>
  <si>
    <t>Cytochrome c oxidase protein 20 homolog</t>
  </si>
  <si>
    <t>Exosome complex component MTR3</t>
  </si>
  <si>
    <t>Neural proliferation differentiation and control protein 1</t>
  </si>
  <si>
    <t>Isoform 5 of Alpha-tubulin N-acetyltransferase</t>
  </si>
  <si>
    <t>C-terminal-binding protein 2</t>
  </si>
  <si>
    <t>cGMP-dependent protein kinase 1</t>
  </si>
  <si>
    <t>Isoform 2 of Phytanoyl-CoA dioxygenase domain-containing protein 1</t>
  </si>
  <si>
    <t>Casein kinase 2, beta polypeptide, isoform CRA_d</t>
  </si>
  <si>
    <t>Heterochromatin protein 1-binding protein 3</t>
  </si>
  <si>
    <t>Valine--tRNA ligase, mitochondrial</t>
  </si>
  <si>
    <t>Dynamin-binding protein</t>
  </si>
  <si>
    <t>Low density lipoprotein receptor adapter protein 1</t>
  </si>
  <si>
    <t>Protein odr-4 homolog</t>
  </si>
  <si>
    <t>DNL-type zinc finger protein</t>
  </si>
  <si>
    <t>Isoform 2 of NHS-like protein 1</t>
  </si>
  <si>
    <t>Cip1-interacting zinc finger protein</t>
  </si>
  <si>
    <t>Tudor and KH domain containing, isoform CRA_a</t>
  </si>
  <si>
    <t>Tumor protein p63-regulated gene 1-like protein</t>
  </si>
  <si>
    <t>Isoform 3 of Formin-binding protein 1-like</t>
  </si>
  <si>
    <t>cAMP-dependent protein kinase inhibitor beta</t>
  </si>
  <si>
    <t>SH3 domain-binding glutamic acid-rich-like protein 3</t>
  </si>
  <si>
    <t>Probable arginine--tRNA ligase, mitochondrial</t>
  </si>
  <si>
    <t>Pygopus homolog 2</t>
  </si>
  <si>
    <t>Acyl-coenzyme A thioesterase THEM4</t>
  </si>
  <si>
    <t>FK506-binding protein 15</t>
  </si>
  <si>
    <t>Probable ATP-dependent RNA helicase DDX59</t>
  </si>
  <si>
    <t>Phospholysine phosphohistidine inorganic pyrophosphate phosphatase</t>
  </si>
  <si>
    <t>Isoform 2 of Zinc finger CCCH domain-containing protein 13</t>
  </si>
  <si>
    <t>Isoform 3 of Decaprenyl-diphosphate synthase subunit 1</t>
  </si>
  <si>
    <t>Neurobeachin</t>
  </si>
  <si>
    <t>Arrestin domain-containing protein 1 (Fragment)</t>
  </si>
  <si>
    <t>HEAT repeat-containing protein 1</t>
  </si>
  <si>
    <t>Isoform 2 of Multidrug resistance-associated protein 7</t>
  </si>
  <si>
    <t>Putative transferase CAF17, mitochondrial</t>
  </si>
  <si>
    <t>RNA-binding protein 20</t>
  </si>
  <si>
    <t>Isoform 7 of Protrudin</t>
  </si>
  <si>
    <t>Geranylgeranyl transferase type-2 subunit beta</t>
  </si>
  <si>
    <t>Serine--tRNA ligase, cytoplasmic</t>
  </si>
  <si>
    <t>Isoform 3 of Sickle tail protein homolog</t>
  </si>
  <si>
    <t>Rho GTPase-activating protein 21</t>
  </si>
  <si>
    <t>Isoform 2 of Calmodulin-regulated spectrin-associated protein 1</t>
  </si>
  <si>
    <t>Ubiquitin-associated protein 2</t>
  </si>
  <si>
    <t>UPF0553 protein C9orf64</t>
  </si>
  <si>
    <t>Protein FAM69A</t>
  </si>
  <si>
    <t>RAB6-interacting golgin</t>
  </si>
  <si>
    <t>Isoform 2 of Acyl-CoA-binding domain-containing protein 5</t>
  </si>
  <si>
    <t>Isoform 2 of RNA-binding protein 26</t>
  </si>
  <si>
    <t>Surfeit 4</t>
  </si>
  <si>
    <t>Adenylate kinase isoenzyme 1</t>
  </si>
  <si>
    <t>Isoform 2 of Integrator complex subunit 11</t>
  </si>
  <si>
    <t>Glycolipid transfer protein domain-containing protein 1</t>
  </si>
  <si>
    <t>Tetratricopeptide repeat domain 4, isoform CRA_a</t>
  </si>
  <si>
    <t>Terminal uridylyltransferase 4</t>
  </si>
  <si>
    <t>Ribonuclease H2 subunit B</t>
  </si>
  <si>
    <t>Isoform 3 of Membrane-associated guanylate kinase, WW and PDZ domain-containing protein 3</t>
  </si>
  <si>
    <t>Ribosyldihydronicotinamide dehydrogenase [quinone]</t>
  </si>
  <si>
    <t>Bombesin receptor-activated protein C6orf89</t>
  </si>
  <si>
    <t>Protein DDI1 homolog 2</t>
  </si>
  <si>
    <t>Isoform 2 of NADH dehydrogenase [ubiquinone] 1 alpha subcomplex assembly factor 5</t>
  </si>
  <si>
    <t>5-nucleotidase domain-containing protein 1</t>
  </si>
  <si>
    <t>HCG2044780, isoform CRA_b</t>
  </si>
  <si>
    <t>NDRG family member 3, isoform CRA_c</t>
  </si>
  <si>
    <t>Isoform 3 of Protein PRR14L</t>
  </si>
  <si>
    <t>Thiamine transporter 1</t>
  </si>
  <si>
    <t>Rootletin</t>
  </si>
  <si>
    <t>Complex III assembly factor LYRM7</t>
  </si>
  <si>
    <t>Isoform 2 of Telomere-associated protein RIF1</t>
  </si>
  <si>
    <t>Isoform 4 of Vacuolar protein sorting-associated protein 53 homolog</t>
  </si>
  <si>
    <t>Striatin-interacting protein 1</t>
  </si>
  <si>
    <t>Regulation of nuclear pre-mRNA domain-containing protein 2</t>
  </si>
  <si>
    <t>MOSC domain-containing protein 1, mitochondrial</t>
  </si>
  <si>
    <t>Growth hormone-inducible transmembrane protein</t>
  </si>
  <si>
    <t>Pre-mRNA-splicing factor 38B</t>
  </si>
  <si>
    <t>E3 ubiquitin-protein ligase BRE1A</t>
  </si>
  <si>
    <t>Tropomyosin 3, isoform CRA_b</t>
  </si>
  <si>
    <t>Zinc finger protein 318</t>
  </si>
  <si>
    <t>Isoform 2 of Protein FAM69B</t>
  </si>
  <si>
    <t>Rho guanine nucleotide exchange factor 16</t>
  </si>
  <si>
    <t>Threonylcarbamoyladenosine tRNA methylthiotransferase</t>
  </si>
  <si>
    <t>Zinc finger protein 691</t>
  </si>
  <si>
    <t>Pleckstrin homology domain-containing family M member 2</t>
  </si>
  <si>
    <t>Ubiquitin thioesterase OTU1</t>
  </si>
  <si>
    <t>Solute carrier family 2, facilitated glucose transporter member 8</t>
  </si>
  <si>
    <t>Nuclear factor 1</t>
  </si>
  <si>
    <t>BRO1 domain-containing protein BROX</t>
  </si>
  <si>
    <t>Sorting nexin-30</t>
  </si>
  <si>
    <t>Lysophospholipase-like protein 1</t>
  </si>
  <si>
    <t>Plasma retinol-binding protein(1-182)</t>
  </si>
  <si>
    <t>Rho guanine nucleotide exchange factor 2</t>
  </si>
  <si>
    <t>N-alpha-acetyltransferase 35, NatC auxiliary subunit</t>
  </si>
  <si>
    <t>Isoform 2 of Transmembrane protein C9orf91</t>
  </si>
  <si>
    <t>Leucine-rich repeat-containing protein 16A</t>
  </si>
  <si>
    <t>Golgi-associated plant pathogenesis-related protein 1</t>
  </si>
  <si>
    <t>Tripeptidyl-peptidase 2</t>
  </si>
  <si>
    <t>6-phosphofructo-2-kinase</t>
  </si>
  <si>
    <t>Isoform 2 of Protein FAM160B1</t>
  </si>
  <si>
    <t>Isoform 3 of Probable palmitoyltransferase ZDHHC20</t>
  </si>
  <si>
    <t>SPRY domain-containing protein 7</t>
  </si>
  <si>
    <t>NADH dehydrogenase (Ubiquinone) 1 beta subcomplex, 8, 19kDa, isoform CRA_a</t>
  </si>
  <si>
    <t>Protein QIL1</t>
  </si>
  <si>
    <t>Isoform 3 of F-box/WD repeat-containing protein 9</t>
  </si>
  <si>
    <t>CD276 antigen</t>
  </si>
  <si>
    <t>Isoform 2 of WASH complex subunit FAM21A</t>
  </si>
  <si>
    <t>Lysophospholipid acyltransferase LPCAT4</t>
  </si>
  <si>
    <t>Isoform 3 of Metalloreductase STEAP3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</si>
  <si>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</si>
  <si>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</si>
  <si>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</si>
  <si>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</si>
  <si>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UDP-GlcNAc:betaGal beta-1,3-N-acetylglucosaminyltransferase-like protein 1</t>
  </si>
  <si>
    <t>Digestive organ expansion factor homolog</t>
  </si>
  <si>
    <t>Natural cytotoxicity triggering receptor 3 ligand 1</t>
  </si>
  <si>
    <t>Metallo-beta-lactamase domain-containing protein 2</t>
  </si>
  <si>
    <t>LMBR1 domain-containing protein 2</t>
  </si>
  <si>
    <t>Isoform 2 of Integrator complex subunit 3</t>
  </si>
  <si>
    <t>Rho GTPase-activating protein 17</t>
  </si>
  <si>
    <t>Uncharacterized protein DKFZp762I1415</t>
  </si>
  <si>
    <t>CWF19-like protein 1</t>
  </si>
  <si>
    <t>Uncharacterized protein C12orf73</t>
  </si>
  <si>
    <t>HEAT repeat-containing protein 6</t>
  </si>
  <si>
    <t>2-5A-dependent ribonuclease</t>
  </si>
  <si>
    <t>Zinc finger protein 787</t>
  </si>
  <si>
    <t>Nucleoredoxin</t>
  </si>
  <si>
    <t>Tetratricopeptide repeat protein 19, mitochondrial</t>
  </si>
  <si>
    <t>Isoform 5 of DNA-directed RNA polymerase II subunit GRINL1A, isoforms 4/5</t>
  </si>
  <si>
    <t>Vasorin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</si>
  <si>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</si>
  <si>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</si>
  <si>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</si>
  <si>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</si>
  <si>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</si>
  <si>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THO complex subunit 7 homolog</t>
  </si>
  <si>
    <t>Glutamine-dependent NAD(+) synthetase</t>
  </si>
  <si>
    <t>Isoform 4 of Elongator complex protein 2</t>
  </si>
  <si>
    <t>Ragulator complex protein LAMTOR1</t>
  </si>
  <si>
    <t>Dehydrogenase/reductase SDR family member 7B</t>
  </si>
  <si>
    <t>Twinfilin-2</t>
  </si>
  <si>
    <t>Desumoylating isopeptidase 1</t>
  </si>
  <si>
    <t>Transmembrane protein 132E</t>
  </si>
  <si>
    <t>Isoform 2 of Serine/threonine-protein phosphatase 4 regulatory subunit 3A</t>
  </si>
  <si>
    <t>Ras-related protein Rab-12</t>
  </si>
  <si>
    <t>Isoform 2 of Protein SDE2 homolog</t>
  </si>
  <si>
    <t>Eukaryotic translation initiation factor 5A-1-like</t>
  </si>
  <si>
    <t>Zinc finger protein 425</t>
  </si>
  <si>
    <t>Acyl-CoA dehydrogenase family member 10</t>
  </si>
  <si>
    <t>Isoform 2 of Nipped-B-like protein</t>
  </si>
  <si>
    <t>2-oxoglutarate and iron-dependent oxygenase domain-containing protein 2</t>
  </si>
  <si>
    <t>N-alpha-acetyltransferase 16, NatA auxiliary subunit</t>
  </si>
  <si>
    <t>Isoform 4 of Uncharacterized protein CXorf57</t>
  </si>
  <si>
    <t>Isoform 2 of Pleckstrin homology-like domain family B member 3</t>
  </si>
  <si>
    <t>MFS-type transporter SLC18B1</t>
  </si>
  <si>
    <t>Calcium-binding mitochondrial carrier protein SCaMC-1</t>
  </si>
  <si>
    <t>Isoform 2 of Receptor expression-enhancing protein 3</t>
  </si>
  <si>
    <t>All-trans-retinol 13,14-reductase</t>
  </si>
  <si>
    <t>Serine/threonine-protein phosphatase 4 regulatory subunit 4</t>
  </si>
  <si>
    <t>RAD50-interacting protein 1</t>
  </si>
  <si>
    <t>Isoform 2 of Transmembrane protein 214</t>
  </si>
  <si>
    <t>Isoform 3 of Tectonic-3</t>
  </si>
  <si>
    <t>Inactive Ufm1-specific protease 1</t>
  </si>
  <si>
    <t>3-hydroxyisobutyryl-CoA hydrolase, mitochondrial</t>
  </si>
  <si>
    <t>Armadillo repeat-containing protein 6</t>
  </si>
  <si>
    <t>Ankyrin repeat domain-containing protein 54</t>
  </si>
  <si>
    <t>Isoform 2 of Transmembrane anterior posterior transformation protein 1 homolog</t>
  </si>
  <si>
    <t>Bifunctional arginine demethylase and lysyl-hydroxylase JMJD6</t>
  </si>
  <si>
    <t>Phostensin</t>
  </si>
  <si>
    <t>Polymerase I and transcript release factor</t>
  </si>
  <si>
    <t>Zinc finger CCHC domain-containing protein 8</t>
  </si>
  <si>
    <t>Isoform 2 of RNA pseudouridylate synthase domain-containing protein 3</t>
  </si>
  <si>
    <t>39S ribosomal protein L54, mitochondrial</t>
  </si>
  <si>
    <t>Parafibromin</t>
  </si>
  <si>
    <t>Isoform 4 of Polyamine-modulated factor 1</t>
  </si>
  <si>
    <t>Protein FAM117B</t>
  </si>
  <si>
    <t>39S ribosomal protein L14, mitochondrial</t>
  </si>
  <si>
    <t>Long-chain fatty acid transport protein 4</t>
  </si>
  <si>
    <t>Coiled-coil and C2 domain-containing protein 1A</t>
  </si>
  <si>
    <t>Methyltransferase-like protein 2B</t>
  </si>
  <si>
    <t>tRNA-dihydrouridine(16/17) synthase [NAD(P)(+)]-like</t>
  </si>
  <si>
    <t>Isoform 2 of Mediator of RNA polymerase II transcription subunit 27</t>
  </si>
  <si>
    <t>Enhancer of mRNA-decapping protein 4</t>
  </si>
  <si>
    <t>Isoform 2 of Centrosomal protein of 85 kDa</t>
  </si>
  <si>
    <t>Putative protein arginine N-methyltransferase 10</t>
  </si>
  <si>
    <t>F-box only protein 42</t>
  </si>
  <si>
    <t>SCY1-like protein 2</t>
  </si>
  <si>
    <t>Tetratricopeptide repeat protein 27</t>
  </si>
  <si>
    <t>Mitochondrial fission regulator 2</t>
  </si>
  <si>
    <t>Sideroflexin-4</t>
  </si>
  <si>
    <t>Protein CASC4</t>
  </si>
  <si>
    <t>Adrenodoxin-like protein, mitochondrial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</si>
  <si>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</si>
  <si>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</si>
  <si>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</si>
  <si>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</si>
  <si>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Uncharacterized protein C8orf47</t>
  </si>
  <si>
    <t>Isoform 2 of Ankyrin repeat domain-containing protein 16</t>
  </si>
  <si>
    <t>RNA demethylase ALKBH5</t>
  </si>
  <si>
    <t>TLD domain-containing protein KIAA1609</t>
  </si>
  <si>
    <t>Glucose 1,6-bisphosphate synthase</t>
  </si>
  <si>
    <t>RNA polymerase-associated protein CTR9 homolog</t>
  </si>
  <si>
    <t>Alpha- and gamma-adaptin-binding protein p34</t>
  </si>
  <si>
    <t>Isoform A of Proline/serine-rich coiled-coil protein 1</t>
  </si>
  <si>
    <t>Tetratricopeptide repeat protein 37</t>
  </si>
  <si>
    <t>UPF0547 protein C16orf87</t>
  </si>
  <si>
    <t>Isoform 3 of Serine/threonine-protein kinase ULK3</t>
  </si>
  <si>
    <t>Aspartate--tRNA ligase, mitochondrial</t>
  </si>
  <si>
    <t>Transmembrane protein 65</t>
  </si>
  <si>
    <t>Tetratricopeptide repeat protein 33</t>
  </si>
  <si>
    <t>Isoform 2 of Hydroxyacylglutathione hydrolase-like protein</t>
  </si>
  <si>
    <t>Isoform 2 of Fidgetin-like protein 1</t>
  </si>
  <si>
    <t>Tripartite motif-containing protein 65</t>
  </si>
  <si>
    <t>Isoform 2 of Inactive rhomboid protein 2</t>
  </si>
  <si>
    <t>BRCA1-associated ATM activator 1</t>
  </si>
  <si>
    <t>Isoform 5 of Zinc finger CCCH domain-containing protein 14</t>
  </si>
  <si>
    <t>La-related protein 1</t>
  </si>
  <si>
    <t>Protein TMED8</t>
  </si>
  <si>
    <t>Zinc transporter 9</t>
  </si>
  <si>
    <t>Biogenesis of lysosome-related organelles complex 1 subunit 3</t>
  </si>
  <si>
    <t>Biogenesis of lysosome-related organelles complex 1 subunit 2</t>
  </si>
  <si>
    <t>Isoform 2 of Type-1 angiotensin II receptor-associated protein</t>
  </si>
  <si>
    <t>Atherin</t>
  </si>
  <si>
    <t>Methionine aminopeptidase 1D, mitochondrial</t>
  </si>
  <si>
    <t>Monofunctional C1-tetrahydrofolate synthase, mitochondrial</t>
  </si>
  <si>
    <t>Isoform 3 of Aftiphilin</t>
  </si>
  <si>
    <t>Isoform 3 of Pre-mRNA 3-end-processing factor FIP1</t>
  </si>
  <si>
    <t>Isoform 3 of CREB-regulated transcription coactivator 1</t>
  </si>
  <si>
    <t>Spindle assembly abnormal protein 6 homolog</t>
  </si>
  <si>
    <t>KDEL motif-containing protein 1</t>
  </si>
  <si>
    <t>E3 ubiquitin-protein ligase LRSAM1</t>
  </si>
  <si>
    <t>Protein shisa-2 homolog</t>
  </si>
  <si>
    <t>Dehydrogenase/reductase SDR family member 11</t>
  </si>
  <si>
    <t>Isoform 3 of Lysocardiolipin acyltransferase 1</t>
  </si>
  <si>
    <t>Protein PET117 homolog, mitochondrial</t>
  </si>
  <si>
    <t>Peptidyl-prolyl cis-trans isomerase CWC27 homolog</t>
  </si>
  <si>
    <t>Plexin domain-containing protein 2</t>
  </si>
  <si>
    <t>Isoform 6 of Seizure 6-like protein 2</t>
  </si>
  <si>
    <t>Isoform 4 of Cysteine-rich with EGF-like domain protein 2</t>
  </si>
  <si>
    <t>WD repeat-containing protein 82</t>
  </si>
  <si>
    <t>Apolipoprotein O-like</t>
  </si>
  <si>
    <t>Phosphofurin acidic cluster sorting protein 1</t>
  </si>
  <si>
    <t>Myosin phosphatase Rho-interacting protein</t>
  </si>
  <si>
    <t>Rab11 family-interacting protein 1</t>
  </si>
  <si>
    <t>Nicotinate phosphoribosyltransferase</t>
  </si>
  <si>
    <t>Isoform 2 of Dual serine/threonine and tyrosine protein kinase</t>
  </si>
  <si>
    <t>Beta-1,3-glucosyltransferase</t>
  </si>
  <si>
    <t>Isoform 3 of 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</si>
  <si>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</si>
  <si>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</si>
  <si>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</si>
  <si>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</si>
  <si>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L-lactate dehydrogenase A-like 6A</t>
  </si>
  <si>
    <t>Protein lin-28 homolog B</t>
  </si>
  <si>
    <t>Isoform 2 of Zinc finger protein AEBP2</t>
  </si>
  <si>
    <t>NF-X1-type zinc finger protein NFXL1</t>
  </si>
  <si>
    <t>GDP-D-glucose phosphorylase 1</t>
  </si>
  <si>
    <t>Probable C-mannosyltransferase DPY19L3</t>
  </si>
  <si>
    <t>Sulfhydryl oxidase 2</t>
  </si>
  <si>
    <t>Isoform 2 of Protein FAM65A</t>
  </si>
  <si>
    <t>Uncharacterized protein C1orf122</t>
  </si>
  <si>
    <t>Isoform 2 of Transmembrane protein with metallophosphoesterase domain</t>
  </si>
  <si>
    <t>SH3 domain-binding protein 1</t>
  </si>
  <si>
    <t>Tubulin polyglutamylase complex subunit 1</t>
  </si>
  <si>
    <t>Ubinuclein-2</t>
  </si>
  <si>
    <t>Isoform 2 of TOM1-like protein 2</t>
  </si>
  <si>
    <t>Isoform 5 of PAX-interacting protein 1</t>
  </si>
  <si>
    <t>Syntaxin-binding protein 4</t>
  </si>
  <si>
    <t>Lysophospholipid acyltransferase 2</t>
  </si>
  <si>
    <t>Isoform 2 of Transmembrane and TPR repeat-containing protein 3</t>
  </si>
  <si>
    <t>Acyl-CoA dehydrogenase family member 11</t>
  </si>
  <si>
    <t>Isoform 3 of Ubiquitin carboxyl-terminal hydrolase 34</t>
  </si>
  <si>
    <t>Isoform RMO1ac of Ras-associated and pleckstrin homology domains-containing protein 1</t>
  </si>
  <si>
    <t>MOB kinase activator 2</t>
  </si>
  <si>
    <t>Inhibitor of nuclear factor kappa-B kinase-interacting protein</t>
  </si>
  <si>
    <t>Isoform 4 of Inhibitor of nuclear factor kappa-B kinase-interacting protein</t>
  </si>
  <si>
    <t>Isoform 3 of Protein FRA10AC1</t>
  </si>
  <si>
    <t>Ubiquitin-conjugating enzyme E2 R2</t>
  </si>
  <si>
    <t>Histone H2A.V</t>
  </si>
  <si>
    <t>MTSS1-like protein</t>
  </si>
  <si>
    <t>Butyrophilin subfamily 2 member A1</t>
  </si>
  <si>
    <t>Transcription elongation factor SPT6</t>
  </si>
  <si>
    <t>Staphylococcal nuclease domain-containing protein 1</t>
  </si>
  <si>
    <t>Isoform 2 of Cytochrome c oxidase assembly protein COX15 homolog</t>
  </si>
  <si>
    <t>Probable ATP-dependent RNA helicase DDX46</t>
  </si>
  <si>
    <t>Isoform 4 of Protein RUFY3</t>
  </si>
  <si>
    <t>Isoform 2 of Synaptic vesicle glycoprotein 2A</t>
  </si>
  <si>
    <t>Mitochondrial ribonuclease P protein 1</t>
  </si>
  <si>
    <t>Basic leucine zipper and W2 domain-containing protein 1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</si>
  <si>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</si>
  <si>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</si>
  <si>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</si>
  <si>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</si>
  <si>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Zinc finger protein 771</t>
  </si>
  <si>
    <t>Probable proline--tRNA ligase, mitochondrial</t>
  </si>
  <si>
    <t>Arginine/serine-rich coiled-coil protein 2</t>
  </si>
  <si>
    <t>Ras-related GTP-binding protein A</t>
  </si>
  <si>
    <t>NADH dehydrogenase [ubiquinone] complex I, assembly factor 7</t>
  </si>
  <si>
    <t>Lysophosphatidylcholine acyltransferase 2</t>
  </si>
  <si>
    <t>Mitochondrial enolase superfamily member 1</t>
  </si>
  <si>
    <t>Serine/threonine-protein kinase TAO1</t>
  </si>
  <si>
    <t>Rab11 family-interacting protein 2</t>
  </si>
  <si>
    <t>SH3 domain-binding protein 5-like</t>
  </si>
  <si>
    <t>Diphthine--ammonia ligase</t>
  </si>
  <si>
    <t>Lysine-specific demethylase 3B</t>
  </si>
  <si>
    <t>Charged multivesicular body protein 1b</t>
  </si>
  <si>
    <t>Ribonucleoside-diphosphate reductase subunit M2 B</t>
  </si>
  <si>
    <t>Magnesium transporter NIPA1</t>
  </si>
  <si>
    <t>Protein-methionine sulfoxide oxidase MICAL3</t>
  </si>
  <si>
    <t>Dymeclin</t>
  </si>
  <si>
    <t>PHD finger-like domain-containing protein 5A</t>
  </si>
  <si>
    <t>G protein-regulated inducer of neurite outgrowth 1</t>
  </si>
  <si>
    <t>Zinc finger CCCH-type antiviral protein 1</t>
  </si>
  <si>
    <t>Elongation factor Tu GTP-binding domain-containing protein 1</t>
  </si>
  <si>
    <t>Isoform 2 of Autophagy-related protein 9A</t>
  </si>
  <si>
    <t>LysM and putative peptidoglycan-binding domain-containing protein 3</t>
  </si>
  <si>
    <t>Uncharacterized protein C10orf118</t>
  </si>
  <si>
    <t>Isoform 5 of Pogo transposable element with ZNF domain</t>
  </si>
  <si>
    <t>Zinc finger FYVE domain-containing protein 16</t>
  </si>
  <si>
    <t>Nuclear fragile X mental retardation-interacting protein 2</t>
  </si>
  <si>
    <t>Isoform 2 of SUZ domain-containing protein 1</t>
  </si>
  <si>
    <t>Mitochondrial antiviral-signaling protein</t>
  </si>
  <si>
    <t>Isoform 2 of tRNA (guanine(10)-N2)-methyltransferase homolog</t>
  </si>
  <si>
    <t>HD domain-containing protein 2</t>
  </si>
  <si>
    <t>KDEL motif-containing protein 2</t>
  </si>
  <si>
    <t>Isoform 4 of LIM and senescent cell antigen-like-containing domain protein 2</t>
  </si>
  <si>
    <t>Isoform 4 of Tripartite motif-containing protein 46</t>
  </si>
  <si>
    <t>HEAT repeat-containing protein 3</t>
  </si>
  <si>
    <t>Hepatoma-derived growth factor-related protein 2</t>
  </si>
  <si>
    <t>L-xylulose reductase</t>
  </si>
  <si>
    <t>Isoform 2 of Golgin subfamily A member 7</t>
  </si>
  <si>
    <t>Wings apart-like protein homolog</t>
  </si>
  <si>
    <t>Isoform 2 of R3H and coiled-coil domain-containing protein 1-like</t>
  </si>
  <si>
    <t>Interferon regulatory factor 2-binding protein 2</t>
  </si>
  <si>
    <t>WD repeat-containing protein 53</t>
  </si>
  <si>
    <t>Pre-miRNA 5-monophosphate methyltransferase</t>
  </si>
  <si>
    <t>BTB/POZ domain-containing protein KCTD20</t>
  </si>
  <si>
    <t>Calmodulin-lysine N-methyltransferase</t>
  </si>
  <si>
    <t>Fasciculation and elongation protein zeta 2 (Zygin II), isoform CRA_d</t>
  </si>
  <si>
    <t>Isoform 2 of Coiled-coil domain-containing protein 91</t>
  </si>
  <si>
    <t>Isoform 2 of E3 ubiquitin-protein ligase RBBP6</t>
  </si>
  <si>
    <t>UPF0461 protein C5orf24</t>
  </si>
  <si>
    <t>E3 ubiquitin-protein ligase SH3RF1</t>
  </si>
  <si>
    <t>E3 ubiquitin-protein ligase E3D</t>
  </si>
  <si>
    <t>tRNA-splicing endonuclease subunit Sen54</t>
  </si>
  <si>
    <t>Tectonin beta-propeller repeat-containing protein 1</t>
  </si>
  <si>
    <t>Rab9 effector protein with kelch motifs</t>
  </si>
  <si>
    <t>mTERF domain-containing protein 2</t>
  </si>
  <si>
    <t>Isoform 2 of tRNA-specific adenosine deaminase 2</t>
  </si>
  <si>
    <t>Isoform 2 of E3 ubiquitin-protein ligase HUWE1</t>
  </si>
  <si>
    <t>Cytoplasmic tRNA 2-thiolation protein 1</t>
  </si>
  <si>
    <t>Transcription initiation factor TFIID subunit 8</t>
  </si>
  <si>
    <t>Ubiquitin-conjugating enzyme E2 Q1</t>
  </si>
  <si>
    <t>Isoform 2 of UPF0469 protein KIAA0907</t>
  </si>
  <si>
    <t>Isoform 3 of Transmembrane emp24 domain-containing protein 4</t>
  </si>
  <si>
    <t>Schlafen family member 11</t>
  </si>
  <si>
    <t>Uncharacterized protein C11orf96</t>
  </si>
  <si>
    <t>Transmembrane protein 179B</t>
  </si>
  <si>
    <t>N-acetylgalactosaminyltransferase 7</t>
  </si>
  <si>
    <t>Serologically defined colon cancer antigen 8</t>
  </si>
  <si>
    <t>Isoform 3 of Dehydrodolichyl diphosphate synthase</t>
  </si>
  <si>
    <t>Glutaredoxin-related protein 5, mitochondrial</t>
  </si>
  <si>
    <t>Transmembrane protein 55B</t>
  </si>
  <si>
    <t>MOB kinase activator 3B</t>
  </si>
  <si>
    <t>Isoform 4 of Protein PAT1 homolog 1</t>
  </si>
  <si>
    <t>Isoform RF1 of Retrotransposon-derived protein PEG10</t>
  </si>
  <si>
    <t>Dipeptidyl peptidase 9</t>
  </si>
  <si>
    <t>tRNA 2-phosphotransferase 1</t>
  </si>
  <si>
    <t>Protein prune homolog</t>
  </si>
  <si>
    <t>Histone-lysine N-methyltransferase setd3</t>
  </si>
  <si>
    <t>Full-length cDNA clone CS0DB001YK19 of Neuroblastoma of Homo sapiens (human)</t>
  </si>
  <si>
    <t>Isoform 3 of Uncharacterized aarF domain-containing protein kinase 1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</si>
  <si>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</si>
  <si>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</si>
  <si>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</si>
  <si>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</si>
  <si>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</si>
  <si>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Suppressor APC domain-containing protein 2</t>
  </si>
  <si>
    <t>Protein LYRIC</t>
  </si>
  <si>
    <t>Isoform 2 of Serine/threonine-protein kinase tousled-like 2</t>
  </si>
  <si>
    <t>Isoform 3 of Zinc finger protein 598</t>
  </si>
  <si>
    <t>Glycerol-3-phosphate acyltransferase 4</t>
  </si>
  <si>
    <t>Reticulon-4 receptor-like 2</t>
  </si>
  <si>
    <t>Kinectin</t>
  </si>
  <si>
    <t>Isoform 2 of NLR family member X1</t>
  </si>
  <si>
    <t>Isoform 4 of B-cell CLL/lymphoma 9-like protein</t>
  </si>
  <si>
    <t>Isoform 2 of Pleckstrin homology-like domain family B member 1</t>
  </si>
  <si>
    <t>Ubiquitin carboxyl-terminal hydrolase 48</t>
  </si>
  <si>
    <t>ATP-binding cassette C5 splicing variant A</t>
  </si>
  <si>
    <t>Isoform 2 of Fermitin family homolog 3</t>
  </si>
  <si>
    <t>TXNDC5 protein</t>
  </si>
  <si>
    <t>Isoform 2 of 5-nucleotidase domain-containing protein 3</t>
  </si>
  <si>
    <t>Acetoacetyl-CoA synthetase</t>
  </si>
  <si>
    <t>Leucine zipper protein 1</t>
  </si>
  <si>
    <t>Integral membrane protein GPR180</t>
  </si>
  <si>
    <t>Uncharacterized protein C11orf74</t>
  </si>
  <si>
    <t>Isoform 2 of Vacuolar protein-sorting-associated protein 36</t>
  </si>
  <si>
    <t>Cullin-associated NEDD8-dissociated protein 1</t>
  </si>
  <si>
    <t>Glucocorticoid-induced transcript 1 protein</t>
  </si>
  <si>
    <t>Protein FAM134C</t>
  </si>
  <si>
    <t>Protein Hook homolog 3</t>
  </si>
  <si>
    <t>Catechol O-methyltransferase domain-containing protein 1</t>
  </si>
  <si>
    <t>SEC14 domain and spectrin repeat-containing protein 1</t>
  </si>
  <si>
    <t>Vacuolar fusion protein MON1 homolog A</t>
  </si>
  <si>
    <t>Transmembrane protein adipocyte-associated 1</t>
  </si>
  <si>
    <t>THO complex subunit 6 homolog</t>
  </si>
  <si>
    <t>Methyltransferase-like protein 16</t>
  </si>
  <si>
    <t>Poly(ADP-ribose) glycohydrolase</t>
  </si>
  <si>
    <t>Isoform 4 of Liprin-beta-1</t>
  </si>
  <si>
    <t>Isoform 2 of Valacyclovir hydrolase</t>
  </si>
  <si>
    <t>Isoform 2 of Chromodomain-helicase-DNA-binding protein 1-like</t>
  </si>
  <si>
    <t>Nuclear receptor 2C2-associated protein</t>
  </si>
  <si>
    <t>Coiled-coil domain-containing protein 25</t>
  </si>
  <si>
    <t>Proline and serine-rich protein 2</t>
  </si>
  <si>
    <t>Stimulator of interferon genes protein</t>
  </si>
  <si>
    <t>CCDC43 protein</t>
  </si>
  <si>
    <t>Cerebellar degeneration-related protein 2-like</t>
  </si>
  <si>
    <t>Ras-specific guanine nucleotide-releasing factor RalGPS2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</si>
  <si>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</si>
  <si>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</si>
  <si>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</si>
  <si>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</si>
  <si>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3 of Swi5-dependent recombination DNA repair protein 1 homolog</t>
  </si>
  <si>
    <t>ATP-dependent RNA helicase DDX42</t>
  </si>
  <si>
    <t>CDK2-associated and cullin domain-containing protein 1</t>
  </si>
  <si>
    <t>HEAT repeat-containing protein 2</t>
  </si>
  <si>
    <t>Probable peptidyl-tRNA hydrolase</t>
  </si>
  <si>
    <t>Syntaxin-12</t>
  </si>
  <si>
    <t>STE20-related kinase adapter protein alpha</t>
  </si>
  <si>
    <t>Decaprenyl-diphosphate synthase subunit 2</t>
  </si>
  <si>
    <t>Isoform 2 of Transcriptional repressor p66-alpha</t>
  </si>
  <si>
    <t>Isoform 4 of G-protein-signaling modulator 1</t>
  </si>
  <si>
    <t>Isoform 2 of Rab11 family-interacting protein 4</t>
  </si>
  <si>
    <t>Hermansky-Pudlak syndrome 6 protein</t>
  </si>
  <si>
    <t>Interferon regulatory factor 2-binding protein 1</t>
  </si>
  <si>
    <t>Isoform 2 of Polypeptide N-acetylgalactosaminyltransferase 13</t>
  </si>
  <si>
    <t>Palmitoyltransferase ZDHHC13</t>
  </si>
  <si>
    <t>Cytokine receptor-like factor 3</t>
  </si>
  <si>
    <t>Trafficking protein particle complex subunit 5</t>
  </si>
  <si>
    <t>Spermatogenesis-associated protein 2-like protein</t>
  </si>
  <si>
    <t>RELT-like protein 1</t>
  </si>
  <si>
    <t>Phospholipase D3</t>
  </si>
  <si>
    <t>Ankyrin repeat and MYND domain-containing protein 2</t>
  </si>
  <si>
    <t>Isoform 3 of Inactive serine/threonine-protein kinase VRK3</t>
  </si>
  <si>
    <t>LIX1-like protein</t>
  </si>
  <si>
    <t>NudC domain-containing protein 3</t>
  </si>
  <si>
    <t>Isoform 3 of Protein AHNAK2</t>
  </si>
  <si>
    <t>Methylmalonic aciduria type A protein, mitochondrial</t>
  </si>
  <si>
    <t>Coiled-coil domain-containing protein 50</t>
  </si>
  <si>
    <t>Malonyl-CoA-acyl carrier protein transacylase, mitochondrial</t>
  </si>
  <si>
    <t>Glycerate kinase</t>
  </si>
  <si>
    <t>Isoform 4 of AT-rich interactive domain-containing protein 3B</t>
  </si>
  <si>
    <t>ATP-dependent (S)-NAD(P)H-hydrate dehydratase</t>
  </si>
  <si>
    <t>WD repeat-containing protein 75</t>
  </si>
  <si>
    <t>Mitofusin-1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</si>
  <si>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</si>
  <si>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</si>
  <si>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</si>
  <si>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</si>
  <si>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Protein DENND6A</t>
  </si>
  <si>
    <t>MAX gene-associated protein</t>
  </si>
  <si>
    <t>GRIP and coiled-coil domain-containing protein 2</t>
  </si>
  <si>
    <t>Iron-sulfur cluster co-chaperone protein HscB, mitochondrial</t>
  </si>
  <si>
    <t>Coiled-coil domain-containing protein 28A</t>
  </si>
  <si>
    <t>Isoform 4 of E3 ubiquitin-protein ligase UBR2</t>
  </si>
  <si>
    <t>Isoform 4 of Rho GTPase-activating protein 12</t>
  </si>
  <si>
    <t>Isoform 6 of Ankyrin repeat and KH domain-containing protein 1</t>
  </si>
  <si>
    <t>SURP and G-patch domain-containing protein 1</t>
  </si>
  <si>
    <t>Isoform 6 of Ubiquitin-conjugating enzyme E2 variant 3</t>
  </si>
  <si>
    <t>Isoform 2 of Cell division cycle and apoptosis regulator protein 1</t>
  </si>
  <si>
    <t>Isoform 3 of Probable ATP-dependent RNA helicase DHX40</t>
  </si>
  <si>
    <t>Spindle and kinetochore-associated protein 3</t>
  </si>
  <si>
    <t>Isoform 2 of DnaJ homolog subfamily C member 10</t>
  </si>
  <si>
    <t>Mitochondrial Rho GTPase 2</t>
  </si>
  <si>
    <t>Isoform 4 of Mitochondrial Rho GTPase 1</t>
  </si>
  <si>
    <t>Isoform 2 of NAD-dependent protein deacetylase sirtuin-2</t>
  </si>
  <si>
    <t>Uncharacterized protein C9orf40</t>
  </si>
  <si>
    <t>Uncharacterized protein KIAA1704</t>
  </si>
  <si>
    <t>Isoform 2 of Putative RNA polymerase II subunit B1 CTD phosphatase RPAP2</t>
  </si>
  <si>
    <t>Kelch repeat and BTB domain-containing protein 2</t>
  </si>
  <si>
    <t>Isoform 2 of Angiomotin-like protein 1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</si>
  <si>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</si>
  <si>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</si>
  <si>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</si>
  <si>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</si>
  <si>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</si>
  <si>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Zinc finger protein 595</t>
  </si>
  <si>
    <t>Eukaryotic peptide chain release factor GTP-binding subunit ERF3B</t>
  </si>
  <si>
    <t>Isoform 4 of ZZ-type zinc finger-containing protein 3</t>
  </si>
  <si>
    <t>Exocyst complex component 8</t>
  </si>
  <si>
    <t>UPF0688 protein C1orf174</t>
  </si>
  <si>
    <t>Threonine synthase-like 1</t>
  </si>
  <si>
    <t>SET and MYND domain-containing protein 4</t>
  </si>
  <si>
    <t>Peptidase M20 domain-containing protein 2</t>
  </si>
  <si>
    <t>Uncharacterized protein KIAA2013</t>
  </si>
  <si>
    <t>Isoform 4 of E3 ubiquitin-protein ligase HACE1</t>
  </si>
  <si>
    <t>Calcium uptake protein 2, mitochondrial</t>
  </si>
  <si>
    <t>Ankyrin repeat domain-containing protein 13A</t>
  </si>
  <si>
    <t>Isoform 3 of Phosphatase and actin regulator 4</t>
  </si>
  <si>
    <t>Ras and EF-hand domain-containing protein</t>
  </si>
  <si>
    <t>Metaxin 2</t>
  </si>
  <si>
    <t>RNA pseudouridylate synthase domain-containing protein 2</t>
  </si>
  <si>
    <t>Dyslexia-associated protein KIAA0319-like protein</t>
  </si>
  <si>
    <t>mRNA-decapping enzyme 1B</t>
  </si>
  <si>
    <t>Isoform 2 of Netrin receptor UNC5B</t>
  </si>
  <si>
    <t>Isoform 2 of Probable palmitoyltransferase ZDHHC14</t>
  </si>
  <si>
    <t>Isoform 3 of CKLF-like MARVEL transmembrane domain-containing protein 4</t>
  </si>
  <si>
    <t>Retinol dehydrogenase 10</t>
  </si>
  <si>
    <t>Uncharacterized protein C8orf59</t>
  </si>
  <si>
    <t>Isoform 3 of Protein FAM185A</t>
  </si>
  <si>
    <t>Vitamin K epoxide reductase complex subunit 1-like protein 1</t>
  </si>
  <si>
    <t>Isoform 2 of Citrate lyase subunit beta-like protein, mitochondrial</t>
  </si>
  <si>
    <t>Spartin</t>
  </si>
  <si>
    <t>Isoform 2 of Zinc finger protein 444</t>
  </si>
  <si>
    <t>Tetratricopeptide repeat protein 5</t>
  </si>
  <si>
    <t>Isoform 7 of Mesoderm induction early response protein 1</t>
  </si>
  <si>
    <t>Isoform 3 of Cytochrome P450 4X1</t>
  </si>
  <si>
    <t>Protein canopy homolog 4</t>
  </si>
  <si>
    <t>DBIRD complex subunit KIAA1967</t>
  </si>
  <si>
    <t>Mimitin, mitochondrial</t>
  </si>
  <si>
    <t>Vacuolar protein sorting-associated protein 52 homolog</t>
  </si>
  <si>
    <t>Nuclear pore complex protein Nup93</t>
  </si>
  <si>
    <t>Cap-specific mRNA (nucleoside-2-O-)-methyltransferase 1</t>
  </si>
  <si>
    <t>Leucine-rich repeat-containing protein 47</t>
  </si>
  <si>
    <t>Carbonic anhydrase 13</t>
  </si>
  <si>
    <t>Isoform 3 of Armadillo repeat-containing protein 10</t>
  </si>
  <si>
    <t>Isoform 3 of GH3 domain-containing protein</t>
  </si>
  <si>
    <t>Monoacylglycerol lipase ABHD12</t>
  </si>
  <si>
    <t>E3 SUMO-protein ligase PIAS4</t>
  </si>
  <si>
    <t>Centromere protein S</t>
  </si>
  <si>
    <t>Coiled-coil domain-containing protein 23</t>
  </si>
  <si>
    <t>Glycerol-3-phosphate dehydrogenase 1-like protein</t>
  </si>
  <si>
    <t>Mesoderm induction early response protein 2</t>
  </si>
  <si>
    <t>Lysine-specific demethylase 8</t>
  </si>
  <si>
    <t>Isoform 2 of Rho GTPase-activating protein 18</t>
  </si>
  <si>
    <t>MICAL-like protein 1</t>
  </si>
  <si>
    <t>Isoform 3 of Uncharacterized protein C17orf53</t>
  </si>
  <si>
    <t>Formin-binding protein 4</t>
  </si>
  <si>
    <t>Translation factor GUF1, mitochondrial</t>
  </si>
  <si>
    <t>D-2-hydroxyglutarate dehydrogenase, mitochondrial</t>
  </si>
  <si>
    <t>RING1 and YY1-binding protein</t>
  </si>
  <si>
    <t>Isoform 2 of Probable hydrolase PNKD</t>
  </si>
  <si>
    <t>Isoform 4 of Probable hydrolase PNKD</t>
  </si>
  <si>
    <t>Isoform 1 of Misshapen-like kinase 1</t>
  </si>
  <si>
    <t>Isoform 2 of Kelch-like protein 36</t>
  </si>
  <si>
    <t>Guanosine-3,5-bis(diphosphate) 3-pyrophosphohydrolase MESH1</t>
  </si>
  <si>
    <t>Zinc-binding alcohol dehydrogenase domain-containing protein 2</t>
  </si>
  <si>
    <t>Membrane magnesium transporter 1</t>
  </si>
  <si>
    <t>Isoform 2 of Oxidation resistance protein 1</t>
  </si>
  <si>
    <t>Isoform 8 of Oxidation resistance protein 1</t>
  </si>
  <si>
    <t>Tetratricopeptide repeat protein 39C</t>
  </si>
  <si>
    <t>Isoform 3 of Zinc finger CCCH-type with G patch domain-containing protein</t>
  </si>
  <si>
    <t>DTW domain-containing protein 1</t>
  </si>
  <si>
    <t>Isoform 2 of Small integral membrane protein 20</t>
  </si>
  <si>
    <t>Uncharacterized protein C12orf45</t>
  </si>
  <si>
    <t>Protein FAM63A</t>
  </si>
  <si>
    <t>CDGSH iron-sulfur domain-containing protein 2</t>
  </si>
  <si>
    <t>Ribonuclease P protein subunit p25-like protein</t>
  </si>
  <si>
    <t>ATP synthase mitochondrial F1 complex assembly factor 2</t>
  </si>
  <si>
    <t>Protein jagunal homolog 1</t>
  </si>
  <si>
    <t>39S ribosomal protein L50, mitochondrial</t>
  </si>
  <si>
    <t>Eukaryotic translation initiation factor 4E type 3</t>
  </si>
  <si>
    <t>Isoform 2 of BTB/POZ domain-containing protein KCTD17</t>
  </si>
  <si>
    <t>FTS and Hook-interacting protein</t>
  </si>
  <si>
    <t>Uncharacterized protein C10orf12</t>
  </si>
  <si>
    <t>Isoform 2 of Cleavage and polyadenylation specificity factor subunit 7</t>
  </si>
  <si>
    <t>Solute carrier family 15 member 4</t>
  </si>
  <si>
    <t>Forkhead box P2, isoform CRA_d (Fragment)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</si>
  <si>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</si>
  <si>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</si>
  <si>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</si>
  <si>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</si>
  <si>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Methyltransferase-like protein 25</t>
  </si>
  <si>
    <t>Isoform 2 of Ankyrin repeat domain-containing protein 13C</t>
  </si>
  <si>
    <t>TOM1-like protein 1</t>
  </si>
  <si>
    <t>Isoform 3 of ER membrane protein complex subunit 1</t>
  </si>
  <si>
    <t>RNA polymerase II-associated factor 1 homolog</t>
  </si>
  <si>
    <t>Isoform 3 of Cyclin-Y-like protein 1</t>
  </si>
  <si>
    <t>Putative E3 ubiquitin-protein ligase UBR7</t>
  </si>
  <si>
    <t>Uncharacterized protein C4orf32</t>
  </si>
  <si>
    <t>ADP-ribosylation factor-like protein 10</t>
  </si>
  <si>
    <t>Prostaglandin reductase 2</t>
  </si>
  <si>
    <t>UPF0565 protein C2orf69</t>
  </si>
  <si>
    <t>ARL14 effector protein</t>
  </si>
  <si>
    <t>Protein enabled homolog</t>
  </si>
  <si>
    <t>Isoform 2 of Protein enabled homolog</t>
  </si>
  <si>
    <t>G patch domain-containing protein 11</t>
  </si>
  <si>
    <t>Isoform 4 of 39S ribosomal protein L43, mitochondrial</t>
  </si>
  <si>
    <t>Uncharacterized protein C12orf29</t>
  </si>
  <si>
    <t>Isoform 2 of Junction-mediating and -regulatory protein</t>
  </si>
  <si>
    <t>Focal adhesion kinase 1</t>
  </si>
  <si>
    <t>Glycerophosphodiester phosphodiesterase domain-containing protein 1</t>
  </si>
  <si>
    <t>Leucine-rich repeat-containing protein 57</t>
  </si>
  <si>
    <t>Probable RNA-binding protein EIF1AD</t>
  </si>
  <si>
    <t>Isoform 2 of Tandem C2 domains nuclear protein</t>
  </si>
  <si>
    <t>Isoform 2 of WD repeat, SAM and U-box domain-containing protein 1</t>
  </si>
  <si>
    <t>Zinc finger protein 579</t>
  </si>
  <si>
    <t>Pre-mRNA-splicing factor 38A</t>
  </si>
  <si>
    <t>Isoform 2 of Zinc finger protein 511</t>
  </si>
  <si>
    <t>Parkinson disease 7 domain-containing protein 1</t>
  </si>
  <si>
    <t>Probable phospholipid-transporting ATPase IG</t>
  </si>
  <si>
    <t>DTW domain-containing protein 2</t>
  </si>
  <si>
    <t>NHL repeat-containing protein 2</t>
  </si>
  <si>
    <t>Late secretory pathway protein AVL9 homolog</t>
  </si>
  <si>
    <t>Xyloside xylosyltransferase 1</t>
  </si>
  <si>
    <t>Isoform 2 of Golgi membrane protein 1</t>
  </si>
  <si>
    <t>Procollagen galactosyltransferase 1</t>
  </si>
  <si>
    <t>Isoform 4 of Sulfatase-modifying factor 1</t>
  </si>
  <si>
    <t>Protein O-glucosyltransferase 1</t>
  </si>
  <si>
    <t>Isoform 2 of Ubiquitin-associated domain-containing protein 2</t>
  </si>
  <si>
    <t>Prenylcysteine oxidase-like</t>
  </si>
  <si>
    <t>Transmembrane protein 87A</t>
  </si>
  <si>
    <t>Retinol dehydrogenase 13</t>
  </si>
  <si>
    <t>ATPase family AAA domain-containing protein 1</t>
  </si>
  <si>
    <t>Saccharopine dehydrogenase-like oxidoreductase</t>
  </si>
  <si>
    <t>Isoform 2 of Plasminogen activator inhibitor 1 RNA-binding protein</t>
  </si>
  <si>
    <t>Keratinocyte-associated transmembrane protein 2</t>
  </si>
  <si>
    <t>LEM domain-containing protein 2</t>
  </si>
  <si>
    <t>Group XV phospholipase A2</t>
  </si>
  <si>
    <t>Isoform 2 of Myotubularin-related protein 14</t>
  </si>
  <si>
    <t>NFATC2-interacting protein</t>
  </si>
  <si>
    <t>Carbohydrate sulfotransferase 14</t>
  </si>
  <si>
    <t>Pyruvate dehydrogenase phosphatase regulatory subunit, mitochondrial</t>
  </si>
  <si>
    <t>NAD(P)H-hydrate epimerase</t>
  </si>
  <si>
    <t>RING finger protein 214</t>
  </si>
  <si>
    <t>Isoform 2 of Protein LSM14 homolog A</t>
  </si>
  <si>
    <t>Isoform 3 of Cyclin-Y</t>
  </si>
  <si>
    <t>MAPK-interacting and spindle-stabilizing protein-like</t>
  </si>
  <si>
    <t>Isoform 5 of Probable aminopeptidase NPEPL1</t>
  </si>
  <si>
    <t>Isoform 3 of EH domain-binding protein 1</t>
  </si>
  <si>
    <t>Deleted in autism protein 1</t>
  </si>
  <si>
    <t>Metal transporter CNNM3</t>
  </si>
  <si>
    <t>Choline dehydrogenase, mitochondrial</t>
  </si>
  <si>
    <t>Isoform 2 of ATP-binding cassette sub-family F member 1</t>
  </si>
  <si>
    <t>Isoform 3 of Calcium uniporter protein, mitochondrial</t>
  </si>
  <si>
    <t>MTMR1 protein</t>
  </si>
  <si>
    <t>Glutathione S-transferase C-terminal domain-containing protein</t>
  </si>
  <si>
    <t>PDZ domain-containing protein 8</t>
  </si>
  <si>
    <t>DCC-interacting protein 13-beta</t>
  </si>
  <si>
    <t>F-box only protein 22</t>
  </si>
  <si>
    <t>Lysophosphatidylcholine acyltransferase 1</t>
  </si>
  <si>
    <t>Putative uncharacterized protein FLJ00310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</si>
  <si>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</si>
  <si>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</si>
  <si>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</si>
  <si>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</si>
  <si>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</si>
  <si>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Isoform 4 of RalBP1-associated Eps domain-containing protein 2</t>
  </si>
  <si>
    <t>Cytosolic endo-beta-N-acetylglucosaminidase</t>
  </si>
  <si>
    <t>Diphosphoinositol polyphosphate phosphohydrolase 3-alpha</t>
  </si>
  <si>
    <t>Torsin-1A-interacting protein 2</t>
  </si>
  <si>
    <t>Inositol polyphosphate multikinase</t>
  </si>
  <si>
    <t>Alpha/beta hydrolase domain-containing protein 11</t>
  </si>
  <si>
    <t>Isoform 2 of Syntaxin-binding protein 6</t>
  </si>
  <si>
    <t>Neuroligin-2</t>
  </si>
  <si>
    <t>Cell adhesion molecule 4</t>
  </si>
  <si>
    <t>DNA helicase B</t>
  </si>
  <si>
    <t>Isoform 2 of Protein CASC5</t>
  </si>
  <si>
    <t>Tubulin--tyrosine ligase</t>
  </si>
  <si>
    <t>Small VCP/p97-interacting protein</t>
  </si>
  <si>
    <t>E3 ubiquitin-protein ligase ZNRF2</t>
  </si>
  <si>
    <t>Putative phospholipase B-like 2</t>
  </si>
  <si>
    <t>Tudor domain-containing protein 7</t>
  </si>
  <si>
    <t>GTPase IMAP family member 7</t>
  </si>
  <si>
    <t>Protein NEDD1</t>
  </si>
  <si>
    <t>Anaphase-promoting complex subunit CDC26</t>
  </si>
  <si>
    <t>THO complex subunit 2</t>
  </si>
  <si>
    <t>Protein phosphatase PTC7 homolog</t>
  </si>
  <si>
    <t>Chaperone activity of bc1 complex-like, mitochondrial</t>
  </si>
  <si>
    <t>GrpE protein homolog 2, mitochondrial</t>
  </si>
  <si>
    <t>Protein phosphatase 1 regulatory subunit 14C</t>
  </si>
  <si>
    <t>Growth arrest and DNA damage-inducible proteins-interacting protein 1</t>
  </si>
  <si>
    <t>Protein phosphatase 1 regulatory subunit 35</t>
  </si>
  <si>
    <t>Nuclear protein localization protein 4 homolog</t>
  </si>
  <si>
    <t>Uncharacterized protein CXorf38</t>
  </si>
  <si>
    <t>Ganglioside-induced differentiation-associated protein 1</t>
  </si>
  <si>
    <t>Iron-sulfur protein NUBPL</t>
  </si>
  <si>
    <t>F-box only protein 30</t>
  </si>
  <si>
    <t>Isoform 3 of Adenosine 3-phospho 5-phosphosulfate transporter 1</t>
  </si>
  <si>
    <t>Isoform 3 of Pumilio homolog 2</t>
  </si>
  <si>
    <t>Isoform 2 of Golgin subfamily A member 5</t>
  </si>
  <si>
    <t>Isoform 3 of Kelch domain-containing protein 4</t>
  </si>
  <si>
    <t>NEDD8-activating enzyme E1 catalytic subunit</t>
  </si>
  <si>
    <t>N-acylneuraminate-9-phosphatase</t>
  </si>
  <si>
    <t>Solute carrier family 25 member 40</t>
  </si>
  <si>
    <t>Phosphatidylinositol 5-phosphate 4-kinase type-2 gamma</t>
  </si>
  <si>
    <t>tRNA methyltransferase 10 homolog A</t>
  </si>
  <si>
    <t>Isoform 2 of TBC1 domain family member 15</t>
  </si>
  <si>
    <t>Retinol dehydrogenase 11</t>
  </si>
  <si>
    <t>Transmembrane protein 163</t>
  </si>
  <si>
    <t>Isoform 2 of Mitochondria-eating protein</t>
  </si>
  <si>
    <t>UPF0729 protein C18orf32</t>
  </si>
  <si>
    <t>5(3)-deoxyribonucleotidase, cytosolic type</t>
  </si>
  <si>
    <t>Protein CIP2A</t>
  </si>
  <si>
    <t>Dolichyl-diphosphooligosaccharide--protein glycosyltransferase subunit STT3B</t>
  </si>
  <si>
    <t>Polyribonucleotide nucleotidyltransferase 1, mitochondrial</t>
  </si>
  <si>
    <t>Isoform 5 of Minor histocompatibility antigen H13</t>
  </si>
  <si>
    <t>Protein bicaudal D homolog 2</t>
  </si>
  <si>
    <t>Serine/threonine-protein kinase Nek9</t>
  </si>
  <si>
    <t>Alanine aminotransferase 2</t>
  </si>
  <si>
    <t>Isoform 2 of Pleckstrin homology domain-containing family O member 2</t>
  </si>
  <si>
    <t>ATP-dependent RNA helicase DDX54</t>
  </si>
  <si>
    <t>Biogenesis of lysosome-related organelles complex 1 subunit 5</t>
  </si>
  <si>
    <t>Glucosamine-6-phosphate isomerase 2</t>
  </si>
  <si>
    <t>Serine/threonine-protein kinase Nek7</t>
  </si>
  <si>
    <t>Isoform 2 of RB1-inducible coiled-coil protein 1</t>
  </si>
  <si>
    <t>Protein-methionine sulfoxide oxidase MICAL1</t>
  </si>
  <si>
    <t>Isoform 2 of Pantothenate kinase 1</t>
  </si>
  <si>
    <t>Protein phosphatase Slingshot homolog 3</t>
  </si>
  <si>
    <t>Putative methyltransferase NSUN6</t>
  </si>
  <si>
    <t>D-tyrosyl-tRNA(Tyr) deacylase 1</t>
  </si>
  <si>
    <t>Isoform 2 of E3 ubiquitin-protein ligase RNF128</t>
  </si>
  <si>
    <t>DENN domain-containing protein 1A</t>
  </si>
  <si>
    <t>Nuclear pore membrane glycoprotein 210</t>
  </si>
  <si>
    <t>Gem-associated protein 5</t>
  </si>
  <si>
    <t>Isoform 2 of GPI ethanolamine phosphate transferase 3</t>
  </si>
  <si>
    <t>Isoform 4 of Partitioning defective 3 homolog</t>
  </si>
  <si>
    <t>Importin-4</t>
  </si>
  <si>
    <t>Isoform 2 of Ubiquitin carboxyl-terminal hydrolase 33</t>
  </si>
  <si>
    <t>Arginine/serine-rich protein PNISR</t>
  </si>
  <si>
    <t>Isoform 2 of Serine/threonine-protein phosphatase 4 regulatory subunit 1</t>
  </si>
  <si>
    <t>Monocarboxylate transporter 10</t>
  </si>
  <si>
    <t>WAS/WASL-interacting protein family member 2</t>
  </si>
  <si>
    <t>Isoform 2 of Dual specificity protein phosphatase 19</t>
  </si>
  <si>
    <t>1-acylglycerol-3-phosphate O-acyltransferase ABHD5</t>
  </si>
  <si>
    <t>Histone-lysine N-methyltransferase SETD7</t>
  </si>
  <si>
    <t>Conserved oligomeric Golgi complex subunit 1</t>
  </si>
  <si>
    <t>Protein FAM222B</t>
  </si>
  <si>
    <t>Isoform 3 of Splicing factor U2AF 26 kDa subunit</t>
  </si>
  <si>
    <t>Isoform 2 of Stromal membrane-associated protein 2</t>
  </si>
  <si>
    <t>Zinc finger CCCH domain-containing protein 15</t>
  </si>
  <si>
    <t>Peptidyl-prolyl cis-trans isomerase-like 4</t>
  </si>
  <si>
    <t>Isoform 3 of PHD finger protein 10</t>
  </si>
  <si>
    <t>Ras-related protein Rab-2B</t>
  </si>
  <si>
    <t>Cholinephosphotransferase 1</t>
  </si>
  <si>
    <t>RelA-associated inhibitor</t>
  </si>
  <si>
    <t>Isoform 2 of Protein FAM172A</t>
  </si>
  <si>
    <t>Protein Churchill</t>
  </si>
  <si>
    <t>UPF0444 transmembrane protein C12orf23</t>
  </si>
  <si>
    <t>Serine/threonine/tyrosine-interacting protein</t>
  </si>
  <si>
    <t>Phosphatidylglycerophosphatase and protein-tyrosine phosphatase 1</t>
  </si>
  <si>
    <t>Nuclear pore complex protein Nup133</t>
  </si>
  <si>
    <t>Programmed cell death 6-interacting protein</t>
  </si>
  <si>
    <t>Ubiquitin domain-containing protein 2</t>
  </si>
  <si>
    <t>Filamin-binding LIM protein 1</t>
  </si>
  <si>
    <t>UPF0235 protein C15orf40</t>
  </si>
  <si>
    <t>Cation transport regulator-like protein 2</t>
  </si>
  <si>
    <t>Charged multivesicular body protein 7</t>
  </si>
  <si>
    <t>Protein THEM6</t>
  </si>
  <si>
    <t>Non-structural maintenance of chromosomes element 1 homolog</t>
  </si>
  <si>
    <t>MIT domain-containing protein 1</t>
  </si>
  <si>
    <t>RNA polymerase-associated protein LEO1</t>
  </si>
  <si>
    <t>E3 ubiquitin-protein ligase RNF138</t>
  </si>
  <si>
    <t>N(6)-adenine-specific DNA methyltransferase 2</t>
  </si>
  <si>
    <t>NudC domain-containing protein 2</t>
  </si>
  <si>
    <t>U4/U6.U5 small nuclear ribonucleoprotein 27 kDa protein</t>
  </si>
  <si>
    <t>Ankyrin repeat domain-containing protein 49</t>
  </si>
  <si>
    <t>Sec1 family domain-containing protein 1</t>
  </si>
  <si>
    <t>Isoform 3 of Ubiquitin-conjugating enzyme E2 Q2</t>
  </si>
  <si>
    <t>Trafficking protein particle complex subunit 12</t>
  </si>
  <si>
    <t>Fatty acyl-CoA reductase 1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</si>
  <si>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</si>
  <si>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</si>
  <si>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</si>
  <si>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</si>
  <si>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</si>
  <si>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Uncharacterized protein C2orf47, mitochondrial</t>
  </si>
  <si>
    <t>Probable tRNA pseudouridine synthase 1</t>
  </si>
  <si>
    <t>Choline transporter-like protein 1</t>
  </si>
  <si>
    <t>Reticulon-4-interacting protein 1, mitochondrial</t>
  </si>
  <si>
    <t>Selenoprotein M</t>
  </si>
  <si>
    <t>Negative elongation factor B</t>
  </si>
  <si>
    <t>Isoform 3 of Palladin</t>
  </si>
  <si>
    <t>RUN and FYVE domain-containing protein 2</t>
  </si>
  <si>
    <t>Isoform 2 of Splicing regulatory glutamine/lysine-rich protein 1</t>
  </si>
  <si>
    <t>Gem-associated protein 6</t>
  </si>
  <si>
    <t>Caskin-2</t>
  </si>
  <si>
    <t>Isoform 2 of ATR-interacting protein</t>
  </si>
  <si>
    <t>Paraspeckle component 1</t>
  </si>
  <si>
    <t>Transcriptional repressor p66-beta</t>
  </si>
  <si>
    <t>DnaJ homolog subfamily C member 9</t>
  </si>
  <si>
    <t>BRI3-binding protein</t>
  </si>
  <si>
    <t>Isoform 2 of Protein phosphatase 1E</t>
  </si>
  <si>
    <t>THAP domain-containing protein 4</t>
  </si>
  <si>
    <t>Isoform 3 of Beta-catenin-like protein 1</t>
  </si>
  <si>
    <t>Protein ELYS</t>
  </si>
  <si>
    <t>Ovarian cancer-associated gene 2 protein</t>
  </si>
  <si>
    <t>Immunity-related GTPase family Q protein</t>
  </si>
  <si>
    <t>Isoform D3 of DNA damage-binding protein 2</t>
  </si>
  <si>
    <t>ATP-dependent RNA helicase DDX1</t>
  </si>
  <si>
    <t>Estradiol 17-beta-dehydrogenase 8</t>
  </si>
  <si>
    <t>Protein FAM3C</t>
  </si>
  <si>
    <t>Histone H1x</t>
  </si>
  <si>
    <t>Isoform 3 of T-complex protein 1 subunit zeta-2</t>
  </si>
  <si>
    <t>Golgi-specific brefeldin A-resistance guanine nucleotide exchange factor 1</t>
  </si>
  <si>
    <t>RNA polymerase-associated protein RTF1 homolog</t>
  </si>
  <si>
    <t>Transmembrane 9 superfamily member 4</t>
  </si>
  <si>
    <t>DNA topoisomerase 2-binding protein 1</t>
  </si>
  <si>
    <t>28S ribosomal protein S27, mitochondrial</t>
  </si>
  <si>
    <t>Wiskott-Aldrich syndrome protein family member 1</t>
  </si>
  <si>
    <t>AP-3 complex subunit sigma-1</t>
  </si>
  <si>
    <t>UBX domain-containing protein 4</t>
  </si>
  <si>
    <t>Isoform 2 of PHD finger protein 3</t>
  </si>
  <si>
    <t>Isoform 3 of Sodium/hydrogen exchanger 6</t>
  </si>
  <si>
    <t>Mastermind-like protein 1</t>
  </si>
  <si>
    <t>Protein NDRG1</t>
  </si>
  <si>
    <t>Isoform Beta of Heat shock protein 105 kDa</t>
  </si>
  <si>
    <t>Acyl-CoA:lysophosphatidylglycerol acyltransferase 1</t>
  </si>
  <si>
    <t>La-related protein 4B</t>
  </si>
  <si>
    <t>Translational activator GCN1</t>
  </si>
  <si>
    <t>Pre-mRNA-splicing factor ATP-dependent RNA helicase PRP16</t>
  </si>
  <si>
    <t>Nuclear pore complex protein Nup205</t>
  </si>
  <si>
    <t>Tetratricopeptide repeat protein 9A</t>
  </si>
  <si>
    <t>Ankyrin repeat and SAM domain-containing protein 1A</t>
  </si>
  <si>
    <t>28S ribosomal protein S31, mitochondrial</t>
  </si>
  <si>
    <t>A-kinase anchor protein 1, mitochondrial</t>
  </si>
  <si>
    <t>Neurogranin</t>
  </si>
  <si>
    <t>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</si>
  <si>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</si>
  <si>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</si>
  <si>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</si>
  <si>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</si>
  <si>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</si>
  <si>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</si>
  <si>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Isoform 2 of Signal transducing adapter molecule 1</t>
  </si>
  <si>
    <t>Isoform 2 of CREB-binding protein</t>
  </si>
  <si>
    <t>Symplekin</t>
  </si>
  <si>
    <t>Isoform Short of TATA-binding protein-associated factor 2N</t>
  </si>
  <si>
    <t>Golgin subfamily A member 1</t>
  </si>
  <si>
    <t>Gamma-glutamyl hydrolase</t>
  </si>
  <si>
    <t>Isoform 4 of X-linked retinitis pigmentosa GTPase regulator</t>
  </si>
  <si>
    <t>Isoform 3 of Bcl-2-like protein 2</t>
  </si>
  <si>
    <t>Isoform 4 of Kinesin-associated protein 3</t>
  </si>
  <si>
    <t>Phosphomannomutase 1</t>
  </si>
  <si>
    <t>DNA repair protein RAD50</t>
  </si>
  <si>
    <t>Osteoclast-stimulating factor 1</t>
  </si>
  <si>
    <t>Isoform 3 of Rho guanine nucleotide exchange factor 1</t>
  </si>
  <si>
    <t>DNA repair endonuclease XPF</t>
  </si>
  <si>
    <t>Ubiquitin fusion degradation protein 1 homolog</t>
  </si>
  <si>
    <t>Golgi apparatus protein 1</t>
  </si>
  <si>
    <t>Isoform 2 of Regulator of nonsense transcripts 1</t>
  </si>
  <si>
    <t>COP9 signalosome complex subunit 5</t>
  </si>
  <si>
    <t>G patch domain and KOW motifs-containing protein</t>
  </si>
  <si>
    <t>Ras-related protein Rab-8B</t>
  </si>
  <si>
    <t>Bcl2 antagonist of cell death</t>
  </si>
  <si>
    <t>Far upstream element-binding protein 2</t>
  </si>
  <si>
    <t>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</si>
  <si>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</si>
  <si>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</si>
  <si>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</si>
  <si>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</si>
  <si>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Ubiquitin carboxyl-terminal hydrolase 13</t>
  </si>
  <si>
    <t>Isoform 2 of Probable ubiquitin carboxyl-terminal hydrolase FAF-X</t>
  </si>
  <si>
    <t>Isoform 2 of N-acetyltransferase 6</t>
  </si>
  <si>
    <t>Cullin-5</t>
  </si>
  <si>
    <t>Lipoma-preferred partner</t>
  </si>
  <si>
    <t>Histone H2A type 1-C</t>
  </si>
  <si>
    <t>Histone H2B type 1-H</t>
  </si>
  <si>
    <t>Isoform 2 of Secretory carrier-associated membrane protein 4</t>
  </si>
  <si>
    <t>Transcription elongation factor A protein-like 3</t>
  </si>
  <si>
    <t>Pre-rRNA-processing protein TSR2 homolog</t>
  </si>
  <si>
    <t>Isoform 2 of Protein naked cuticle homolog 2</t>
  </si>
  <si>
    <t>Riboflavin kinase</t>
  </si>
  <si>
    <t>UPF0556 protein C19orf10</t>
  </si>
  <si>
    <t>E3 ubiquitin-protein ligase RNF34</t>
  </si>
  <si>
    <t>Protein YIPF5</t>
  </si>
  <si>
    <t>Isoform 4 of GPI transamidase component PIG-T</t>
  </si>
  <si>
    <t>Isoform 3 of Immunoglobulin superfamily member 8</t>
  </si>
  <si>
    <t>60S ribosomal protein L36a-like</t>
  </si>
  <si>
    <t>Ras-related protein Rab-24</t>
  </si>
  <si>
    <t>Zinc finger protein 622</t>
  </si>
  <si>
    <t>Isoform 2 of Ribosome-releasing factor 2, mitochondrial</t>
  </si>
  <si>
    <t>Isoform 2 of 7-methylguanosine phosphate-specific 5-nucleotidase</t>
  </si>
  <si>
    <t>Proteasome assembly chaperone 2</t>
  </si>
  <si>
    <t>Isoform 2 of Nicalin</t>
  </si>
  <si>
    <t>Isoform 2 of Endoplasmic reticulum-Golgi intermediate compartment protein 1</t>
  </si>
  <si>
    <t>Isoform 3 of tRNA modification GTPase GTPBP3, mitochondrial</t>
  </si>
  <si>
    <t>Protein TBRG4</t>
  </si>
  <si>
    <t>Coiled-coil domain-containing protein 102A</t>
  </si>
  <si>
    <t>Coiled-coil domain-containing protein 47</t>
  </si>
  <si>
    <t>Synapse-associated protein 1</t>
  </si>
  <si>
    <t>Exocyst complex component 4</t>
  </si>
  <si>
    <t>Putative monooxygenase p33MONOX</t>
  </si>
  <si>
    <t>Isochorismatase domain-containing protein 2, mitochondrial</t>
  </si>
  <si>
    <t>Protein N-terminal asparagine amidohydrolase</t>
  </si>
  <si>
    <t>Fermitin family homolog 2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</si>
  <si>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</si>
  <si>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</si>
  <si>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</si>
  <si>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</si>
  <si>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</si>
  <si>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Mitochondrial calcium uniporter regulator 1</t>
  </si>
  <si>
    <t>Uncharacterized protein KIAA1143</t>
  </si>
  <si>
    <t>Ribulose-phosphate 3-epimerase</t>
  </si>
  <si>
    <t>Peptidyl-prolyl cis-trans isomerase FKBP10</t>
  </si>
  <si>
    <t>Isoform 2 of RAD51-associated protein 1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</si>
  <si>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</si>
  <si>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</si>
  <si>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</si>
  <si>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</si>
  <si>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</si>
  <si>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Leukocyte receptor cluster member 9</t>
  </si>
  <si>
    <t>SH3 domain-containing kinase-binding protein 1</t>
  </si>
  <si>
    <t>Isoform 2 of Spindle and kinetochore-associated protein 1</t>
  </si>
  <si>
    <t>Nucleus accumbens-associated protein 2</t>
  </si>
  <si>
    <t>E3 ubiquitin-protein ligase RNF25</t>
  </si>
  <si>
    <t>PIN2/TERF1-interacting telomerase inhibitor 1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</si>
  <si>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</si>
  <si>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</si>
  <si>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</si>
  <si>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</si>
  <si>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Isoform 2 of Phosphotriesterase-related protein</t>
  </si>
  <si>
    <t>Autophagy-related protein 2 homolog B</t>
  </si>
  <si>
    <t>Leukocyte receptor cluster member 1</t>
  </si>
  <si>
    <t>EF-hand domain-containing protein D2</t>
  </si>
  <si>
    <t>Aldose 1-epimerase</t>
  </si>
  <si>
    <t>Isoform 2 of RUN domain-containing protein 1</t>
  </si>
  <si>
    <t>Pyrroline-5-carboxylate reductase 2</t>
  </si>
  <si>
    <t>Uncharacterized protein C12orf43</t>
  </si>
  <si>
    <t>m7GpppX diphosphatase</t>
  </si>
  <si>
    <t>Protein phosphatase 1 regulatory subunit 14B</t>
  </si>
  <si>
    <t>Isoform 2 of Serologically defined colon cancer antigen 3</t>
  </si>
  <si>
    <t>Isoform 4 of Serologically defined colon cancer antigen 3</t>
  </si>
  <si>
    <t>Isoform 4 of 5-methylcytosine rRNA methyltransferase NSUN4</t>
  </si>
  <si>
    <t>Charged multivesicular body protein 4c</t>
  </si>
  <si>
    <t>TRAF-interacting protein with FHA domain-containing protein A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</si>
  <si>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</si>
  <si>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</si>
  <si>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</si>
  <si>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</si>
  <si>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</si>
  <si>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</si>
  <si>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</si>
  <si>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Isoform 3 of Optineurin</t>
  </si>
  <si>
    <t>Isoform 2 of AP-2 complex subunit mu</t>
  </si>
  <si>
    <t>Isoform 2 of 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</si>
  <si>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</si>
  <si>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</si>
  <si>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</si>
  <si>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Uncharacterized protein C10orf35</t>
  </si>
  <si>
    <t>Uncharacterized aarF domain-containing protein kinase 4</t>
  </si>
  <si>
    <t>Isoform 3 of RalBP1-associated Eps domain-containing protein 1</t>
  </si>
  <si>
    <t>Ras-related protein Rab-39B</t>
  </si>
  <si>
    <t>Isoform 2 of Mitochondrial import inner membrane translocase subunit TIM14</t>
  </si>
  <si>
    <t>U8 snoRNA-decapping enzyme</t>
  </si>
  <si>
    <t>Anaphase-promoting complex subunit 16</t>
  </si>
  <si>
    <t>Protein DGCR14</t>
  </si>
  <si>
    <t>Carboxymethylenebutenolidase homolog</t>
  </si>
  <si>
    <t>Rho guanine nucleotide exchange factor 26</t>
  </si>
  <si>
    <t>Cysteine protease ATG4C</t>
  </si>
  <si>
    <t>Isoform 2 of Zinc finger and BTB domain-containing protein 10</t>
  </si>
  <si>
    <t>Inositol-trisphosphate 3-kinase C</t>
  </si>
  <si>
    <t>Tripartite motif-containing protein 44</t>
  </si>
  <si>
    <t>Isoform 2 of Endoplasmic reticulum lectin 1</t>
  </si>
  <si>
    <t>Protein FAM122A</t>
  </si>
  <si>
    <t>Isoform 3 of Ribosome-recycling factor, mitochondrial</t>
  </si>
  <si>
    <t>Nogo-B receptor</t>
  </si>
  <si>
    <t>Metalloendopeptidase OMA1, mitochondrial</t>
  </si>
  <si>
    <t>Protein Spindly</t>
  </si>
  <si>
    <t>NAD-dependent protein deacetylase sirtuin-1</t>
  </si>
  <si>
    <t>Protein YIPF6</t>
  </si>
  <si>
    <t>Nucleoporin SEH1</t>
  </si>
  <si>
    <t>Mitochondrial assembly of ribosomal large subunit protein 1</t>
  </si>
  <si>
    <t>Transcription elongation factor A protein-like 4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</si>
  <si>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</si>
  <si>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</si>
  <si>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</si>
  <si>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</si>
  <si>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</si>
  <si>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DAZ-associated protein 1</t>
  </si>
  <si>
    <t>Small glutamine-rich tetratricopeptide repeat-containing protein beta</t>
  </si>
  <si>
    <t>Protein SAAL1</t>
  </si>
  <si>
    <t>Coiled-coil domain-containing protein 51</t>
  </si>
  <si>
    <t>Ribosomal RNA processing protein 36 homolog</t>
  </si>
  <si>
    <t>C1GALT1-specific chaperone 1</t>
  </si>
  <si>
    <t>RNA-binding protein 33</t>
  </si>
  <si>
    <t>Dysbindin</t>
  </si>
  <si>
    <t>WD repeat-containing protein 34</t>
  </si>
  <si>
    <t>DnaJ homolog subfamily A member 3, mitochondrial</t>
  </si>
  <si>
    <t>Multivesicular body subunit 12A</t>
  </si>
  <si>
    <t>Cob(I)yrinic acid a,c-diamide adenosyltransferase, mitochondrial</t>
  </si>
  <si>
    <t>Probable inactive tRNA-specific adenosine deaminase-like protein 3</t>
  </si>
  <si>
    <t>Diamine acetyltransferase 2</t>
  </si>
  <si>
    <t>Isoform 2 of Nuclear receptor-binding factor 2</t>
  </si>
  <si>
    <t>Isoform 3 of E3 ubiquitin-protein ligase TRIM11</t>
  </si>
  <si>
    <t>Zinc finger protein 503</t>
  </si>
  <si>
    <t>Interleukin-17 receptor A</t>
  </si>
  <si>
    <t>Coiled-coil domain-containing protein 97</t>
  </si>
  <si>
    <t>Enhancer of mRNA-decapping protein 3</t>
  </si>
  <si>
    <t>Isoform 4 of Probable ATP-dependent RNA helicase DDX11</t>
  </si>
  <si>
    <t>Isoform 2 of Protein MEF2BNB</t>
  </si>
  <si>
    <t>AMSH-like protease</t>
  </si>
  <si>
    <t>WD repeat-containing protein 89</t>
  </si>
  <si>
    <t>Copine-2</t>
  </si>
  <si>
    <t>THO complex subunit 1</t>
  </si>
  <si>
    <t>tRNA (adenine(58)-N(1))-methyltransferase catalytic subunit TRMT61A</t>
  </si>
  <si>
    <t>UPF0361 protein C3orf37</t>
  </si>
  <si>
    <t>Charged multivesicular body protein 6</t>
  </si>
  <si>
    <t>Phosphoglucomutase-2</t>
  </si>
  <si>
    <t>Ceramide synthase 2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</si>
  <si>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</si>
  <si>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</si>
  <si>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</si>
  <si>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</si>
  <si>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Isoform 3 of OTU domain-containing protein 5</t>
  </si>
  <si>
    <t>Serine dehydratase-like</t>
  </si>
  <si>
    <t>Pyridoxal phosphate phosphatase</t>
  </si>
  <si>
    <t>E3 ubiquitin-protein ligase RNF185</t>
  </si>
  <si>
    <t>DCN1-like protein 1</t>
  </si>
  <si>
    <t>Fumarylacetoacetate hydrolase domain-containing protein 2A</t>
  </si>
  <si>
    <t>Isoform 2 of Scavenger receptor class F member 2</t>
  </si>
  <si>
    <t>Uncharacterized protein C17orf59</t>
  </si>
  <si>
    <t>Methionine--tRNA ligase, mitochondrial</t>
  </si>
  <si>
    <t>Putative ataxin-7-like protein 3B</t>
  </si>
  <si>
    <t>Isoform 2 of Serine/threonine-protein kinase greatwall</t>
  </si>
  <si>
    <t>Methylthioribulose-1-phosphate dehydratase</t>
  </si>
  <si>
    <t>Zinc finger C2HC domain-containing protein 1A</t>
  </si>
  <si>
    <t>Vacuolar-sorting protein SNF8</t>
  </si>
  <si>
    <t>Isoform 3 of Unconventional myosin-XIX</t>
  </si>
  <si>
    <t>Zinc finger CCCH-type antiviral protein 1-like</t>
  </si>
  <si>
    <t>Isoform 2 of Nuclear envelope pore membrane protein POM 121</t>
  </si>
  <si>
    <t>Isoform 4 of Uncharacterized protein C1orf159</t>
  </si>
  <si>
    <t>PDZ and LIM domain protein 5</t>
  </si>
  <si>
    <t>Cysteine-rich with EGF-like domain protein 1</t>
  </si>
  <si>
    <t>ERO1-like protein alpha</t>
  </si>
  <si>
    <t>Isoform 2 of UPF0562 protein C7orf55</t>
  </si>
  <si>
    <t>Isoform 2 of Putative adenosylhomocysteinase 3</t>
  </si>
  <si>
    <t>Isoform 2 of CDKN2AIP N-terminal-like protein</t>
  </si>
  <si>
    <t>Isoform 2 of Integrator complex subunit 4</t>
  </si>
  <si>
    <t>DDRGK domain-containing protein 1</t>
  </si>
  <si>
    <t>Selenocysteine lyase</t>
  </si>
  <si>
    <t>Far upstream element-binding protein 3</t>
  </si>
  <si>
    <t>Splicing factor 45</t>
  </si>
  <si>
    <t>Cytochrome c oxidase assembly protein COX14</t>
  </si>
  <si>
    <t>Williams-Beuren syndrome chromosomal region 16 protein</t>
  </si>
  <si>
    <t>Probable asparagine--tRNA ligase, mitochondrial</t>
  </si>
  <si>
    <t>Isoform 2 of Kazal-type serine protease inhibitor domain-containing protein 1</t>
  </si>
  <si>
    <t>Succinyl-CoA ligase [GDP-forming] subunit beta, mitochondrial</t>
  </si>
  <si>
    <t>LIM domain-containing protein ajuba</t>
  </si>
  <si>
    <t>Mannose-1-phosphate guanyltransferase alpha</t>
  </si>
  <si>
    <t>Biorientation of chromosomes in cell division protein 1</t>
  </si>
  <si>
    <t>Isoform 2 of Zinc finger protein 414</t>
  </si>
  <si>
    <t>Alpha/beta hydrolase domain-containing protein 14B</t>
  </si>
  <si>
    <t>Isoform 3 of Peptide-N(4)-(N-acetyl-beta-glucosaminyl)asparagine amidase</t>
  </si>
  <si>
    <t>Up-regulated during skeletal muscle growth protein 5</t>
  </si>
  <si>
    <t>Kinetochore-associated protein NSL1 homolog</t>
  </si>
  <si>
    <t>PRKC apoptosis WT1 regulator protein</t>
  </si>
  <si>
    <t>Isoform 2 of Serine/Arginine-related protein 53</t>
  </si>
  <si>
    <t>THO complex subunit 3</t>
  </si>
  <si>
    <t>Isoform 2 of E3 ubiquitin-protein ligase Itchy homolog</t>
  </si>
  <si>
    <t>Kin of IRRE-like protein 1</t>
  </si>
  <si>
    <t>Leucine-rich repeats and immunoglobulin-like domains protein 1</t>
  </si>
  <si>
    <t>Isoform 2 of CDK5 regulatory subunit-associated protein 3</t>
  </si>
  <si>
    <t>Isoform 2 of Vam6/Vps39-like protein</t>
  </si>
  <si>
    <t>ELL-associated factor 1</t>
  </si>
  <si>
    <t>Isoform 3 of Coiled-coil domain-containing protein 132</t>
  </si>
  <si>
    <t>Deubiquitinating protein VCIP135</t>
  </si>
  <si>
    <t>Protein disulfide-isomerase TMX3</t>
  </si>
  <si>
    <t>Chromosome alignment-maintaining phosphoprotein 1</t>
  </si>
  <si>
    <t>E3 ubiquitin-protein ligase ZFP91</t>
  </si>
  <si>
    <t>Calmin</t>
  </si>
  <si>
    <t>PDZ and LIM domain protein 2</t>
  </si>
  <si>
    <t>Uncharacterized protein C8orf76</t>
  </si>
  <si>
    <t>Isoform 2 of Cleft lip and palate transmembrane protein 1-like protein</t>
  </si>
  <si>
    <t>Lymphokine-activated killer T-cell-originated protein kinase</t>
  </si>
  <si>
    <t>ADP-ribosylation factor-like protein 5B</t>
  </si>
  <si>
    <t>DnaJ homolog subfamily C member 1</t>
  </si>
  <si>
    <t>Protein FAM84B</t>
  </si>
  <si>
    <t>Exocyst complex component 2</t>
  </si>
  <si>
    <t>Cytosolic non-specific dipeptidase</t>
  </si>
  <si>
    <t>Zinc finger RNA-binding protein</t>
  </si>
  <si>
    <t>EPH receptor B4, isoform CRA_b</t>
  </si>
  <si>
    <t>Isoform 4 of E1A-binding protein p400</t>
  </si>
  <si>
    <t>Isoform 2 of Sorting nexin-27</t>
  </si>
  <si>
    <t>Isoform 5 of Kinesin-like protein KIF16B</t>
  </si>
  <si>
    <t>Isoform 2 of Protein arginine N-methyltransferase 6</t>
  </si>
  <si>
    <t>Intraflagellar transport protein 74 homolog</t>
  </si>
  <si>
    <t>Ubiquitin-conjugating enzyme E2 E2</t>
  </si>
  <si>
    <t>Protein PRRC1</t>
  </si>
  <si>
    <t>Isoform 4 of F-box/LRR-repeat protein 18</t>
  </si>
  <si>
    <t>Melanoma-associated antigen G1</t>
  </si>
  <si>
    <t>Protein HEXIM2</t>
  </si>
  <si>
    <t>Isoform 2 of AP-4 complex accessory subunit tepsin</t>
  </si>
  <si>
    <t>Isoform 2 of Lysophospholipid acyltransferase 7</t>
  </si>
  <si>
    <t>LisH domain-containing protein FOPNL</t>
  </si>
  <si>
    <t>Sideroflexin-2</t>
  </si>
  <si>
    <t>Zinc finger protein 830</t>
  </si>
  <si>
    <t>Zinc finger matrin-type protein 2</t>
  </si>
  <si>
    <t>Transmembrane protein 74</t>
  </si>
  <si>
    <t>Protein C8orf37</t>
  </si>
  <si>
    <t>Isoform 2 of Putative methyltransferase NSUN5</t>
  </si>
  <si>
    <t>Isoform 2 of Regulation of nuclear pre-mRNA domain-containing protein 1A</t>
  </si>
  <si>
    <t>Arf-GAP with GTPase, ANK repeat and PH domain-containing protein 3</t>
  </si>
  <si>
    <t>Isoform 3 of Arf-GAP with Rho-GAP domain, ANK repeat and PH domain-containing protein 1</t>
  </si>
  <si>
    <t>Arf-GAP with coiled-coil, ANK repeat and PH domain-containing protein 3</t>
  </si>
  <si>
    <t>Importin-9</t>
  </si>
  <si>
    <t>Methylmalonyl-CoA epimerase, mitochondrial</t>
  </si>
  <si>
    <t>Bcl-2-binding component 3</t>
  </si>
  <si>
    <t>RNA-binding protein 14</t>
  </si>
  <si>
    <t>RING finger and CHY zinc finger domain-containing protein 1</t>
  </si>
  <si>
    <t>Isoform 2 of E3 ubiquitin-protein ligase NEDD4-like</t>
  </si>
  <si>
    <t>Protein quaking</t>
  </si>
  <si>
    <t>Pseudouridylate synthase 7 homolog</t>
  </si>
  <si>
    <t>Isoform 2 of CCA tRNA nucleotidyltransferase 1, mitochondrial</t>
  </si>
  <si>
    <t>Alpha-ketoglutarate-dependent dioxygenase alkB homolog 3</t>
  </si>
  <si>
    <t>Serine/threonine-protein phosphatase 1 regulatory subunit 10</t>
  </si>
  <si>
    <t>Isoform 2 of DEP domain-containing protein 7</t>
  </si>
  <si>
    <t>Vacuolar protein sorting-associated protein 35</t>
  </si>
  <si>
    <t>Transcriptional activator protein Pur-beta</t>
  </si>
  <si>
    <t>Exportin-6</t>
  </si>
  <si>
    <t>Sperm-associated antigen 5</t>
  </si>
  <si>
    <t>Isoform 2 of Pannexin-1</t>
  </si>
  <si>
    <t>Nucleus accumbens-associated protein 1</t>
  </si>
  <si>
    <t>Isoform 3 of Sorting nexin-18</t>
  </si>
  <si>
    <t>PAS domain-containing serine/threonine-protein kinase</t>
  </si>
  <si>
    <t>Elongation factor G, mitochondrial</t>
  </si>
  <si>
    <t>Twinkle protein, mitochondrial</t>
  </si>
  <si>
    <t>Isoform 2 of Calcium/calmodulin-dependent protein kinase kinase 2</t>
  </si>
  <si>
    <t>NudC domain-containing protein 1</t>
  </si>
  <si>
    <t>Isoform 7 of Protein LAP2</t>
  </si>
  <si>
    <t>Isoform 2 of Ubiquitin carboxyl-terminal hydrolase 28</t>
  </si>
  <si>
    <t>Isoform 4 of Formin-binding protein 1</t>
  </si>
  <si>
    <t>UPF0585 protein C16orf13</t>
  </si>
  <si>
    <t>Isoform 2 of Ribosomal protein S6 kinase delta-1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</si>
  <si>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</si>
  <si>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</si>
  <si>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</si>
  <si>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</si>
  <si>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</si>
  <si>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Isoform 2 of LysM and putative peptidoglycan-binding domain-containing protein 1</t>
  </si>
  <si>
    <t>Pleckstrin homology domain-containing family F member 1</t>
  </si>
  <si>
    <t>Neurabin-2</t>
  </si>
  <si>
    <t>BTB/POZ domain-containing protein KCTD15</t>
  </si>
  <si>
    <t>Isoform 2 of Transmembrane protein 209</t>
  </si>
  <si>
    <t>Protein IWS1 homolog</t>
  </si>
  <si>
    <t>Paired amphipathic helix protein Sin3a</t>
  </si>
  <si>
    <t>2-aminoethanethiol dioxygenase</t>
  </si>
  <si>
    <t>Isoform 2 of CDK5 regulatory subunit-associated protein 1</t>
  </si>
  <si>
    <t>RUN and FYVE domain-containing protein 1</t>
  </si>
  <si>
    <t>Msx2-interacting protein</t>
  </si>
  <si>
    <t>Isoform 6 of MMS19 nucleotide excision repair protein homolog</t>
  </si>
  <si>
    <t>Isoform 2 of Niban-like protein 1</t>
  </si>
  <si>
    <t>Isoform 3 of ATP-dependent zinc metalloprotease YME1L1</t>
  </si>
  <si>
    <t>Transcription factor 12</t>
  </si>
  <si>
    <t>C-Myc-binding protein</t>
  </si>
  <si>
    <t>Tubulin-folding cofactor B</t>
  </si>
  <si>
    <t>Proteasome subunit beta type-7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</si>
  <si>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</si>
  <si>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</si>
  <si>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</si>
  <si>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</si>
  <si>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</si>
  <si>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</si>
  <si>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</si>
  <si>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E3 ubiquitin-protein ligase RING2</t>
  </si>
  <si>
    <t>Protein DJ-1</t>
  </si>
  <si>
    <t>Isoform 2 of Eyes absent homolog 3</t>
  </si>
  <si>
    <t>Sialidase-1</t>
  </si>
  <si>
    <t>Sortilin</t>
  </si>
  <si>
    <t>Synaptic vesicle membrane protein VAT-1 homolog</t>
  </si>
  <si>
    <t>DnaJ homolog subfamily C member 2</t>
  </si>
  <si>
    <t>Nuclear pore complex protein Nup88</t>
  </si>
  <si>
    <t>Ribonucleases P/MRP protein subunit POP1</t>
  </si>
  <si>
    <t>Max-binding protein MNT</t>
  </si>
  <si>
    <t>Protein S100-A13</t>
  </si>
  <si>
    <t>Mitochondrial import inner membrane translocase subunit Tim17-A</t>
  </si>
  <si>
    <t>Translin-associated protein X</t>
  </si>
  <si>
    <t>Selenide, water dikinase 2</t>
  </si>
  <si>
    <t>Tetratricopeptide repeat protein 1</t>
  </si>
  <si>
    <t>DnaJ homolog subfamily C member 7</t>
  </si>
  <si>
    <t>Cell division cycle-associated protein 3</t>
  </si>
  <si>
    <t>Protein C10</t>
  </si>
  <si>
    <t>Prohibitin-2</t>
  </si>
  <si>
    <t>Pre-mRNA-splicing factor 18</t>
  </si>
  <si>
    <t>Isoform 3 of Membrane-associated tyrosine- and threonine-specific cdc2-inhibitory kinase</t>
  </si>
  <si>
    <t>Calcineurin B homologous protein 1</t>
  </si>
  <si>
    <t>Kinesin-like protein KIF2C</t>
  </si>
  <si>
    <t>Docking protein 1</t>
  </si>
  <si>
    <t>Methionine synthase</t>
  </si>
  <si>
    <t>3-hydroxyacyl-CoA dehydrogenase type-2</t>
  </si>
  <si>
    <t>Isoform 4 of Sigma non-opioid intracellular receptor 1</t>
  </si>
  <si>
    <t>Isoform 3 of Heterogeneous nuclear ribonucleoprotein A/B</t>
  </si>
  <si>
    <t>Nucleosome assembly protein 1-like 4</t>
  </si>
  <si>
    <t>Isoform 2 of Microsomal glutathione S-transferase 2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</si>
  <si>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</si>
  <si>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</si>
  <si>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</si>
  <si>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</si>
  <si>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</si>
  <si>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Transmembrane 9 superfamily member 2</t>
  </si>
  <si>
    <t>Ubiquinone biosynthesis protein COQ7 homolog</t>
  </si>
  <si>
    <t>Tumor susceptibility gene 101 protein</t>
  </si>
  <si>
    <t>T-complex protein 1 subunit eta</t>
  </si>
  <si>
    <t>AT-rich interactive domain-containing protein 3A</t>
  </si>
  <si>
    <t>Histone H2A type 1-J</t>
  </si>
  <si>
    <t>Isoform 2 of Tyrosine-protein phosphatase non-receptor type 18</t>
  </si>
  <si>
    <t>Dual specificity protein phosphatase 9</t>
  </si>
  <si>
    <t>Endophilin-A2</t>
  </si>
  <si>
    <t>Isoform 4 of Endophilin-A3</t>
  </si>
  <si>
    <t>Serine/threonine-protein kinase VRK1</t>
  </si>
  <si>
    <t>Dihydropyrimidinase-related protein 5</t>
  </si>
  <si>
    <t>Protein NipSnap homolog 1</t>
  </si>
  <si>
    <t>Condensin complex subunit 3</t>
  </si>
  <si>
    <t>Actin-related protein 2/3 complex subunit 5-like protein</t>
  </si>
  <si>
    <t>UPF0415 protein C7orf25</t>
  </si>
  <si>
    <t>Polyadenylate-binding protein-interacting protein 2</t>
  </si>
  <si>
    <t>Zinc phosphodiesterase ELAC protein 2</t>
  </si>
  <si>
    <t>Uncharacterized protein C19orf43</t>
  </si>
  <si>
    <t>O-acetyl-ADP-ribose deacetylase MACROD1</t>
  </si>
  <si>
    <t>Transcription factor 25</t>
  </si>
  <si>
    <t>Evolutionarily conserved signaling intermediate in Toll pathway, mitochondrial</t>
  </si>
  <si>
    <t>Diphthamide biosynthesis protein 2</t>
  </si>
  <si>
    <t>Myb-binding protein 1A</t>
  </si>
  <si>
    <t>Isoform 2 of Eukaryotic translation initiation factor 2-alpha kinase 1</t>
  </si>
  <si>
    <t>Mitochondrial genome maintenance exonuclease 1</t>
  </si>
  <si>
    <t>FYVE and coiled-coil domain-containing protein 1</t>
  </si>
  <si>
    <t>Isoform 2 of Mitochondrial 2-oxodicarboxylate carrier</t>
  </si>
  <si>
    <t>Acyl-CoA-binding domain-containing protein 6</t>
  </si>
  <si>
    <t>Coronin-1B</t>
  </si>
  <si>
    <t>Thioredoxin domain-containing protein 17</t>
  </si>
  <si>
    <t>Isoform 2 of BUD13 homolog</t>
  </si>
  <si>
    <t>Calcineurin-like phosphoesterase domain-containing protein 1</t>
  </si>
  <si>
    <t>Vacuolar protein-sorting-associated protein 25</t>
  </si>
  <si>
    <t>39S ribosomal protein L45, mitochondrial</t>
  </si>
  <si>
    <t>45 kDa calcium-binding protein</t>
  </si>
  <si>
    <t>Programmed cell death protein 2-like</t>
  </si>
  <si>
    <t>Proteasomal ATPase-associated factor 1</t>
  </si>
  <si>
    <t>Isoform 2 of Partner of Y14 and mago</t>
  </si>
  <si>
    <t>Isoform 2 of ADP-dependent glucokinase</t>
  </si>
  <si>
    <t>Serine/threonine-protein kinase RIO1</t>
  </si>
  <si>
    <t>Mitochondrial nucleoid factor 1</t>
  </si>
  <si>
    <t>DNA replication complex GINS protein SLD5</t>
  </si>
  <si>
    <t>Suppressor of IKBKE 1</t>
  </si>
  <si>
    <t>Protein pelota homolog</t>
  </si>
  <si>
    <t>DNA replication complex GINS protein PSF3</t>
  </si>
  <si>
    <t>Endoplasmic reticulum resident protein 44</t>
  </si>
  <si>
    <t>Latexin</t>
  </si>
  <si>
    <t>Autophagy-related protein 101</t>
  </si>
  <si>
    <t>Cancer-related nucleoside-triphosphatase</t>
  </si>
  <si>
    <t>Uncharacterized protein C19orf52</t>
  </si>
  <si>
    <t>Translational activator of cytochrome c oxidase 1</t>
  </si>
  <si>
    <t>Haloacid dehalogenase-like hydrolase domain-containing protein 3</t>
  </si>
  <si>
    <t>Gamma-tubulin complex component 2</t>
  </si>
  <si>
    <t>Isoform 3 of Uncharacterized protein C17orf80</t>
  </si>
  <si>
    <t>Extended synaptotagmin-1</t>
  </si>
  <si>
    <t>Solute carrier family 25 member 33</t>
  </si>
  <si>
    <t>Protein fem-1 homolog A</t>
  </si>
  <si>
    <t>Ubiquitin-associated domain-containing protein 1</t>
  </si>
  <si>
    <t>Protein YIPF4</t>
  </si>
  <si>
    <t>Isoform 2 of Rhotekin</t>
  </si>
  <si>
    <t>UPF0183 protein C16orf70</t>
  </si>
  <si>
    <t>tRNA-splicing endonuclease subunit Sen34</t>
  </si>
  <si>
    <t>Coiled-coil-helix-coiled-coil-helix domain-containing protein 5</t>
  </si>
  <si>
    <t>Protein canopy homolog 3</t>
  </si>
  <si>
    <t>Mitochondrial GTPase 1</t>
  </si>
  <si>
    <t>Chitobiosyldiphosphodolichol beta-mannosyltransferase</t>
  </si>
  <si>
    <t>LIM domain-containing protein 2</t>
  </si>
  <si>
    <t>Alpha-ketoglutarate-dependent dioxygenase alkB homolog 7</t>
  </si>
  <si>
    <t>Proteasome assembly chaperone 3</t>
  </si>
  <si>
    <t>COP9 signalosome complex subunit 4</t>
  </si>
  <si>
    <t>Isoform 4 of WW domain-containing adapter protein with coiled-coil</t>
  </si>
  <si>
    <t>Death-inducer obliterator 1</t>
  </si>
  <si>
    <t>Isoform 2 of Mini-chromosome maintenance complex-binding protein</t>
  </si>
  <si>
    <t>Alanyl-tRNA editing protein Aarsd1</t>
  </si>
  <si>
    <t>DCN1-like protein 5</t>
  </si>
  <si>
    <t>RNMT-activating mini protein</t>
  </si>
  <si>
    <t>Acidic leucine-rich nuclear phosphoprotein 32 family member E</t>
  </si>
  <si>
    <t>Leucine-rich repeat-containing protein 1</t>
  </si>
  <si>
    <t>Phosphatidylinositol 4-kinase type 2-alpha</t>
  </si>
  <si>
    <t>Fibronectin type III and SPRY domain-containing protein 1</t>
  </si>
  <si>
    <t>Plasma alpha-L-fucosidase</t>
  </si>
  <si>
    <t>Protein FAM203A</t>
  </si>
  <si>
    <t>Isoform 8 of Dehydrogenase/reductase SDR family member 4</t>
  </si>
  <si>
    <t>Thiamine-triphosphatase</t>
  </si>
  <si>
    <t>Isoform 3 of Lipase maturation factor 2</t>
  </si>
  <si>
    <t>NADH dehydrogenase [ubiquinone] 1 alpha subcomplex assembly factor 3</t>
  </si>
  <si>
    <t>Isoform 2 of Multiple myeloma tumor-associated protein 2</t>
  </si>
  <si>
    <t>Deoxyhypusine hydroxylase</t>
  </si>
  <si>
    <t>Uncharacterized protein C11orf84</t>
  </si>
  <si>
    <t>tRNA-specific adenosine deaminase 1</t>
  </si>
  <si>
    <t>Isoform 2 of Transmembrane protein 70, mitochondrial</t>
  </si>
  <si>
    <t>Mediator of RNA polymerase II transcription subunit 18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</si>
  <si>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</si>
  <si>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</si>
  <si>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</si>
  <si>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</si>
  <si>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3 of Protein misato homolog 1</t>
  </si>
  <si>
    <t>Ribonuclease P protein subunit p25</t>
  </si>
  <si>
    <t>Isoform 3 of Oxidoreductase HTATIP2</t>
  </si>
  <si>
    <t>Telomerase Cajal body protein 1</t>
  </si>
  <si>
    <t>3-hydroxybutyrate dehydrogenase type 2</t>
  </si>
  <si>
    <t>Protein FAM195A</t>
  </si>
  <si>
    <t>UPF0184 protein C9orf16</t>
  </si>
  <si>
    <t>Methylthioribose-1-phosphate isomerase</t>
  </si>
  <si>
    <t>Monoacylglycerol lipase ABHD6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</si>
  <si>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</si>
  <si>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</si>
  <si>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</si>
  <si>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</si>
  <si>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</si>
  <si>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</si>
  <si>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</si>
  <si>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</si>
  <si>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</si>
  <si>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</si>
  <si>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</si>
  <si>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Target of rapamycin complex subunit LST8</t>
  </si>
  <si>
    <t>Transmembrane protein 109</t>
  </si>
  <si>
    <t>Protein PBDC1</t>
  </si>
  <si>
    <t>Phosphatidylserine synthase 2</t>
  </si>
  <si>
    <t>Isoform 3 of U3 small nucleolar RNA-associated protein 14 homolog A</t>
  </si>
  <si>
    <t>Transmembrane emp24 domain-containing protein 9</t>
  </si>
  <si>
    <t>Selenoprotein O</t>
  </si>
  <si>
    <t>Protein DPCD</t>
  </si>
  <si>
    <t>Gamma-glutamylaminecyclotransferase</t>
  </si>
  <si>
    <t>Isoform 2 of RUN and SH3 domain-containing protein 1</t>
  </si>
  <si>
    <t>Isoform 2 of Guanine nucleotide-binding protein-like 3</t>
  </si>
  <si>
    <t>Mitochondrial import inner membrane translocase subunit Tim21</t>
  </si>
  <si>
    <t>TIMELESS-interacting protein</t>
  </si>
  <si>
    <t>Kinesin-like protein KIFC1</t>
  </si>
  <si>
    <t>Nuclear pore complex protein Nup85</t>
  </si>
  <si>
    <t>Tubulin polymerization-promoting protein family member 3</t>
  </si>
  <si>
    <t>Elongation of very long chain fatty acids protein 1</t>
  </si>
  <si>
    <t>DET1- and DDB1-associated protein 1</t>
  </si>
  <si>
    <t>Katanin p60 ATPase-containing subunit A-like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</si>
  <si>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</si>
  <si>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</si>
  <si>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</si>
  <si>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</si>
  <si>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</si>
  <si>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</si>
  <si>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RNA-binding protein 4</t>
  </si>
  <si>
    <t>Isoform 2 of Sodium channel modifier 1</t>
  </si>
  <si>
    <t>FUN14 domain-containing protein 2</t>
  </si>
  <si>
    <t>Isoform 2 of RNA polymerase II-associated protein 1</t>
  </si>
  <si>
    <t>Splicing factor 3B subunit 5</t>
  </si>
  <si>
    <t>Sideroflexin-3</t>
  </si>
  <si>
    <t>Meiotic nuclear division protein 1 homolog</t>
  </si>
  <si>
    <t>Caspase recruitment domain-containing protein 10</t>
  </si>
  <si>
    <t>Kanadaptin</t>
  </si>
  <si>
    <t>Protein LSM14 homolog B</t>
  </si>
  <si>
    <t>Fanconi anemia group J protein</t>
  </si>
  <si>
    <t>Isoform 9 of Sorbin and SH3 domain-containing protein 1</t>
  </si>
  <si>
    <t>Junctional adhesion molecule C</t>
  </si>
  <si>
    <t>Histidine triad nucleotide-binding protein 2, mitochondrial</t>
  </si>
  <si>
    <t>Sphingosine-1-phosphate phosphatase 1</t>
  </si>
  <si>
    <t>Rab11 family-interacting protein 5</t>
  </si>
  <si>
    <t>N-alpha-acetyltransferase 15, NatA auxiliary subunit</t>
  </si>
  <si>
    <t>Krueppel-like factor 16</t>
  </si>
  <si>
    <t>Solute carrier family 12 member 9</t>
  </si>
  <si>
    <t>Isoform 4 of Serrate RNA effector molecule homolog</t>
  </si>
  <si>
    <t>Queuine tRNA-ribosyltransferase</t>
  </si>
  <si>
    <t>Uncharacterized protein C14orf142</t>
  </si>
  <si>
    <t>Oxysterol-binding protein-related protein 1</t>
  </si>
  <si>
    <t>Isoform 1 of Cat eye syndrome critical region protein 5</t>
  </si>
  <si>
    <t>Isoform 2 of Fanconi anemia group D2 protein</t>
  </si>
  <si>
    <t>Protein DGCR6L</t>
  </si>
  <si>
    <t>Inosine triphosphate pyrophosphatase</t>
  </si>
  <si>
    <t>Polymerase delta-interacting protein 3</t>
  </si>
  <si>
    <t>Guanine nucleotide-binding protein subunit beta-like protein 1</t>
  </si>
  <si>
    <t>Partitioning defective 6 homolog beta</t>
  </si>
  <si>
    <t>RanBP-type and C3HC4-type zinc finger-containing protein 1</t>
  </si>
  <si>
    <t>Isoform 3 of Serine/threonine-protein kinase WNK3</t>
  </si>
  <si>
    <t>Serine/threonine-protein kinase 33</t>
  </si>
  <si>
    <t>Neurolysin, mitochondrial</t>
  </si>
  <si>
    <t>Centrosomal protein of 41 kDa</t>
  </si>
  <si>
    <t>Histone-lysine N-methyltransferase SETD2</t>
  </si>
  <si>
    <t>Isoform 2 of Pantothenate kinase 2, mitochondrial</t>
  </si>
  <si>
    <t>Isoform 2 of FERM domain-containing protein 8</t>
  </si>
  <si>
    <t>Kinetochore protein Nuf2</t>
  </si>
  <si>
    <t>tRNA pseudouridine(38/39) synthase</t>
  </si>
  <si>
    <t>Tether containing UBX domain for GLUT4</t>
  </si>
  <si>
    <t>F-box-like/WD repeat-containing protein TBL1XR1</t>
  </si>
  <si>
    <t>Ubiquitin-like protein 5</t>
  </si>
  <si>
    <t>Group XIIA secretory phospholipase A2</t>
  </si>
  <si>
    <t>NKG2D ligand 3</t>
  </si>
  <si>
    <t>NKG2D ligand 2</t>
  </si>
  <si>
    <t>Uridine-cytidine kinase 2</t>
  </si>
  <si>
    <t>Apoptosis inhibitor 5</t>
  </si>
  <si>
    <t>Isoform 2 of Apoptosis inhibitor 5</t>
  </si>
  <si>
    <t>Protein dpy-30 homolog</t>
  </si>
  <si>
    <t>Isoform Beta of Tripartite motif-containing protein 4</t>
  </si>
  <si>
    <t>Tripartite motif-containing protein 2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</si>
  <si>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</si>
  <si>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</si>
  <si>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</si>
  <si>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</si>
  <si>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</si>
  <si>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Semaphorin-4C</t>
  </si>
  <si>
    <t>Isoform 4 of Activating molecule in BECN1-regulated autophagy protein 1</t>
  </si>
  <si>
    <t>Ubiquitin-conjugating enzyme E2 O</t>
  </si>
  <si>
    <t>Protein zyg-11 homolog B</t>
  </si>
  <si>
    <t>Isoform 2 of Protein TANC1</t>
  </si>
  <si>
    <t>Centrosomal protein of 44 kDa</t>
  </si>
  <si>
    <t>Isoform 2 of Protein tweety homolog 3</t>
  </si>
  <si>
    <t>Isoform 3 of Myotubularin-related protein 12</t>
  </si>
  <si>
    <t>Ribosome biogenesis protein WDR12</t>
  </si>
  <si>
    <t>Actin-related protein 6</t>
  </si>
  <si>
    <t>Isoform 2 of UPF0687 protein C20orf27</t>
  </si>
  <si>
    <t>PITH domain-containing protein 1</t>
  </si>
  <si>
    <t>Derlin-2</t>
  </si>
  <si>
    <t>WD repeat-containing protein 61</t>
  </si>
  <si>
    <t>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</si>
  <si>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</si>
  <si>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</si>
  <si>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</si>
  <si>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</si>
  <si>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</si>
  <si>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</si>
  <si>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Mitochondrial fission factor</t>
  </si>
  <si>
    <t>Isoform 2 of Mitochondrial fission factor</t>
  </si>
  <si>
    <t>Ubiquitin-like modifier-activating enzyme 5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</si>
  <si>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</si>
  <si>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</si>
  <si>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</si>
  <si>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</si>
  <si>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Ras-related protein Rab-33B</t>
  </si>
  <si>
    <t>Large subunit GTPase 1 homolog</t>
  </si>
  <si>
    <t>Protein FAM107B</t>
  </si>
  <si>
    <t>Kinesin light chain 2</t>
  </si>
  <si>
    <t>Integrin-linked kinase-associated serine/threonine phosphatase 2C</t>
  </si>
  <si>
    <t>5-3 exoribonuclease 2</t>
  </si>
  <si>
    <t>Toll-interacting protein</t>
  </si>
  <si>
    <t>Isoform 2 of Bromodomain-containing protein 8</t>
  </si>
  <si>
    <t>Nuclear speckle splicing regulatory protein 1</t>
  </si>
  <si>
    <t>Rac GTPase-activating protein 1</t>
  </si>
  <si>
    <t>Pseudouridylate synthase 7 homolog-like protein</t>
  </si>
  <si>
    <t>Cleavage stimulation factor subunit 2 tau variant</t>
  </si>
  <si>
    <t>Cytosolic 5-nucleotidase 3A</t>
  </si>
  <si>
    <t>Haloacid dehalogenase-like hydrolase domain-containing protein 2</t>
  </si>
  <si>
    <t>Glutamyl-tRNA(Gln) amidotransferase subunit A, mitochondrial</t>
  </si>
  <si>
    <t>Magnesium transporter protein 1</t>
  </si>
  <si>
    <t>Ras-related protein Rab-1B</t>
  </si>
  <si>
    <t>Transmembrane protein 168</t>
  </si>
  <si>
    <t>VIP36-like protein</t>
  </si>
  <si>
    <t>Ester hydrolase C11orf54</t>
  </si>
  <si>
    <t>Protein ITFG3</t>
  </si>
  <si>
    <t>Nucleotide exchange factor SIL1</t>
  </si>
  <si>
    <t>Interferon regulatory factor 2-binding protein-like</t>
  </si>
  <si>
    <t>Nuclear ubiquitous casein and cyclin-dependent kinase substrate 1</t>
  </si>
  <si>
    <t>Rabenosyn-5</t>
  </si>
  <si>
    <t>Iron-sulfur cluster assembly enzyme ISCU, mitochondrial</t>
  </si>
  <si>
    <t>Isoform 2 of Oxysterol-binding protein-related protein 2</t>
  </si>
  <si>
    <t>DnaJ homolog subfamily C member 25</t>
  </si>
  <si>
    <t>Autophagy protein 5</t>
  </si>
  <si>
    <t>WD repeat-containing protein 13</t>
  </si>
  <si>
    <t>DNA replication factor Cdt1</t>
  </si>
  <si>
    <t>EH domain-containing protein 4</t>
  </si>
  <si>
    <t>Uncharacterized protein C1orf21</t>
  </si>
  <si>
    <t>Vacuolar protein sorting-associated protein 33B</t>
  </si>
  <si>
    <t>Vacuolar protein sorting-associated protein 11 homolog</t>
  </si>
  <si>
    <t>Gigaxonin</t>
  </si>
  <si>
    <t>Isoform 1 of TRIO and F-actin-binding protein</t>
  </si>
  <si>
    <t>Isoform 2 of STE20-like serine/threonine-protein kinase</t>
  </si>
  <si>
    <t>Peptidyl-prolyl cis-trans isomerase-like 3</t>
  </si>
  <si>
    <t>Sodium-dependent neutral amino acid transporter B(0)AT2</t>
  </si>
  <si>
    <t>Translation initiation factor IF-3, mitochondrial</t>
  </si>
  <si>
    <t>Rab3 GTPase-activating protein non-catalytic subunit</t>
  </si>
  <si>
    <t>Isoform 3 of Diphthine synthase</t>
  </si>
  <si>
    <t>Ran-binding protein 17</t>
  </si>
  <si>
    <t>Inorganic pyrophosphatase 2, mitochondrial</t>
  </si>
  <si>
    <t>39S ribosomal protein L46, mitochondrial</t>
  </si>
  <si>
    <t>Presenilins-associated rhomboid-like protein, mitochondrial</t>
  </si>
  <si>
    <t>Pinin</t>
  </si>
  <si>
    <t>Isoform 2 of Transmembrane protein 245</t>
  </si>
  <si>
    <t>Gametogenetin-binding protein 2</t>
  </si>
  <si>
    <t>Probable serine carboxypeptidase CPVL</t>
  </si>
  <si>
    <t>Isoform 4 of tRNA dimethylallyltransferase, mitochondrial</t>
  </si>
  <si>
    <t>UPF0696 protein C11orf68</t>
  </si>
  <si>
    <t>BolA-like protein 2</t>
  </si>
  <si>
    <t>Thioredoxin-related transmembrane protein 1</t>
  </si>
  <si>
    <t>Golgi resident protein GCP60</t>
  </si>
  <si>
    <t>Cdc42 effector protein 4</t>
  </si>
  <si>
    <t>Tyrosine-protein phosphatase non-receptor type 23</t>
  </si>
  <si>
    <t>Protein unc-45 homolog A</t>
  </si>
  <si>
    <t>Isoform 4 of Major facilitator superfamily domain-containing protein 1</t>
  </si>
  <si>
    <t>Pancreatic progenitor cell differentiation and proliferation factor</t>
  </si>
  <si>
    <t>Kinetochore-associated protein DSN1 homolog</t>
  </si>
  <si>
    <t>Uncharacterized protein C1orf198</t>
  </si>
  <si>
    <t>Charged multivesicular body protein 4b</t>
  </si>
  <si>
    <t>Frizzled-8</t>
  </si>
  <si>
    <t>CUE domain-containing protein 2</t>
  </si>
  <si>
    <t>F-box/LRR-repeat protein 15</t>
  </si>
  <si>
    <t>GDP-fucose protein O-fucosyltransferase 1</t>
  </si>
  <si>
    <t>15 kDa interferon-responsive protein</t>
  </si>
  <si>
    <t>Golgi phosphoprotein 3-like</t>
  </si>
  <si>
    <t>Golgi phosphoprotein 3</t>
  </si>
  <si>
    <t>Probable tRNA threonylcarbamoyladenosine biosynthesis protein OSGEPL1</t>
  </si>
  <si>
    <t>Protein FAM83D</t>
  </si>
  <si>
    <t>GTP-binding protein 5</t>
  </si>
  <si>
    <t>Isoform 1b of Oxysterol-binding protein-related protein 3</t>
  </si>
  <si>
    <t>SWI/SNF-related matrix-associated actin-dependent regulator of chromatin subfamily A containing DEAD/H box 1</t>
  </si>
  <si>
    <t>EH domain-containing protein 1</t>
  </si>
  <si>
    <t>Isoform 2 of E3 ubiquitin-protein ligase NRDP1</t>
  </si>
  <si>
    <t>Phosphorylated CTD-interacting factor 1</t>
  </si>
  <si>
    <t>Alpha-1,3/1,6-mannosyltransferase ALG2</t>
  </si>
  <si>
    <t>Zinc finger and BTB domain-containing protein 3</t>
  </si>
  <si>
    <t>Rab GTPase-binding effector protein 2</t>
  </si>
  <si>
    <t>Dimethyladenosine transferase 2, mitochondrial</t>
  </si>
  <si>
    <t>Isoform 2 of UPF0428 protein CXorf56</t>
  </si>
  <si>
    <t>MIP18 family protein FAM96A</t>
  </si>
  <si>
    <t>Zinc finger protein 576</t>
  </si>
  <si>
    <t>Coiled-coil domain-containing protein 134</t>
  </si>
  <si>
    <t>Coiled-coil domain-containing protein 86</t>
  </si>
  <si>
    <t>Receptor expression-enhancing protein 4</t>
  </si>
  <si>
    <t>Isoform 2 of Uncharacterized protein C6orf106</t>
  </si>
  <si>
    <t>Optic atrophy 3 protein</t>
  </si>
  <si>
    <t>Cytosolic Fe-S cluster assembly factor NARFL</t>
  </si>
  <si>
    <t>Probable ATP-dependent RNA helicase YTHDC2</t>
  </si>
  <si>
    <t>Isoform 2 of RNA polymerase II-associated protein 3</t>
  </si>
  <si>
    <t>Isoform 5 of Breast carcinoma-amplified sequence 3</t>
  </si>
  <si>
    <t>Alpha-1,2-mannosyltransferase ALG9</t>
  </si>
  <si>
    <t>Anthrax toxin receptor 1</t>
  </si>
  <si>
    <t>WD repeat-containing protein 55</t>
  </si>
  <si>
    <t>dCTP pyrophosphatase 1</t>
  </si>
  <si>
    <t>Histone-lysine N-methyltransferase SMYD3</t>
  </si>
  <si>
    <t>Probable cation-transporting ATPase 13A3</t>
  </si>
  <si>
    <t>Protein phosphatase 1 regulatory subunit 3E</t>
  </si>
  <si>
    <t>Splicing factor, arginine/serine-rich 19</t>
  </si>
  <si>
    <t>Zinc finger protein 703</t>
  </si>
  <si>
    <t>Zinc finger protein 696</t>
  </si>
  <si>
    <t>Histone acetyltransferase KAT8</t>
  </si>
  <si>
    <t>Prostaglandin E synthase 2</t>
  </si>
  <si>
    <t>Transmembrane protein 206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</si>
  <si>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</si>
  <si>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</si>
  <si>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</si>
  <si>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</si>
  <si>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</si>
  <si>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Caspase activity and apoptosis inhibitor 1</t>
  </si>
  <si>
    <t>Nucleolar protein 11</t>
  </si>
  <si>
    <t>Protein FAM188A</t>
  </si>
  <si>
    <t>MOB kinase activator 1A</t>
  </si>
  <si>
    <t>AN1-type zinc finger protein 3</t>
  </si>
  <si>
    <t>Pleckstrin homology domain-containing family F member 2</t>
  </si>
  <si>
    <t>Ankyrin repeat and zinc finger domain-containing protein 1</t>
  </si>
  <si>
    <t>Golgi reassembly-stacking protein 2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</si>
  <si>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</si>
  <si>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</si>
  <si>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</si>
  <si>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</si>
  <si>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Isoform 4 of Queuine tRNA-ribosyltransferase subunit QTRTD1</t>
  </si>
  <si>
    <t>WD repeat-containing protein 54</t>
  </si>
  <si>
    <t>Actin-related protein 8</t>
  </si>
  <si>
    <t>UPF0364 protein C6orf211</t>
  </si>
  <si>
    <t>Leucine-rich repeat-containing protein 40</t>
  </si>
  <si>
    <t>Isoform 3 of Histone-lysine N-methyltransferase EHMT1</t>
  </si>
  <si>
    <t>Sideroflexin-1</t>
  </si>
  <si>
    <t>Actin-related protein 5</t>
  </si>
  <si>
    <t>Vacuolar protein sorting-associated protein 37B</t>
  </si>
  <si>
    <t>L-2-hydroxyglutarate dehydrogenase, mitochondrial</t>
  </si>
  <si>
    <t>Fukutin-related protein</t>
  </si>
  <si>
    <t>Isoform 2 of Elongator complex protein 3</t>
  </si>
  <si>
    <t>Isoform 2 of JmjC domain-containing protein 4</t>
  </si>
  <si>
    <t>Isoform 3 of Uridine-cytidine kinase 1</t>
  </si>
  <si>
    <t>Ketosamine-3-kinase</t>
  </si>
  <si>
    <t>Probable cysteine--tRNA ligase, mitochondrial</t>
  </si>
  <si>
    <t>Phosphopantothenate--cysteine ligase</t>
  </si>
  <si>
    <t>WD repeat-containing protein 41</t>
  </si>
  <si>
    <t>Isoform 2 of Chromatin modification-related protein MEAF6</t>
  </si>
  <si>
    <t>E3 ubiquitin-protein ligase pellino homolog 2</t>
  </si>
  <si>
    <t>Guanine nucleotide-binding protein subunit beta-4</t>
  </si>
  <si>
    <t>Exportin-5</t>
  </si>
  <si>
    <t>Tumor necrosis factor receptor superfamily member 27</t>
  </si>
  <si>
    <t>GrpE protein homolog 1, mitochondrial</t>
  </si>
  <si>
    <t>UPF0160 protein MYG1, mitochondrial</t>
  </si>
  <si>
    <t>Bcl-2-like protein 12</t>
  </si>
  <si>
    <t>Pleckstrin homology domain-containing family A member 3</t>
  </si>
  <si>
    <t>Retinoid-inducible serine carboxypeptidase</t>
  </si>
  <si>
    <t>Calcyclin-binding protein</t>
  </si>
  <si>
    <t>Ras-related GTP-binding protein C</t>
  </si>
  <si>
    <t>SMARCA4 isoform 2</t>
  </si>
  <si>
    <t>Peptide deformylase, mitochondrial</t>
  </si>
  <si>
    <t>Retinol dehydrogenase 14</t>
  </si>
  <si>
    <t>Isoform 3 of Beta-parvin</t>
  </si>
  <si>
    <t>Arsenite methyltransferase</t>
  </si>
  <si>
    <t>Plasminogen receptor (KT)</t>
  </si>
  <si>
    <t>Kinetochore protein Spc25</t>
  </si>
  <si>
    <t>Transcription initiation factor TFIID subunit 9B</t>
  </si>
  <si>
    <t>1-acyl-sn-glycerol-3-phosphate acyltransferase alpha</t>
  </si>
  <si>
    <t>DNA polymerase lambda</t>
  </si>
  <si>
    <t>Putative sodium-coupled neutral amino acid transporter 10</t>
  </si>
  <si>
    <t>Mitochondrial thiamine pyrophosphate carrier</t>
  </si>
  <si>
    <t>Isoform 2 of Glyoxalase domain-containing protein 4</t>
  </si>
  <si>
    <t>Vasculin-like protein 1</t>
  </si>
  <si>
    <t>Methylcrotonoyl-CoA carboxylase beta chain, mitochondrial</t>
  </si>
  <si>
    <t>Protein TANC2</t>
  </si>
  <si>
    <t>Methyltransferase-like protein 14</t>
  </si>
  <si>
    <t>Isoform 2 of Ribonucleoprotein PTB-binding 2</t>
  </si>
  <si>
    <t>Isoform 3 of GPN-loop GTPase 1</t>
  </si>
  <si>
    <t>Stromal cell-derived factor 2-like protein 1</t>
  </si>
  <si>
    <t>Prolactin regulatory element-binding protein</t>
  </si>
  <si>
    <t>Steroid receptor RNA activator 1</t>
  </si>
  <si>
    <t>Isoform B of Probable cation-transporting ATPase 13A1</t>
  </si>
  <si>
    <t>Isoform 2 of Golgi-associated PDZ and coiled-coil motif-containing protein</t>
  </si>
  <si>
    <t>Isoform 3 of O-phosphoseryl-tRNA(Sec) selenium transferase</t>
  </si>
  <si>
    <t>Transmembrane 9 superfamily member 3</t>
  </si>
  <si>
    <t>Isoform 2 of Ran guanine nucleotide release factor</t>
  </si>
  <si>
    <t>Junctophilin-1</t>
  </si>
  <si>
    <t>Adipocyte plasma membrane-associated protein</t>
  </si>
  <si>
    <t>Isoform 2 of Thioredoxin reductase 2, mitochondrial</t>
  </si>
  <si>
    <t>Isoform 2 of Tuftelin</t>
  </si>
  <si>
    <t>Isoform 2 of ATP-binding cassette sub-family B member 6, mitochondrial</t>
  </si>
  <si>
    <t>ADP-ribosylation factor GTPase-activating protein 3</t>
  </si>
  <si>
    <t>Ras-related protein Rab-18</t>
  </si>
  <si>
    <t>RNA polymerase II subunit A C-terminal domain phosphatase SSU72</t>
  </si>
  <si>
    <t>Vacuolar protein sorting-associated protein VTA1 homolog</t>
  </si>
  <si>
    <t>Isoform 3 of Calcium-independent phospholipase A2-gamma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</si>
  <si>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</si>
  <si>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</si>
  <si>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</si>
  <si>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</si>
  <si>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</si>
  <si>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</si>
  <si>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CD320 antigen</t>
  </si>
  <si>
    <t>Probable tRNA threonylcarbamoyladenosine biosynthesis protein OSGEP</t>
  </si>
  <si>
    <t>Probable palmitoyltransferase ZDHHC4</t>
  </si>
  <si>
    <t>mRNA-decapping enzyme 1A</t>
  </si>
  <si>
    <t>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</si>
  <si>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</si>
  <si>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</si>
  <si>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</si>
  <si>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Protein GPR108</t>
  </si>
  <si>
    <t>Isoform 3 of Probable cation-transporting ATPase 13A2</t>
  </si>
  <si>
    <t>Putative RNA-binding protein Luc7-like 1</t>
  </si>
  <si>
    <t>Fructose-2,6-bisphosphatase TIGAR</t>
  </si>
  <si>
    <t>Reticulon-4</t>
  </si>
  <si>
    <t>Histidine triad nucleotide-binding protein 3</t>
  </si>
  <si>
    <t>Regulation of nuclear pre-mRNA domain-containing protein 1B</t>
  </si>
  <si>
    <t>Isoform 3 of Hermansky-Pudlak syndrome 4 protein</t>
  </si>
  <si>
    <t>Isoform 2 of Probable Xaa-Pro aminopeptidase 3</t>
  </si>
  <si>
    <t>Ras-related GTP-binding protein D</t>
  </si>
  <si>
    <t>Prefoldin subunit 4</t>
  </si>
  <si>
    <t>Omega-amidase NIT2</t>
  </si>
  <si>
    <t>Cell death regulator Aven</t>
  </si>
  <si>
    <t>Exosome complex component RRP46</t>
  </si>
  <si>
    <t>Kinesin-like protein KIF13B</t>
  </si>
  <si>
    <t>Actin-binding protein anillin</t>
  </si>
  <si>
    <t>Isoform 3 of Xaa-Pro aminopeptidase 1</t>
  </si>
  <si>
    <t>StAR-related lipid transfer protein 7, mitochondrial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</si>
  <si>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</si>
  <si>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</si>
  <si>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</si>
  <si>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</si>
  <si>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</si>
  <si>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</si>
  <si>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</si>
  <si>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</si>
  <si>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Eukaryotic translation initiation factor 4E transporter</t>
  </si>
  <si>
    <t>Spectrin beta chain, non-erythrocytic 5</t>
  </si>
  <si>
    <t>PRKCA-binding protein</t>
  </si>
  <si>
    <t>Isoform 3 of SH2B adapter protein 1</t>
  </si>
  <si>
    <t>CTP synthase 2</t>
  </si>
  <si>
    <t>DNA polymerase epsilon subunit 3</t>
  </si>
  <si>
    <t>Chromatin accessibility complex protein 1</t>
  </si>
  <si>
    <t>N-lysine methyltransferase SMYD2</t>
  </si>
  <si>
    <t>Isoform 2 of Epimerase family protein SDR39U1</t>
  </si>
  <si>
    <t>Yae1 domain-containing protein 1</t>
  </si>
  <si>
    <t>ATP-binding cassette sub-family B member 10, mitochondrial</t>
  </si>
  <si>
    <t>L-aminoadipate-semialdehyde dehydrogenase-phosphopantetheinyl transferase</t>
  </si>
  <si>
    <t>Methyltransferase-like protein 5</t>
  </si>
  <si>
    <t>Oligosaccharyltransferase complex subunit OSTC</t>
  </si>
  <si>
    <t>COX assembly mitochondrial protein 2 homolog</t>
  </si>
  <si>
    <t>Protein ACN9 homolog, mitochondrial</t>
  </si>
  <si>
    <t>Ubiquilin-4</t>
  </si>
  <si>
    <t>CDC42 small effector protein 1</t>
  </si>
  <si>
    <t>Isoform 2 of Sorting nexin-15</t>
  </si>
  <si>
    <t>Heme-binding protein 1</t>
  </si>
  <si>
    <t>Ras-related protein Rab-6B</t>
  </si>
  <si>
    <t>Dual specificity protein phosphatase 22</t>
  </si>
  <si>
    <t>Vacuolar protein sorting-associated protein 45</t>
  </si>
  <si>
    <t>14 kDa phosphohistidine phosphatase</t>
  </si>
  <si>
    <t>Serine incorporator 1</t>
  </si>
  <si>
    <t>Rho GTPase-activating protein 35</t>
  </si>
  <si>
    <t>Protein FAM114A2</t>
  </si>
  <si>
    <t>Phospholipid scramblase 3</t>
  </si>
  <si>
    <t>1-acyl-sn-glycerol-3-phosphate acyltransferase delta</t>
  </si>
  <si>
    <t>Isoform 2 of 1-acyl-sn-glycerol-3-phosphate acyltransferase gamma</t>
  </si>
  <si>
    <t>Isoform 3 of Lymphoid-specific helicase</t>
  </si>
  <si>
    <t>Glutaredoxin-2, mitochondrial</t>
  </si>
  <si>
    <t>Mitochondrial import receptor subunit TOM22 homolog</t>
  </si>
  <si>
    <t>LanC-like protein 2</t>
  </si>
  <si>
    <t>Beta-catenin-interacting protein 1</t>
  </si>
  <si>
    <t>Phenylalanine--tRNA ligase beta subunit</t>
  </si>
  <si>
    <t>Isoleucine--tRNA ligase, mitochondrial</t>
  </si>
  <si>
    <t>Isoform 3 of Uncharacterized protein C1orf112</t>
  </si>
  <si>
    <t>Isoform B of Protein FAM207A</t>
  </si>
  <si>
    <t>Ubiquitin-like-conjugating enzyme ATG3</t>
  </si>
  <si>
    <t>NAD-dependent protein deacetylase sirtuin-3, mitochondrial</t>
  </si>
  <si>
    <t>Phosphatidylinositide phosphatase SAC1</t>
  </si>
  <si>
    <t>Copper homeostasis protein cutC homolog</t>
  </si>
  <si>
    <t>Isoform 3 of Ethylmalonyl-CoA decarboxylase</t>
  </si>
  <si>
    <t>Isoform 2 of E3 ubiquitin-protein ligase RNF146</t>
  </si>
  <si>
    <t>RNA-binding protein 12</t>
  </si>
  <si>
    <t>TBC1 domain family member 22B</t>
  </si>
  <si>
    <t>Midasin</t>
  </si>
  <si>
    <t>LYR motif-containing protein 2</t>
  </si>
  <si>
    <t>Isoform 2 of Acetyl-coenzyme A synthetase 2-like, mitochondrial</t>
  </si>
  <si>
    <t>Palmitoyltransferase ZDHHC18</t>
  </si>
  <si>
    <t>p53 and DNA damage-regulated protein 1</t>
  </si>
  <si>
    <t>Mycophenolic acid acyl-glucuronide esterase, mitochondrial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</si>
  <si>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</si>
  <si>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</si>
  <si>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</si>
  <si>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</si>
  <si>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</si>
  <si>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</si>
  <si>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</si>
  <si>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</si>
  <si>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</si>
  <si>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</si>
  <si>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ATP-dependent RNA helicase DDX19A</t>
  </si>
  <si>
    <t>Tyrosyl-DNA phosphodiesterase 1</t>
  </si>
  <si>
    <t>Isoform 2 of TBC1 domain family member 23</t>
  </si>
  <si>
    <t>DDB1- and CUL4-associated factor 13</t>
  </si>
  <si>
    <t>Transmembrane protein 100</t>
  </si>
  <si>
    <t>MRG/MORF4L-binding protein</t>
  </si>
  <si>
    <t>Isoform 2 of Exocyst complex component 1</t>
  </si>
  <si>
    <t>Isoform 3 of Cell cycle control protein 50A</t>
  </si>
  <si>
    <t>Mediator of RNA polymerase II transcription subunit 17</t>
  </si>
  <si>
    <t>Pantothenate kinase 4</t>
  </si>
  <si>
    <t>TBC1 domain family member 13</t>
  </si>
  <si>
    <t>Exonuclease 3-5 domain-containing protein 2</t>
  </si>
  <si>
    <t>Isoform 3 of DnaJ homolog subfamily C member 11</t>
  </si>
  <si>
    <t>Isoform 4 of Integrator complex subunit 7</t>
  </si>
  <si>
    <t>Fanconi anemia group I protein</t>
  </si>
  <si>
    <t>Isoform 2 of ATPase family AAA domain-containing protein 3A</t>
  </si>
  <si>
    <t>ADP-ribosylation factor-like protein 8B</t>
  </si>
  <si>
    <t>Protein eva-1 homolog B</t>
  </si>
  <si>
    <t>Protein arginine N-methyltransferase 7</t>
  </si>
  <si>
    <t>DnaJ homolog subfamily C member 17</t>
  </si>
  <si>
    <t>Protein asunder homolog</t>
  </si>
  <si>
    <t>Fas apoptotic inhibitory molecule 1</t>
  </si>
  <si>
    <t>Kelch-like protein 11</t>
  </si>
  <si>
    <t>Protein kintoun</t>
  </si>
  <si>
    <t>Armadillo repeat-containing protein 1</t>
  </si>
  <si>
    <t>Trimeric intracellular cation channel type B</t>
  </si>
  <si>
    <t>Notchless protein homolog 1</t>
  </si>
  <si>
    <t>Kelch repeat and BTB domain-containing protein 4</t>
  </si>
  <si>
    <t>Adaptin ear-binding coat-associated protein 2</t>
  </si>
  <si>
    <t>Pre-mRNA-splicing factor RBM22</t>
  </si>
  <si>
    <t>WD repeat-containing protein 70</t>
  </si>
  <si>
    <t>Mediator of RNA polymerase II transcription subunit 9</t>
  </si>
  <si>
    <t>Arginine and glutamate-rich protein 1</t>
  </si>
  <si>
    <t>SAFB-like transcription modulator</t>
  </si>
  <si>
    <t>Isoform 2 of Box C/D snoRNA protein 1</t>
  </si>
  <si>
    <t>CUE domain-containing protein 1</t>
  </si>
  <si>
    <t>Peptidyl-prolyl cis-trans isomerase FKBP14</t>
  </si>
  <si>
    <t>Phosphoprotein associated with glycosphingolipid-enriched microdomains 1</t>
  </si>
  <si>
    <t>Uncharacterized protein C14orf119</t>
  </si>
  <si>
    <t>Coiled-coil domain-containing protein 109B</t>
  </si>
  <si>
    <t>Protein FAM118A</t>
  </si>
  <si>
    <t>Hypoxia-inducible factor 1-alpha inhibitor</t>
  </si>
  <si>
    <t>3-oxoacyl-[acyl-carrier-protein] synthase, mitochondrial</t>
  </si>
  <si>
    <t>UPF0587 protein C1orf123</t>
  </si>
  <si>
    <t>Ankyrin repeat and SOCS box protein 6</t>
  </si>
  <si>
    <t>Probable tRNA(His) guanylyltransferase</t>
  </si>
  <si>
    <t>UPF0609 protein C4orf27</t>
  </si>
  <si>
    <t>Interleukin-1 receptor-associated kinase 4</t>
  </si>
  <si>
    <t>Thioredoxin-like protein 4B</t>
  </si>
  <si>
    <t>COMM domain-containing protein 8</t>
  </si>
  <si>
    <t>NADH dehydrogenase [ubiquinone] 1 beta subcomplex subunit 11, mitochondrial</t>
  </si>
  <si>
    <t>H/ACA ribonucleoprotein complex subunit 2</t>
  </si>
  <si>
    <t>Protein FAM206A</t>
  </si>
  <si>
    <t>OCIA domain-containing protein 1</t>
  </si>
  <si>
    <t>Poly(ADP-ribose) glycohydrolase ARH3</t>
  </si>
  <si>
    <t>E3 ubiquitin-protein ligase MARCH5</t>
  </si>
  <si>
    <t>Inositol monophosphatase 3</t>
  </si>
  <si>
    <t>Mediator of RNA polymerase II transcription subunit 29</t>
  </si>
  <si>
    <t>tRNA-dihydrouridine(20) synthase [NAD(P)+]-like</t>
  </si>
  <si>
    <t>NAD-dependent protein deacylase sirtuin-5, mitochondrial</t>
  </si>
  <si>
    <t>DDB1- and CUL4-associated factor 16</t>
  </si>
  <si>
    <t>tRNA (guanine(26)-N(2))-dimethyltransferase</t>
  </si>
  <si>
    <t>Isoform 2 of Ganglioside-induced differentiation-associated protein 2</t>
  </si>
  <si>
    <t>Isoform 2 of Nuclear distribution protein nudE homolog 1</t>
  </si>
  <si>
    <t>BRCA1-A complex subunit BRE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</si>
  <si>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</si>
  <si>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</si>
  <si>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</si>
  <si>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</si>
  <si>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Serine/threonine-protein phosphatase 4 regulatory subunit 2</t>
  </si>
  <si>
    <t>Telomeric repeat-binding factor 2-interacting protein 1</t>
  </si>
  <si>
    <t>U3 small nucleolar RNA-associated protein 6 homolog</t>
  </si>
  <si>
    <t>Cytochrome c oxidase assembly factor 4 homolog, mitochondrial</t>
  </si>
  <si>
    <t>TGF-beta-activated kinase 1 and MAP3K7-binding protein 2</t>
  </si>
  <si>
    <t>39S ribosomal protein L39, mitochondrial</t>
  </si>
  <si>
    <t>Isoform 2 of Mitogen-activated protein kinase kinase kinase MLT</t>
  </si>
  <si>
    <t>Tropomodulin-3</t>
  </si>
  <si>
    <t>Protein Mis18-alpha</t>
  </si>
  <si>
    <t>Isoform 2 of UDP-glucose:glycoprotein glucosyltransferase 1</t>
  </si>
  <si>
    <t>FAST kinase domain-containing protein 2</t>
  </si>
  <si>
    <t>G2 and S phase-expressed protein 1</t>
  </si>
  <si>
    <t>Very-long-chain enoyl-CoA reductase</t>
  </si>
  <si>
    <t>Isoform 2 of Ubiquitin-associated protein 1</t>
  </si>
  <si>
    <t>Actin-related protein 10</t>
  </si>
  <si>
    <t>CDGSH iron-sulfur domain-containing protein 1</t>
  </si>
  <si>
    <t>Podocalyxin-like protein 2</t>
  </si>
  <si>
    <t>Uncharacterized protein C9orf78</t>
  </si>
  <si>
    <t>Isoform 3 of Chloride intracellular channel protein 5</t>
  </si>
  <si>
    <t>Isoform 6 of Molybdenum cofactor biosynthesis protein 1</t>
  </si>
  <si>
    <t>Glycerophosphodiester phosphodiesterase 1</t>
  </si>
  <si>
    <t>WW domain-containing oxidoreductase</t>
  </si>
  <si>
    <t>SWI/SNF-related matrix-associated actin-dependent regulator of chromatin subfamily A-like protein 1</t>
  </si>
  <si>
    <t>Isoform 2 of Maspardin</t>
  </si>
  <si>
    <t>Insulin-like growth factor 2 mRNA-binding protein 1</t>
  </si>
  <si>
    <t>Isoform 2 of Sacsin</t>
  </si>
  <si>
    <t>Hexaprenyldihydroxybenzoate methyltransferase, mitochondrial</t>
  </si>
  <si>
    <t>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</si>
  <si>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</si>
  <si>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</si>
  <si>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</si>
  <si>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Isoform 4 of Intersectin-2</t>
  </si>
  <si>
    <t>EH domain-containing protein 3</t>
  </si>
  <si>
    <t>Rho guanine nucleotide exchange factor 12</t>
  </si>
  <si>
    <t>Isoform 3 of NCK-interacting protein with SH3 domain</t>
  </si>
  <si>
    <t>Isoform 2 of Opioid growth factor receptor</t>
  </si>
  <si>
    <t>LIM and cysteine-rich domains protein 1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</si>
  <si>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</si>
  <si>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</si>
  <si>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</si>
  <si>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</si>
  <si>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</si>
  <si>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</si>
  <si>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</si>
  <si>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</si>
  <si>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Very-long-chain (3R)-3-hydroxyacyl-[acyl-carrier protein] dehydratase 3</t>
  </si>
  <si>
    <t>Coiled-coil domain-containing protein 167</t>
  </si>
  <si>
    <t>[Pyruvate dehydrogenase [acetyl-transferring]]-phosphatase 1, mitochondrial</t>
  </si>
  <si>
    <t>Vesicle-associated membrane protein-associated protein A</t>
  </si>
  <si>
    <t>Serine/threonine-protein kinase MARK1</t>
  </si>
  <si>
    <t>E3 ubiquitin-protein ligase RNF181</t>
  </si>
  <si>
    <t>GSK3-beta interaction protein</t>
  </si>
  <si>
    <t>SH3 domain-binding protein 4</t>
  </si>
  <si>
    <t>Schwannomin-interacting protein 1</t>
  </si>
  <si>
    <t>DNA-directed RNA polymerase I subunit RPA12</t>
  </si>
  <si>
    <t>Calmodulin-regulated spectrin-associated protein 3</t>
  </si>
  <si>
    <t>Isoform 2 of Calcium-binding and coiled-coil domain-containing protein 1</t>
  </si>
  <si>
    <t>Uncharacterized protein KIAA1522</t>
  </si>
  <si>
    <t>Protein RCC2</t>
  </si>
  <si>
    <t>Isoform 2 of LisH domain and HEAT repeat-containing protein KIAA1468</t>
  </si>
  <si>
    <t>Disco-interacting protein 2 homolog B</t>
  </si>
  <si>
    <t>Junctional protein associated with coronary artery disease</t>
  </si>
  <si>
    <t>SLAIN motif-containing protein 2</t>
  </si>
  <si>
    <t>Isoform 2 of BRCA2 and CDKN1A-interacting protein</t>
  </si>
  <si>
    <t>Prostaglandin F2 receptor negative regulator</t>
  </si>
  <si>
    <t>CTTNBP2 N-terminal-like protein</t>
  </si>
  <si>
    <t>Isoform 4 of Chromodomain-helicase-DNA-binding protein 7</t>
  </si>
  <si>
    <t>Isoform 3 of HEAT repeat-containing protein 5B</t>
  </si>
  <si>
    <t>Isoform 5 of Dynein heavy chain 1, axonemal</t>
  </si>
  <si>
    <t>Ribosome-binding protein 1</t>
  </si>
  <si>
    <t>Cleavage and polyadenylation specificity factor subunit 2</t>
  </si>
  <si>
    <t>Cingulin</t>
  </si>
  <si>
    <t>RNA-binding protein 27</t>
  </si>
  <si>
    <t>Ankyrin repeat and FYVE domain-containing protein 1</t>
  </si>
  <si>
    <t>Isoform 2 of Homologous-pairing protein 2 homolog</t>
  </si>
  <si>
    <t>Dolichol-phosphate mannosyltransferase subunit 3</t>
  </si>
  <si>
    <t>Ataxin-10</t>
  </si>
  <si>
    <t>Neurochondrin</t>
  </si>
  <si>
    <t>Tuftelin-interacting protein 11</t>
  </si>
  <si>
    <t>Isoform 2 of Epidermal growth factor receptor substrate 15-like 1</t>
  </si>
  <si>
    <t>Isoform 3 of Origin recognition complex subunit 3</t>
  </si>
  <si>
    <t>SUMO-activating enzyme subunit 1</t>
  </si>
  <si>
    <t>Coatomer subunit gamma-2</t>
  </si>
  <si>
    <t>RING-box protein 2</t>
  </si>
  <si>
    <t>Isoform 2 of Phosphatidylinositol 4-kinase beta</t>
  </si>
  <si>
    <t>Guanine nucleotide-binding protein G(I)/G(S)/G(O) subunit gamma-12</t>
  </si>
  <si>
    <t>Isoform B of Methionine synthase reductase</t>
  </si>
  <si>
    <t>Isoform 2 of Copine-7</t>
  </si>
  <si>
    <t>7-dehydrocholesterol reductase</t>
  </si>
  <si>
    <t>Tumor necrosis factor receptor superfamily member 10D</t>
  </si>
  <si>
    <t>Isoform 3 of Spastin</t>
  </si>
  <si>
    <t>tRNA (guanine-N(7)-)-methyltransferase</t>
  </si>
  <si>
    <t>Vacuolar protein sorting-associated protein 29</t>
  </si>
  <si>
    <t>Glyoxylate reductase/hydroxypyruvate reductase</t>
  </si>
  <si>
    <t>Ribosomal protein S6 kinase beta-2</t>
  </si>
  <si>
    <t>DnaJ homolog subfamily B member 11</t>
  </si>
  <si>
    <t>Isoform 2 of E3 ubiquitin-protein ligase RNF14</t>
  </si>
  <si>
    <t>SUMO-activating enzyme subunit 2</t>
  </si>
  <si>
    <t>Protein FAM8A1</t>
  </si>
  <si>
    <t>Isoform 2 of Mortality factor 4-like protein 1</t>
  </si>
  <si>
    <t>Peflin</t>
  </si>
  <si>
    <t>Zinc finger MYM-type protein 2</t>
  </si>
  <si>
    <t>COP9 signalosome complex subunit 7a</t>
  </si>
  <si>
    <t>Mitochondrial fission process protein 1</t>
  </si>
  <si>
    <t>Isoform C1 of Tight junction protein ZO-2</t>
  </si>
  <si>
    <t>DnaJ homolog subfamily B member 4</t>
  </si>
  <si>
    <t>Isoform 2 of Mucosa-associated lymphoid tissue lymphoma translocation protein 1</t>
  </si>
  <si>
    <t>Craniofacial development protein 1</t>
  </si>
  <si>
    <t>Myelin protein zero-like protein 1 (Fragment)</t>
  </si>
  <si>
    <t>Isoform 3 of Death domain-associated protein 6</t>
  </si>
  <si>
    <t>Isoform 2 of Putative tRNA (cytidine(32)/guanosine(34)-2-O)-methyltransferase</t>
  </si>
  <si>
    <t>Vesicle transport through interaction with t-SNAREs homolog 1B</t>
  </si>
  <si>
    <t>STE20/SPS1-related proline-alanine-rich protein kinase</t>
  </si>
  <si>
    <t>Isoform 1 of Gamma-adducin</t>
  </si>
  <si>
    <t>Leucine-rich repeat and WD repeat-containing protein 1</t>
  </si>
  <si>
    <t>UPF0449 protein C19orf25</t>
  </si>
  <si>
    <t>CGG triplet repeat-binding protein 1</t>
  </si>
  <si>
    <t>Isoform 2 of Phosphatidylserine decarboxylase proenzyme</t>
  </si>
  <si>
    <t>ATP-binding cassette sub-family F member 2</t>
  </si>
  <si>
    <t>Testin</t>
  </si>
  <si>
    <t>Isoform 2 of Testin</t>
  </si>
  <si>
    <t>Secretion-regulating guanine nucleotide exchange factor</t>
  </si>
  <si>
    <t>LIM domain-containing protein 1</t>
  </si>
  <si>
    <t>Translocation protein SEC63 homolog</t>
  </si>
  <si>
    <t>Isoform 2 of Calcium channel flower homolog</t>
  </si>
  <si>
    <t>Isoform 2 of Transcription factor 20</t>
  </si>
  <si>
    <t>Armadillo repeat-containing X-linked protein 3</t>
  </si>
  <si>
    <t>SS18-like protein 2</t>
  </si>
  <si>
    <t>Ragulator complex protein LAMTOR3</t>
  </si>
  <si>
    <t>Isoform 3 of NADPH-dependent diflavin oxidoreductase 1</t>
  </si>
  <si>
    <t>LIM domain and actin-binding protein 1</t>
  </si>
  <si>
    <t>Cysteine and histidine-rich domain-containing protein 1</t>
  </si>
  <si>
    <t>Isoform 7 of Septin-9</t>
  </si>
  <si>
    <t>Ubiquilin-2</t>
  </si>
  <si>
    <t>ProSAAS</t>
  </si>
  <si>
    <t>Prenylcysteine oxidase 1</t>
  </si>
  <si>
    <t>Probable ATP-dependent RNA helicase DDX20</t>
  </si>
  <si>
    <t>Sedoheptulokinase</t>
  </si>
  <si>
    <t>Isoform 2 of Transmembrane protein 2</t>
  </si>
  <si>
    <t>Ubiquitin carboxyl-terminal hydrolase 25</t>
  </si>
  <si>
    <t>B-cell receptor-associated protein 29</t>
  </si>
  <si>
    <t>NADH-cytochrome b5 reductase 1</t>
  </si>
  <si>
    <t>Brain-specific angiogenesis inhibitor 1-associated protein 2-like protein 1</t>
  </si>
  <si>
    <t>Zinc finger HIT domain-containing protein 2</t>
  </si>
  <si>
    <t>Prefoldin subunit 2</t>
  </si>
  <si>
    <t>GPN-loop GTPase 3</t>
  </si>
  <si>
    <t>Isoform 4 of Poly(U)-binding-splicing factor PUF60</t>
  </si>
  <si>
    <t>Nuclear receptor-binding protein</t>
  </si>
  <si>
    <t>Enolase-phosphatase E1</t>
  </si>
  <si>
    <t>Ena/VASP-like protein</t>
  </si>
  <si>
    <t>Isoform 2 of V-type proton ATPase subunit H</t>
  </si>
  <si>
    <t>Importin-11</t>
  </si>
  <si>
    <t>tRNA methyltransferase 112 homolog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</si>
  <si>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</si>
  <si>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</si>
  <si>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</si>
  <si>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</si>
  <si>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GTP:AMP phosphotransferase AK3, mitochondrial</t>
  </si>
  <si>
    <t>FK506-binding protein-like</t>
  </si>
  <si>
    <t>Isoform 3 of Leucyl-cystinyl aminopeptidase</t>
  </si>
  <si>
    <t>Rab5 GDP/GTP exchange factor</t>
  </si>
  <si>
    <t>N-acetyl-D-glucosamine kinase</t>
  </si>
  <si>
    <t>tRNA (adenine(58)-N(1))-methyltransferase non-catalytic subunit TRM6</t>
  </si>
  <si>
    <t>Calcium-binding mitochondrial carrier protein Aralar2</t>
  </si>
  <si>
    <t>Drebrin-like protein</t>
  </si>
  <si>
    <t>Isoform 2 of Drebrin-like protein</t>
  </si>
  <si>
    <t>Isoform 2 of Dynactin subunit 4</t>
  </si>
  <si>
    <t>Isoform 2 of Anaphase-promoting complex subunit 7</t>
  </si>
  <si>
    <t>Isoform 2 of Anaphase-promoting complex subunit 2</t>
  </si>
  <si>
    <t>Heat shock protein beta-8</t>
  </si>
  <si>
    <t>ADP-ribosylation factor-binding protein GGA2</t>
  </si>
  <si>
    <t>Isoform 4 of ADP-ribosylation factor-binding protein GGA1</t>
  </si>
  <si>
    <t>Stomatin-like protein 2, mitochondrial</t>
  </si>
  <si>
    <t>N-acetylglucosamine-1-phosphodiester alpha-N-acetylglucosaminidase</t>
  </si>
  <si>
    <t>U6 snRNA-associated Sm-like protein LSm7</t>
  </si>
  <si>
    <t>Lariat debranching enzyme</t>
  </si>
  <si>
    <t>Hematological and neurological expressed 1 protein</t>
  </si>
  <si>
    <t>F-box only protein 3</t>
  </si>
  <si>
    <t>DnaJ homolog subfamily C member 12</t>
  </si>
  <si>
    <t>Cleavage and polyadenylation specificity factor subunit 3</t>
  </si>
  <si>
    <t>DCC-interacting protein 13-alpha</t>
  </si>
  <si>
    <t>Serine/threonine-protein kinase tousled-like 1</t>
  </si>
  <si>
    <t>Isoform 2 of G patch domain-containing protein 8</t>
  </si>
  <si>
    <t>ADP-sugar pyrophosphatase</t>
  </si>
  <si>
    <t>Isoform 2 of Phosphatidylcholine transfer protein</t>
  </si>
  <si>
    <t>General transcription factor 3C polypeptide 4</t>
  </si>
  <si>
    <t>Protein kinase C and casein kinase substrate in neurons protein 3</t>
  </si>
  <si>
    <t>Isoform 2 of F-box only protein 5</t>
  </si>
  <si>
    <t>Isobutyryl-CoA dehydrogenase, mitochondrial</t>
  </si>
  <si>
    <t>E3 ubiquitin-protein ligase AMFR</t>
  </si>
  <si>
    <t>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</si>
  <si>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</si>
  <si>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</si>
  <si>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</si>
  <si>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</si>
  <si>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</si>
  <si>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Paraneoplastic antigen Ma2</t>
  </si>
  <si>
    <t>Proteasome activator complex subunit 2</t>
  </si>
  <si>
    <t>Isoform 2 of Serine/threonine-protein kinase TAO2</t>
  </si>
  <si>
    <t>Ras-related protein Rab-23</t>
  </si>
  <si>
    <t>Malignant T-cell-amplified sequence 1</t>
  </si>
  <si>
    <t>Paladin</t>
  </si>
  <si>
    <t>Zinc transporter ZIP10</t>
  </si>
  <si>
    <t>Arf-GAP with SH3 domain, ANK repeat and PH domain-containing protein 1</t>
  </si>
  <si>
    <t>Isoform 4 of MKL/myocardin-like protein 2</t>
  </si>
  <si>
    <t>Isoform 2 of Zinc finger and BTB domain-containing protein 21</t>
  </si>
  <si>
    <t>Zinc finger MIZ domain-containing protein 1</t>
  </si>
  <si>
    <t>Isoform 2 of Ankyrin repeat domain-containing protein 50</t>
  </si>
  <si>
    <t>Isoform 2 of TBC1 domain family member 24</t>
  </si>
  <si>
    <t>Pre-mRNA-splicing factor ISY1 homolog</t>
  </si>
  <si>
    <t>Protein phosphatase 1H</t>
  </si>
  <si>
    <t>Polyadenylate-binding protein-interacting protein 2B</t>
  </si>
  <si>
    <t>E3 ubiquitin-protein ligase HECTD1</t>
  </si>
  <si>
    <t>Coronin-1C</t>
  </si>
  <si>
    <t>Targeting protein for Xklp2</t>
  </si>
  <si>
    <t>RNA-binding protein NOB1</t>
  </si>
  <si>
    <t>Anaphase-promoting complex subunit 10</t>
  </si>
  <si>
    <t>Histone-lysine N-methyltransferase MLL4</t>
  </si>
  <si>
    <t>ATP-dependent RNA helicase DDX19B</t>
  </si>
  <si>
    <t>Isoform 3 of NFU1 iron-sulfur cluster scaffold homolog, mitochondrial</t>
  </si>
  <si>
    <t>Pre-mRNA-processing factor 19</t>
  </si>
  <si>
    <t>Ubiquilin-1</t>
  </si>
  <si>
    <t>Suppressor of fused homolog</t>
  </si>
  <si>
    <t>Neudesin</t>
  </si>
  <si>
    <t>Isoform 2 of Sorting nexin-12</t>
  </si>
  <si>
    <t>Isoform 5 of Synergin gamma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</si>
  <si>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</si>
  <si>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</si>
  <si>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</si>
  <si>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</si>
  <si>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</si>
  <si>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nexin-7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</si>
  <si>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</si>
  <si>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</si>
  <si>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</si>
  <si>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</si>
  <si>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</si>
  <si>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</si>
  <si>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</si>
  <si>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Isoform 2 of Protein timeless homolog</t>
  </si>
  <si>
    <t>COP9 signalosome complex subunit 3</t>
  </si>
  <si>
    <t>Isoform 2 of Rab-like protein 2B</t>
  </si>
  <si>
    <t>Multiple inositol polyphosphate phosphatase 1</t>
  </si>
  <si>
    <t>RNA-binding protein Nova-2</t>
  </si>
  <si>
    <t>Transcription termination factor 2</t>
  </si>
  <si>
    <t>Isoform 3 of NSFL1 cofactor p47</t>
  </si>
  <si>
    <t>Leydig cell tumor 10 kDa protein homolog</t>
  </si>
  <si>
    <t>Conserved oligomeric Golgi complex subunit 5</t>
  </si>
  <si>
    <t>Isoform 5 of Solute carrier family 12 member 4</t>
  </si>
  <si>
    <t>B9 domain-containing protein 1</t>
  </si>
  <si>
    <t>Protein SCAF8</t>
  </si>
  <si>
    <t>Serine/threonine-protein phosphatase 6 regulatory subunit 1</t>
  </si>
  <si>
    <t>Isoform Beta of E3 ubiquitin-protein ligase TRIM33</t>
  </si>
  <si>
    <t>Isoform 2 of Trinucleotide repeat-containing gene 6B protein</t>
  </si>
  <si>
    <t>Inactive phospholipase C-like protein 2</t>
  </si>
  <si>
    <t>Protein SMG5</t>
  </si>
  <si>
    <t>Isoform 2 of Exocyst complex component 7</t>
  </si>
  <si>
    <t>Zinc finger CCCH domain-containing protein 4</t>
  </si>
  <si>
    <t>Ubiquitin carboxyl-terminal hydrolase 22</t>
  </si>
  <si>
    <t>Ubiquitin carboxyl-terminal hydrolase 24</t>
  </si>
  <si>
    <t>Cytosolic carboxypeptidase 1</t>
  </si>
  <si>
    <t>Microtubule-associated protein RP/EB family member 3</t>
  </si>
  <si>
    <t>Isoform 2 of Microtubule-associated protein RP/EB family member 3</t>
  </si>
  <si>
    <t>Isoform 2 of Leucine-rich repeat protein SHOC-2</t>
  </si>
  <si>
    <t>Serine/arginine repetitive matrix protein 2</t>
  </si>
  <si>
    <t>Isoform 2 of Alpha-1,3-mannosyl-glycoprotein 4-beta-N-acetylglucosaminyltransferase B</t>
  </si>
  <si>
    <t>Proliferation-associated protein 2G4</t>
  </si>
  <si>
    <t>Paraplegin</t>
  </si>
  <si>
    <t>Structural maintenance of chromosomes protein 3</t>
  </si>
  <si>
    <t>Charged multivesicular body protein 2b</t>
  </si>
  <si>
    <t>Sex comb on midleg-like protein 2</t>
  </si>
  <si>
    <t>Myotubularin-related protein 6</t>
  </si>
  <si>
    <t>UPF0568 protein C14orf166</t>
  </si>
  <si>
    <t>RuvB-like 2</t>
  </si>
  <si>
    <t>Peptidyl-prolyl cis-trans isomerase NIMA-interacting 4</t>
  </si>
  <si>
    <t>Transcription factor 19</t>
  </si>
  <si>
    <t>Isoform 2 of RAC-gamma serine/threonine-protein kinase</t>
  </si>
  <si>
    <t>DNA replication complex GINS protein PSF2</t>
  </si>
  <si>
    <t>PRELI domain-containing protein 1, mitochondrial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</si>
  <si>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</si>
  <si>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</si>
  <si>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</si>
  <si>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</si>
  <si>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</si>
  <si>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</si>
  <si>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</si>
  <si>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Histone chaperone ASF1A</t>
  </si>
  <si>
    <t>Developmentally-regulated GTP-binding protein 1</t>
  </si>
  <si>
    <t>Nck-associated protein 1</t>
  </si>
  <si>
    <t>Protein canopy homolog 2</t>
  </si>
  <si>
    <t>Uronyl 2-sulfotransferase</t>
  </si>
  <si>
    <t>Isoform 4 of A-kinase anchor protein 2</t>
  </si>
  <si>
    <t>Isoform 4 of Caspase recruitment domain-containing protein 8</t>
  </si>
  <si>
    <t>GDP-fucose protein O-fucosyltransferase 2</t>
  </si>
  <si>
    <t>Isoform 2 of Disks large-associated protein 4</t>
  </si>
  <si>
    <t>Serine/threonine-protein kinase 38-like</t>
  </si>
  <si>
    <t>Isoform 2 of Fibronectin type-III domain-containing protein 3A</t>
  </si>
  <si>
    <t>Isoform B of Band 4.1-like protein 3</t>
  </si>
  <si>
    <t>Ubiquitin carboxyl-terminal hydrolase 20</t>
  </si>
  <si>
    <t>Isoform 4 of Lysine-specific demethylase 2A</t>
  </si>
  <si>
    <t>Exosome complex exonuclease RRP44</t>
  </si>
  <si>
    <t>Isoform 3 of Probable phospholipid-transporting ATPase IA</t>
  </si>
  <si>
    <t>Ragulator complex protein LAMTOR2</t>
  </si>
  <si>
    <t>Cytochrome c oxidase assembly protein 3 homolog, mitochondrial</t>
  </si>
  <si>
    <t>DNA-directed RNA polymerases I and III subunit RPAC2</t>
  </si>
  <si>
    <t>Translation machinery-associated protein 7</t>
  </si>
  <si>
    <t>Polymerase delta-interacting protein 2</t>
  </si>
  <si>
    <t>Mitogen-activated protein kinase kinase kinase 2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</si>
  <si>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</si>
  <si>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</si>
  <si>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</si>
  <si>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</si>
  <si>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Nucleolar protein 58</t>
  </si>
  <si>
    <t>ARF GTPase-activating protein GIT1</t>
  </si>
  <si>
    <t>DNA-directed RNA polymerase III subunit RPC10</t>
  </si>
  <si>
    <t>Isoform 2 of Suppressor of G2 allele of SKP1 homolog</t>
  </si>
  <si>
    <t>Isoform 6 of Protein MTO1 homolog, mitochondrial</t>
  </si>
  <si>
    <t>Tyrosine--tRNA ligase, mitochondrial</t>
  </si>
  <si>
    <t>Isoform 3 of Ubiquinone biosynthesis monooxygenase COQ6</t>
  </si>
  <si>
    <t>Isoform 2 of Putative N-acetylglucosamine-6-phosphate deacetylase</t>
  </si>
  <si>
    <t>Acyl-coenzyme A thioesterase 9, mitochondrial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</si>
  <si>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</si>
  <si>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</si>
  <si>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</si>
  <si>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</si>
  <si>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</si>
  <si>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</si>
  <si>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</si>
  <si>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</si>
  <si>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</si>
  <si>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Isoform 2 of Dehydrogenase/reductase SDR family member 7</t>
  </si>
  <si>
    <t>MOB-like protein phocein</t>
  </si>
  <si>
    <t>Ribosome maturation protein SBDS</t>
  </si>
  <si>
    <t>Transmembrane emp24 domain-containing protein 5</t>
  </si>
  <si>
    <t>Isoform 2 of Transmembrane emp24 domain-containing protein 7</t>
  </si>
  <si>
    <t>Pre-mRNA branch site protein p14</t>
  </si>
  <si>
    <t>39S ribosomal protein L11, mitochondrial</t>
  </si>
  <si>
    <t>RRP15-like protein</t>
  </si>
  <si>
    <t>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</si>
  <si>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</si>
  <si>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</si>
  <si>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</si>
  <si>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</si>
  <si>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</si>
  <si>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</si>
  <si>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</si>
  <si>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Hepatoma-derived growth factor-related protein 3</t>
  </si>
  <si>
    <t>BolA-like protein 1</t>
  </si>
  <si>
    <t>Isoform 4 of Charged multivesicular body protein 3</t>
  </si>
  <si>
    <t>Serine-threonine kinase receptor-associated protein</t>
  </si>
  <si>
    <t>tRNA-splicing ligase RtcB homolog</t>
  </si>
  <si>
    <t>F-box only protein 7</t>
  </si>
  <si>
    <t>Ras-related protein Rap-2c</t>
  </si>
  <si>
    <t>Rab GTPase-activating protein 1</t>
  </si>
  <si>
    <t>TSC22 domain family protein 4</t>
  </si>
  <si>
    <t>Zinc finger protein 330</t>
  </si>
  <si>
    <t>R3H and coiled-coil domain-containing protein 1</t>
  </si>
  <si>
    <t>Nucleolar complex protein 2 homolog</t>
  </si>
  <si>
    <t>Isoform 2 of RWD domain-containing protein 3</t>
  </si>
  <si>
    <t>Coiled-coil domain-containing protein 9</t>
  </si>
  <si>
    <t>Isoform 4 of Deoxynucleoside triphosphate triphosphohydrolase SAMHD1</t>
  </si>
  <si>
    <t>Small kinetochore-associated protein</t>
  </si>
  <si>
    <t>Isoform 3 of HBS1-like protein</t>
  </si>
  <si>
    <t>5-AMP-activated protein kinase subunit beta-1</t>
  </si>
  <si>
    <t>Talin-1</t>
  </si>
  <si>
    <t>Helicase ARIP4</t>
  </si>
  <si>
    <t>Lysine-specific demethylase 3A</t>
  </si>
  <si>
    <t>Isoform 2 of Protein FAM115A</t>
  </si>
  <si>
    <t>Malignant fibrous histiocytoma-amplified sequence 1</t>
  </si>
  <si>
    <t>Isoform 2 of Plexin-D1</t>
  </si>
  <si>
    <t>Isoform 2 of WASH complex subunit FAM21C</t>
  </si>
  <si>
    <t>Ubiquitin carboxyl-terminal hydrolase 15</t>
  </si>
  <si>
    <t>Talin-2</t>
  </si>
  <si>
    <t>Rap guanine nucleotide exchange factor 2</t>
  </si>
  <si>
    <t>Insulin receptor substrate 2</t>
  </si>
  <si>
    <t>TNF receptor-associated factor 6</t>
  </si>
  <si>
    <t>Mitogen-activated protein kinase kinase kinase kinase 5</t>
  </si>
  <si>
    <t>Isoform 6 of Cysteine protease ATG4B</t>
  </si>
  <si>
    <t>Isoform 3 of WD repeat domain phosphoinositide-interacting protein 2</t>
  </si>
  <si>
    <t>Telomere length regulation protein TEL2 homolog</t>
  </si>
  <si>
    <t>Methylmalonic aciduria and homocystinuria type C protein</t>
  </si>
  <si>
    <t>AFG3-like protein 2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</si>
  <si>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</si>
  <si>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</si>
  <si>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</si>
  <si>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</si>
  <si>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Leucine-rich repeat-containing protein 42</t>
  </si>
  <si>
    <t>Protein phosphatase methylesterase 1</t>
  </si>
  <si>
    <t>Mitochondrial import inner membrane translocase subunit Tim22</t>
  </si>
  <si>
    <t>Isoform 3 of BTB/POZ domain-containing protein KCTD3</t>
  </si>
  <si>
    <t>YTH domain family protein 2</t>
  </si>
  <si>
    <t>RNA polymerase II subunit A C-terminal domain phosphatase</t>
  </si>
  <si>
    <t>Isoform 3 of PAX3- and PAX7-binding protein 1</t>
  </si>
  <si>
    <t>Isoform 2 of Nucleoside diphosphate kinase 7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</si>
  <si>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</si>
  <si>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</si>
  <si>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</si>
  <si>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</si>
  <si>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</si>
  <si>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</si>
  <si>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Mitochondrial import inner membrane translocase subunit Tim13</t>
  </si>
  <si>
    <t>Signal recognition particle receptor subunit beta</t>
  </si>
  <si>
    <t>HemK methyltransferase family member 2</t>
  </si>
  <si>
    <t>Origin recognition complex subunit 6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</si>
  <si>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</si>
  <si>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</si>
  <si>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</si>
  <si>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</si>
  <si>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Serine/threonine-protein kinase MRCK beta</t>
  </si>
  <si>
    <t>RNA-binding protein 8A</t>
  </si>
  <si>
    <t>Isoform 2 of Protein TSSC4</t>
  </si>
  <si>
    <t>Zinc finger protein 706</t>
  </si>
  <si>
    <t>Melanoma-associated antigen D1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</si>
  <si>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</si>
  <si>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</si>
  <si>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</si>
  <si>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</si>
  <si>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</si>
  <si>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</si>
  <si>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Isoform 2 of UbiA prenyltransferase domain-containing protein 1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</si>
  <si>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</si>
  <si>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</si>
  <si>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</si>
  <si>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</si>
  <si>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Mitochondrial ornithine transporter 1</t>
  </si>
  <si>
    <t>Isoform 1 of Neuroplastin</t>
  </si>
  <si>
    <t>Dolichyl-phosphate beta-glucosyltransferase</t>
  </si>
  <si>
    <t>Coatomer subunit gamma-1</t>
  </si>
  <si>
    <t>Isoform Short of Ancient ubiquitous protein 1</t>
  </si>
  <si>
    <t>Isoform 3 of Peptidyl-prolyl cis-trans isomerase FKBP7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</si>
  <si>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</si>
  <si>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</si>
  <si>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</si>
  <si>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</si>
  <si>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</si>
  <si>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</si>
  <si>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</si>
  <si>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</si>
  <si>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</si>
  <si>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</si>
  <si>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Cytoplasmic dynein 1 light intermediate chain 1</t>
  </si>
  <si>
    <t>Coiled-coil-helix-coiled-coil-helix domain-containing protein 2, mitochondrial</t>
  </si>
  <si>
    <t>Isoform 3 of Epsin-1</t>
  </si>
  <si>
    <t>Testis-expressed sequence 264 protein</t>
  </si>
  <si>
    <t>Choline/ethanolaminephosphotransferase 1</t>
  </si>
  <si>
    <t>NF-kappa-B essential modulator</t>
  </si>
  <si>
    <t>Zinc transporter 1</t>
  </si>
  <si>
    <t>Cytochrome c oxidase assembly protein COX11, mitochondrial</t>
  </si>
  <si>
    <t>Isoform 6 of Roundabout homolog 1</t>
  </si>
  <si>
    <t>Stonin-1</t>
  </si>
  <si>
    <t>Isoform 2 of Nuclear receptor coactivator 3</t>
  </si>
  <si>
    <t>Numb-like protein</t>
  </si>
  <si>
    <t>Probable ATP-dependent RNA helicase DDX49</t>
  </si>
  <si>
    <t>Calpain-7</t>
  </si>
  <si>
    <t>Wiskott-Aldrich syndrome protein family member 2</t>
  </si>
  <si>
    <t>Bis(5-adenosyl)-triphosphatase ENPP4</t>
  </si>
  <si>
    <t>Zinc fingers and homeoboxes protein 2</t>
  </si>
  <si>
    <t>Motile sperm domain-containing protein 2</t>
  </si>
  <si>
    <t>26S proteasome non-ATPase regulatory subunit 8</t>
  </si>
  <si>
    <t>Ragulator complex protein LAMTOR5</t>
  </si>
  <si>
    <t>Polycomb complex protein BMI-1</t>
  </si>
  <si>
    <t>F-box only protein 44 (Fragment)</t>
  </si>
  <si>
    <t>MAP kinase-activated protein kinase 5 (Fragment)</t>
  </si>
  <si>
    <t>YTH domain family protein 3</t>
  </si>
  <si>
    <t>DENN domain-containing protein 4C</t>
  </si>
  <si>
    <t>26S protease regulatory subunit 6A</t>
  </si>
  <si>
    <t>TMEM129</t>
  </si>
  <si>
    <t>UBA6</t>
  </si>
  <si>
    <t>ESYT2</t>
  </si>
  <si>
    <t>UHRF1BP1L</t>
  </si>
  <si>
    <t>KIAA1598</t>
  </si>
  <si>
    <t>TMEM223</t>
  </si>
  <si>
    <t>ILVBL</t>
  </si>
  <si>
    <t>C17orf89</t>
  </si>
  <si>
    <t>SH3PXD2B</t>
  </si>
  <si>
    <t>MACROD2</t>
  </si>
  <si>
    <t>ACO2</t>
  </si>
  <si>
    <t>GGT7</t>
  </si>
  <si>
    <t>AAR2</t>
  </si>
  <si>
    <t>HLA-C</t>
  </si>
  <si>
    <t>KIAA1467</t>
  </si>
  <si>
    <t>EXOSC2</t>
  </si>
  <si>
    <t>SBNO1</t>
  </si>
  <si>
    <t>ISPD</t>
  </si>
  <si>
    <t>KLRG2</t>
  </si>
  <si>
    <t>LCHN</t>
  </si>
  <si>
    <t>MBLAC1</t>
  </si>
  <si>
    <t>RAB3GAP1</t>
  </si>
  <si>
    <t>HS2ST1</t>
  </si>
  <si>
    <t>PALM3</t>
  </si>
  <si>
    <t>PGP</t>
  </si>
  <si>
    <t>C5orf51</t>
  </si>
  <si>
    <t>RCCD1</t>
  </si>
  <si>
    <t>HCFC1</t>
  </si>
  <si>
    <t>PIGK</t>
  </si>
  <si>
    <t>OFD1</t>
  </si>
  <si>
    <t>ZNF281</t>
  </si>
  <si>
    <t>CHMP1A</t>
  </si>
  <si>
    <t>PRCC</t>
  </si>
  <si>
    <t>WIPF3</t>
  </si>
  <si>
    <t>TLCD2</t>
  </si>
  <si>
    <t>HN1L</t>
  </si>
  <si>
    <t>TUBAL3</t>
  </si>
  <si>
    <t>SMCHD1</t>
  </si>
  <si>
    <t>UNC119B</t>
  </si>
  <si>
    <t>METTL15</t>
  </si>
  <si>
    <t>LIPT2</t>
  </si>
  <si>
    <t>RNPEP</t>
  </si>
  <si>
    <t>CCDC85C</t>
  </si>
  <si>
    <t>RENBP</t>
  </si>
  <si>
    <t>ZMYM3</t>
  </si>
  <si>
    <t>TRIM5</t>
  </si>
  <si>
    <t>SEPT8</t>
  </si>
  <si>
    <t>DIAPH2</t>
  </si>
  <si>
    <t>PHKA1</t>
  </si>
  <si>
    <t>POLA1</t>
  </si>
  <si>
    <t>ANXA6</t>
  </si>
  <si>
    <t>CD9</t>
  </si>
  <si>
    <t>FAM127A</t>
  </si>
  <si>
    <t>ZBTB8OS</t>
  </si>
  <si>
    <t>SELK</t>
  </si>
  <si>
    <t>YDJC</t>
  </si>
  <si>
    <t>MLLT4</t>
  </si>
  <si>
    <t>S100B</t>
  </si>
  <si>
    <t>RTFDC1</t>
  </si>
  <si>
    <t>TTC12</t>
  </si>
  <si>
    <t>DSCR3</t>
  </si>
  <si>
    <t>TSSC1</t>
  </si>
  <si>
    <t>GGPS1</t>
  </si>
  <si>
    <t>FAM171A2</t>
  </si>
  <si>
    <t>KIAA1324L</t>
  </si>
  <si>
    <t>ERCC2</t>
  </si>
  <si>
    <t>RAI1</t>
  </si>
  <si>
    <t>MATR3</t>
  </si>
  <si>
    <t>PTTG1IP</t>
  </si>
  <si>
    <t>NUDT19</t>
  </si>
  <si>
    <t>RAB34</t>
  </si>
  <si>
    <t>PIK3C3</t>
  </si>
  <si>
    <t>MIF4GD</t>
  </si>
  <si>
    <t>KIAA0930</t>
  </si>
  <si>
    <t>PFKFB2</t>
  </si>
  <si>
    <t>EIF3L</t>
  </si>
  <si>
    <t>SMCR7L</t>
  </si>
  <si>
    <t>TBC1D22A</t>
  </si>
  <si>
    <t>EWSR1</t>
  </si>
  <si>
    <t>CPNE1</t>
  </si>
  <si>
    <t>COMMD6</t>
  </si>
  <si>
    <t>BAG6</t>
  </si>
  <si>
    <t>ABHD16A</t>
  </si>
  <si>
    <t>VARS</t>
  </si>
  <si>
    <t>FLOT1</t>
  </si>
  <si>
    <t>APOC3</t>
  </si>
  <si>
    <t>TSPO</t>
  </si>
  <si>
    <t>NHP2L1</t>
  </si>
  <si>
    <t>CENPM</t>
  </si>
  <si>
    <t>HMGCL</t>
  </si>
  <si>
    <t>EPHB2</t>
  </si>
  <si>
    <t>NRD1</t>
  </si>
  <si>
    <t>DYNLRB1</t>
  </si>
  <si>
    <t>PEA15</t>
  </si>
  <si>
    <t>PHYH</t>
  </si>
  <si>
    <t>TMEM9</t>
  </si>
  <si>
    <t>SEPT6</t>
  </si>
  <si>
    <t>EXOSC1</t>
  </si>
  <si>
    <t>PRSS3</t>
  </si>
  <si>
    <t>GUK1</t>
  </si>
  <si>
    <t>USF1</t>
  </si>
  <si>
    <t>EPS15</t>
  </si>
  <si>
    <t>MEIS2</t>
  </si>
  <si>
    <t>EIF3S3</t>
  </si>
  <si>
    <t>EIF3F</t>
  </si>
  <si>
    <t>BCAT2</t>
  </si>
  <si>
    <t>LZTFL1</t>
  </si>
  <si>
    <t>DCLRE1C</t>
  </si>
  <si>
    <t>PHF23</t>
  </si>
  <si>
    <t>CENPH</t>
  </si>
  <si>
    <t>PYROXD1</t>
  </si>
  <si>
    <t>RXRA</t>
  </si>
  <si>
    <t>CDIPT</t>
  </si>
  <si>
    <t>ARL6IP4</t>
  </si>
  <si>
    <t>CNN2</t>
  </si>
  <si>
    <t>HARS2</t>
  </si>
  <si>
    <t>REEP2</t>
  </si>
  <si>
    <t>SNX2</t>
  </si>
  <si>
    <t>NDUFA13</t>
  </si>
  <si>
    <t>SLC17A5</t>
  </si>
  <si>
    <t>HUS1</t>
  </si>
  <si>
    <t>CTNNB1</t>
  </si>
  <si>
    <t>PIP4K2A</t>
  </si>
  <si>
    <t>MAP1S</t>
  </si>
  <si>
    <t>PIP5K1B</t>
  </si>
  <si>
    <t>RAB5A</t>
  </si>
  <si>
    <t>SLC25A14</t>
  </si>
  <si>
    <t>SNRPD3</t>
  </si>
  <si>
    <t>CS</t>
  </si>
  <si>
    <t>NAPB</t>
  </si>
  <si>
    <t>ECE1</t>
  </si>
  <si>
    <t>ZNF286A</t>
  </si>
  <si>
    <t>LSR</t>
  </si>
  <si>
    <t>CHURC1-FNTB</t>
  </si>
  <si>
    <t>KIF20A</t>
  </si>
  <si>
    <t>C2orf18</t>
  </si>
  <si>
    <t>SLC25A10</t>
  </si>
  <si>
    <t>RPS6KB1</t>
  </si>
  <si>
    <t>DDX5</t>
  </si>
  <si>
    <t>RNF220</t>
  </si>
  <si>
    <t>BSDC1</t>
  </si>
  <si>
    <t>KLC4</t>
  </si>
  <si>
    <t>FAM45A</t>
  </si>
  <si>
    <t>KDSR</t>
  </si>
  <si>
    <t>PTGES3</t>
  </si>
  <si>
    <t>WDR77</t>
  </si>
  <si>
    <t>SMN1</t>
  </si>
  <si>
    <t>SNX11</t>
  </si>
  <si>
    <t>PGD</t>
  </si>
  <si>
    <t>NAA40</t>
  </si>
  <si>
    <t>MGRN1</t>
  </si>
  <si>
    <t>SEC61A1</t>
  </si>
  <si>
    <t>STK24</t>
  </si>
  <si>
    <t>YKT6</t>
  </si>
  <si>
    <t>C2CD5</t>
  </si>
  <si>
    <t>C9orf41</t>
  </si>
  <si>
    <t>ANXA7</t>
  </si>
  <si>
    <t>BPNT1</t>
  </si>
  <si>
    <t>ANXA11</t>
  </si>
  <si>
    <t>EIF3D</t>
  </si>
  <si>
    <t>BAIAP2</t>
  </si>
  <si>
    <t>HACL1</t>
  </si>
  <si>
    <t>FXR1</t>
  </si>
  <si>
    <t>NUP35</t>
  </si>
  <si>
    <t>ARL1</t>
  </si>
  <si>
    <t>HDAC6</t>
  </si>
  <si>
    <t>DYNC1LI2</t>
  </si>
  <si>
    <t>RMDN1</t>
  </si>
  <si>
    <t>TMEM134</t>
  </si>
  <si>
    <t>PHF6</t>
  </si>
  <si>
    <t>PEX5</t>
  </si>
  <si>
    <t>PNPO</t>
  </si>
  <si>
    <t>MST4</t>
  </si>
  <si>
    <t>SFRS3</t>
  </si>
  <si>
    <t>HADHB</t>
  </si>
  <si>
    <t>METTL13</t>
  </si>
  <si>
    <t>DVL3</t>
  </si>
  <si>
    <t>ABCB1</t>
  </si>
  <si>
    <t>CHCHD10</t>
  </si>
  <si>
    <t>LBH</t>
  </si>
  <si>
    <t>EML4</t>
  </si>
  <si>
    <t>SYNGR1</t>
  </si>
  <si>
    <t>PES1</t>
  </si>
  <si>
    <t>NCOA1</t>
  </si>
  <si>
    <t>SEPT2</t>
  </si>
  <si>
    <t>TBC1D10A</t>
  </si>
  <si>
    <t>RFT1</t>
  </si>
  <si>
    <t>PLEKHA8</t>
  </si>
  <si>
    <t>C2orf43</t>
  </si>
  <si>
    <t>CWC22</t>
  </si>
  <si>
    <t>PDIA6</t>
  </si>
  <si>
    <t>MTMR9</t>
  </si>
  <si>
    <t>MFSD8</t>
  </si>
  <si>
    <t>CYTH3</t>
  </si>
  <si>
    <t>NT5C2</t>
  </si>
  <si>
    <t>CAP2</t>
  </si>
  <si>
    <t>ALAD</t>
  </si>
  <si>
    <t>TBCE</t>
  </si>
  <si>
    <t>GGA3</t>
  </si>
  <si>
    <t>NPEPPS</t>
  </si>
  <si>
    <t>DNASE2</t>
  </si>
  <si>
    <t>TOMM40L</t>
  </si>
  <si>
    <t>CCBL1</t>
  </si>
  <si>
    <t>STMN3</t>
  </si>
  <si>
    <t>SMAD2</t>
  </si>
  <si>
    <t>F11R</t>
  </si>
  <si>
    <t>WARS2</t>
  </si>
  <si>
    <t>ABR</t>
  </si>
  <si>
    <t>TNFAIP1</t>
  </si>
  <si>
    <t>RANBP3</t>
  </si>
  <si>
    <t>ATL2</t>
  </si>
  <si>
    <t>USP7</t>
  </si>
  <si>
    <t>DHCR24</t>
  </si>
  <si>
    <t>CCDC117</t>
  </si>
  <si>
    <t>TRDMT1</t>
  </si>
  <si>
    <t>ACADM</t>
  </si>
  <si>
    <t>ATP1B1</t>
  </si>
  <si>
    <t>SH3GLB2</t>
  </si>
  <si>
    <t>PPP2R5E</t>
  </si>
  <si>
    <t>SCARB1</t>
  </si>
  <si>
    <t>COX18</t>
  </si>
  <si>
    <t>EDEM3</t>
  </si>
  <si>
    <t>RLTPR</t>
  </si>
  <si>
    <t>CNRIP1</t>
  </si>
  <si>
    <t>FAM126A</t>
  </si>
  <si>
    <t>SUMO1</t>
  </si>
  <si>
    <t>PTMA</t>
  </si>
  <si>
    <t>SNX13</t>
  </si>
  <si>
    <t>TCEB2</t>
  </si>
  <si>
    <t>AGFG1</t>
  </si>
  <si>
    <t>USP39</t>
  </si>
  <si>
    <t>IMMT</t>
  </si>
  <si>
    <t>ZNF507</t>
  </si>
  <si>
    <t>PLCB2</t>
  </si>
  <si>
    <t>BAK1</t>
  </si>
  <si>
    <t>ATG12</t>
  </si>
  <si>
    <t>WASH3P</t>
  </si>
  <si>
    <t>MED30S</t>
  </si>
  <si>
    <t>ASNSD1</t>
  </si>
  <si>
    <t>PNPLA4</t>
  </si>
  <si>
    <t>ITGB1BP1</t>
  </si>
  <si>
    <t>PCMT1</t>
  </si>
  <si>
    <t>ZC3HC1</t>
  </si>
  <si>
    <t>PFN2</t>
  </si>
  <si>
    <t>SRI</t>
  </si>
  <si>
    <t>ZNF655</t>
  </si>
  <si>
    <t>INPP1</t>
  </si>
  <si>
    <t>MEGF9</t>
  </si>
  <si>
    <t>UBE2F</t>
  </si>
  <si>
    <t>UBE2E1</t>
  </si>
  <si>
    <t>TAMM41</t>
  </si>
  <si>
    <t>IKBKG</t>
  </si>
  <si>
    <t>CROT</t>
  </si>
  <si>
    <t>REPIN1</t>
  </si>
  <si>
    <t>SSR1</t>
  </si>
  <si>
    <t>POLR2B</t>
  </si>
  <si>
    <t>PDCD10</t>
  </si>
  <si>
    <t>IGF1R</t>
  </si>
  <si>
    <t>TANGO2</t>
  </si>
  <si>
    <t>TMEM98</t>
  </si>
  <si>
    <t>NISCH</t>
  </si>
  <si>
    <t>PSMD6</t>
  </si>
  <si>
    <t>TNPO3</t>
  </si>
  <si>
    <t>LDHB</t>
  </si>
  <si>
    <t>ALDH5A1</t>
  </si>
  <si>
    <t>RPSA</t>
  </si>
  <si>
    <t>NMD3</t>
  </si>
  <si>
    <t>SSR3</t>
  </si>
  <si>
    <t>SRSF7</t>
  </si>
  <si>
    <t>DRAP1</t>
  </si>
  <si>
    <t>TMUB1</t>
  </si>
  <si>
    <t>CDC42EP3</t>
  </si>
  <si>
    <t>OSCP1</t>
  </si>
  <si>
    <t>TAF6</t>
  </si>
  <si>
    <t>CYCS</t>
  </si>
  <si>
    <t>AAMP</t>
  </si>
  <si>
    <t>APEH</t>
  </si>
  <si>
    <t>PBLD</t>
  </si>
  <si>
    <t>PSAP</t>
  </si>
  <si>
    <t>ITGA6</t>
  </si>
  <si>
    <t>GART</t>
  </si>
  <si>
    <t>POLR2H</t>
  </si>
  <si>
    <t>APAF1</t>
  </si>
  <si>
    <t>PPIG</t>
  </si>
  <si>
    <t>IP6K1</t>
  </si>
  <si>
    <t>OARD1</t>
  </si>
  <si>
    <t>COL6A3</t>
  </si>
  <si>
    <t>MBNL1</t>
  </si>
  <si>
    <t>CRTAP</t>
  </si>
  <si>
    <t>NRF1</t>
  </si>
  <si>
    <t>ARF4</t>
  </si>
  <si>
    <t>NKIRAS2</t>
  </si>
  <si>
    <t>NME6</t>
  </si>
  <si>
    <t>STK11IP</t>
  </si>
  <si>
    <t>SEC22A</t>
  </si>
  <si>
    <t>CHCHD3</t>
  </si>
  <si>
    <t>DPP8</t>
  </si>
  <si>
    <t>IL1RAP</t>
  </si>
  <si>
    <t>LIPT1</t>
  </si>
  <si>
    <t>ST3GAL6</t>
  </si>
  <si>
    <t>RPL24</t>
  </si>
  <si>
    <t>RAD51B</t>
  </si>
  <si>
    <t>POP7</t>
  </si>
  <si>
    <t>RPL22L1</t>
  </si>
  <si>
    <t>NRCAM</t>
  </si>
  <si>
    <t>NUDT5</t>
  </si>
  <si>
    <t>INPP5K</t>
  </si>
  <si>
    <t>DHRS2</t>
  </si>
  <si>
    <t>PCBP4</t>
  </si>
  <si>
    <t>RAPH1</t>
  </si>
  <si>
    <t>RPL32</t>
  </si>
  <si>
    <t>IRAK1</t>
  </si>
  <si>
    <t>CDK7</t>
  </si>
  <si>
    <t>POLR3G</t>
  </si>
  <si>
    <t>ERCC6</t>
  </si>
  <si>
    <t>COX7C</t>
  </si>
  <si>
    <t>PLRG1</t>
  </si>
  <si>
    <t>RPS3A</t>
  </si>
  <si>
    <t>FAM169A</t>
  </si>
  <si>
    <t>UBE2J2</t>
  </si>
  <si>
    <t>ELMOD2</t>
  </si>
  <si>
    <t>EIF4E</t>
  </si>
  <si>
    <t>HSD17B11</t>
  </si>
  <si>
    <t>TMEM175</t>
  </si>
  <si>
    <t>LIMCH1</t>
  </si>
  <si>
    <t>EMB</t>
  </si>
  <si>
    <t>ALG13</t>
  </si>
  <si>
    <t>PET112</t>
  </si>
  <si>
    <t>CDC42SE2</t>
  </si>
  <si>
    <t>SEC31A</t>
  </si>
  <si>
    <t>ZNF652</t>
  </si>
  <si>
    <t>DCK</t>
  </si>
  <si>
    <t>CYB5B</t>
  </si>
  <si>
    <t>SEPT11</t>
  </si>
  <si>
    <t>SLC9B2</t>
  </si>
  <si>
    <t>CXorf40A</t>
  </si>
  <si>
    <t>SPRY1</t>
  </si>
  <si>
    <t>CENPK</t>
  </si>
  <si>
    <t>RNASET2</t>
  </si>
  <si>
    <t>COX7A2</t>
  </si>
  <si>
    <t>RFESD</t>
  </si>
  <si>
    <t>HNRPLL</t>
  </si>
  <si>
    <t>PYCR1</t>
  </si>
  <si>
    <t>C15orf38-AP3S2</t>
  </si>
  <si>
    <t>GMNN</t>
  </si>
  <si>
    <t>OPA1</t>
  </si>
  <si>
    <t>NSMCE2</t>
  </si>
  <si>
    <t>EBF1</t>
  </si>
  <si>
    <t>IMPA1</t>
  </si>
  <si>
    <t>TATDN1</t>
  </si>
  <si>
    <t>SLC36A1</t>
  </si>
  <si>
    <t>STMN2</t>
  </si>
  <si>
    <t>TCEB1</t>
  </si>
  <si>
    <t>UQCRB</t>
  </si>
  <si>
    <t>HEY1</t>
  </si>
  <si>
    <t>PSEN2</t>
  </si>
  <si>
    <t>TTI2</t>
  </si>
  <si>
    <t>POLB</t>
  </si>
  <si>
    <t>TMEM55A</t>
  </si>
  <si>
    <t>PSD3</t>
  </si>
  <si>
    <t>AP3B1</t>
  </si>
  <si>
    <t>TRPS1</t>
  </si>
  <si>
    <t>ZFAND1</t>
  </si>
  <si>
    <t>SDC2</t>
  </si>
  <si>
    <t>NUDT18</t>
  </si>
  <si>
    <t>SKP1</t>
  </si>
  <si>
    <t>MTFR1</t>
  </si>
  <si>
    <t>CETN3</t>
  </si>
  <si>
    <t>COPS6</t>
  </si>
  <si>
    <t>NUDT12</t>
  </si>
  <si>
    <t>ATHL1</t>
  </si>
  <si>
    <t>SWAP70</t>
  </si>
  <si>
    <t>AKAP10</t>
  </si>
  <si>
    <t>ASAH1</t>
  </si>
  <si>
    <t>UBR5</t>
  </si>
  <si>
    <t>RAI14</t>
  </si>
  <si>
    <t>TACC2</t>
  </si>
  <si>
    <t>ZNF143</t>
  </si>
  <si>
    <t>NCSTN</t>
  </si>
  <si>
    <t>SYNE1</t>
  </si>
  <si>
    <t>HK1</t>
  </si>
  <si>
    <t>NARF</t>
  </si>
  <si>
    <t>RPL14</t>
  </si>
  <si>
    <t>CD44</t>
  </si>
  <si>
    <t>TOM1</t>
  </si>
  <si>
    <t>PDXDC1</t>
  </si>
  <si>
    <t>PRRC2C</t>
  </si>
  <si>
    <t>NDUFV2</t>
  </si>
  <si>
    <t>SNCA</t>
  </si>
  <si>
    <t>TNIP1</t>
  </si>
  <si>
    <t>GLB1</t>
  </si>
  <si>
    <t>NAA50</t>
  </si>
  <si>
    <t>TMED2</t>
  </si>
  <si>
    <t>SENP6</t>
  </si>
  <si>
    <t>YIPF3</t>
  </si>
  <si>
    <t>DMD</t>
  </si>
  <si>
    <t>ACIN1</t>
  </si>
  <si>
    <t>TP53</t>
  </si>
  <si>
    <t>FAM136A</t>
  </si>
  <si>
    <t>SYNJ2</t>
  </si>
  <si>
    <t>ERMP1</t>
  </si>
  <si>
    <t>PAPSS2</t>
  </si>
  <si>
    <t>GMIP</t>
  </si>
  <si>
    <t>ATP2C1</t>
  </si>
  <si>
    <t>CLASP2</t>
  </si>
  <si>
    <t>EIF2B4</t>
  </si>
  <si>
    <t>MAST2</t>
  </si>
  <si>
    <t>ZC3H18</t>
  </si>
  <si>
    <t>TTC38</t>
  </si>
  <si>
    <t>HSPA4L</t>
  </si>
  <si>
    <t>PSEN1</t>
  </si>
  <si>
    <t>CLSPN</t>
  </si>
  <si>
    <t>ITGA2</t>
  </si>
  <si>
    <t>NEFM</t>
  </si>
  <si>
    <t>USP19</t>
  </si>
  <si>
    <t>NDUFA10</t>
  </si>
  <si>
    <t>DAGLB</t>
  </si>
  <si>
    <t>DTX2</t>
  </si>
  <si>
    <t>DNPEP</t>
  </si>
  <si>
    <t>METTL8</t>
  </si>
  <si>
    <t>RBMS1</t>
  </si>
  <si>
    <t>PLOD2</t>
  </si>
  <si>
    <t>MARK2</t>
  </si>
  <si>
    <t>GPX8</t>
  </si>
  <si>
    <t>CALM1</t>
  </si>
  <si>
    <t>BZW2</t>
  </si>
  <si>
    <t>FGFR1</t>
  </si>
  <si>
    <t>GDI2</t>
  </si>
  <si>
    <t>CSNK2A1</t>
  </si>
  <si>
    <t>UGP2</t>
  </si>
  <si>
    <t>SSFA2</t>
  </si>
  <si>
    <t>NUP54</t>
  </si>
  <si>
    <t>EIF4G1</t>
  </si>
  <si>
    <t>PCCB</t>
  </si>
  <si>
    <t>PCM1</t>
  </si>
  <si>
    <t>MAP4</t>
  </si>
  <si>
    <t>ATG16L1</t>
  </si>
  <si>
    <t>LPHN3</t>
  </si>
  <si>
    <t>KLC1</t>
  </si>
  <si>
    <t>HDHD1</t>
  </si>
  <si>
    <t>CYFIP2</t>
  </si>
  <si>
    <t>PRPF31</t>
  </si>
  <si>
    <t>SDAD1</t>
  </si>
  <si>
    <t>MYO6</t>
  </si>
  <si>
    <t>MON1B</t>
  </si>
  <si>
    <t>SALL2</t>
  </si>
  <si>
    <t>SEPT10</t>
  </si>
  <si>
    <t>ABI2</t>
  </si>
  <si>
    <t>EXOC6</t>
  </si>
  <si>
    <t>ZMIZ2</t>
  </si>
  <si>
    <t>NDUFB5</t>
  </si>
  <si>
    <t>MPP2</t>
  </si>
  <si>
    <t>RPL15</t>
  </si>
  <si>
    <t>DCTN1</t>
  </si>
  <si>
    <t>RAVER1</t>
  </si>
  <si>
    <t>GPATCH4</t>
  </si>
  <si>
    <t>HES4</t>
  </si>
  <si>
    <t>ALYREF</t>
  </si>
  <si>
    <t>HK2</t>
  </si>
  <si>
    <t>AGK</t>
  </si>
  <si>
    <t>LIMK1</t>
  </si>
  <si>
    <t>EIF2B5</t>
  </si>
  <si>
    <t>TNC</t>
  </si>
  <si>
    <t>FNIP1</t>
  </si>
  <si>
    <t>GUCY1B3</t>
  </si>
  <si>
    <t>GOSR1</t>
  </si>
  <si>
    <t>ELF2</t>
  </si>
  <si>
    <t>HNRNPH1</t>
  </si>
  <si>
    <t>SMC4</t>
  </si>
  <si>
    <t>CKAP2</t>
  </si>
  <si>
    <t>LRCH3</t>
  </si>
  <si>
    <t>MYO1B</t>
  </si>
  <si>
    <t>CACNA1C</t>
  </si>
  <si>
    <t>SLC2A13</t>
  </si>
  <si>
    <t>ACADS</t>
  </si>
  <si>
    <t>ATP11A</t>
  </si>
  <si>
    <t>ATF2</t>
  </si>
  <si>
    <t>XPO7</t>
  </si>
  <si>
    <t>NRP1</t>
  </si>
  <si>
    <t>DIP2A</t>
  </si>
  <si>
    <t>PDPK1</t>
  </si>
  <si>
    <t>DIAPH1</t>
  </si>
  <si>
    <t>KIAA1107</t>
  </si>
  <si>
    <t>NUP155</t>
  </si>
  <si>
    <t>ACSF2</t>
  </si>
  <si>
    <t>HADH</t>
  </si>
  <si>
    <t>TBL2</t>
  </si>
  <si>
    <t>EGFR</t>
  </si>
  <si>
    <t>GSTK1</t>
  </si>
  <si>
    <t>PPP2R5D</t>
  </si>
  <si>
    <t>MANBA</t>
  </si>
  <si>
    <t>SQSTM1</t>
  </si>
  <si>
    <t>FCHSD2</t>
  </si>
  <si>
    <t>CEP97</t>
  </si>
  <si>
    <t>APP</t>
  </si>
  <si>
    <t>EPHA4</t>
  </si>
  <si>
    <t>RASA1</t>
  </si>
  <si>
    <t>SLC25A44</t>
  </si>
  <si>
    <t>TSN</t>
  </si>
  <si>
    <t>RPS6KA1</t>
  </si>
  <si>
    <t>COPS8</t>
  </si>
  <si>
    <t>MED22</t>
  </si>
  <si>
    <t>PRDX3</t>
  </si>
  <si>
    <t>NCAPH</t>
  </si>
  <si>
    <t>CYP20A1</t>
  </si>
  <si>
    <t>TCOF1</t>
  </si>
  <si>
    <t>GSTM2</t>
  </si>
  <si>
    <t>POLR2D</t>
  </si>
  <si>
    <t>MTCH2</t>
  </si>
  <si>
    <t>NXF1</t>
  </si>
  <si>
    <t>TXNRD1</t>
  </si>
  <si>
    <t>TCP11L1</t>
  </si>
  <si>
    <t>UBXN1</t>
  </si>
  <si>
    <t>VIMP</t>
  </si>
  <si>
    <t>CYHR1</t>
  </si>
  <si>
    <t>MKNK1</t>
  </si>
  <si>
    <t>CD81</t>
  </si>
  <si>
    <t>OSBPL9</t>
  </si>
  <si>
    <t>EEF1D</t>
  </si>
  <si>
    <t>FUZ</t>
  </si>
  <si>
    <t>BCLAF1</t>
  </si>
  <si>
    <t>RCE1</t>
  </si>
  <si>
    <t>PRMT1</t>
  </si>
  <si>
    <t>TRAPPC4</t>
  </si>
  <si>
    <t>TMEM123</t>
  </si>
  <si>
    <t>TTC9C</t>
  </si>
  <si>
    <t>RPL8</t>
  </si>
  <si>
    <t>SPCS2</t>
  </si>
  <si>
    <t>BTF3L4</t>
  </si>
  <si>
    <t>CLP1</t>
  </si>
  <si>
    <t>HYOU1</t>
  </si>
  <si>
    <t>TSPAN18</t>
  </si>
  <si>
    <t>NEDD8-MDP1</t>
  </si>
  <si>
    <t>EI24</t>
  </si>
  <si>
    <t>RPL27A</t>
  </si>
  <si>
    <t>GPAA1</t>
  </si>
  <si>
    <t>USP47</t>
  </si>
  <si>
    <t>CLNS1A</t>
  </si>
  <si>
    <t>FAM118B</t>
  </si>
  <si>
    <t>HSF1</t>
  </si>
  <si>
    <t>MBP</t>
  </si>
  <si>
    <t>EBAG9</t>
  </si>
  <si>
    <t>TPD52L1</t>
  </si>
  <si>
    <t>PTS</t>
  </si>
  <si>
    <t>AAMDC</t>
  </si>
  <si>
    <t>ARHGAP27</t>
  </si>
  <si>
    <t>CD59</t>
  </si>
  <si>
    <t>DERA</t>
  </si>
  <si>
    <t>EPPK1</t>
  </si>
  <si>
    <t>ZC3H11A</t>
  </si>
  <si>
    <t>GNPTG</t>
  </si>
  <si>
    <t>VPS28</t>
  </si>
  <si>
    <t>ACP2</t>
  </si>
  <si>
    <t>FAU</t>
  </si>
  <si>
    <t>MAF1</t>
  </si>
  <si>
    <t>CD151</t>
  </si>
  <si>
    <t>SCYL1</t>
  </si>
  <si>
    <t>PARVA</t>
  </si>
  <si>
    <t>UPRT</t>
  </si>
  <si>
    <t>TM9SF1</t>
  </si>
  <si>
    <t>KDM1B</t>
  </si>
  <si>
    <t>IQGAP3</t>
  </si>
  <si>
    <t>MYH14</t>
  </si>
  <si>
    <t>HMGN1</t>
  </si>
  <si>
    <t>TRMT2A</t>
  </si>
  <si>
    <t>XPO4</t>
  </si>
  <si>
    <t>PITPNA</t>
  </si>
  <si>
    <t>CCDC53</t>
  </si>
  <si>
    <t>SMAD5</t>
  </si>
  <si>
    <t>CHD4</t>
  </si>
  <si>
    <t>PODXL</t>
  </si>
  <si>
    <t>FAM76B</t>
  </si>
  <si>
    <t>SUCLA2</t>
  </si>
  <si>
    <t>ATE1</t>
  </si>
  <si>
    <t>PTPRK</t>
  </si>
  <si>
    <t>DAD1</t>
  </si>
  <si>
    <t>GPBP1</t>
  </si>
  <si>
    <t>GALNT1</t>
  </si>
  <si>
    <t>ABCD3</t>
  </si>
  <si>
    <t>CEP112</t>
  </si>
  <si>
    <t>STRN4</t>
  </si>
  <si>
    <t>OTUB1</t>
  </si>
  <si>
    <t>ATP6V0D1</t>
  </si>
  <si>
    <t>PXN</t>
  </si>
  <si>
    <t>FARP2</t>
  </si>
  <si>
    <t>MFGE8</t>
  </si>
  <si>
    <t>TRIM59</t>
  </si>
  <si>
    <t>DHX36</t>
  </si>
  <si>
    <t>SLC3A2</t>
  </si>
  <si>
    <t>MED15</t>
  </si>
  <si>
    <t>FAM120B</t>
  </si>
  <si>
    <t>ALKBH2</t>
  </si>
  <si>
    <t>TRIM21</t>
  </si>
  <si>
    <t>SEC23IP</t>
  </si>
  <si>
    <t>TUT1</t>
  </si>
  <si>
    <t>GLTP</t>
  </si>
  <si>
    <t>ARMC5</t>
  </si>
  <si>
    <t>ABI1</t>
  </si>
  <si>
    <t>L1CAM</t>
  </si>
  <si>
    <t>TXNRD2</t>
  </si>
  <si>
    <t>KIAA1211</t>
  </si>
  <si>
    <t>MPDZ</t>
  </si>
  <si>
    <t>LRBA</t>
  </si>
  <si>
    <t>ANKLE2</t>
  </si>
  <si>
    <t>VMP1</t>
  </si>
  <si>
    <t>WNK1</t>
  </si>
  <si>
    <t>KIAA1715</t>
  </si>
  <si>
    <t>DCTN2</t>
  </si>
  <si>
    <t>NECAP1</t>
  </si>
  <si>
    <t>HMGA2</t>
  </si>
  <si>
    <t>FADS3</t>
  </si>
  <si>
    <t>NRP2</t>
  </si>
  <si>
    <t>SEC23A</t>
  </si>
  <si>
    <t>FZD10</t>
  </si>
  <si>
    <t>RAD9A</t>
  </si>
  <si>
    <t>KPNA6</t>
  </si>
  <si>
    <t>ITM2C</t>
  </si>
  <si>
    <t>PEX14</t>
  </si>
  <si>
    <t>WLS</t>
  </si>
  <si>
    <t>VPS37C</t>
  </si>
  <si>
    <t>EVI5</t>
  </si>
  <si>
    <t>PDCD2</t>
  </si>
  <si>
    <t>PSMF1</t>
  </si>
  <si>
    <t>SSH2</t>
  </si>
  <si>
    <t>EIF4G3</t>
  </si>
  <si>
    <t>ATP6V0A1</t>
  </si>
  <si>
    <t>TUBA1C</t>
  </si>
  <si>
    <t>NOC4L</t>
  </si>
  <si>
    <t>NDUFS7</t>
  </si>
  <si>
    <t>BCKDHA</t>
  </si>
  <si>
    <t>NAT1</t>
  </si>
  <si>
    <t>OXNAD1</t>
  </si>
  <si>
    <t>TAP1</t>
  </si>
  <si>
    <t>MED23</t>
  </si>
  <si>
    <t>LARS</t>
  </si>
  <si>
    <t>ATL3</t>
  </si>
  <si>
    <t>MRPL48</t>
  </si>
  <si>
    <t>AIDA</t>
  </si>
  <si>
    <t>WBP11</t>
  </si>
  <si>
    <t>MSRB3</t>
  </si>
  <si>
    <t>RPTOR</t>
  </si>
  <si>
    <t>EFCAB14</t>
  </si>
  <si>
    <t>DLAT</t>
  </si>
  <si>
    <t>MICB</t>
  </si>
  <si>
    <t>EPB41L3</t>
  </si>
  <si>
    <t>SLC16A7</t>
  </si>
  <si>
    <t>INPP4A</t>
  </si>
  <si>
    <t>TRAP1</t>
  </si>
  <si>
    <t>XRCC1</t>
  </si>
  <si>
    <t>STARD10</t>
  </si>
  <si>
    <t>CLPTM1</t>
  </si>
  <si>
    <t>RABGAP1L</t>
  </si>
  <si>
    <t>EPN2</t>
  </si>
  <si>
    <t>SIPA1</t>
  </si>
  <si>
    <t>KDM1A</t>
  </si>
  <si>
    <t>TAB3</t>
  </si>
  <si>
    <t>PDE12</t>
  </si>
  <si>
    <t>NME2</t>
  </si>
  <si>
    <t>ITFG2</t>
  </si>
  <si>
    <t>EIF4B</t>
  </si>
  <si>
    <t>CAD</t>
  </si>
  <si>
    <t>DDX39B</t>
  </si>
  <si>
    <t>C12orf75</t>
  </si>
  <si>
    <t>METTL7A</t>
  </si>
  <si>
    <t>UIMC1</t>
  </si>
  <si>
    <t>METAP2</t>
  </si>
  <si>
    <t>PPP1R1A</t>
  </si>
  <si>
    <t>NEK3</t>
  </si>
  <si>
    <t>NFYB</t>
  </si>
  <si>
    <t>PLXNA1</t>
  </si>
  <si>
    <t>OSBPL8</t>
  </si>
  <si>
    <t>SLC38A2</t>
  </si>
  <si>
    <t>COPZ1</t>
  </si>
  <si>
    <t>CSRP2</t>
  </si>
  <si>
    <t>CASP9</t>
  </si>
  <si>
    <t>ALG10B</t>
  </si>
  <si>
    <t>TSPAN31</t>
  </si>
  <si>
    <t>ARFGAP1</t>
  </si>
  <si>
    <t>TFCP2</t>
  </si>
  <si>
    <t>SLC38A1</t>
  </si>
  <si>
    <t>SMARCC2</t>
  </si>
  <si>
    <t>SCAF11</t>
  </si>
  <si>
    <t>AAAS</t>
  </si>
  <si>
    <t>NACA</t>
  </si>
  <si>
    <t>C17orf49</t>
  </si>
  <si>
    <t>YEATS4</t>
  </si>
  <si>
    <t>NAP1L1</t>
  </si>
  <si>
    <t>PPP1CC</t>
  </si>
  <si>
    <t>CNOT2</t>
  </si>
  <si>
    <t>RPL6</t>
  </si>
  <si>
    <t>FGD4</t>
  </si>
  <si>
    <t>RFX4</t>
  </si>
  <si>
    <t>DPAGT1</t>
  </si>
  <si>
    <t>HNRNPA1</t>
  </si>
  <si>
    <t>BAP1</t>
  </si>
  <si>
    <t>MYBL2</t>
  </si>
  <si>
    <t>TLE4</t>
  </si>
  <si>
    <t>SDK1</t>
  </si>
  <si>
    <t>EML1</t>
  </si>
  <si>
    <t>UBAP2L</t>
  </si>
  <si>
    <t>ADIPOR1</t>
  </si>
  <si>
    <t>GPHN</t>
  </si>
  <si>
    <t>FAM162A</t>
  </si>
  <si>
    <t>FAM73A</t>
  </si>
  <si>
    <t>TIA1</t>
  </si>
  <si>
    <t>ABLIM1</t>
  </si>
  <si>
    <t>CADPS2</t>
  </si>
  <si>
    <t>STX5</t>
  </si>
  <si>
    <t>POLD2</t>
  </si>
  <si>
    <t>TOMM5</t>
  </si>
  <si>
    <t>IGF2BP2</t>
  </si>
  <si>
    <t>EXOC5</t>
  </si>
  <si>
    <t>WNK2</t>
  </si>
  <si>
    <t>MED24</t>
  </si>
  <si>
    <t>STX16</t>
  </si>
  <si>
    <t>CLASP1</t>
  </si>
  <si>
    <t>CNN3</t>
  </si>
  <si>
    <t>UCKL1</t>
  </si>
  <si>
    <t>ADAM22</t>
  </si>
  <si>
    <t>EIF2A</t>
  </si>
  <si>
    <t>STAG2</t>
  </si>
  <si>
    <t>ALDH16A1</t>
  </si>
  <si>
    <t>MRPL40</t>
  </si>
  <si>
    <t>DOM3Z</t>
  </si>
  <si>
    <t>SAC3D1</t>
  </si>
  <si>
    <t>ZNF687</t>
  </si>
  <si>
    <t>DNMT3A</t>
  </si>
  <si>
    <t>ZFAND2B</t>
  </si>
  <si>
    <t>CBWD2</t>
  </si>
  <si>
    <t>ALG3</t>
  </si>
  <si>
    <t>NDUFV1</t>
  </si>
  <si>
    <t>OTUD4</t>
  </si>
  <si>
    <t>MTERFD1</t>
  </si>
  <si>
    <t>DPP3</t>
  </si>
  <si>
    <t>PON2</t>
  </si>
  <si>
    <t>HBA2</t>
  </si>
  <si>
    <t>LOH12CR1</t>
  </si>
  <si>
    <t>ZEB1</t>
  </si>
  <si>
    <t>ISYNA1</t>
  </si>
  <si>
    <t>GALNT2</t>
  </si>
  <si>
    <t>ATF7IP</t>
  </si>
  <si>
    <t>GOLT1B</t>
  </si>
  <si>
    <t>RPL18</t>
  </si>
  <si>
    <t>METTL10</t>
  </si>
  <si>
    <t>TMEM189</t>
  </si>
  <si>
    <t>CDKN3</t>
  </si>
  <si>
    <t>SIX4</t>
  </si>
  <si>
    <t>ATP5J2-PTCD1</t>
  </si>
  <si>
    <t>DCAF8</t>
  </si>
  <si>
    <t>APEX1</t>
  </si>
  <si>
    <t>ATXN3</t>
  </si>
  <si>
    <t>SIVA1</t>
  </si>
  <si>
    <t>HAUS4</t>
  </si>
  <si>
    <t>NDRG2</t>
  </si>
  <si>
    <t>FAM177A1</t>
  </si>
  <si>
    <t>CTAGE5</t>
  </si>
  <si>
    <t>CCNK</t>
  </si>
  <si>
    <t>GSTZ1</t>
  </si>
  <si>
    <t>CDK2</t>
  </si>
  <si>
    <t>SYNE2</t>
  </si>
  <si>
    <t>PSMA6</t>
  </si>
  <si>
    <t>TMEM48</t>
  </si>
  <si>
    <t>ARID1B</t>
  </si>
  <si>
    <t>MAP4K4</t>
  </si>
  <si>
    <t>LAMB1</t>
  </si>
  <si>
    <t>TIMM8B</t>
  </si>
  <si>
    <t>ABCB8</t>
  </si>
  <si>
    <t>ATG4A</t>
  </si>
  <si>
    <t>GPR107</t>
  </si>
  <si>
    <t>USP11</t>
  </si>
  <si>
    <t>SOS1</t>
  </si>
  <si>
    <t>TJP1</t>
  </si>
  <si>
    <t>PI4K2B</t>
  </si>
  <si>
    <t>CELF1</t>
  </si>
  <si>
    <t>TMOD2</t>
  </si>
  <si>
    <t>PDIA3</t>
  </si>
  <si>
    <t>MIPOL1</t>
  </si>
  <si>
    <t>COBLL1</t>
  </si>
  <si>
    <t>TDG</t>
  </si>
  <si>
    <t>MYL6</t>
  </si>
  <si>
    <t>PUS1</t>
  </si>
  <si>
    <t>MIA3</t>
  </si>
  <si>
    <t>ERC1</t>
  </si>
  <si>
    <t>CDC25B</t>
  </si>
  <si>
    <t>WDR45</t>
  </si>
  <si>
    <t>LEPREL2</t>
  </si>
  <si>
    <t>TACC1</t>
  </si>
  <si>
    <t>PPT2</t>
  </si>
  <si>
    <t>MVB12B</t>
  </si>
  <si>
    <t>TH1L</t>
  </si>
  <si>
    <t>ARFRP1</t>
  </si>
  <si>
    <t>PIGX</t>
  </si>
  <si>
    <t>CEP170</t>
  </si>
  <si>
    <t>MTHFD1L</t>
  </si>
  <si>
    <t>AMPD2</t>
  </si>
  <si>
    <t>SLC30A7</t>
  </si>
  <si>
    <t>ODF2</t>
  </si>
  <si>
    <t>RPL35</t>
  </si>
  <si>
    <t>DAB2IP</t>
  </si>
  <si>
    <t>EIF4G2</t>
  </si>
  <si>
    <t>NELFA</t>
  </si>
  <si>
    <t>ZNF185</t>
  </si>
  <si>
    <t>IMPDH2</t>
  </si>
  <si>
    <t>SLC23A2</t>
  </si>
  <si>
    <t>LPHN2</t>
  </si>
  <si>
    <t>PREP</t>
  </si>
  <si>
    <t>TRIM33</t>
  </si>
  <si>
    <t>UFM1</t>
  </si>
  <si>
    <t>ARFGAP3</t>
  </si>
  <si>
    <t>ZHX3</t>
  </si>
  <si>
    <t>GOLGA4</t>
  </si>
  <si>
    <t>NME4</t>
  </si>
  <si>
    <t>BRD2</t>
  </si>
  <si>
    <t>SP3</t>
  </si>
  <si>
    <t>ABCD1</t>
  </si>
  <si>
    <t>STIM2</t>
  </si>
  <si>
    <t>MTCH1</t>
  </si>
  <si>
    <t>PPIP5K2</t>
  </si>
  <si>
    <t>UBE2B</t>
  </si>
  <si>
    <t>TMA16</t>
  </si>
  <si>
    <t>RBM24</t>
  </si>
  <si>
    <t>APBB2</t>
  </si>
  <si>
    <t>MRPS28</t>
  </si>
  <si>
    <t>C14orf159</t>
  </si>
  <si>
    <t>INTS8</t>
  </si>
  <si>
    <t>LAMP2</t>
  </si>
  <si>
    <t>ADAR</t>
  </si>
  <si>
    <t>ALG8</t>
  </si>
  <si>
    <t>SIGIRR</t>
  </si>
  <si>
    <t>PPP5C</t>
  </si>
  <si>
    <t>CD40</t>
  </si>
  <si>
    <t>SSSCA1</t>
  </si>
  <si>
    <t>RNASEH2C</t>
  </si>
  <si>
    <t>RPS2</t>
  </si>
  <si>
    <t>C8orf82</t>
  </si>
  <si>
    <t>CADM1</t>
  </si>
  <si>
    <t>REXO2</t>
  </si>
  <si>
    <t>JOSD1</t>
  </si>
  <si>
    <t>ATXN2</t>
  </si>
  <si>
    <t>RAB3IP</t>
  </si>
  <si>
    <t>FBXO21</t>
  </si>
  <si>
    <t>LETMD1</t>
  </si>
  <si>
    <t>EMC4</t>
  </si>
  <si>
    <t>TLE3</t>
  </si>
  <si>
    <t>IDH3A</t>
  </si>
  <si>
    <t>POU2F1</t>
  </si>
  <si>
    <t>PIGH</t>
  </si>
  <si>
    <t>GMPR2</t>
  </si>
  <si>
    <t>RPL28</t>
  </si>
  <si>
    <t>TRAF3</t>
  </si>
  <si>
    <t>ASB7</t>
  </si>
  <si>
    <t>AKAP13</t>
  </si>
  <si>
    <t>SEC11A</t>
  </si>
  <si>
    <t>ITGA7</t>
  </si>
  <si>
    <t>AKR7A2</t>
  </si>
  <si>
    <t>TMEM63B</t>
  </si>
  <si>
    <t>SWI5</t>
  </si>
  <si>
    <t>DBNDD1</t>
  </si>
  <si>
    <t>DDX17</t>
  </si>
  <si>
    <t>NUB1</t>
  </si>
  <si>
    <t>ARPP19</t>
  </si>
  <si>
    <t>SPNS1</t>
  </si>
  <si>
    <t>C15orf39</t>
  </si>
  <si>
    <t>RNPS1</t>
  </si>
  <si>
    <t>C17orf103</t>
  </si>
  <si>
    <t>SLC38A7</t>
  </si>
  <si>
    <t>KIAA0513</t>
  </si>
  <si>
    <t>HEXA</t>
  </si>
  <si>
    <t>UBE2I</t>
  </si>
  <si>
    <t>MACF1</t>
  </si>
  <si>
    <t>HAGH</t>
  </si>
  <si>
    <t>CLN3</t>
  </si>
  <si>
    <t>NDRG4</t>
  </si>
  <si>
    <t>SNX33</t>
  </si>
  <si>
    <t>ALDOA</t>
  </si>
  <si>
    <t>SNAPC5</t>
  </si>
  <si>
    <t>hCG_2044799</t>
  </si>
  <si>
    <t>TERF2</t>
  </si>
  <si>
    <t>DCTN5</t>
  </si>
  <si>
    <t>ZNRF1</t>
  </si>
  <si>
    <t>GFER</t>
  </si>
  <si>
    <t>ZFYVE19</t>
  </si>
  <si>
    <t>UBFD1</t>
  </si>
  <si>
    <t>NUDT7</t>
  </si>
  <si>
    <t>NFATC3</t>
  </si>
  <si>
    <t>FAM219B</t>
  </si>
  <si>
    <t>EIF3C</t>
  </si>
  <si>
    <t>VWA9</t>
  </si>
  <si>
    <t>ZNF768</t>
  </si>
  <si>
    <t>TMEM178B</t>
  </si>
  <si>
    <t>SLC7A6</t>
  </si>
  <si>
    <t>COG8</t>
  </si>
  <si>
    <t>GABARAPL2</t>
  </si>
  <si>
    <t>C16orf58</t>
  </si>
  <si>
    <t>CTU2</t>
  </si>
  <si>
    <t>FEM1B</t>
  </si>
  <si>
    <t>ADPGK</t>
  </si>
  <si>
    <t>MAP1LC3B</t>
  </si>
  <si>
    <t>BCKDK</t>
  </si>
  <si>
    <t>ARL2BP</t>
  </si>
  <si>
    <t>PPCDC</t>
  </si>
  <si>
    <t>ATXN2L</t>
  </si>
  <si>
    <t>OGFOD1</t>
  </si>
  <si>
    <t>UBL7</t>
  </si>
  <si>
    <t>GCA</t>
  </si>
  <si>
    <t>PPP6R3</t>
  </si>
  <si>
    <t>ERGIC3</t>
  </si>
  <si>
    <t>BET1L</t>
  </si>
  <si>
    <t>TSPAN14</t>
  </si>
  <si>
    <t>WRB</t>
  </si>
  <si>
    <t>INTS9</t>
  </si>
  <si>
    <t>TPM1</t>
  </si>
  <si>
    <t>PSTK</t>
  </si>
  <si>
    <t>NHEJ1</t>
  </si>
  <si>
    <t>ITPRIPL1</t>
  </si>
  <si>
    <t>IQSEC1</t>
  </si>
  <si>
    <t>FBXL19</t>
  </si>
  <si>
    <t>MZT2B</t>
  </si>
  <si>
    <t>AP1S1</t>
  </si>
  <si>
    <t>CC2D1B</t>
  </si>
  <si>
    <t>APOO</t>
  </si>
  <si>
    <t>C1orf86</t>
  </si>
  <si>
    <t>SNAP47</t>
  </si>
  <si>
    <t>FAM134A</t>
  </si>
  <si>
    <t>CMC1</t>
  </si>
  <si>
    <t>GNS</t>
  </si>
  <si>
    <t>ART5</t>
  </si>
  <si>
    <t>IFRD2</t>
  </si>
  <si>
    <t>ARV1</t>
  </si>
  <si>
    <t>CCDC58</t>
  </si>
  <si>
    <t>IAH1</t>
  </si>
  <si>
    <t>GK5</t>
  </si>
  <si>
    <t>EFR3A</t>
  </si>
  <si>
    <t>PRC1</t>
  </si>
  <si>
    <t>PWWP2B</t>
  </si>
  <si>
    <t>MICU1</t>
  </si>
  <si>
    <t>CREB5</t>
  </si>
  <si>
    <t>GABPB1</t>
  </si>
  <si>
    <t>WASH6P</t>
  </si>
  <si>
    <t>GOSR2</t>
  </si>
  <si>
    <t>RNF167</t>
  </si>
  <si>
    <t>NSF</t>
  </si>
  <si>
    <t>RNMTL1</t>
  </si>
  <si>
    <t>TBC1D16</t>
  </si>
  <si>
    <t>DPH1</t>
  </si>
  <si>
    <t>SLC25A11</t>
  </si>
  <si>
    <t>CLUH</t>
  </si>
  <si>
    <t>GEMIN4</t>
  </si>
  <si>
    <t>AZI1</t>
  </si>
  <si>
    <t>FAM195B</t>
  </si>
  <si>
    <t>DVL2</t>
  </si>
  <si>
    <t>PELP1</t>
  </si>
  <si>
    <t>ATPAF1</t>
  </si>
  <si>
    <t>LSMD1</t>
  </si>
  <si>
    <t>NFKBIB</t>
  </si>
  <si>
    <t>NPC2</t>
  </si>
  <si>
    <t>DPF2</t>
  </si>
  <si>
    <t>LDLR</t>
  </si>
  <si>
    <t>KIAA0368</t>
  </si>
  <si>
    <t>FBRSL1</t>
  </si>
  <si>
    <t>PSMD9</t>
  </si>
  <si>
    <t>OBSL1</t>
  </si>
  <si>
    <t>BNIP2</t>
  </si>
  <si>
    <t>TOR1AIP1</t>
  </si>
  <si>
    <t>TPM3</t>
  </si>
  <si>
    <t>NCEH1</t>
  </si>
  <si>
    <t>OXA1L</t>
  </si>
  <si>
    <t>GTF2A1</t>
  </si>
  <si>
    <t>CCS</t>
  </si>
  <si>
    <t>COG4</t>
  </si>
  <si>
    <t>CHID1</t>
  </si>
  <si>
    <t>SEC16A</t>
  </si>
  <si>
    <t>ZFYVE1</t>
  </si>
  <si>
    <t>BRAP</t>
  </si>
  <si>
    <t>ZFP1</t>
  </si>
  <si>
    <t>MARK3</t>
  </si>
  <si>
    <t>ALDH6A1</t>
  </si>
  <si>
    <t>FHL2</t>
  </si>
  <si>
    <t>RGPD4</t>
  </si>
  <si>
    <t>SRSF2</t>
  </si>
  <si>
    <t>PTPRA</t>
  </si>
  <si>
    <t>ANKRD46</t>
  </si>
  <si>
    <t>NUP98</t>
  </si>
  <si>
    <t>DNTTIP2</t>
  </si>
  <si>
    <t>PHACTR2</t>
  </si>
  <si>
    <t>HS6ST2</t>
  </si>
  <si>
    <t>KIF3A</t>
  </si>
  <si>
    <t>HDAC7</t>
  </si>
  <si>
    <t>CAMKK1</t>
  </si>
  <si>
    <t>SYNJ1</t>
  </si>
  <si>
    <t>TESC</t>
  </si>
  <si>
    <t>LUC7L3</t>
  </si>
  <si>
    <t>ARRB1</t>
  </si>
  <si>
    <t>TRABD</t>
  </si>
  <si>
    <t>CHCHD7</t>
  </si>
  <si>
    <t>MPST</t>
  </si>
  <si>
    <t>SUDS3</t>
  </si>
  <si>
    <t>HDAC2</t>
  </si>
  <si>
    <t>RFXANK</t>
  </si>
  <si>
    <t>OLA1</t>
  </si>
  <si>
    <t>PTRH2</t>
  </si>
  <si>
    <t>C6orf203</t>
  </si>
  <si>
    <t>THUMPD1</t>
  </si>
  <si>
    <t>SUN2</t>
  </si>
  <si>
    <t>RAN</t>
  </si>
  <si>
    <t>GBA</t>
  </si>
  <si>
    <t>SUMF2</t>
  </si>
  <si>
    <t>APOL2</t>
  </si>
  <si>
    <t>AP1G1</t>
  </si>
  <si>
    <t>CCDC12</t>
  </si>
  <si>
    <t>TBCD</t>
  </si>
  <si>
    <t>C16orf55</t>
  </si>
  <si>
    <t>SUMO2</t>
  </si>
  <si>
    <t>MAP3K3</t>
  </si>
  <si>
    <t>CBX1</t>
  </si>
  <si>
    <t>ICT1</t>
  </si>
  <si>
    <t>TMEM199</t>
  </si>
  <si>
    <t>BLMH</t>
  </si>
  <si>
    <t>AMZ2</t>
  </si>
  <si>
    <t>FBXL20</t>
  </si>
  <si>
    <t>AURKB</t>
  </si>
  <si>
    <t>SRSF1</t>
  </si>
  <si>
    <t>CHERP</t>
  </si>
  <si>
    <t>SMARCE1</t>
  </si>
  <si>
    <t>SCO1</t>
  </si>
  <si>
    <t>TVP23B</t>
  </si>
  <si>
    <t>SCRN2</t>
  </si>
  <si>
    <t>SLC39A11</t>
  </si>
  <si>
    <t>FLOT2</t>
  </si>
  <si>
    <t>MRPS23</t>
  </si>
  <si>
    <t>MRPS7</t>
  </si>
  <si>
    <t>SAP30BP</t>
  </si>
  <si>
    <t>RPL17</t>
  </si>
  <si>
    <t>FDXR</t>
  </si>
  <si>
    <t>MSL1</t>
  </si>
  <si>
    <t>STRA13</t>
  </si>
  <si>
    <t>YTHDC1</t>
  </si>
  <si>
    <t>RPL19</t>
  </si>
  <si>
    <t>ALDH3A2</t>
  </si>
  <si>
    <t>ORMDL3</t>
  </si>
  <si>
    <t>MYL12A</t>
  </si>
  <si>
    <t>ZNF207</t>
  </si>
  <si>
    <t>YES1</t>
  </si>
  <si>
    <t>VAMP2</t>
  </si>
  <si>
    <t>HELZ</t>
  </si>
  <si>
    <t>CDK12</t>
  </si>
  <si>
    <t>KIAA1549</t>
  </si>
  <si>
    <t>HYPK</t>
  </si>
  <si>
    <t>COPS7B</t>
  </si>
  <si>
    <t>CHCHD6</t>
  </si>
  <si>
    <t>DST</t>
  </si>
  <si>
    <t>C17orf75</t>
  </si>
  <si>
    <t>LMNB2</t>
  </si>
  <si>
    <t>PITPNC1</t>
  </si>
  <si>
    <t>TMCO1</t>
  </si>
  <si>
    <t>ARSG</t>
  </si>
  <si>
    <t>RWDD4</t>
  </si>
  <si>
    <t>CUL4B</t>
  </si>
  <si>
    <t>MLX</t>
  </si>
  <si>
    <t>MBD3</t>
  </si>
  <si>
    <t>EML2</t>
  </si>
  <si>
    <t>YIPF2</t>
  </si>
  <si>
    <t>TUBG1</t>
  </si>
  <si>
    <t>SMAD4</t>
  </si>
  <si>
    <t>SEC14L1</t>
  </si>
  <si>
    <t>RPS15</t>
  </si>
  <si>
    <t>SPC24</t>
  </si>
  <si>
    <t>AP1M1</t>
  </si>
  <si>
    <t>SEC11C</t>
  </si>
  <si>
    <t>H3F3B</t>
  </si>
  <si>
    <t>LIN37</t>
  </si>
  <si>
    <t>LONP1</t>
  </si>
  <si>
    <t>MRPL4</t>
  </si>
  <si>
    <t>POLRMT</t>
  </si>
  <si>
    <t>TMUB2</t>
  </si>
  <si>
    <t>CDC37</t>
  </si>
  <si>
    <t>PPP1R12C</t>
  </si>
  <si>
    <t>RPL27</t>
  </si>
  <si>
    <t>PRKCSH</t>
  </si>
  <si>
    <t>STX10</t>
  </si>
  <si>
    <t>KATNAL2</t>
  </si>
  <si>
    <t>TMEM205</t>
  </si>
  <si>
    <t>ACTG1</t>
  </si>
  <si>
    <t>ELOF1</t>
  </si>
  <si>
    <t>R3HDM4</t>
  </si>
  <si>
    <t>NARS</t>
  </si>
  <si>
    <t>C18orf8</t>
  </si>
  <si>
    <t>ELK1</t>
  </si>
  <si>
    <t>ATP5SL</t>
  </si>
  <si>
    <t>UBXN6</t>
  </si>
  <si>
    <t>MOB3A</t>
  </si>
  <si>
    <t>NDUFA11</t>
  </si>
  <si>
    <t>QPCTL</t>
  </si>
  <si>
    <t>USP32</t>
  </si>
  <si>
    <t>FARSA</t>
  </si>
  <si>
    <t>C19orf55</t>
  </si>
  <si>
    <t>EIF3K</t>
  </si>
  <si>
    <t>DTNA</t>
  </si>
  <si>
    <t>YIF1B</t>
  </si>
  <si>
    <t>UBE2O</t>
  </si>
  <si>
    <t>FAM86A</t>
  </si>
  <si>
    <t>ATF7</t>
  </si>
  <si>
    <t>RAD23A</t>
  </si>
  <si>
    <t>G6PC3</t>
  </si>
  <si>
    <t>DNM2</t>
  </si>
  <si>
    <t>TXNL4A</t>
  </si>
  <si>
    <t>DCAKD</t>
  </si>
  <si>
    <t>SARS2</t>
  </si>
  <si>
    <t>BABAM1</t>
  </si>
  <si>
    <t>WIZ</t>
  </si>
  <si>
    <t>COPE</t>
  </si>
  <si>
    <t>ETHE1</t>
  </si>
  <si>
    <t>MCOLN1</t>
  </si>
  <si>
    <t>NUP62</t>
  </si>
  <si>
    <t>USF2</t>
  </si>
  <si>
    <t>ZNF428</t>
  </si>
  <si>
    <t>KXD1</t>
  </si>
  <si>
    <t>PIH1D1</t>
  </si>
  <si>
    <t>PNKP</t>
  </si>
  <si>
    <t>TUBB4A</t>
  </si>
  <si>
    <t>RPL13A</t>
  </si>
  <si>
    <t>USE1</t>
  </si>
  <si>
    <t>GRAMD1A</t>
  </si>
  <si>
    <t>AP2S1</t>
  </si>
  <si>
    <t>C19orf44</t>
  </si>
  <si>
    <t>SMG9</t>
  </si>
  <si>
    <t>HNRNPM</t>
  </si>
  <si>
    <t>PRKD2</t>
  </si>
  <si>
    <t>SPHK2</t>
  </si>
  <si>
    <t>RPS5</t>
  </si>
  <si>
    <t>ATP1A3</t>
  </si>
  <si>
    <t>RPL18A</t>
  </si>
  <si>
    <t>RAB4B</t>
  </si>
  <si>
    <t>MRPL34</t>
  </si>
  <si>
    <t>FBL</t>
  </si>
  <si>
    <t>EMC10</t>
  </si>
  <si>
    <t>POLD1</t>
  </si>
  <si>
    <t>RABAC1</t>
  </si>
  <si>
    <t>AGPS</t>
  </si>
  <si>
    <t>UBXN8</t>
  </si>
  <si>
    <t>KIF2A</t>
  </si>
  <si>
    <t>DDX39A</t>
  </si>
  <si>
    <t>PDLIM1</t>
  </si>
  <si>
    <t>ACOT7</t>
  </si>
  <si>
    <t>MYO1C</t>
  </si>
  <si>
    <t>SNAP23</t>
  </si>
  <si>
    <t>HAX1</t>
  </si>
  <si>
    <t>AIP</t>
  </si>
  <si>
    <t>GTPBP1</t>
  </si>
  <si>
    <t>STXBP3</t>
  </si>
  <si>
    <t>SMAP</t>
  </si>
  <si>
    <t>APBB1</t>
  </si>
  <si>
    <t>NDUFS8</t>
  </si>
  <si>
    <t>NFKBIE</t>
  </si>
  <si>
    <t>PSMD11</t>
  </si>
  <si>
    <t>PSMD12</t>
  </si>
  <si>
    <t>ATOX1</t>
  </si>
  <si>
    <t>PGRMC1</t>
  </si>
  <si>
    <t>SUPT5H</t>
  </si>
  <si>
    <t>DFFA</t>
  </si>
  <si>
    <t>RFXAP</t>
  </si>
  <si>
    <t>HIP1</t>
  </si>
  <si>
    <t>CLIC1</t>
  </si>
  <si>
    <t>PDHX</t>
  </si>
  <si>
    <t>DCTN6</t>
  </si>
  <si>
    <t>SLC33A1</t>
  </si>
  <si>
    <t>WASL</t>
  </si>
  <si>
    <t>IPO5</t>
  </si>
  <si>
    <t>EEF2K</t>
  </si>
  <si>
    <t>IGF2BP3</t>
  </si>
  <si>
    <t>DNM1L</t>
  </si>
  <si>
    <t>RTCA</t>
  </si>
  <si>
    <t>PIK3C2A</t>
  </si>
  <si>
    <t>GFRA2</t>
  </si>
  <si>
    <t>PIK3R2</t>
  </si>
  <si>
    <t>GOLIM4</t>
  </si>
  <si>
    <t>HMGN4</t>
  </si>
  <si>
    <t>NDUFA4</t>
  </si>
  <si>
    <t>PSMD14</t>
  </si>
  <si>
    <t>ZNF593</t>
  </si>
  <si>
    <t>STK25</t>
  </si>
  <si>
    <t>BCL9</t>
  </si>
  <si>
    <t>SDCBP</t>
  </si>
  <si>
    <t>DDX3X</t>
  </si>
  <si>
    <t>PIR</t>
  </si>
  <si>
    <t>KPNA4</t>
  </si>
  <si>
    <t>TRIM38</t>
  </si>
  <si>
    <t>E2F3</t>
  </si>
  <si>
    <t>PPP6C</t>
  </si>
  <si>
    <t>CES2</t>
  </si>
  <si>
    <t>MAN2B1</t>
  </si>
  <si>
    <t>UBE2C</t>
  </si>
  <si>
    <t>PDXK</t>
  </si>
  <si>
    <t>SCD</t>
  </si>
  <si>
    <t>ARID1A</t>
  </si>
  <si>
    <t>CDK2AP1</t>
  </si>
  <si>
    <t>C2CD2L</t>
  </si>
  <si>
    <t>TMEM194A</t>
  </si>
  <si>
    <t>TRAFD1</t>
  </si>
  <si>
    <t>CDC42EP2</t>
  </si>
  <si>
    <t>AP3D1</t>
  </si>
  <si>
    <t>DVL1</t>
  </si>
  <si>
    <t>TOR1B</t>
  </si>
  <si>
    <t>ADAM10</t>
  </si>
  <si>
    <t>MLL2</t>
  </si>
  <si>
    <t>IMPA2</t>
  </si>
  <si>
    <t>MAP2K7</t>
  </si>
  <si>
    <t>ACOT8</t>
  </si>
  <si>
    <t>PDCD5</t>
  </si>
  <si>
    <t>PRMT5</t>
  </si>
  <si>
    <t>SLC9A3R1</t>
  </si>
  <si>
    <t>CHEK1</t>
  </si>
  <si>
    <t>TNFRSF10B</t>
  </si>
  <si>
    <t>FPGT</t>
  </si>
  <si>
    <t>TPP1</t>
  </si>
  <si>
    <t>TCERG1</t>
  </si>
  <si>
    <t>NDC80</t>
  </si>
  <si>
    <t>TNPO2</t>
  </si>
  <si>
    <t>CPLX1</t>
  </si>
  <si>
    <t>PSMA7</t>
  </si>
  <si>
    <t>SCAMP3</t>
  </si>
  <si>
    <t>BACH1</t>
  </si>
  <si>
    <t>GEMIN2</t>
  </si>
  <si>
    <t>TAX1BP3</t>
  </si>
  <si>
    <t>GIPC1</t>
  </si>
  <si>
    <t>LIN7A</t>
  </si>
  <si>
    <t>IKBKB</t>
  </si>
  <si>
    <t>TIMM23</t>
  </si>
  <si>
    <t>HAT1</t>
  </si>
  <si>
    <t>CASK</t>
  </si>
  <si>
    <t>HGS</t>
  </si>
  <si>
    <t>AURKA</t>
  </si>
  <si>
    <t>RAB7L1</t>
  </si>
  <si>
    <t>CLGN</t>
  </si>
  <si>
    <t>PPP1R12A</t>
  </si>
  <si>
    <t>GAK</t>
  </si>
  <si>
    <t>HNRPDL</t>
  </si>
  <si>
    <t>XPO1</t>
  </si>
  <si>
    <t>BTAF1</t>
  </si>
  <si>
    <t>ARHGEF10</t>
  </si>
  <si>
    <t>ZNF609</t>
  </si>
  <si>
    <t>PLXNB2</t>
  </si>
  <si>
    <t>SETD1A</t>
  </si>
  <si>
    <t>PFAS</t>
  </si>
  <si>
    <t>ARHGEF11</t>
  </si>
  <si>
    <t>KIAA0391</t>
  </si>
  <si>
    <t>CHUK</t>
  </si>
  <si>
    <t>LSM1</t>
  </si>
  <si>
    <t>NPC1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</si>
  <si>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</si>
  <si>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</si>
  <si>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</si>
  <si>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</si>
  <si>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</si>
  <si>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</si>
  <si>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</si>
  <si>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</si>
  <si>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TRIM24</t>
  </si>
  <si>
    <t>AXIN1</t>
  </si>
  <si>
    <t>PGRMC2</t>
  </si>
  <si>
    <t>PFDN6</t>
  </si>
  <si>
    <t>GNPAT</t>
  </si>
  <si>
    <t>CASC3</t>
  </si>
  <si>
    <t>NDUFA1</t>
  </si>
  <si>
    <t>RER1</t>
  </si>
  <si>
    <t>SPTLC1</t>
  </si>
  <si>
    <t>SPTLC2</t>
  </si>
  <si>
    <t>OGT</t>
  </si>
  <si>
    <t>PMM2</t>
  </si>
  <si>
    <t>MID1</t>
  </si>
  <si>
    <t>HMGB3</t>
  </si>
  <si>
    <t>PPM1G</t>
  </si>
  <si>
    <t>INPPL1</t>
  </si>
  <si>
    <t>IPO8</t>
  </si>
  <si>
    <t>STX7</t>
  </si>
  <si>
    <t>ABCC4</t>
  </si>
  <si>
    <t>CD3EAP</t>
  </si>
  <si>
    <t>P4HA2</t>
  </si>
  <si>
    <t>ARPC5</t>
  </si>
  <si>
    <t>RNF113A</t>
  </si>
  <si>
    <t>DHX15</t>
  </si>
  <si>
    <t>RNMT</t>
  </si>
  <si>
    <t>ASAP2</t>
  </si>
  <si>
    <t>FLRT2</t>
  </si>
  <si>
    <t>TTI1</t>
  </si>
  <si>
    <t>PJA2</t>
  </si>
  <si>
    <t>PRPF4</t>
  </si>
  <si>
    <t>PHGDH</t>
  </si>
  <si>
    <t>PSMD3</t>
  </si>
  <si>
    <t>RBFOX2</t>
  </si>
  <si>
    <t>PAPSS1</t>
  </si>
  <si>
    <t>ZNHIT1</t>
  </si>
  <si>
    <t>ZW10</t>
  </si>
  <si>
    <t>SART1</t>
  </si>
  <si>
    <t>HSPA12A</t>
  </si>
  <si>
    <t>CTIF</t>
  </si>
  <si>
    <t>MAP3K7</t>
  </si>
  <si>
    <t>RIPK2</t>
  </si>
  <si>
    <t>WDR62</t>
  </si>
  <si>
    <t>PRPF3</t>
  </si>
  <si>
    <t>TXNL1</t>
  </si>
  <si>
    <t>TPD52L2</t>
  </si>
  <si>
    <t>EMC8</t>
  </si>
  <si>
    <t>TBX1</t>
  </si>
  <si>
    <t>PPIH</t>
  </si>
  <si>
    <t>HTRA2</t>
  </si>
  <si>
    <t>KLF4</t>
  </si>
  <si>
    <t>OIP5</t>
  </si>
  <si>
    <t>EPB41L2</t>
  </si>
  <si>
    <t>TGOLN2</t>
  </si>
  <si>
    <t>RAD51C</t>
  </si>
  <si>
    <t>B3GNT1</t>
  </si>
  <si>
    <t>WIPF1</t>
  </si>
  <si>
    <t>BCL2L11</t>
  </si>
  <si>
    <t>FOXO3</t>
  </si>
  <si>
    <t>RNF13</t>
  </si>
  <si>
    <t>DENR</t>
  </si>
  <si>
    <t>XPOT</t>
  </si>
  <si>
    <t>DNPH1</t>
  </si>
  <si>
    <t>TIMM44</t>
  </si>
  <si>
    <t>TRAPPC3</t>
  </si>
  <si>
    <t>CHMP2A</t>
  </si>
  <si>
    <t>NCK2</t>
  </si>
  <si>
    <t>TSPAN6</t>
  </si>
  <si>
    <t>RGS10</t>
  </si>
  <si>
    <t>NDUFB3</t>
  </si>
  <si>
    <t>NDUFC1</t>
  </si>
  <si>
    <t>NDUFA2</t>
  </si>
  <si>
    <t>ASNA1</t>
  </si>
  <si>
    <t>BUB3</t>
  </si>
  <si>
    <t>ACTN4</t>
  </si>
  <si>
    <t>WBSCR22</t>
  </si>
  <si>
    <t>TRIAP1</t>
  </si>
  <si>
    <t>HTATSF1</t>
  </si>
  <si>
    <t>STX6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</si>
  <si>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</si>
  <si>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</si>
  <si>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</si>
  <si>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</si>
  <si>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</si>
  <si>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</si>
  <si>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</si>
  <si>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</si>
  <si>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</si>
  <si>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</si>
  <si>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HYAL3</t>
  </si>
  <si>
    <t>GTPBP6</t>
  </si>
  <si>
    <t>SLC37A4</t>
  </si>
  <si>
    <t>IDH3B</t>
  </si>
  <si>
    <t>CALU</t>
  </si>
  <si>
    <t>AHCYL1</t>
  </si>
  <si>
    <t>KIF1C</t>
  </si>
  <si>
    <t>ORC5</t>
  </si>
  <si>
    <t>NDUFS5</t>
  </si>
  <si>
    <t>ORC4</t>
  </si>
  <si>
    <t>PEX1</t>
  </si>
  <si>
    <t>TIMM8A</t>
  </si>
  <si>
    <t>DHX16</t>
  </si>
  <si>
    <t>PRPSAP2</t>
  </si>
  <si>
    <t>GNG7</t>
  </si>
  <si>
    <t>SPAG9</t>
  </si>
  <si>
    <t>SUSD5</t>
  </si>
  <si>
    <t>KIF5C</t>
  </si>
  <si>
    <t>KIF1B</t>
  </si>
  <si>
    <t>TBC1D4</t>
  </si>
  <si>
    <t>ECE2</t>
  </si>
  <si>
    <t>TBC1D12</t>
  </si>
  <si>
    <t>FZD6</t>
  </si>
  <si>
    <t>NME2P1</t>
  </si>
  <si>
    <t>FADS1</t>
  </si>
  <si>
    <t>LY75</t>
  </si>
  <si>
    <t>MAN1A2</t>
  </si>
  <si>
    <t>ACSL4</t>
  </si>
  <si>
    <t>SNX3</t>
  </si>
  <si>
    <t>MGEA5</t>
  </si>
  <si>
    <t>ADCY9</t>
  </si>
  <si>
    <t>SORBS3</t>
  </si>
  <si>
    <t>SYNCRIP</t>
  </si>
  <si>
    <t>RANBP6</t>
  </si>
  <si>
    <t>NEMF</t>
  </si>
  <si>
    <t>GMDS</t>
  </si>
  <si>
    <t>FOXD2</t>
  </si>
  <si>
    <t>BUB1B</t>
  </si>
  <si>
    <t>PLOD3</t>
  </si>
  <si>
    <t>SEP15</t>
  </si>
  <si>
    <t>EXOC3</t>
  </si>
  <si>
    <t>PLIN3</t>
  </si>
  <si>
    <t>PRMT3</t>
  </si>
  <si>
    <t>UGDH</t>
  </si>
  <si>
    <t>TPST2</t>
  </si>
  <si>
    <t>CTNND1</t>
  </si>
  <si>
    <t>ICMT</t>
  </si>
  <si>
    <t>USO1</t>
  </si>
  <si>
    <t>CCDC22</t>
  </si>
  <si>
    <t>PQBP1</t>
  </si>
  <si>
    <t>TIMM17B</t>
  </si>
  <si>
    <t>PRAF2</t>
  </si>
  <si>
    <t>DKC1</t>
  </si>
  <si>
    <t>EIF5B</t>
  </si>
  <si>
    <t>EDF1</t>
  </si>
  <si>
    <t>DNAJA2</t>
  </si>
  <si>
    <t>BRD4</t>
  </si>
  <si>
    <t>CUTA</t>
  </si>
  <si>
    <t>SMPD2</t>
  </si>
  <si>
    <t>PFDN1</t>
  </si>
  <si>
    <t>PPP1R11</t>
  </si>
  <si>
    <t>NBN</t>
  </si>
  <si>
    <t>RNGTT</t>
  </si>
  <si>
    <t>ABCB7</t>
  </si>
  <si>
    <t>SRGAP2</t>
  </si>
  <si>
    <t>PLXNA2</t>
  </si>
  <si>
    <t>FAM20B</t>
  </si>
  <si>
    <t>WDR1</t>
  </si>
  <si>
    <t>FZD7</t>
  </si>
  <si>
    <t>ATP9A</t>
  </si>
  <si>
    <t>N4BP1</t>
  </si>
  <si>
    <t>ROCK2</t>
  </si>
  <si>
    <t>CPNE3</t>
  </si>
  <si>
    <t>ATG13</t>
  </si>
  <si>
    <t>HIP1R</t>
  </si>
  <si>
    <t>RNF40</t>
  </si>
  <si>
    <t>CAND2</t>
  </si>
  <si>
    <t>TSC22D2</t>
  </si>
  <si>
    <t>KDM4A</t>
  </si>
  <si>
    <t>PPP6R2</t>
  </si>
  <si>
    <t>CNOT3</t>
  </si>
  <si>
    <t>ANKRD17</t>
  </si>
  <si>
    <t>XYLB</t>
  </si>
  <si>
    <t>COQ9</t>
  </si>
  <si>
    <t>GGCT</t>
  </si>
  <si>
    <t>NDUFS2</t>
  </si>
  <si>
    <t>ZNF259</t>
  </si>
  <si>
    <t>GBAS</t>
  </si>
  <si>
    <t>HMMR</t>
  </si>
  <si>
    <t>PDCD6</t>
  </si>
  <si>
    <t>TBCA</t>
  </si>
  <si>
    <t>ATP6V1G1</t>
  </si>
  <si>
    <t>VPS4B</t>
  </si>
  <si>
    <t>SH3BGRL</t>
  </si>
  <si>
    <t>FLNB</t>
  </si>
  <si>
    <t>NCOR1</t>
  </si>
  <si>
    <t>VAMP4</t>
  </si>
  <si>
    <t>NDUFS6</t>
  </si>
  <si>
    <t>SPAG7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</si>
  <si>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</si>
  <si>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</si>
  <si>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</si>
  <si>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</si>
  <si>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</si>
  <si>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</si>
  <si>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</si>
  <si>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</si>
  <si>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KATNA1</t>
  </si>
  <si>
    <t>PSIP1</t>
  </si>
  <si>
    <t>NDUFS3</t>
  </si>
  <si>
    <t>HSBP1</t>
  </si>
  <si>
    <t>ECI2</t>
  </si>
  <si>
    <t>RBMXL2</t>
  </si>
  <si>
    <t>TADA3</t>
  </si>
  <si>
    <t>BANF1</t>
  </si>
  <si>
    <t>SF3B1</t>
  </si>
  <si>
    <t>CSDE1</t>
  </si>
  <si>
    <t>WBP4</t>
  </si>
  <si>
    <t>MTRF1</t>
  </si>
  <si>
    <t>RPS6KA5</t>
  </si>
  <si>
    <t>GCAT</t>
  </si>
  <si>
    <t>NPM3</t>
  </si>
  <si>
    <t>LYPLA1</t>
  </si>
  <si>
    <t>ERAL1</t>
  </si>
  <si>
    <t>CREG1</t>
  </si>
  <si>
    <t>SNRNP200</t>
  </si>
  <si>
    <t>TRMU</t>
  </si>
  <si>
    <t>TIPRL</t>
  </si>
  <si>
    <t>PPM1B</t>
  </si>
  <si>
    <t>ADAP1</t>
  </si>
  <si>
    <t>RP2</t>
  </si>
  <si>
    <t>WDHD1</t>
  </si>
  <si>
    <t>SLC25A12</t>
  </si>
  <si>
    <t>PALM</t>
  </si>
  <si>
    <t>RNASEH2A</t>
  </si>
  <si>
    <t>CDC123</t>
  </si>
  <si>
    <t>SOLH</t>
  </si>
  <si>
    <t>RPP40</t>
  </si>
  <si>
    <t>EIF3G</t>
  </si>
  <si>
    <t>EIF3J</t>
  </si>
  <si>
    <t>CBR3</t>
  </si>
  <si>
    <t>PSMD10</t>
  </si>
  <si>
    <t>ZMPSTE24</t>
  </si>
  <si>
    <t>IDH1</t>
  </si>
  <si>
    <t>RBBP9</t>
  </si>
  <si>
    <t>STAM2</t>
  </si>
  <si>
    <t>ARL6IP5</t>
  </si>
  <si>
    <t>SERF1A</t>
  </si>
  <si>
    <t>PIAS2</t>
  </si>
  <si>
    <t>BCAS2</t>
  </si>
  <si>
    <t>DNAJC8</t>
  </si>
  <si>
    <t>SMNDC1</t>
  </si>
  <si>
    <t>ATP5H</t>
  </si>
  <si>
    <t>ATP5L</t>
  </si>
  <si>
    <t>CPD</t>
  </si>
  <si>
    <t>GLRX3</t>
  </si>
  <si>
    <t>WFS1</t>
  </si>
  <si>
    <t>CLPX</t>
  </si>
  <si>
    <t>NEBL</t>
  </si>
  <si>
    <t>SNCG</t>
  </si>
  <si>
    <t>CIAO1</t>
  </si>
  <si>
    <t>DFFB</t>
  </si>
  <si>
    <t>ZFAND5</t>
  </si>
  <si>
    <t>SRP72</t>
  </si>
  <si>
    <t>JTB</t>
  </si>
  <si>
    <t>DDAH1</t>
  </si>
  <si>
    <t>RECQL4</t>
  </si>
  <si>
    <t>B3GAT3</t>
  </si>
  <si>
    <t>MTA2</t>
  </si>
  <si>
    <t>USP1</t>
  </si>
  <si>
    <t>ALDH1A2</t>
  </si>
  <si>
    <t>STK10</t>
  </si>
  <si>
    <t>TPPP</t>
  </si>
  <si>
    <t>SLIT2</t>
  </si>
  <si>
    <t>KBTBD11</t>
  </si>
  <si>
    <t>LTN1</t>
  </si>
  <si>
    <t>TOMM70A</t>
  </si>
  <si>
    <t>IPO13</t>
  </si>
  <si>
    <t>DDHD2</t>
  </si>
  <si>
    <t>MYO1D</t>
  </si>
  <si>
    <t>MICAL2</t>
  </si>
  <si>
    <t>SEC24D</t>
  </si>
  <si>
    <t>SUPT7L</t>
  </si>
  <si>
    <t>UFL1</t>
  </si>
  <si>
    <t>SASH1</t>
  </si>
  <si>
    <t>UBXN7</t>
  </si>
  <si>
    <t>LRIG2</t>
  </si>
  <si>
    <t>PROSC</t>
  </si>
  <si>
    <t>ERLIN2</t>
  </si>
  <si>
    <t>ENDOD1</t>
  </si>
  <si>
    <t>CDK14</t>
  </si>
  <si>
    <t>GLS</t>
  </si>
  <si>
    <t>HAUS5</t>
  </si>
  <si>
    <t>WDR47</t>
  </si>
  <si>
    <t>AP2A2</t>
  </si>
  <si>
    <t>HEXIM1</t>
  </si>
  <si>
    <t>CCNB2</t>
  </si>
  <si>
    <t>AGFG2</t>
  </si>
  <si>
    <t>SCAF4</t>
  </si>
  <si>
    <t>S1PR2</t>
  </si>
  <si>
    <t>NDUFB6</t>
  </si>
  <si>
    <t>MFN2</t>
  </si>
  <si>
    <t>UBE4B</t>
  </si>
  <si>
    <t>ZFPL1</t>
  </si>
  <si>
    <t>IKBKAP</t>
  </si>
  <si>
    <t>NDUFA3</t>
  </si>
  <si>
    <t>NDUFB4</t>
  </si>
  <si>
    <t>RTN3</t>
  </si>
  <si>
    <t>LETM1</t>
  </si>
  <si>
    <t>ZRANB2</t>
  </si>
  <si>
    <t>SNX4</t>
  </si>
  <si>
    <t>ZWINT</t>
  </si>
  <si>
    <t>KAT7</t>
  </si>
  <si>
    <t>CCNDBP1</t>
  </si>
  <si>
    <t>VAPB</t>
  </si>
  <si>
    <t>SNAPIN</t>
  </si>
  <si>
    <t>MPZL1</t>
  </si>
  <si>
    <t>NDUFC2</t>
  </si>
  <si>
    <t>FKBP9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</si>
  <si>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</si>
  <si>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</si>
  <si>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</si>
  <si>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</si>
  <si>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</si>
  <si>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</si>
  <si>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</si>
  <si>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</si>
  <si>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SLU7</t>
  </si>
  <si>
    <t>PGM3</t>
  </si>
  <si>
    <t>MOCS3</t>
  </si>
  <si>
    <t>CD2BP2</t>
  </si>
  <si>
    <t>ZFYVE9</t>
  </si>
  <si>
    <t>BAG4</t>
  </si>
  <si>
    <t>AHSA1</t>
  </si>
  <si>
    <t>PARN</t>
  </si>
  <si>
    <t>TGDS</t>
  </si>
  <si>
    <t>PSMG1</t>
  </si>
  <si>
    <t>SGPL1</t>
  </si>
  <si>
    <t>SEC24A</t>
  </si>
  <si>
    <t>SEC24B</t>
  </si>
  <si>
    <t>NADK</t>
  </si>
  <si>
    <t>TDP2</t>
  </si>
  <si>
    <t>ACSL3</t>
  </si>
  <si>
    <t>KLF8</t>
  </si>
  <si>
    <t>PCNT</t>
  </si>
  <si>
    <t>DUS4L</t>
  </si>
  <si>
    <t>CNOT4</t>
  </si>
  <si>
    <t>STAMBP</t>
  </si>
  <si>
    <t>ASMTL</t>
  </si>
  <si>
    <t>FGFR1OP</t>
  </si>
  <si>
    <t>RAB3D</t>
  </si>
  <si>
    <t>SNAP29</t>
  </si>
  <si>
    <t>OXSR1</t>
  </si>
  <si>
    <t>LDOC1</t>
  </si>
  <si>
    <t>RAB36</t>
  </si>
  <si>
    <t>PTBP3</t>
  </si>
  <si>
    <t>NAA38</t>
  </si>
  <si>
    <t>AP2A1</t>
  </si>
  <si>
    <t>BAG2</t>
  </si>
  <si>
    <t>BAG3</t>
  </si>
  <si>
    <t>MLYCD</t>
  </si>
  <si>
    <t>CRYZL1</t>
  </si>
  <si>
    <t>AIFM1</t>
  </si>
  <si>
    <t>LATS1</t>
  </si>
  <si>
    <t>TSPAN13</t>
  </si>
  <si>
    <t>DDAH2</t>
  </si>
  <si>
    <t>C6orf47</t>
  </si>
  <si>
    <t>TXNDC12</t>
  </si>
  <si>
    <t>ECD</t>
  </si>
  <si>
    <t>SYF2</t>
  </si>
  <si>
    <t>NUDT3</t>
  </si>
  <si>
    <t>PTTG1</t>
  </si>
  <si>
    <t>BCL10</t>
  </si>
  <si>
    <t>NDUFB10</t>
  </si>
  <si>
    <t>ZBED1</t>
  </si>
  <si>
    <t>TOMM40</t>
  </si>
  <si>
    <t>PEX11B</t>
  </si>
  <si>
    <t>PAK4</t>
  </si>
  <si>
    <t>CHEK2</t>
  </si>
  <si>
    <t>ACTL6A</t>
  </si>
  <si>
    <t>MOCS2</t>
  </si>
  <si>
    <t>CYB5A</t>
  </si>
  <si>
    <t>LDHA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</si>
  <si>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</si>
  <si>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</si>
  <si>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</si>
  <si>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</si>
  <si>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</si>
  <si>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</si>
  <si>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</si>
  <si>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</si>
  <si>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</si>
  <si>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</si>
  <si>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</si>
  <si>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ADA</t>
  </si>
  <si>
    <t>CA2</t>
  </si>
  <si>
    <t>CST3</t>
  </si>
  <si>
    <t>NRAS</t>
  </si>
  <si>
    <t>HRAS</t>
  </si>
  <si>
    <t>KRAS</t>
  </si>
  <si>
    <t>HLA-B</t>
  </si>
  <si>
    <t>HBZ</t>
  </si>
  <si>
    <t>HBE1</t>
  </si>
  <si>
    <t>LMNA</t>
  </si>
  <si>
    <t>TFRC</t>
  </si>
  <si>
    <t>FTH1</t>
  </si>
  <si>
    <t>MT2A</t>
  </si>
  <si>
    <t>MT-ATP8</t>
  </si>
  <si>
    <t>CAT</t>
  </si>
  <si>
    <t>FUCA1</t>
  </si>
  <si>
    <t>CSTB</t>
  </si>
  <si>
    <t>ANXA1</t>
  </si>
  <si>
    <t>NR3C1</t>
  </si>
  <si>
    <t>OAT</t>
  </si>
  <si>
    <t>TK1</t>
  </si>
  <si>
    <t>GAPDH</t>
  </si>
  <si>
    <t>ERBB2</t>
  </si>
  <si>
    <t>CAPNS1</t>
  </si>
  <si>
    <t>HSPB1</t>
  </si>
  <si>
    <t>TYMS</t>
  </si>
  <si>
    <t>RPN1</t>
  </si>
  <si>
    <t>RPN2</t>
  </si>
  <si>
    <t>GNAI2</t>
  </si>
  <si>
    <t>SLC4A2</t>
  </si>
  <si>
    <t>ATP1A1</t>
  </si>
  <si>
    <t>ALDH2</t>
  </si>
  <si>
    <t>SLC25A5</t>
  </si>
  <si>
    <t>EIF2S1</t>
  </si>
  <si>
    <t>HMGN2</t>
  </si>
  <si>
    <t>RPLP1</t>
  </si>
  <si>
    <t>RPLP2</t>
  </si>
  <si>
    <t>RPLP0</t>
  </si>
  <si>
    <t>JUN</t>
  </si>
  <si>
    <t>SSB</t>
  </si>
  <si>
    <t>ITGB1</t>
  </si>
  <si>
    <t>PRKCB</t>
  </si>
  <si>
    <t>KRT18</t>
  </si>
  <si>
    <t>MYL1</t>
  </si>
  <si>
    <t>UROD</t>
  </si>
  <si>
    <t>FYN</t>
  </si>
  <si>
    <t>GLA</t>
  </si>
  <si>
    <t>RB1</t>
  </si>
  <si>
    <t>CDK1</t>
  </si>
  <si>
    <t>ATP5B</t>
  </si>
  <si>
    <t>ENO1</t>
  </si>
  <si>
    <t>PYGL</t>
  </si>
  <si>
    <t>GPI</t>
  </si>
  <si>
    <t>NPM1</t>
  </si>
  <si>
    <t>ITGAV</t>
  </si>
  <si>
    <t>DBI</t>
  </si>
  <si>
    <t>NEFL</t>
  </si>
  <si>
    <t>GPX1</t>
  </si>
  <si>
    <t>THBD</t>
  </si>
  <si>
    <t>PGK2</t>
  </si>
  <si>
    <t>P4HB</t>
  </si>
  <si>
    <t>CTSD</t>
  </si>
  <si>
    <t>ANXA2</t>
  </si>
  <si>
    <t>CAPN1</t>
  </si>
  <si>
    <t>HEXB</t>
  </si>
  <si>
    <t>CTSL1</t>
  </si>
  <si>
    <t>PFN1</t>
  </si>
  <si>
    <t>BPGM</t>
  </si>
  <si>
    <t>APRT</t>
  </si>
  <si>
    <t>CTSB</t>
  </si>
  <si>
    <t>HSP90AA1</t>
  </si>
  <si>
    <t>GALT</t>
  </si>
  <si>
    <t>UQCRH</t>
  </si>
  <si>
    <t>LYN</t>
  </si>
  <si>
    <t>FH</t>
  </si>
  <si>
    <t>ERCC1</t>
  </si>
  <si>
    <t>SP1</t>
  </si>
  <si>
    <t>HSPA1A</t>
  </si>
  <si>
    <t>PFKM</t>
  </si>
  <si>
    <t>HSP90AB1</t>
  </si>
  <si>
    <t>SRPR</t>
  </si>
  <si>
    <t>ASNS</t>
  </si>
  <si>
    <t>HMBS</t>
  </si>
  <si>
    <t>PDHA1</t>
  </si>
  <si>
    <t>CYC1</t>
  </si>
  <si>
    <t>SNRPB2</t>
  </si>
  <si>
    <t>MET</t>
  </si>
  <si>
    <t>MFI2</t>
  </si>
  <si>
    <t>ITGA5</t>
  </si>
  <si>
    <t>VIM</t>
  </si>
  <si>
    <t>GNAI3</t>
  </si>
  <si>
    <t>ANXA5</t>
  </si>
  <si>
    <t>ENO2</t>
  </si>
  <si>
    <t>ACAA1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</si>
  <si>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</si>
  <si>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</si>
  <si>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</si>
  <si>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</si>
  <si>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</si>
  <si>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</si>
  <si>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</si>
  <si>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</si>
  <si>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ANXA4</t>
  </si>
  <si>
    <t>CNP</t>
  </si>
  <si>
    <t>HMOX1</t>
  </si>
  <si>
    <t>DLD</t>
  </si>
  <si>
    <t>SNRPA1</t>
  </si>
  <si>
    <t>PARP1</t>
  </si>
  <si>
    <t>UCHL1</t>
  </si>
  <si>
    <t>FURIN</t>
  </si>
  <si>
    <t>LTA4H</t>
  </si>
  <si>
    <t>ALDOC</t>
  </si>
  <si>
    <t>FBXO45</t>
  </si>
  <si>
    <t>CISD3</t>
  </si>
  <si>
    <t>ATXN1L</t>
  </si>
  <si>
    <t>CHTF8</t>
  </si>
  <si>
    <t>TMSB15B</t>
  </si>
  <si>
    <t>RPS17L</t>
  </si>
  <si>
    <t>SMIM13</t>
  </si>
  <si>
    <t>FDX1</t>
  </si>
  <si>
    <t>TROVE2</t>
  </si>
  <si>
    <t>GAA</t>
  </si>
  <si>
    <t>RRAS</t>
  </si>
  <si>
    <t>ARAF</t>
  </si>
  <si>
    <t>PTPRF</t>
  </si>
  <si>
    <t>NR2F6</t>
  </si>
  <si>
    <t>TXN</t>
  </si>
  <si>
    <t>COX5B</t>
  </si>
  <si>
    <t>CTSA</t>
  </si>
  <si>
    <t>MAPT</t>
  </si>
  <si>
    <t>PRKAR1A</t>
  </si>
  <si>
    <t>UROS</t>
  </si>
  <si>
    <t>ESD</t>
  </si>
  <si>
    <t>HSPD1</t>
  </si>
  <si>
    <t>CLU</t>
  </si>
  <si>
    <t>HSPA5</t>
  </si>
  <si>
    <t>LAMC1</t>
  </si>
  <si>
    <t>HSPA8</t>
  </si>
  <si>
    <t>SLC2A1</t>
  </si>
  <si>
    <t>SLC2A3</t>
  </si>
  <si>
    <t>EPB41</t>
  </si>
  <si>
    <t>UMPS</t>
  </si>
  <si>
    <t>PDHB</t>
  </si>
  <si>
    <t>PYGB</t>
  </si>
  <si>
    <t>RALA</t>
  </si>
  <si>
    <t>RALB</t>
  </si>
  <si>
    <t>BCR</t>
  </si>
  <si>
    <t>LAMP1</t>
  </si>
  <si>
    <t>TOP1</t>
  </si>
  <si>
    <t>G6PD</t>
  </si>
  <si>
    <t>UBL4A</t>
  </si>
  <si>
    <t>PC</t>
  </si>
  <si>
    <t>MTHFD1</t>
  </si>
  <si>
    <t>IGF2R</t>
  </si>
  <si>
    <t>ADH5</t>
  </si>
  <si>
    <t>CDK4</t>
  </si>
  <si>
    <t>SRF</t>
  </si>
  <si>
    <t>PABPC1</t>
  </si>
  <si>
    <t>PCNA</t>
  </si>
  <si>
    <t>HARS</t>
  </si>
  <si>
    <t>COL6A1</t>
  </si>
  <si>
    <t>SLC25A4</t>
  </si>
  <si>
    <t>SLC25A6</t>
  </si>
  <si>
    <t>TPR</t>
  </si>
  <si>
    <t>CKB</t>
  </si>
  <si>
    <t>ANXA3</t>
  </si>
  <si>
    <t>CKMT1A</t>
  </si>
  <si>
    <t>ACTN1</t>
  </si>
  <si>
    <t>MYH1</t>
  </si>
  <si>
    <t>SRC</t>
  </si>
  <si>
    <t>PEPD</t>
  </si>
  <si>
    <t>XRCC6</t>
  </si>
  <si>
    <t>XRCC5</t>
  </si>
  <si>
    <t>UNG</t>
  </si>
  <si>
    <t>NR2C1</t>
  </si>
  <si>
    <t>COX4I1</t>
  </si>
  <si>
    <t>ALAS1</t>
  </si>
  <si>
    <t>RNH1</t>
  </si>
  <si>
    <t>CYBA</t>
  </si>
  <si>
    <t>NCAM1</t>
  </si>
  <si>
    <t>ITGA4</t>
  </si>
  <si>
    <t>EEF2</t>
  </si>
  <si>
    <t>PDIA4</t>
  </si>
  <si>
    <t>P4HA1</t>
  </si>
  <si>
    <t>TPT1</t>
  </si>
  <si>
    <t>PLS3</t>
  </si>
  <si>
    <t>ETFA</t>
  </si>
  <si>
    <t>PRKAR2A</t>
  </si>
  <si>
    <t>GTF2F2</t>
  </si>
  <si>
    <t>MTHFD2</t>
  </si>
  <si>
    <t>MIF</t>
  </si>
  <si>
    <t>CD99</t>
  </si>
  <si>
    <t>FDPS</t>
  </si>
  <si>
    <t>AKR1A1</t>
  </si>
  <si>
    <t>PKM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</si>
  <si>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</si>
  <si>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</si>
  <si>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</si>
  <si>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</si>
  <si>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</si>
  <si>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</si>
  <si>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</si>
  <si>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</si>
  <si>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JUP</t>
  </si>
  <si>
    <t>GLUL</t>
  </si>
  <si>
    <t>AKR1B1</t>
  </si>
  <si>
    <t>PVR</t>
  </si>
  <si>
    <t>GSPT1</t>
  </si>
  <si>
    <t>ARSA</t>
  </si>
  <si>
    <t>EZR</t>
  </si>
  <si>
    <t>UCHL3</t>
  </si>
  <si>
    <t>CD46</t>
  </si>
  <si>
    <t>NME1</t>
  </si>
  <si>
    <t>ARSB</t>
  </si>
  <si>
    <t>CHN1</t>
  </si>
  <si>
    <t>TCF3</t>
  </si>
  <si>
    <t>DSP</t>
  </si>
  <si>
    <t>RPA2</t>
  </si>
  <si>
    <t>CBR1</t>
  </si>
  <si>
    <t>CREB1</t>
  </si>
  <si>
    <t>PPP3CB</t>
  </si>
  <si>
    <t>GCFC2</t>
  </si>
  <si>
    <t>HIST1H1C</t>
  </si>
  <si>
    <t>POR</t>
  </si>
  <si>
    <t>FER</t>
  </si>
  <si>
    <t>ATP2A2</t>
  </si>
  <si>
    <t>FAH</t>
  </si>
  <si>
    <t>STMN1</t>
  </si>
  <si>
    <t>YBX3</t>
  </si>
  <si>
    <t>ZNF24</t>
  </si>
  <si>
    <t>NAGA</t>
  </si>
  <si>
    <t>HSPA6</t>
  </si>
  <si>
    <t>HMGA1</t>
  </si>
  <si>
    <t>TMEM11</t>
  </si>
  <si>
    <t>GOT1</t>
  </si>
  <si>
    <t>PRKCA</t>
  </si>
  <si>
    <t>GJA1</t>
  </si>
  <si>
    <t>HOXB6</t>
  </si>
  <si>
    <t>JUND</t>
  </si>
  <si>
    <t>NDUFB7</t>
  </si>
  <si>
    <t>PRKACA</t>
  </si>
  <si>
    <t>CAPN2</t>
  </si>
  <si>
    <t>GAP43</t>
  </si>
  <si>
    <t>PTPN2</t>
  </si>
  <si>
    <t>CTPS1</t>
  </si>
  <si>
    <t>PFKL</t>
  </si>
  <si>
    <t>TCP1</t>
  </si>
  <si>
    <t>PTPN1</t>
  </si>
  <si>
    <t>IGFBP2</t>
  </si>
  <si>
    <t>ITGB5</t>
  </si>
  <si>
    <t>RPL7</t>
  </si>
  <si>
    <t>VCL</t>
  </si>
  <si>
    <t>SON</t>
  </si>
  <si>
    <t>NELFE</t>
  </si>
  <si>
    <t>PGAM1</t>
  </si>
  <si>
    <t>RCC1</t>
  </si>
  <si>
    <t>ATF1</t>
  </si>
  <si>
    <t>LIG1</t>
  </si>
  <si>
    <t>ATP5J</t>
  </si>
  <si>
    <t>CDH2</t>
  </si>
  <si>
    <t>PLCG1</t>
  </si>
  <si>
    <t>NCL</t>
  </si>
  <si>
    <t>POLR2C</t>
  </si>
  <si>
    <t>POLR2E</t>
  </si>
  <si>
    <t>SRM</t>
  </si>
  <si>
    <t>CSNK2A2</t>
  </si>
  <si>
    <t>NFKB1</t>
  </si>
  <si>
    <t>ATP2B1</t>
  </si>
  <si>
    <t>EIF2S2</t>
  </si>
  <si>
    <t>CCNA2</t>
  </si>
  <si>
    <t>BTF3</t>
  </si>
  <si>
    <t>RAB3A</t>
  </si>
  <si>
    <t>RAB3B</t>
  </si>
  <si>
    <t>RAB4A</t>
  </si>
  <si>
    <t>RAB6A</t>
  </si>
  <si>
    <t>PSMB1</t>
  </si>
  <si>
    <t>M6PR</t>
  </si>
  <si>
    <t>COX5A</t>
  </si>
  <si>
    <t>LMNB1</t>
  </si>
  <si>
    <t>CAST</t>
  </si>
  <si>
    <t>PTMS</t>
  </si>
  <si>
    <t>CDK11B</t>
  </si>
  <si>
    <t>GSTM3</t>
  </si>
  <si>
    <t>ATP6V1B2</t>
  </si>
  <si>
    <t>ATP6V1C1</t>
  </si>
  <si>
    <t>ACO1</t>
  </si>
  <si>
    <t>VDAC1</t>
  </si>
  <si>
    <t>SDHB</t>
  </si>
  <si>
    <t>BCKDHB</t>
  </si>
  <si>
    <t>COMT</t>
  </si>
  <si>
    <t>MUT</t>
  </si>
  <si>
    <t>OSBP</t>
  </si>
  <si>
    <t>PAICS</t>
  </si>
  <si>
    <t>SCP2</t>
  </si>
  <si>
    <t>UBA1</t>
  </si>
  <si>
    <t>ENPP1</t>
  </si>
  <si>
    <t>GAL</t>
  </si>
  <si>
    <t>HNRNPA2B1</t>
  </si>
  <si>
    <t>CBL</t>
  </si>
  <si>
    <t>UQCRC2</t>
  </si>
  <si>
    <t>FECH</t>
  </si>
  <si>
    <t>XPA</t>
  </si>
  <si>
    <t>TCEA1</t>
  </si>
  <si>
    <t>SFPQ</t>
  </si>
  <si>
    <t>PPIB</t>
  </si>
  <si>
    <t>ME2</t>
  </si>
  <si>
    <t>GLDC</t>
  </si>
  <si>
    <t>WARS</t>
  </si>
  <si>
    <t>RPS3</t>
  </si>
  <si>
    <t>GCSH</t>
  </si>
  <si>
    <t>PTPRG</t>
  </si>
  <si>
    <t>SP100</t>
  </si>
  <si>
    <t>MCC</t>
  </si>
  <si>
    <t>NFYA</t>
  </si>
  <si>
    <t>AHCY</t>
  </si>
  <si>
    <t>HIST1H2BO</t>
  </si>
  <si>
    <t>CFL1</t>
  </si>
  <si>
    <t>ATP2B4</t>
  </si>
  <si>
    <t>CPT2</t>
  </si>
  <si>
    <t>DTYMK</t>
  </si>
  <si>
    <t>RRM1</t>
  </si>
  <si>
    <t>EEF1B2</t>
  </si>
  <si>
    <t>ACP1</t>
  </si>
  <si>
    <t>ACAT1</t>
  </si>
  <si>
    <t>POLR2A</t>
  </si>
  <si>
    <t>ADRBK1</t>
  </si>
  <si>
    <t>MCM3</t>
  </si>
  <si>
    <t>RPS12</t>
  </si>
  <si>
    <t>FAS</t>
  </si>
  <si>
    <t>YY1</t>
  </si>
  <si>
    <t>DNAJB1</t>
  </si>
  <si>
    <t>ATP5A1</t>
  </si>
  <si>
    <t>PSMA1</t>
  </si>
  <si>
    <t>PSMA2</t>
  </si>
  <si>
    <t>PSMA3</t>
  </si>
  <si>
    <t>PSMA4</t>
  </si>
  <si>
    <t>S100P</t>
  </si>
  <si>
    <t>ITGA3</t>
  </si>
  <si>
    <t>MSN</t>
  </si>
  <si>
    <t>DDX6</t>
  </si>
  <si>
    <t>DNMT1</t>
  </si>
  <si>
    <t>U2AF2</t>
  </si>
  <si>
    <t>RPL13</t>
  </si>
  <si>
    <t>CHML</t>
  </si>
  <si>
    <t>IVD</t>
  </si>
  <si>
    <t>MGAT1</t>
  </si>
  <si>
    <t>HMGB2</t>
  </si>
  <si>
    <t>PTBP1</t>
  </si>
  <si>
    <t>TARS</t>
  </si>
  <si>
    <t>EEF1G</t>
  </si>
  <si>
    <t>FKBP2</t>
  </si>
  <si>
    <t>AK4</t>
  </si>
  <si>
    <t>YWHAQ</t>
  </si>
  <si>
    <t>MAPK3</t>
  </si>
  <si>
    <t>ARNT</t>
  </si>
  <si>
    <t>CERS1</t>
  </si>
  <si>
    <t>RPL10</t>
  </si>
  <si>
    <t>RPA1</t>
  </si>
  <si>
    <t>CALR</t>
  </si>
  <si>
    <t>CANX</t>
  </si>
  <si>
    <t>PSMA5</t>
  </si>
  <si>
    <t>PSMB4</t>
  </si>
  <si>
    <t>PSMB6</t>
  </si>
  <si>
    <t>PSMB5</t>
  </si>
  <si>
    <t>TMOD1</t>
  </si>
  <si>
    <t>NDUFS1</t>
  </si>
  <si>
    <t>MAPK1</t>
  </si>
  <si>
    <t>RXRB</t>
  </si>
  <si>
    <t>ERCC5</t>
  </si>
  <si>
    <t>GRN</t>
  </si>
  <si>
    <t>LAP3</t>
  </si>
  <si>
    <t>GTF2E1</t>
  </si>
  <si>
    <t>GTF2E2</t>
  </si>
  <si>
    <t>EPHA2</t>
  </si>
  <si>
    <t>SHC1</t>
  </si>
  <si>
    <t>CRABP2</t>
  </si>
  <si>
    <t>TKT</t>
  </si>
  <si>
    <t>PML</t>
  </si>
  <si>
    <t>MARCKS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</si>
  <si>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</si>
  <si>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</si>
  <si>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</si>
  <si>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</si>
  <si>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</si>
  <si>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</si>
  <si>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</si>
  <si>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</si>
  <si>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</si>
  <si>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</si>
  <si>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</si>
  <si>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</si>
  <si>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</si>
  <si>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</si>
  <si>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</si>
  <si>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CDC25C</t>
  </si>
  <si>
    <t>PPIF</t>
  </si>
  <si>
    <t>NMT1</t>
  </si>
  <si>
    <t>HMOX2</t>
  </si>
  <si>
    <t>ADSS</t>
  </si>
  <si>
    <t>LRPAP1</t>
  </si>
  <si>
    <t>ADSL</t>
  </si>
  <si>
    <t>PKLR</t>
  </si>
  <si>
    <t>CLIP1</t>
  </si>
  <si>
    <t>SERPINB1</t>
  </si>
  <si>
    <t>SLC7A1</t>
  </si>
  <si>
    <t>ALDH1B1</t>
  </si>
  <si>
    <t>SDHA</t>
  </si>
  <si>
    <t>CORO1A</t>
  </si>
  <si>
    <t>GDI1</t>
  </si>
  <si>
    <t>MAT2A</t>
  </si>
  <si>
    <t>PRKAR2B</t>
  </si>
  <si>
    <t>CPS1</t>
  </si>
  <si>
    <t>RRM2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</si>
  <si>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</si>
  <si>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</si>
  <si>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</si>
  <si>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</si>
  <si>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</si>
  <si>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</si>
  <si>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</si>
  <si>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</si>
  <si>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</si>
  <si>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</si>
  <si>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</si>
  <si>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INPP5B</t>
  </si>
  <si>
    <t>PRDX2</t>
  </si>
  <si>
    <t>ARRB2</t>
  </si>
  <si>
    <t>DCTD</t>
  </si>
  <si>
    <t>ELF1</t>
  </si>
  <si>
    <t>STX2</t>
  </si>
  <si>
    <t>CTH</t>
  </si>
  <si>
    <t>ACSL1</t>
  </si>
  <si>
    <t>KIF5B</t>
  </si>
  <si>
    <t>CSTF2</t>
  </si>
  <si>
    <t>DUT</t>
  </si>
  <si>
    <t>ABCC1</t>
  </si>
  <si>
    <t>CKS2</t>
  </si>
  <si>
    <t>MAN1A1</t>
  </si>
  <si>
    <t>TTK</t>
  </si>
  <si>
    <t>MCM4</t>
  </si>
  <si>
    <t>MCM5</t>
  </si>
  <si>
    <t>MCM7</t>
  </si>
  <si>
    <t>SHMT1</t>
  </si>
  <si>
    <t>SHMT2</t>
  </si>
  <si>
    <t>HSPA1L</t>
  </si>
  <si>
    <t>HSPA4</t>
  </si>
  <si>
    <t>MPI</t>
  </si>
  <si>
    <t>CA8</t>
  </si>
  <si>
    <t>CTNNA1</t>
  </si>
  <si>
    <t>PHB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</si>
  <si>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</si>
  <si>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</si>
  <si>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</si>
  <si>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</si>
  <si>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</si>
  <si>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</si>
  <si>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</si>
  <si>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</si>
  <si>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</si>
  <si>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</si>
  <si>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CBS</t>
  </si>
  <si>
    <t>FBN2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</si>
  <si>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</si>
  <si>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</si>
  <si>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</si>
  <si>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</si>
  <si>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</si>
  <si>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</si>
  <si>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</si>
  <si>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</si>
  <si>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</si>
  <si>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</si>
  <si>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GLRX</t>
  </si>
  <si>
    <t>CHKA</t>
  </si>
  <si>
    <t>PPM1A</t>
  </si>
  <si>
    <t>PSMC2</t>
  </si>
  <si>
    <t>ARL2</t>
  </si>
  <si>
    <t>ARL3</t>
  </si>
  <si>
    <t>TRIM23</t>
  </si>
  <si>
    <t>MAP2K2</t>
  </si>
  <si>
    <t>ATP5C1</t>
  </si>
  <si>
    <t>ATP6V1E1</t>
  </si>
  <si>
    <t>CPOX</t>
  </si>
  <si>
    <t>NUDT1</t>
  </si>
  <si>
    <t>PGM1</t>
  </si>
  <si>
    <t>GNL1</t>
  </si>
  <si>
    <t>POLR2I</t>
  </si>
  <si>
    <t>DLST</t>
  </si>
  <si>
    <t>GPX4</t>
  </si>
  <si>
    <t>SRP14</t>
  </si>
  <si>
    <t>FDFT1</t>
  </si>
  <si>
    <t>PIGA</t>
  </si>
  <si>
    <t>TAGLN2</t>
  </si>
  <si>
    <t>TALDO1</t>
  </si>
  <si>
    <t>ETFB</t>
  </si>
  <si>
    <t>ATP6V1A</t>
  </si>
  <si>
    <t>HSPA9</t>
  </si>
  <si>
    <t>EIF4A3</t>
  </si>
  <si>
    <t>RPS19</t>
  </si>
  <si>
    <t>RPL3</t>
  </si>
  <si>
    <t>DDOST</t>
  </si>
  <si>
    <t>ANP32A</t>
  </si>
  <si>
    <t>FEN1</t>
  </si>
  <si>
    <t>CUX1</t>
  </si>
  <si>
    <t>CAPG</t>
  </si>
  <si>
    <t>IL6ST</t>
  </si>
  <si>
    <t>TXLNA</t>
  </si>
  <si>
    <t>CCT6A</t>
  </si>
  <si>
    <t>STAT3</t>
  </si>
  <si>
    <t>USP8</t>
  </si>
  <si>
    <t>MDH1</t>
  </si>
  <si>
    <t>MDH2</t>
  </si>
  <si>
    <t>RFC5</t>
  </si>
  <si>
    <t>RFC3</t>
  </si>
  <si>
    <t>HADHA</t>
  </si>
  <si>
    <t>EIF2S3</t>
  </si>
  <si>
    <t>CETN2</t>
  </si>
  <si>
    <t>EIF2D</t>
  </si>
  <si>
    <t>PRPH</t>
  </si>
  <si>
    <t>BUD31</t>
  </si>
  <si>
    <t>NAA10</t>
  </si>
  <si>
    <t>KDM5C</t>
  </si>
  <si>
    <t>PPP1R2</t>
  </si>
  <si>
    <t>CSK</t>
  </si>
  <si>
    <t>GARS</t>
  </si>
  <si>
    <t>SLC19A1</t>
  </si>
  <si>
    <t>EIF1</t>
  </si>
  <si>
    <t>PRKCI</t>
  </si>
  <si>
    <t>ECI1</t>
  </si>
  <si>
    <t>TMPO</t>
  </si>
  <si>
    <t>STAT1</t>
  </si>
  <si>
    <t>STAT6</t>
  </si>
  <si>
    <t>SKIV2L2</t>
  </si>
  <si>
    <t>AKR1C3</t>
  </si>
  <si>
    <t>PIK3CA</t>
  </si>
  <si>
    <t>MTOR</t>
  </si>
  <si>
    <t>CASP3</t>
  </si>
  <si>
    <t>CASP2</t>
  </si>
  <si>
    <t>RPS27</t>
  </si>
  <si>
    <t>ABL2</t>
  </si>
  <si>
    <t>NCAPD3</t>
  </si>
  <si>
    <t>LIFR</t>
  </si>
  <si>
    <t>LRPPRC</t>
  </si>
  <si>
    <t>ACAA2</t>
  </si>
  <si>
    <t>CDKN2A</t>
  </si>
  <si>
    <t>CDKN2C</t>
  </si>
  <si>
    <t>PRCP</t>
  </si>
  <si>
    <t>MTHFR</t>
  </si>
  <si>
    <t>SLC1A3</t>
  </si>
  <si>
    <t>SLC1A4</t>
  </si>
  <si>
    <t>PAFAH1B1</t>
  </si>
  <si>
    <t>MCAM</t>
  </si>
  <si>
    <t>CRAT</t>
  </si>
  <si>
    <t>MSH2</t>
  </si>
  <si>
    <t>GRK6</t>
  </si>
  <si>
    <t>GPD2</t>
  </si>
  <si>
    <t>PTPN9</t>
  </si>
  <si>
    <t>SYK</t>
  </si>
  <si>
    <t>RANBP1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</si>
  <si>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</si>
  <si>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</si>
  <si>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</si>
  <si>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</si>
  <si>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</si>
  <si>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</si>
  <si>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</si>
  <si>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</si>
  <si>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</si>
  <si>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</si>
  <si>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</si>
  <si>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RANGAP1</t>
  </si>
  <si>
    <t>RECQL</t>
  </si>
  <si>
    <t>NOP2</t>
  </si>
  <si>
    <t>CRK</t>
  </si>
  <si>
    <t>CRKL</t>
  </si>
  <si>
    <t>MTIF2</t>
  </si>
  <si>
    <t>NOTCH1</t>
  </si>
  <si>
    <t>MAP2K3</t>
  </si>
  <si>
    <t>BRCC3</t>
  </si>
  <si>
    <t>RPL5</t>
  </si>
  <si>
    <t>RPL21</t>
  </si>
  <si>
    <t>RPS9</t>
  </si>
  <si>
    <t>RPS10</t>
  </si>
  <si>
    <t>MAP1B</t>
  </si>
  <si>
    <t>GNPDA1</t>
  </si>
  <si>
    <t>NEDD4</t>
  </si>
  <si>
    <t>YAP1</t>
  </si>
  <si>
    <t>UTRN</t>
  </si>
  <si>
    <t>IQGAP1</t>
  </si>
  <si>
    <t>GYG1</t>
  </si>
  <si>
    <t>STT3A</t>
  </si>
  <si>
    <t>RABIF</t>
  </si>
  <si>
    <t>PLA2G4A</t>
  </si>
  <si>
    <t>CAPZA2</t>
  </si>
  <si>
    <t>CAPZB</t>
  </si>
  <si>
    <t>EIF1AX</t>
  </si>
  <si>
    <t>RPL29</t>
  </si>
  <si>
    <t>ID4</t>
  </si>
  <si>
    <t>UQCRFS1</t>
  </si>
  <si>
    <t>SLC6A8</t>
  </si>
  <si>
    <t>ATP5O</t>
  </si>
  <si>
    <t>KCNJ4</t>
  </si>
  <si>
    <t>LIMS1</t>
  </si>
  <si>
    <t>SLC6A11</t>
  </si>
  <si>
    <t>ME1</t>
  </si>
  <si>
    <t>IREB2</t>
  </si>
  <si>
    <t>ARCN1</t>
  </si>
  <si>
    <t>LSS</t>
  </si>
  <si>
    <t>GCLC</t>
  </si>
  <si>
    <t>GCLM</t>
  </si>
  <si>
    <t>PRRC2A</t>
  </si>
  <si>
    <t>GSS</t>
  </si>
  <si>
    <t>CCT5</t>
  </si>
  <si>
    <t>HSPA13</t>
  </si>
  <si>
    <t>CSNK1A1</t>
  </si>
  <si>
    <t>IDH2</t>
  </si>
  <si>
    <t>PITPNB</t>
  </si>
  <si>
    <t>NOV</t>
  </si>
  <si>
    <t>CD97</t>
  </si>
  <si>
    <t>MARCKSL1</t>
  </si>
  <si>
    <t>CAMLG</t>
  </si>
  <si>
    <t>NR2C2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</si>
  <si>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</si>
  <si>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</si>
  <si>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</si>
  <si>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</si>
  <si>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</si>
  <si>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</si>
  <si>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</si>
  <si>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</si>
  <si>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FNTB</t>
  </si>
  <si>
    <t>DHPS</t>
  </si>
  <si>
    <t>CCT3</t>
  </si>
  <si>
    <t>TUFM</t>
  </si>
  <si>
    <t>ALDH7A1</t>
  </si>
  <si>
    <t>CDC34</t>
  </si>
  <si>
    <t>CENPF</t>
  </si>
  <si>
    <t>SRP9</t>
  </si>
  <si>
    <t>UBE2A</t>
  </si>
  <si>
    <t>PCYT1A</t>
  </si>
  <si>
    <t>AARS</t>
  </si>
  <si>
    <t>CARS</t>
  </si>
  <si>
    <t>PPM1F</t>
  </si>
  <si>
    <t>PRIM1</t>
  </si>
  <si>
    <t>PRIM2</t>
  </si>
  <si>
    <t>CSNK1E</t>
  </si>
  <si>
    <t>PSMB2</t>
  </si>
  <si>
    <t>MCM2</t>
  </si>
  <si>
    <t>ACADVL</t>
  </si>
  <si>
    <t>YLPM1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</si>
  <si>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</si>
  <si>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</si>
  <si>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</si>
  <si>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</si>
  <si>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</si>
  <si>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</si>
  <si>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</si>
  <si>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</si>
  <si>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</si>
  <si>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SEPHS1</t>
  </si>
  <si>
    <t>MTHFS</t>
  </si>
  <si>
    <t>GMPS</t>
  </si>
  <si>
    <t>MRE11A</t>
  </si>
  <si>
    <t>KHK</t>
  </si>
  <si>
    <t>GNAQ</t>
  </si>
  <si>
    <t>GNG4</t>
  </si>
  <si>
    <t>GNG10</t>
  </si>
  <si>
    <t>MNX1</t>
  </si>
  <si>
    <t>SULT1A3</t>
  </si>
  <si>
    <t>SULT1A1</t>
  </si>
  <si>
    <t>PPOX</t>
  </si>
  <si>
    <t>EMD</t>
  </si>
  <si>
    <t>CPT1A</t>
  </si>
  <si>
    <t>SERPINB8</t>
  </si>
  <si>
    <t>SERPINH1</t>
  </si>
  <si>
    <t>PDLIM4</t>
  </si>
  <si>
    <t>ST13</t>
  </si>
  <si>
    <t>VASP</t>
  </si>
  <si>
    <t>NUDT2</t>
  </si>
  <si>
    <t>HLCS</t>
  </si>
  <si>
    <t>KNTC1</t>
  </si>
  <si>
    <t>RASSF2</t>
  </si>
  <si>
    <t>BCAM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</si>
  <si>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</si>
  <si>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</si>
  <si>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</si>
  <si>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</si>
  <si>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</si>
  <si>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</si>
  <si>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</si>
  <si>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</si>
  <si>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RAB13</t>
  </si>
  <si>
    <t>RAB28</t>
  </si>
  <si>
    <t>DAP</t>
  </si>
  <si>
    <t>DAP3</t>
  </si>
  <si>
    <t>DUSP3</t>
  </si>
  <si>
    <t>MMP15</t>
  </si>
  <si>
    <t>NOVA1</t>
  </si>
  <si>
    <t>SMARCA2</t>
  </si>
  <si>
    <t>IDH3G</t>
  </si>
  <si>
    <t>GALK1</t>
  </si>
  <si>
    <t>SSR4</t>
  </si>
  <si>
    <t>BCAP31</t>
  </si>
  <si>
    <t>TPMT</t>
  </si>
  <si>
    <t>HSD17B4</t>
  </si>
  <si>
    <t>PSMD7</t>
  </si>
  <si>
    <t>UBE2D1</t>
  </si>
  <si>
    <t>SUOX</t>
  </si>
  <si>
    <t>STAT5B</t>
  </si>
  <si>
    <t>CLCN3</t>
  </si>
  <si>
    <t>CLCN5</t>
  </si>
  <si>
    <t>CLCN7</t>
  </si>
  <si>
    <t>VAMP7</t>
  </si>
  <si>
    <t>RPS6KA3</t>
  </si>
  <si>
    <t>PRKX</t>
  </si>
  <si>
    <t>HDGF</t>
  </si>
  <si>
    <t>CCNH</t>
  </si>
  <si>
    <t>MNAT1</t>
  </si>
  <si>
    <t>NDUFA8</t>
  </si>
  <si>
    <t>HNRNPA3</t>
  </si>
  <si>
    <t>KPNA2</t>
  </si>
  <si>
    <t>KPNA1</t>
  </si>
  <si>
    <t>NCBP2</t>
  </si>
  <si>
    <t>RAP1GDS1</t>
  </si>
  <si>
    <t>ARHGDIA</t>
  </si>
  <si>
    <t>SLC7A2</t>
  </si>
  <si>
    <t>HNRNPF</t>
  </si>
  <si>
    <t>STAT2</t>
  </si>
  <si>
    <t>GTF2A2</t>
  </si>
  <si>
    <t>MSH6</t>
  </si>
  <si>
    <t>KIF11</t>
  </si>
  <si>
    <t>VAV2</t>
  </si>
  <si>
    <t>HRSP12</t>
  </si>
  <si>
    <t>SMS</t>
  </si>
  <si>
    <t>EFNB2</t>
  </si>
  <si>
    <t>MRPL12</t>
  </si>
  <si>
    <t>THOP1</t>
  </si>
  <si>
    <t>CAPZA1</t>
  </si>
  <si>
    <t>CRIP2</t>
  </si>
  <si>
    <t>BLVRA</t>
  </si>
  <si>
    <t>SLC25A1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</si>
  <si>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</si>
  <si>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</si>
  <si>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</si>
  <si>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</si>
  <si>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</si>
  <si>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</si>
  <si>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</si>
  <si>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</si>
  <si>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</si>
  <si>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COPB1</t>
  </si>
  <si>
    <t>COPA</t>
  </si>
  <si>
    <t>CTSC</t>
  </si>
  <si>
    <t>HCCS</t>
  </si>
  <si>
    <t>MAPK12</t>
  </si>
  <si>
    <t>SLC5A3</t>
  </si>
  <si>
    <t>POLR2K</t>
  </si>
  <si>
    <t>SMTN</t>
  </si>
  <si>
    <t>SLC16A1</t>
  </si>
  <si>
    <t>IST1</t>
  </si>
  <si>
    <t>SEC24C</t>
  </si>
  <si>
    <t>SUB1</t>
  </si>
  <si>
    <t>RARS</t>
  </si>
  <si>
    <t>ATN1</t>
  </si>
  <si>
    <t>CACNA2D1</t>
  </si>
  <si>
    <t>YARS</t>
  </si>
  <si>
    <t>USP14</t>
  </si>
  <si>
    <t>PRKAG1</t>
  </si>
  <si>
    <t>PRKAA2</t>
  </si>
  <si>
    <t>BCAT1</t>
  </si>
  <si>
    <t>ATP12A</t>
  </si>
  <si>
    <t>ATP1B3</t>
  </si>
  <si>
    <t>RAD23B</t>
  </si>
  <si>
    <t>NAGLU</t>
  </si>
  <si>
    <t>AK2</t>
  </si>
  <si>
    <t>GAS1</t>
  </si>
  <si>
    <t>ALDH18A1</t>
  </si>
  <si>
    <t>NAPA</t>
  </si>
  <si>
    <t>EIF5</t>
  </si>
  <si>
    <t>SLC12A2</t>
  </si>
  <si>
    <t>PSMD4</t>
  </si>
  <si>
    <t>DRG2</t>
  </si>
  <si>
    <t>CSE1L</t>
  </si>
  <si>
    <t>VCP</t>
  </si>
  <si>
    <t>MFAP1</t>
  </si>
  <si>
    <t>MFAP3</t>
  </si>
  <si>
    <t>MANF</t>
  </si>
  <si>
    <t>CASP7</t>
  </si>
  <si>
    <t>CASP6</t>
  </si>
  <si>
    <t>ADK</t>
  </si>
  <si>
    <t>LAMB2</t>
  </si>
  <si>
    <t>TPD52</t>
  </si>
  <si>
    <t>SEC13</t>
  </si>
  <si>
    <t>EIF3B</t>
  </si>
  <si>
    <t>BID</t>
  </si>
  <si>
    <t>NDUFV3</t>
  </si>
  <si>
    <t>RRP1</t>
  </si>
  <si>
    <t>MARS</t>
  </si>
  <si>
    <t>MAZ</t>
  </si>
  <si>
    <t>CMC4</t>
  </si>
  <si>
    <t>AP1S2</t>
  </si>
  <si>
    <t>ATP5I</t>
  </si>
  <si>
    <t>HDAC4</t>
  </si>
  <si>
    <t>EIF6</t>
  </si>
  <si>
    <t>PEX3</t>
  </si>
  <si>
    <t>HSD17B7</t>
  </si>
  <si>
    <t>BCAR1</t>
  </si>
  <si>
    <t>STX17</t>
  </si>
  <si>
    <t>PIGP</t>
  </si>
  <si>
    <t>RWDD2B</t>
  </si>
  <si>
    <t>C21orf59</t>
  </si>
  <si>
    <t>WDR4</t>
  </si>
  <si>
    <t>TMEM33</t>
  </si>
  <si>
    <t>SYNJ2BP</t>
  </si>
  <si>
    <t>CORO7</t>
  </si>
  <si>
    <t>NUP107</t>
  </si>
  <si>
    <t>EEFSEC</t>
  </si>
  <si>
    <t>SESN2</t>
  </si>
  <si>
    <t>SESN3</t>
  </si>
  <si>
    <t>ADAMTS12</t>
  </si>
  <si>
    <t>MTPN</t>
  </si>
  <si>
    <t>YBEY</t>
  </si>
  <si>
    <t>ARPC4</t>
  </si>
  <si>
    <t>SEC61G</t>
  </si>
  <si>
    <t>TPI1</t>
  </si>
  <si>
    <t>EIF3E</t>
  </si>
  <si>
    <t>SEC61B</t>
  </si>
  <si>
    <t>PPP4C</t>
  </si>
  <si>
    <t>ROMO1</t>
  </si>
  <si>
    <t>UBE2G2</t>
  </si>
  <si>
    <t>ACTB</t>
  </si>
  <si>
    <t>RAC3</t>
  </si>
  <si>
    <t>EIF4A1</t>
  </si>
  <si>
    <t>RPS20</t>
  </si>
  <si>
    <t>PRPS1</t>
  </si>
  <si>
    <t>SHFM1</t>
  </si>
  <si>
    <t>S100A10</t>
  </si>
  <si>
    <t>CDC42</t>
  </si>
  <si>
    <t>DSTN</t>
  </si>
  <si>
    <t>GMFB</t>
  </si>
  <si>
    <t>RAB8A</t>
  </si>
  <si>
    <t>SPCS3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</si>
  <si>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</si>
  <si>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</si>
  <si>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</si>
  <si>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</si>
  <si>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</si>
  <si>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</si>
  <si>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</si>
  <si>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</si>
  <si>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</si>
  <si>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</si>
  <si>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</si>
  <si>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</si>
  <si>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</si>
  <si>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</si>
  <si>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POLR2F</t>
  </si>
  <si>
    <t>ABCE1</t>
  </si>
  <si>
    <t>RAP1B</t>
  </si>
  <si>
    <t>RAP2B</t>
  </si>
  <si>
    <t>MAX</t>
  </si>
  <si>
    <t>RPL26</t>
  </si>
  <si>
    <t>PSME3</t>
  </si>
  <si>
    <t>MAGOH</t>
  </si>
  <si>
    <t>RHOA</t>
  </si>
  <si>
    <t>RND3</t>
  </si>
  <si>
    <t>NAA20</t>
  </si>
  <si>
    <t>HSPE1</t>
  </si>
  <si>
    <t>VBP1</t>
  </si>
  <si>
    <t>STXBP1</t>
  </si>
  <si>
    <t>PKIA</t>
  </si>
  <si>
    <t>DCAF7</t>
  </si>
  <si>
    <t>WDR5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</si>
  <si>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</si>
  <si>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</si>
  <si>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</si>
  <si>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</si>
  <si>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</si>
  <si>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</si>
  <si>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</si>
  <si>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</si>
  <si>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</si>
  <si>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</si>
  <si>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RPS16</t>
  </si>
  <si>
    <t>YWHAE</t>
  </si>
  <si>
    <t>RPS14</t>
  </si>
  <si>
    <t>RPS23</t>
  </si>
  <si>
    <t>RPS18</t>
  </si>
  <si>
    <t>RPS29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</si>
  <si>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</si>
  <si>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</si>
  <si>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</si>
  <si>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</si>
  <si>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</si>
  <si>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</si>
  <si>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</si>
  <si>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</si>
  <si>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</si>
  <si>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</si>
  <si>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</si>
  <si>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</si>
  <si>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</si>
  <si>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</si>
  <si>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</si>
  <si>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</si>
  <si>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RPS4X</t>
  </si>
  <si>
    <t>PPP2CB</t>
  </si>
  <si>
    <t>RHOB</t>
  </si>
  <si>
    <t>RPL23A</t>
  </si>
  <si>
    <t>RPS6</t>
  </si>
  <si>
    <t>HIST1H4A</t>
  </si>
  <si>
    <t>HIST1H2BC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</si>
  <si>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</si>
  <si>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</si>
  <si>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</si>
  <si>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</si>
  <si>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</si>
  <si>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</si>
  <si>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</si>
  <si>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</si>
  <si>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GNB2</t>
  </si>
  <si>
    <t>RPL30</t>
  </si>
  <si>
    <t>RPL31</t>
  </si>
  <si>
    <t>RPL10A</t>
  </si>
  <si>
    <t>RPL11</t>
  </si>
  <si>
    <t>PPIA</t>
  </si>
  <si>
    <t>FKBP1A</t>
  </si>
  <si>
    <t>RPS27A</t>
  </si>
  <si>
    <t>UBA52</t>
  </si>
  <si>
    <t>GRB2</t>
  </si>
  <si>
    <t>RAC1</t>
  </si>
  <si>
    <t>AP2B1</t>
  </si>
  <si>
    <t>GNAS</t>
  </si>
  <si>
    <t>GNAI1</t>
  </si>
  <si>
    <t>YWHAZ</t>
  </si>
  <si>
    <t>PPP2R2A</t>
  </si>
  <si>
    <t>DYNLL1</t>
  </si>
  <si>
    <t>RPL38</t>
  </si>
  <si>
    <t>GNG5</t>
  </si>
  <si>
    <t>RPS21</t>
  </si>
  <si>
    <t>EIF5A</t>
  </si>
  <si>
    <t>GNB2L1</t>
  </si>
  <si>
    <t>SUPT4H1</t>
  </si>
  <si>
    <t>PPP2CA</t>
  </si>
  <si>
    <t>YBX1</t>
  </si>
  <si>
    <t>TPM4</t>
  </si>
  <si>
    <t>ACTC1</t>
  </si>
  <si>
    <t>UBE2L3</t>
  </si>
  <si>
    <t>EEF1A1</t>
  </si>
  <si>
    <t>FKBP1B</t>
  </si>
  <si>
    <t>ACTA1</t>
  </si>
  <si>
    <t>TUBA1B</t>
  </si>
  <si>
    <t>TUBB4B</t>
  </si>
  <si>
    <t>PAFAH1B2</t>
  </si>
  <si>
    <t>HBG2</t>
  </si>
  <si>
    <t>CXADR</t>
  </si>
  <si>
    <t>IGBP1</t>
  </si>
  <si>
    <t>SIRPA</t>
  </si>
  <si>
    <t>PSPH</t>
  </si>
  <si>
    <t>GTF2I</t>
  </si>
  <si>
    <t>CCT2</t>
  </si>
  <si>
    <t>RAE1</t>
  </si>
  <si>
    <t>GSTO1</t>
  </si>
  <si>
    <t>PRKDC</t>
  </si>
  <si>
    <t>ADAM17</t>
  </si>
  <si>
    <t>BLOC1S1</t>
  </si>
  <si>
    <t>ARG2</t>
  </si>
  <si>
    <t>IFI35</t>
  </si>
  <si>
    <t>MT1X</t>
  </si>
  <si>
    <t>NUCB2</t>
  </si>
  <si>
    <t>BASP1</t>
  </si>
  <si>
    <t>GPSM2</t>
  </si>
  <si>
    <t>TMF1</t>
  </si>
  <si>
    <t>MRPS10</t>
  </si>
  <si>
    <t>MRPS36</t>
  </si>
  <si>
    <t>SARNP</t>
  </si>
  <si>
    <t>COG7</t>
  </si>
  <si>
    <t>HPCA</t>
  </si>
  <si>
    <t>ARF1</t>
  </si>
  <si>
    <t>ARF5</t>
  </si>
  <si>
    <t>ERH</t>
  </si>
  <si>
    <t>RHOG</t>
  </si>
  <si>
    <t>SERF2</t>
  </si>
  <si>
    <t>MXRA7</t>
  </si>
  <si>
    <t>FOXK1</t>
  </si>
  <si>
    <t>RPP14</t>
  </si>
  <si>
    <t>CCZ1</t>
  </si>
  <si>
    <t>DAB2</t>
  </si>
  <si>
    <t>EFNB1</t>
  </si>
  <si>
    <t>FAM3A</t>
  </si>
  <si>
    <t>RBM10</t>
  </si>
  <si>
    <t>RBM3</t>
  </si>
  <si>
    <t>MPP1</t>
  </si>
  <si>
    <t>TFAM</t>
  </si>
  <si>
    <t>SLC25A3</t>
  </si>
  <si>
    <t>HDLBP</t>
  </si>
  <si>
    <t>GTF2B</t>
  </si>
  <si>
    <t>CDK6</t>
  </si>
  <si>
    <t>CDK5</t>
  </si>
  <si>
    <t>CDK16</t>
  </si>
  <si>
    <t>CDC42EP1</t>
  </si>
  <si>
    <t>CLTC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</si>
  <si>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</si>
  <si>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</si>
  <si>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</si>
  <si>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</si>
  <si>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</si>
  <si>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</si>
  <si>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</si>
  <si>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</si>
  <si>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</si>
  <si>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FOXK2</t>
  </si>
  <si>
    <t>GALK2</t>
  </si>
  <si>
    <t>FABP5</t>
  </si>
  <si>
    <t>CAP1</t>
  </si>
  <si>
    <t>FLI1</t>
  </si>
  <si>
    <t>HMGCS1</t>
  </si>
  <si>
    <t>SLC7A5</t>
  </si>
  <si>
    <t>DR1</t>
  </si>
  <si>
    <t>PFKP</t>
  </si>
  <si>
    <t>OCRL</t>
  </si>
  <si>
    <t>PLCB3</t>
  </si>
  <si>
    <t>MEF2A</t>
  </si>
  <si>
    <t>NAAA</t>
  </si>
  <si>
    <t>SP2</t>
  </si>
  <si>
    <t>DHODH</t>
  </si>
  <si>
    <t>PRKCE</t>
  </si>
  <si>
    <t>KIF23</t>
  </si>
  <si>
    <t>SP4</t>
  </si>
  <si>
    <t>DSC2</t>
  </si>
  <si>
    <t>ID3</t>
  </si>
  <si>
    <t>MAP2K1</t>
  </si>
  <si>
    <t>TEK</t>
  </si>
  <si>
    <t>FKBP4</t>
  </si>
  <si>
    <t>PLOD1</t>
  </si>
  <si>
    <t>NUCB1</t>
  </si>
  <si>
    <t>AKAP12</t>
  </si>
  <si>
    <t>ACY1</t>
  </si>
  <si>
    <t>TAP2</t>
  </si>
  <si>
    <t>GBE1</t>
  </si>
  <si>
    <t>NOTCH2</t>
  </si>
  <si>
    <t>TLE1</t>
  </si>
  <si>
    <t>GLO1</t>
  </si>
  <si>
    <t>AKR1C1</t>
  </si>
  <si>
    <t>SSBP1</t>
  </si>
  <si>
    <t>YWHAH</t>
  </si>
  <si>
    <t>PLP2</t>
  </si>
  <si>
    <t>CSTF1</t>
  </si>
  <si>
    <t>UBE3A</t>
  </si>
  <si>
    <t>PTPN12</t>
  </si>
  <si>
    <t>SRSF11</t>
  </si>
  <si>
    <t>EEF1A2</t>
  </si>
  <si>
    <t>PRKCD</t>
  </si>
  <si>
    <t>CALD1</t>
  </si>
  <si>
    <t>FPGS</t>
  </si>
  <si>
    <t>PTPN11</t>
  </si>
  <si>
    <t>PPAT</t>
  </si>
  <si>
    <t>GFPT1</t>
  </si>
  <si>
    <t>EXOSC9</t>
  </si>
  <si>
    <t>PSME1</t>
  </si>
  <si>
    <t>RBPJ</t>
  </si>
  <si>
    <t>APLP2</t>
  </si>
  <si>
    <t>GABPA</t>
  </si>
  <si>
    <t>RAD51</t>
  </si>
  <si>
    <t>PRDX1</t>
  </si>
  <si>
    <t>C1QBP</t>
  </si>
  <si>
    <t>CKAP4</t>
  </si>
  <si>
    <t>ENPEP</t>
  </si>
  <si>
    <t>KHDRBS1</t>
  </si>
  <si>
    <t>BAX</t>
  </si>
  <si>
    <t>MCL1</t>
  </si>
  <si>
    <t>TNK2</t>
  </si>
  <si>
    <t>ARHGAP1</t>
  </si>
  <si>
    <t>PPP3CA</t>
  </si>
  <si>
    <t>CRYZ</t>
  </si>
  <si>
    <t>CACNB2</t>
  </si>
  <si>
    <t>SLC20A2</t>
  </si>
  <si>
    <t>GOLGA3</t>
  </si>
  <si>
    <t>GOLGA2</t>
  </si>
  <si>
    <t>EHHADH</t>
  </si>
  <si>
    <t>CD47</t>
  </si>
  <si>
    <t>PPID</t>
  </si>
  <si>
    <t>SSRP1</t>
  </si>
  <si>
    <t>CAMSAP2</t>
  </si>
  <si>
    <t>SPIRE1</t>
  </si>
  <si>
    <t>MZT1</t>
  </si>
  <si>
    <t>VAC14</t>
  </si>
  <si>
    <t>KIAA0100</t>
  </si>
  <si>
    <t>NSUN2</t>
  </si>
  <si>
    <t>RBBP4</t>
  </si>
  <si>
    <t>NCBP1</t>
  </si>
  <si>
    <t>EP300</t>
  </si>
  <si>
    <t>AHNAK</t>
  </si>
  <si>
    <t>FCHO2</t>
  </si>
  <si>
    <t>HSPA14</t>
  </si>
  <si>
    <t>SCRN3</t>
  </si>
  <si>
    <t>MGAT2</t>
  </si>
  <si>
    <t>AP1B1</t>
  </si>
  <si>
    <t>PMPCA</t>
  </si>
  <si>
    <t>SCRN1</t>
  </si>
  <si>
    <t>NUP160</t>
  </si>
  <si>
    <t>TBL3</t>
  </si>
  <si>
    <t>TWF1</t>
  </si>
  <si>
    <t>CDC20</t>
  </si>
  <si>
    <t>FSTL1</t>
  </si>
  <si>
    <t>STX4</t>
  </si>
  <si>
    <t>GRSF1</t>
  </si>
  <si>
    <t>CNTN1</t>
  </si>
  <si>
    <t>SFSWAP</t>
  </si>
  <si>
    <t>SF3A3</t>
  </si>
  <si>
    <t>TP53BP1</t>
  </si>
  <si>
    <t>TMEM115</t>
  </si>
  <si>
    <t>AIMP1</t>
  </si>
  <si>
    <t>ILF2</t>
  </si>
  <si>
    <t>ILF3</t>
  </si>
  <si>
    <t>LMAN2</t>
  </si>
  <si>
    <t>EPS8</t>
  </si>
  <si>
    <t>TRAF2</t>
  </si>
  <si>
    <t>FOXC1</t>
  </si>
  <si>
    <t>ANK3</t>
  </si>
  <si>
    <t>DLG1</t>
  </si>
  <si>
    <t>TAF10</t>
  </si>
  <si>
    <t>MYO1E</t>
  </si>
  <si>
    <t>PPP1R8</t>
  </si>
  <si>
    <t>BNIP1</t>
  </si>
  <si>
    <t>CSTF3</t>
  </si>
  <si>
    <t>ECH1</t>
  </si>
  <si>
    <t>MLLT11</t>
  </si>
  <si>
    <t>ARHGAP5</t>
  </si>
  <si>
    <t>STRN3</t>
  </si>
  <si>
    <t>STK4</t>
  </si>
  <si>
    <t>FLII</t>
  </si>
  <si>
    <t>COASY</t>
  </si>
  <si>
    <t>GPS1</t>
  </si>
  <si>
    <t>CHAF1A</t>
  </si>
  <si>
    <t>CHAF1B</t>
  </si>
  <si>
    <t>IK</t>
  </si>
  <si>
    <t>MTAP</t>
  </si>
  <si>
    <t>PRKAA1</t>
  </si>
  <si>
    <t>PPFIA1</t>
  </si>
  <si>
    <t>CALCOCO2</t>
  </si>
  <si>
    <t>TARDBP</t>
  </si>
  <si>
    <t>HNRNPA0</t>
  </si>
  <si>
    <t>PAK1</t>
  </si>
  <si>
    <t>FADD</t>
  </si>
  <si>
    <t>PRDX4</t>
  </si>
  <si>
    <t>MAPK7</t>
  </si>
  <si>
    <t>PAK2</t>
  </si>
  <si>
    <t>CBX3</t>
  </si>
  <si>
    <t>STK3</t>
  </si>
  <si>
    <t>PSMD2</t>
  </si>
  <si>
    <t>DNAJC3</t>
  </si>
  <si>
    <t>SELENBP1</t>
  </si>
  <si>
    <t>NME3</t>
  </si>
  <si>
    <t>SRSF5</t>
  </si>
  <si>
    <t>SRSF6</t>
  </si>
  <si>
    <t>MAD2L1</t>
  </si>
  <si>
    <t>TRIM28</t>
  </si>
  <si>
    <t>STX3</t>
  </si>
  <si>
    <t>G3BP1</t>
  </si>
  <si>
    <t>PTK7</t>
  </si>
  <si>
    <t>SKP2</t>
  </si>
  <si>
    <t>PABPC4</t>
  </si>
  <si>
    <t>GRB10</t>
  </si>
  <si>
    <t>IFIT5</t>
  </si>
  <si>
    <t>EIF3I</t>
  </si>
  <si>
    <t>PPIL2</t>
  </si>
  <si>
    <t>PPP2R5C</t>
  </si>
  <si>
    <t>CTBP1</t>
  </si>
  <si>
    <t>TARBP1</t>
  </si>
  <si>
    <t>MRPL49</t>
  </si>
  <si>
    <t>DYNC1I2</t>
  </si>
  <si>
    <t>ORC2</t>
  </si>
  <si>
    <t>ILK</t>
  </si>
  <si>
    <t>NNT</t>
  </si>
  <si>
    <t>SNTA1</t>
  </si>
  <si>
    <t>XRCC4</t>
  </si>
  <si>
    <t>UNC119</t>
  </si>
  <si>
    <t>SF3B2</t>
  </si>
  <si>
    <t>OS9</t>
  </si>
  <si>
    <t>PDAP1</t>
  </si>
  <si>
    <t>ADAM9</t>
  </si>
  <si>
    <t>ADAM15</t>
  </si>
  <si>
    <t>TMED1</t>
  </si>
  <si>
    <t>FKBP5</t>
  </si>
  <si>
    <t>ROCK1</t>
  </si>
  <si>
    <t>GAB1</t>
  </si>
  <si>
    <t>PICALM</t>
  </si>
  <si>
    <t>MED21</t>
  </si>
  <si>
    <t>MTX1</t>
  </si>
  <si>
    <t>TUBB3</t>
  </si>
  <si>
    <t>PIN1</t>
  </si>
  <si>
    <t>EIF4EBP1</t>
  </si>
  <si>
    <t>EIF4EBP2</t>
  </si>
  <si>
    <t>RIPK1</t>
  </si>
  <si>
    <t>NAE1</t>
  </si>
  <si>
    <t>ITPK1</t>
  </si>
  <si>
    <t>SNW1</t>
  </si>
  <si>
    <t>IQGAP2</t>
  </si>
  <si>
    <t>STIM1</t>
  </si>
  <si>
    <t>SNX1</t>
  </si>
  <si>
    <t>MTMR2</t>
  </si>
  <si>
    <t>CUL1</t>
  </si>
  <si>
    <t>CUL2</t>
  </si>
  <si>
    <t>CUL3</t>
  </si>
  <si>
    <t>TP53BP2</t>
  </si>
  <si>
    <t>TSTA3</t>
  </si>
  <si>
    <t>RAB31</t>
  </si>
  <si>
    <t>TPBG</t>
  </si>
  <si>
    <t>FHL1</t>
  </si>
  <si>
    <t>FHL3</t>
  </si>
  <si>
    <t>ALKBH1</t>
  </si>
  <si>
    <t>MOGS</t>
  </si>
  <si>
    <t>ALCAM</t>
  </si>
  <si>
    <t>SHROOM2</t>
  </si>
  <si>
    <t>SPTAN1</t>
  </si>
  <si>
    <t>AUH</t>
  </si>
  <si>
    <t>SNTB1</t>
  </si>
  <si>
    <t>TUBB2A</t>
  </si>
  <si>
    <t>BYSL</t>
  </si>
  <si>
    <t>IDI1</t>
  </si>
  <si>
    <t>CBFB</t>
  </si>
  <si>
    <t>NFYC</t>
  </si>
  <si>
    <t>CKAP5</t>
  </si>
  <si>
    <t>CIRBP</t>
  </si>
  <si>
    <t>CAMK1</t>
  </si>
  <si>
    <t>COTL1</t>
  </si>
  <si>
    <t>COL9A3</t>
  </si>
  <si>
    <t>COX17</t>
  </si>
  <si>
    <t>HNRNPD</t>
  </si>
  <si>
    <t>SCARB2</t>
  </si>
  <si>
    <t>DAG1</t>
  </si>
  <si>
    <t>DSG2</t>
  </si>
  <si>
    <t>DGCR6</t>
  </si>
  <si>
    <t>VGLL4</t>
  </si>
  <si>
    <t>BOP1</t>
  </si>
  <si>
    <t>UBE4A</t>
  </si>
  <si>
    <t>KEAP1</t>
  </si>
  <si>
    <t>MORC3</t>
  </si>
  <si>
    <t>SAFB2</t>
  </si>
  <si>
    <t>EIF3A</t>
  </si>
  <si>
    <t>SCRIB</t>
  </si>
  <si>
    <t>MLEC</t>
  </si>
  <si>
    <t>TTLL12</t>
  </si>
  <si>
    <t>POLA2</t>
  </si>
  <si>
    <t>DPYSL3</t>
  </si>
  <si>
    <t>DYNC1H1</t>
  </si>
  <si>
    <t>EIF2B1</t>
  </si>
  <si>
    <t>EIF4A2</t>
  </si>
  <si>
    <t>MAP7</t>
  </si>
  <si>
    <t>CTTN</t>
  </si>
  <si>
    <t>RCN2</t>
  </si>
  <si>
    <t>FLNC</t>
  </si>
  <si>
    <t>FKBP8</t>
  </si>
  <si>
    <t>FAM50A</t>
  </si>
  <si>
    <t>FRG1</t>
  </si>
  <si>
    <t>GNA13</t>
  </si>
  <si>
    <t>GAMT</t>
  </si>
  <si>
    <t>GALE</t>
  </si>
  <si>
    <t>GK3P</t>
  </si>
  <si>
    <t>CAPRIN1</t>
  </si>
  <si>
    <t>HES1</t>
  </si>
  <si>
    <t>RBM39</t>
  </si>
  <si>
    <t>HABP2</t>
  </si>
  <si>
    <t>HLTF</t>
  </si>
  <si>
    <t>SQLE</t>
  </si>
  <si>
    <t>PDIA5</t>
  </si>
  <si>
    <t>PRPSAP1</t>
  </si>
  <si>
    <t>MCM6</t>
  </si>
  <si>
    <t>PLS1</t>
  </si>
  <si>
    <t>IRF3</t>
  </si>
  <si>
    <t>LAGE3</t>
  </si>
  <si>
    <t>TRIP12</t>
  </si>
  <si>
    <t>PUM1</t>
  </si>
  <si>
    <t>ESPL1</t>
  </si>
  <si>
    <t>MDC1</t>
  </si>
  <si>
    <t>CLINT1</t>
  </si>
  <si>
    <t>KCTD2</t>
  </si>
  <si>
    <t>SMC1A</t>
  </si>
  <si>
    <t>NCOA6</t>
  </si>
  <si>
    <t>GSE1</t>
  </si>
  <si>
    <t>GINS1</t>
  </si>
  <si>
    <t>USP10</t>
  </si>
  <si>
    <t>MESDC2</t>
  </si>
  <si>
    <t>GANAB</t>
  </si>
  <si>
    <t>RFTN1</t>
  </si>
  <si>
    <t>LBR</t>
  </si>
  <si>
    <t>COG2</t>
  </si>
  <si>
    <t>GOLGB1</t>
  </si>
  <si>
    <t>CASP8</t>
  </si>
  <si>
    <t>NAA30</t>
  </si>
  <si>
    <t>MEF2D</t>
  </si>
  <si>
    <t>LASP1</t>
  </si>
  <si>
    <t>MTF1</t>
  </si>
  <si>
    <t>RAB39A</t>
  </si>
  <si>
    <t>ZNF638</t>
  </si>
  <si>
    <t>KPNB1</t>
  </si>
  <si>
    <t>NOLC1</t>
  </si>
  <si>
    <t>NUMA1</t>
  </si>
  <si>
    <t>GAPVD1</t>
  </si>
  <si>
    <t>UBXN2B</t>
  </si>
  <si>
    <t>NAA25</t>
  </si>
  <si>
    <t>FASTKD3</t>
  </si>
  <si>
    <t>KIAA0101</t>
  </si>
  <si>
    <t>EMC2</t>
  </si>
  <si>
    <t>WTAP</t>
  </si>
  <si>
    <t>HERPUD1</t>
  </si>
  <si>
    <t>LAPTM4A</t>
  </si>
  <si>
    <t>MAD2L1BP</t>
  </si>
  <si>
    <t>FAM175B</t>
  </si>
  <si>
    <t>NCAPD2</t>
  </si>
  <si>
    <t>EXOSC7</t>
  </si>
  <si>
    <t>EFTUD2</t>
  </si>
  <si>
    <t>LARS2</t>
  </si>
  <si>
    <t>R3HDM1</t>
  </si>
  <si>
    <t>SNX17</t>
  </si>
  <si>
    <t>DAZAP2</t>
  </si>
  <si>
    <t>SLC39A14</t>
  </si>
  <si>
    <t>KARS</t>
  </si>
  <si>
    <t>SETDB1</t>
  </si>
  <si>
    <t>IQCB1</t>
  </si>
  <si>
    <t>EIF4H</t>
  </si>
  <si>
    <t>ACAP2</t>
  </si>
  <si>
    <t>BRD3</t>
  </si>
  <si>
    <t>WDR43</t>
  </si>
  <si>
    <t>ACOX1</t>
  </si>
  <si>
    <t>EEA1</t>
  </si>
  <si>
    <t>PAFAH1B3</t>
  </si>
  <si>
    <t>PLCL1</t>
  </si>
  <si>
    <t>PDK1</t>
  </si>
  <si>
    <t>PDK3</t>
  </si>
  <si>
    <t>EBP</t>
  </si>
  <si>
    <t>PMVK</t>
  </si>
  <si>
    <t>PLEC</t>
  </si>
  <si>
    <t>NOMO1</t>
  </si>
  <si>
    <t>TCEAL1</t>
  </si>
  <si>
    <t>PPP2R5A</t>
  </si>
  <si>
    <t>PPP2R5B</t>
  </si>
  <si>
    <t>PPA1</t>
  </si>
  <si>
    <t>STK38</t>
  </si>
  <si>
    <t>NONO</t>
  </si>
  <si>
    <t>PPP2R4</t>
  </si>
  <si>
    <t>RABEP1</t>
  </si>
  <si>
    <t>RAB35</t>
  </si>
  <si>
    <t>RBBP5</t>
  </si>
  <si>
    <t>RCN1</t>
  </si>
  <si>
    <t>RALBP1</t>
  </si>
  <si>
    <t>LLGL1</t>
  </si>
  <si>
    <t>LRRC41</t>
  </si>
  <si>
    <t>PCBP1</t>
  </si>
  <si>
    <t>PCBP2</t>
  </si>
  <si>
    <t>EPHA7</t>
  </si>
  <si>
    <t>RHEB</t>
  </si>
  <si>
    <t>UBE3C</t>
  </si>
  <si>
    <t>TOMM20</t>
  </si>
  <si>
    <t>SF3B3</t>
  </si>
  <si>
    <t>DLGAP5</t>
  </si>
  <si>
    <t>RSU1</t>
  </si>
  <si>
    <t>SAFB</t>
  </si>
  <si>
    <t>SF3A2</t>
  </si>
  <si>
    <t>PPP1R7</t>
  </si>
  <si>
    <t>SEC23B</t>
  </si>
  <si>
    <t>CYTH1</t>
  </si>
  <si>
    <t>SF3A1</t>
  </si>
  <si>
    <t>SHB</t>
  </si>
  <si>
    <t>SPA17</t>
  </si>
  <si>
    <t>SURF1</t>
  </si>
  <si>
    <t>SURF2</t>
  </si>
  <si>
    <t>TAF13</t>
  </si>
  <si>
    <t>TAF7</t>
  </si>
  <si>
    <t>MAPRE2</t>
  </si>
  <si>
    <t>NCOA2</t>
  </si>
  <si>
    <t>SLC9A3R2</t>
  </si>
  <si>
    <t>TRADD</t>
  </si>
  <si>
    <t>SF1</t>
  </si>
  <si>
    <t>TRIP10</t>
  </si>
  <si>
    <t>TRIP11</t>
  </si>
  <si>
    <t>TRIP13</t>
  </si>
  <si>
    <t>MED1</t>
  </si>
  <si>
    <t>ZNHIT3</t>
  </si>
  <si>
    <t>JMJD1C</t>
  </si>
  <si>
    <t>TRIP6</t>
  </si>
  <si>
    <t>MAPRE1</t>
  </si>
  <si>
    <t>TSC22D1</t>
  </si>
  <si>
    <t>NSDHL</t>
  </si>
  <si>
    <t>TAB1</t>
  </si>
  <si>
    <t>SLC1A5</t>
  </si>
  <si>
    <t>MAPK11</t>
  </si>
  <si>
    <t>EFNB3</t>
  </si>
  <si>
    <t>MLF2</t>
  </si>
  <si>
    <t>TOMM34</t>
  </si>
  <si>
    <t>SMAD1</t>
  </si>
  <si>
    <t>MSMO1</t>
  </si>
  <si>
    <t>TBCC</t>
  </si>
  <si>
    <t>NPTX1</t>
  </si>
  <si>
    <t>UBE2V2</t>
  </si>
  <si>
    <t>STK11</t>
  </si>
  <si>
    <t>STXBP2</t>
  </si>
  <si>
    <t>VAMP3</t>
  </si>
  <si>
    <t>ATP6AP1</t>
  </si>
  <si>
    <t>RAB11B</t>
  </si>
  <si>
    <t>ZYX</t>
  </si>
  <si>
    <t>ETFDH</t>
  </si>
  <si>
    <t>SNCB</t>
  </si>
  <si>
    <t>SEPT7</t>
  </si>
  <si>
    <t>ADRM1</t>
  </si>
  <si>
    <t>CCDC6</t>
  </si>
  <si>
    <t>UAP1</t>
  </si>
  <si>
    <t>E2F4</t>
  </si>
  <si>
    <t>PSMD5</t>
  </si>
  <si>
    <t>PKN1</t>
  </si>
  <si>
    <t>PKN2</t>
  </si>
  <si>
    <t>TAF12</t>
  </si>
  <si>
    <t>DDB1</t>
  </si>
  <si>
    <t>MAPK14</t>
  </si>
  <si>
    <t>DPYSL2</t>
  </si>
  <si>
    <t>CAMK4</t>
  </si>
  <si>
    <t>RBBP7</t>
  </si>
  <si>
    <t>ZNF74</t>
  </si>
  <si>
    <t>TAF9</t>
  </si>
  <si>
    <t>OCLN</t>
  </si>
  <si>
    <t>MEA1</t>
  </si>
  <si>
    <t>CPSF6</t>
  </si>
  <si>
    <t>DBN1</t>
  </si>
  <si>
    <t>FSCN1</t>
  </si>
  <si>
    <t>MAN2A1</t>
  </si>
  <si>
    <t>NDUFA5</t>
  </si>
  <si>
    <t>CLPP</t>
  </si>
  <si>
    <t>TST</t>
  </si>
  <si>
    <t>UBE2S</t>
  </si>
  <si>
    <t>RTN1</t>
  </si>
  <si>
    <t>PCK2</t>
  </si>
  <si>
    <t>UPP1</t>
  </si>
  <si>
    <t>CYP51A1</t>
  </si>
  <si>
    <t>ATP6V1F</t>
  </si>
  <si>
    <t>TATDN3</t>
  </si>
  <si>
    <t>FAM98C</t>
  </si>
  <si>
    <t>REL</t>
  </si>
  <si>
    <t>TMEM132A</t>
  </si>
  <si>
    <t>INF2</t>
  </si>
  <si>
    <t>PDS5A</t>
  </si>
  <si>
    <t>QSER1</t>
  </si>
  <si>
    <t>CLEC16A</t>
  </si>
  <si>
    <t>KIF7</t>
  </si>
  <si>
    <t>AAK1</t>
  </si>
  <si>
    <t>ERCC6L</t>
  </si>
  <si>
    <t>TSR1</t>
  </si>
  <si>
    <t>TYSND1</t>
  </si>
  <si>
    <t>QRICH1</t>
  </si>
  <si>
    <t>RELA</t>
  </si>
  <si>
    <t>GOLGA7B</t>
  </si>
  <si>
    <t>SMU1</t>
  </si>
  <si>
    <t>LRRFIP1</t>
  </si>
  <si>
    <t>POLD3</t>
  </si>
  <si>
    <t>PGS1</t>
  </si>
  <si>
    <t>LEPRE1</t>
  </si>
  <si>
    <t>TRMT5</t>
  </si>
  <si>
    <t>NME1-NME2</t>
  </si>
  <si>
    <t>UAP1L1</t>
  </si>
  <si>
    <t>ALKBH6</t>
  </si>
  <si>
    <t>DAK</t>
  </si>
  <si>
    <t>LSM12</t>
  </si>
  <si>
    <t>TBC1D25</t>
  </si>
  <si>
    <t>PUS10</t>
  </si>
  <si>
    <t>HSDL1</t>
  </si>
  <si>
    <t>ARL13B</t>
  </si>
  <si>
    <t>CCDC88A</t>
  </si>
  <si>
    <t>RABL6</t>
  </si>
  <si>
    <t>VMA21</t>
  </si>
  <si>
    <t>TUBB8</t>
  </si>
  <si>
    <t>TIMM50</t>
  </si>
  <si>
    <t>USP38</t>
  </si>
  <si>
    <t>LGALSL</t>
  </si>
  <si>
    <t>FUT11</t>
  </si>
  <si>
    <t>CDNF</t>
  </si>
  <si>
    <t>C5orf22</t>
  </si>
  <si>
    <t>COX19</t>
  </si>
  <si>
    <t>VPS26B</t>
  </si>
  <si>
    <t>CCSMST1</t>
  </si>
  <si>
    <t>LARP7</t>
  </si>
  <si>
    <t>NADKD1</t>
  </si>
  <si>
    <t>GXYLT1</t>
  </si>
  <si>
    <t>ACSF3</t>
  </si>
  <si>
    <t>PREPL</t>
  </si>
  <si>
    <t>TBC1D10B</t>
  </si>
  <si>
    <t>ANO6</t>
  </si>
  <si>
    <t>DNAL1</t>
  </si>
  <si>
    <t>GRIPAP1</t>
  </si>
  <si>
    <t>BCL7A</t>
  </si>
  <si>
    <t>TMEM259</t>
  </si>
  <si>
    <t>PAN2</t>
  </si>
  <si>
    <t>C4orf46</t>
  </si>
  <si>
    <t>FAM98B</t>
  </si>
  <si>
    <t>ARHGAP29</t>
  </si>
  <si>
    <t>PDCD4</t>
  </si>
  <si>
    <t>CRTC2</t>
  </si>
  <si>
    <t>CEP55</t>
  </si>
  <si>
    <t>PDLIM3</t>
  </si>
  <si>
    <t>HSD17B12</t>
  </si>
  <si>
    <t>AKIRIN2</t>
  </si>
  <si>
    <t>LACTB2</t>
  </si>
  <si>
    <t>PYCRL</t>
  </si>
  <si>
    <t>SMUG1</t>
  </si>
  <si>
    <t>BOLA3</t>
  </si>
  <si>
    <t>TMEM177</t>
  </si>
  <si>
    <t>HS1BP3</t>
  </si>
  <si>
    <t>ACTBL2</t>
  </si>
  <si>
    <t>SFT2D3</t>
  </si>
  <si>
    <t>HSP90AB2P</t>
  </si>
  <si>
    <t>HSP90AA4P</t>
  </si>
  <si>
    <t>DCAF6</t>
  </si>
  <si>
    <t>C19orf54</t>
  </si>
  <si>
    <t>RILPL1</t>
  </si>
  <si>
    <t>PDZD11</t>
  </si>
  <si>
    <t>HERC4</t>
  </si>
  <si>
    <t>PKIG</t>
  </si>
  <si>
    <t>TIMP1</t>
  </si>
  <si>
    <t>FLNA</t>
  </si>
  <si>
    <t>FIGN</t>
  </si>
  <si>
    <t>MTX3</t>
  </si>
  <si>
    <t>RABL3</t>
  </si>
  <si>
    <t>COQ5</t>
  </si>
  <si>
    <t>SH3D19</t>
  </si>
  <si>
    <t>TUBB</t>
  </si>
  <si>
    <t>NOMO2</t>
  </si>
  <si>
    <t>EARS2</t>
  </si>
  <si>
    <t>RHOC</t>
  </si>
  <si>
    <t>RPS8</t>
  </si>
  <si>
    <t>NUPL1</t>
  </si>
  <si>
    <t>PITRM1</t>
  </si>
  <si>
    <t>PSMG4</t>
  </si>
  <si>
    <t>WDR44</t>
  </si>
  <si>
    <t>HMGN5</t>
  </si>
  <si>
    <t>PRRC2B</t>
  </si>
  <si>
    <t>TJAP1</t>
  </si>
  <si>
    <t>RRP12</t>
  </si>
  <si>
    <t>COA6</t>
  </si>
  <si>
    <t>GMEB2</t>
  </si>
  <si>
    <t>AARS2</t>
  </si>
  <si>
    <t>TOR2A</t>
  </si>
  <si>
    <t>VPS16</t>
  </si>
  <si>
    <t>RAPGEF1</t>
  </si>
  <si>
    <t>DLG3</t>
  </si>
  <si>
    <t>FRMD3</t>
  </si>
  <si>
    <t>FRMPD3</t>
  </si>
  <si>
    <t>PCID2</t>
  </si>
  <si>
    <t>HABP4</t>
  </si>
  <si>
    <t>STAU1</t>
  </si>
  <si>
    <t>TMEM230</t>
  </si>
  <si>
    <t>MORF4L2</t>
  </si>
  <si>
    <t>CRNKL1</t>
  </si>
  <si>
    <t>SNX21</t>
  </si>
  <si>
    <t>SLC27A3</t>
  </si>
  <si>
    <t>SPECC1</t>
  </si>
  <si>
    <t>WDR45B</t>
  </si>
  <si>
    <t>EOGT</t>
  </si>
  <si>
    <t>TBCEL</t>
  </si>
  <si>
    <t>PEX19</t>
  </si>
  <si>
    <t>ATP5F1</t>
  </si>
  <si>
    <t>DPM1</t>
  </si>
  <si>
    <t>SRPK1</t>
  </si>
  <si>
    <t>PLEKHA1</t>
  </si>
  <si>
    <t>COX20</t>
  </si>
  <si>
    <t>EXOSC6</t>
  </si>
  <si>
    <t>NPDC1</t>
  </si>
  <si>
    <t>ATAT1</t>
  </si>
  <si>
    <t>CTBP2</t>
  </si>
  <si>
    <t>PRKG1</t>
  </si>
  <si>
    <t>PHYHD1</t>
  </si>
  <si>
    <t>CSNK2B</t>
  </si>
  <si>
    <t>HP1BP3</t>
  </si>
  <si>
    <t>VARS2</t>
  </si>
  <si>
    <t>DNMBP</t>
  </si>
  <si>
    <t>LDLRAP1</t>
  </si>
  <si>
    <t>ODR4</t>
  </si>
  <si>
    <t>DNLZ</t>
  </si>
  <si>
    <t>NHSL1</t>
  </si>
  <si>
    <t>CIZ1</t>
  </si>
  <si>
    <t>TDRKH</t>
  </si>
  <si>
    <t>TPRG1L</t>
  </si>
  <si>
    <t>FNBP1L</t>
  </si>
  <si>
    <t>PKIB</t>
  </si>
  <si>
    <t>SH3BGRL3</t>
  </si>
  <si>
    <t>RARS2</t>
  </si>
  <si>
    <t>PYGO2</t>
  </si>
  <si>
    <t>THEM4</t>
  </si>
  <si>
    <t>FKBP15</t>
  </si>
  <si>
    <t>DDX59</t>
  </si>
  <si>
    <t>LHPP</t>
  </si>
  <si>
    <t>ZC3H13</t>
  </si>
  <si>
    <t>PDSS1</t>
  </si>
  <si>
    <t>NBEA</t>
  </si>
  <si>
    <t>ARRDC1</t>
  </si>
  <si>
    <t>HEATR1</t>
  </si>
  <si>
    <t>ABCC10</t>
  </si>
  <si>
    <t>IBA57</t>
  </si>
  <si>
    <t>RBM20</t>
  </si>
  <si>
    <t>ZFYVE27</t>
  </si>
  <si>
    <t>RABGGTB</t>
  </si>
  <si>
    <t>SARS</t>
  </si>
  <si>
    <t>KIAA1217</t>
  </si>
  <si>
    <t>ARHGAP21</t>
  </si>
  <si>
    <t>CAMSAP1</t>
  </si>
  <si>
    <t>UBAP2</t>
  </si>
  <si>
    <t>C9orf64</t>
  </si>
  <si>
    <t>FAM69A</t>
  </si>
  <si>
    <t>GORAB</t>
  </si>
  <si>
    <t>ACBD5</t>
  </si>
  <si>
    <t>RBM26</t>
  </si>
  <si>
    <t>SURF4</t>
  </si>
  <si>
    <t>AK1</t>
  </si>
  <si>
    <t>CPSF3L</t>
  </si>
  <si>
    <t>GLTPD1</t>
  </si>
  <si>
    <t>TTC4</t>
  </si>
  <si>
    <t>ZCCHC11</t>
  </si>
  <si>
    <t>RNASEH2B</t>
  </si>
  <si>
    <t>MAGI3</t>
  </si>
  <si>
    <t>NQO2</t>
  </si>
  <si>
    <t>C6orf89</t>
  </si>
  <si>
    <t>DDI2</t>
  </si>
  <si>
    <t>NDUFAF5</t>
  </si>
  <si>
    <t>NT5DC1</t>
  </si>
  <si>
    <t>NDRG3</t>
  </si>
  <si>
    <t>PRR14L</t>
  </si>
  <si>
    <t>SLC19A2</t>
  </si>
  <si>
    <t>CROCC</t>
  </si>
  <si>
    <t>LYRM7</t>
  </si>
  <si>
    <t>RIF1</t>
  </si>
  <si>
    <t>VPS53</t>
  </si>
  <si>
    <t>STRIP1</t>
  </si>
  <si>
    <t>RPRD2</t>
  </si>
  <si>
    <t>MARC1</t>
  </si>
  <si>
    <t>GHITM</t>
  </si>
  <si>
    <t>PRPF38B</t>
  </si>
  <si>
    <t>RNF20</t>
  </si>
  <si>
    <t>ZNF318</t>
  </si>
  <si>
    <t>FAM69B</t>
  </si>
  <si>
    <t>ARHGEF16</t>
  </si>
  <si>
    <t>CDKAL1</t>
  </si>
  <si>
    <t>ZNF691</t>
  </si>
  <si>
    <t>PLEKHM2</t>
  </si>
  <si>
    <t>YOD1</t>
  </si>
  <si>
    <t>SLC2A8</t>
  </si>
  <si>
    <t>NFIB</t>
  </si>
  <si>
    <t>BROX</t>
  </si>
  <si>
    <t>SNX30</t>
  </si>
  <si>
    <t>LYPLAL1</t>
  </si>
  <si>
    <t>RBP4</t>
  </si>
  <si>
    <t>ARHGEF2</t>
  </si>
  <si>
    <t>NAA35</t>
  </si>
  <si>
    <t>C9orf91</t>
  </si>
  <si>
    <t>LRRC16A</t>
  </si>
  <si>
    <t>GLIPR2</t>
  </si>
  <si>
    <t>TPP2</t>
  </si>
  <si>
    <t>PFKFB3</t>
  </si>
  <si>
    <t>FAM160B1</t>
  </si>
  <si>
    <t>ZDHHC20</t>
  </si>
  <si>
    <t>SPRYD7</t>
  </si>
  <si>
    <t>NDUFB8</t>
  </si>
  <si>
    <t>QIL1</t>
  </si>
  <si>
    <t>FBXW9</t>
  </si>
  <si>
    <t>CD276</t>
  </si>
  <si>
    <t>FAM21A</t>
  </si>
  <si>
    <t>LPCAT4</t>
  </si>
  <si>
    <t>STEAP3</t>
  </si>
  <si>
    <t>CEP135</t>
  </si>
  <si>
    <t>TBC1D9B</t>
  </si>
  <si>
    <t>DCAF15</t>
  </si>
  <si>
    <t>PPP2R2D</t>
  </si>
  <si>
    <t>B3GNTL1</t>
  </si>
  <si>
    <t>DIEXF</t>
  </si>
  <si>
    <t>NCR3LG1</t>
  </si>
  <si>
    <t>MBLAC2</t>
  </si>
  <si>
    <t>LMBRD2</t>
  </si>
  <si>
    <t>INTS3</t>
  </si>
  <si>
    <t>ARHGAP17</t>
  </si>
  <si>
    <t>CWF19L1</t>
  </si>
  <si>
    <t>C12orf73</t>
  </si>
  <si>
    <t>HEATR6</t>
  </si>
  <si>
    <t>DKFZp781D08126</t>
  </si>
  <si>
    <t>ZNF787</t>
  </si>
  <si>
    <t>NXN</t>
  </si>
  <si>
    <t>TTC19</t>
  </si>
  <si>
    <t>POLR2M</t>
  </si>
  <si>
    <t>VASN</t>
  </si>
  <si>
    <t>CIAPIN1</t>
  </si>
  <si>
    <t>ZFAND6</t>
  </si>
  <si>
    <t>SMYD5</t>
  </si>
  <si>
    <t>PTRHD1</t>
  </si>
  <si>
    <t>OTUD7B</t>
  </si>
  <si>
    <t>THOC7</t>
  </si>
  <si>
    <t>NADSYN1</t>
  </si>
  <si>
    <t>ELP2</t>
  </si>
  <si>
    <t>LAMTOR1</t>
  </si>
  <si>
    <t>DHRS7B</t>
  </si>
  <si>
    <t>TWF2</t>
  </si>
  <si>
    <t>DESI1</t>
  </si>
  <si>
    <t>TMEM132E</t>
  </si>
  <si>
    <t>SMEK1</t>
  </si>
  <si>
    <t>RAB12</t>
  </si>
  <si>
    <t>SDE2</t>
  </si>
  <si>
    <t>EIF5AL1</t>
  </si>
  <si>
    <t>ZNF425</t>
  </si>
  <si>
    <t>USP3</t>
  </si>
  <si>
    <t>ACAD10</t>
  </si>
  <si>
    <t>NIPBL</t>
  </si>
  <si>
    <t>OGFOD2</t>
  </si>
  <si>
    <t>NAA16</t>
  </si>
  <si>
    <t>CXorf57</t>
  </si>
  <si>
    <t>PHLDB3</t>
  </si>
  <si>
    <t>SLC18B1</t>
  </si>
  <si>
    <t>SLC25A24</t>
  </si>
  <si>
    <t>REEP3</t>
  </si>
  <si>
    <t>RETSAT</t>
  </si>
  <si>
    <t>PPP4R4</t>
  </si>
  <si>
    <t>RINT1</t>
  </si>
  <si>
    <t>TMEM214</t>
  </si>
  <si>
    <t>TCTN3</t>
  </si>
  <si>
    <t>UFSP1</t>
  </si>
  <si>
    <t>HIBCH</t>
  </si>
  <si>
    <t>ARMC6</t>
  </si>
  <si>
    <t>ANKRD54</t>
  </si>
  <si>
    <t>TAPT1</t>
  </si>
  <si>
    <t>JMJD6</t>
  </si>
  <si>
    <t>PPP1R18</t>
  </si>
  <si>
    <t>PTRF</t>
  </si>
  <si>
    <t>ZCCHC8</t>
  </si>
  <si>
    <t>RPUSD3</t>
  </si>
  <si>
    <t>MRPL54</t>
  </si>
  <si>
    <t>CDC73</t>
  </si>
  <si>
    <t>PMF1</t>
  </si>
  <si>
    <t>FAM117B</t>
  </si>
  <si>
    <t>MRPL14</t>
  </si>
  <si>
    <t>SLC27A4</t>
  </si>
  <si>
    <t>CC2D1A</t>
  </si>
  <si>
    <t>METTL2B</t>
  </si>
  <si>
    <t>DUS1L</t>
  </si>
  <si>
    <t>MED27</t>
  </si>
  <si>
    <t>EDC4</t>
  </si>
  <si>
    <t>CEP85</t>
  </si>
  <si>
    <t>PRMT10</t>
  </si>
  <si>
    <t>FBXO42</t>
  </si>
  <si>
    <t>SCYL2</t>
  </si>
  <si>
    <t>TTC27</t>
  </si>
  <si>
    <t>MTFR2</t>
  </si>
  <si>
    <t>SFXN4</t>
  </si>
  <si>
    <t>CASC4</t>
  </si>
  <si>
    <t>FDX1L</t>
  </si>
  <si>
    <t>WDR73</t>
  </si>
  <si>
    <t>NFRKB</t>
  </si>
  <si>
    <t>MZT2A</t>
  </si>
  <si>
    <t>FAHD1</t>
  </si>
  <si>
    <t>C8orf47</t>
  </si>
  <si>
    <t>ANKRD16</t>
  </si>
  <si>
    <t>ALKBH5</t>
  </si>
  <si>
    <t>KIAA1609</t>
  </si>
  <si>
    <t>PGM2L1</t>
  </si>
  <si>
    <t>CTR9</t>
  </si>
  <si>
    <t>AAGAB</t>
  </si>
  <si>
    <t>PSRC1</t>
  </si>
  <si>
    <t>TTC37</t>
  </si>
  <si>
    <t>C16orf87</t>
  </si>
  <si>
    <t>ULK3</t>
  </si>
  <si>
    <t>DARS2</t>
  </si>
  <si>
    <t>TMEM65</t>
  </si>
  <si>
    <t>TTC33</t>
  </si>
  <si>
    <t>HAGHL</t>
  </si>
  <si>
    <t>FIGNL1</t>
  </si>
  <si>
    <t>TRIM65</t>
  </si>
  <si>
    <t>RHBDF2</t>
  </si>
  <si>
    <t>BRAT1</t>
  </si>
  <si>
    <t>ZC3H14</t>
  </si>
  <si>
    <t>LARP1</t>
  </si>
  <si>
    <t>TMED8</t>
  </si>
  <si>
    <t>SLC30A9</t>
  </si>
  <si>
    <t>BLOC1S3</t>
  </si>
  <si>
    <t>BLOC1S2</t>
  </si>
  <si>
    <t>AGTRAP</t>
  </si>
  <si>
    <t>SAMD1</t>
  </si>
  <si>
    <t>METAP1D</t>
  </si>
  <si>
    <t>AFTPH</t>
  </si>
  <si>
    <t>FIP1L1</t>
  </si>
  <si>
    <t>CRTC1</t>
  </si>
  <si>
    <t>SASS6</t>
  </si>
  <si>
    <t>KDELC1</t>
  </si>
  <si>
    <t>LRSAM1</t>
  </si>
  <si>
    <t>SHISA2</t>
  </si>
  <si>
    <t>DHRS11</t>
  </si>
  <si>
    <t>LCLAT1</t>
  </si>
  <si>
    <t>PET117</t>
  </si>
  <si>
    <t>CWC27</t>
  </si>
  <si>
    <t>PLXDC2</t>
  </si>
  <si>
    <t>SEZ6L2</t>
  </si>
  <si>
    <t>CRELD2</t>
  </si>
  <si>
    <t>WDR82</t>
  </si>
  <si>
    <t>APOOL</t>
  </si>
  <si>
    <t>PACS1</t>
  </si>
  <si>
    <t>MPRIP</t>
  </si>
  <si>
    <t>RAB11FIP1</t>
  </si>
  <si>
    <t>NAPRT1</t>
  </si>
  <si>
    <t>DSTYK</t>
  </si>
  <si>
    <t>B3GALTL</t>
  </si>
  <si>
    <t>GIGYF2</t>
  </si>
  <si>
    <t>THADA</t>
  </si>
  <si>
    <t>HSDL2</t>
  </si>
  <si>
    <t>CCBL2</t>
  </si>
  <si>
    <t>CERS6</t>
  </si>
  <si>
    <t>LDHAL6A</t>
  </si>
  <si>
    <t>LIN28B</t>
  </si>
  <si>
    <t>AEBP2</t>
  </si>
  <si>
    <t>NFXL1</t>
  </si>
  <si>
    <t>GDPGP1</t>
  </si>
  <si>
    <t>DPY19L3</t>
  </si>
  <si>
    <t>QSOX2</t>
  </si>
  <si>
    <t>FAM65A</t>
  </si>
  <si>
    <t>C1orf122</t>
  </si>
  <si>
    <t>TMPPE</t>
  </si>
  <si>
    <t>SH3BP1</t>
  </si>
  <si>
    <t>TPGS1</t>
  </si>
  <si>
    <t>UBN2</t>
  </si>
  <si>
    <t>TOM1L2</t>
  </si>
  <si>
    <t>PAXIP1</t>
  </si>
  <si>
    <t>STXBP4</t>
  </si>
  <si>
    <t>MBOAT2</t>
  </si>
  <si>
    <t>TMTC3</t>
  </si>
  <si>
    <t>ACAD11</t>
  </si>
  <si>
    <t>USP34</t>
  </si>
  <si>
    <t>MOB2</t>
  </si>
  <si>
    <t>IKBIP</t>
  </si>
  <si>
    <t>FRA10AC1</t>
  </si>
  <si>
    <t>UBE2R2</t>
  </si>
  <si>
    <t>H2AFV</t>
  </si>
  <si>
    <t>MTSS1L</t>
  </si>
  <si>
    <t>BTN2A1</t>
  </si>
  <si>
    <t>SUPT6H</t>
  </si>
  <si>
    <t>SND1</t>
  </si>
  <si>
    <t>COX15</t>
  </si>
  <si>
    <t>DDX46</t>
  </si>
  <si>
    <t>RUFY3</t>
  </si>
  <si>
    <t>SV2A</t>
  </si>
  <si>
    <t>TRMT10C</t>
  </si>
  <si>
    <t>BZW1</t>
  </si>
  <si>
    <t>ASRGL1</t>
  </si>
  <si>
    <t>KCTD9</t>
  </si>
  <si>
    <t>EIF3M</t>
  </si>
  <si>
    <t>MEPCE</t>
  </si>
  <si>
    <t>ZNF771</t>
  </si>
  <si>
    <t>PARS2</t>
  </si>
  <si>
    <t>RSRC2</t>
  </si>
  <si>
    <t>RRAGA</t>
  </si>
  <si>
    <t>NDUFAF7</t>
  </si>
  <si>
    <t>LPCAT2</t>
  </si>
  <si>
    <t>ENOSF1</t>
  </si>
  <si>
    <t>TAOK1</t>
  </si>
  <si>
    <t>RAB11FIP2</t>
  </si>
  <si>
    <t>SH3BP5L</t>
  </si>
  <si>
    <t>ATPBD4</t>
  </si>
  <si>
    <t>KDM3B</t>
  </si>
  <si>
    <t>CHMP1B</t>
  </si>
  <si>
    <t>RRM2B</t>
  </si>
  <si>
    <t>NIPA1</t>
  </si>
  <si>
    <t>MICAL3</t>
  </si>
  <si>
    <t>DYM</t>
  </si>
  <si>
    <t>PHF5A</t>
  </si>
  <si>
    <t>GPRIN1</t>
  </si>
  <si>
    <t>ZC3HAV1</t>
  </si>
  <si>
    <t>EFTUD1</t>
  </si>
  <si>
    <t>ATG9A</t>
  </si>
  <si>
    <t>LYSMD3</t>
  </si>
  <si>
    <t>C10orf118</t>
  </si>
  <si>
    <t>POGZ</t>
  </si>
  <si>
    <t>ZFYVE16</t>
  </si>
  <si>
    <t>NUFIP2</t>
  </si>
  <si>
    <t>SZRD1</t>
  </si>
  <si>
    <t>MAVS</t>
  </si>
  <si>
    <t>TRMT11</t>
  </si>
  <si>
    <t>HDDC2</t>
  </si>
  <si>
    <t>KDELC2</t>
  </si>
  <si>
    <t>LIMS2</t>
  </si>
  <si>
    <t>TRIM46</t>
  </si>
  <si>
    <t>HEATR3</t>
  </si>
  <si>
    <t>HDGFRP2</t>
  </si>
  <si>
    <t>DCXR</t>
  </si>
  <si>
    <t>GOLGA7</t>
  </si>
  <si>
    <t>WAPAL</t>
  </si>
  <si>
    <t>R3HCC1L</t>
  </si>
  <si>
    <t>IRF2BP2</t>
  </si>
  <si>
    <t>WDR53</t>
  </si>
  <si>
    <t>BCDIN3D</t>
  </si>
  <si>
    <t>KCTD20</t>
  </si>
  <si>
    <t>CAMKMT</t>
  </si>
  <si>
    <t>DKFZp779C2259</t>
  </si>
  <si>
    <t>CCDC91</t>
  </si>
  <si>
    <t>RBBP6</t>
  </si>
  <si>
    <t>C5orf24</t>
  </si>
  <si>
    <t>SH3RF1</t>
  </si>
  <si>
    <t>UBE3D</t>
  </si>
  <si>
    <t>TSEN54</t>
  </si>
  <si>
    <t>TECPR1</t>
  </si>
  <si>
    <t>RABEPK</t>
  </si>
  <si>
    <t>MTERFD2</t>
  </si>
  <si>
    <t>ADAT2</t>
  </si>
  <si>
    <t>HUWE1</t>
  </si>
  <si>
    <t>CTU1</t>
  </si>
  <si>
    <t>TAF8</t>
  </si>
  <si>
    <t>UBE2Q1</t>
  </si>
  <si>
    <t>KIAA0907</t>
  </si>
  <si>
    <t>TMED4</t>
  </si>
  <si>
    <t>SLFN11</t>
  </si>
  <si>
    <t>C11orf96</t>
  </si>
  <si>
    <t>TMEM179B</t>
  </si>
  <si>
    <t>GALNT7</t>
  </si>
  <si>
    <t>SDCCAG8</t>
  </si>
  <si>
    <t>DHDDS</t>
  </si>
  <si>
    <t>GLRX5</t>
  </si>
  <si>
    <t>TMEM55B</t>
  </si>
  <si>
    <t>MOB3B</t>
  </si>
  <si>
    <t>PATL1</t>
  </si>
  <si>
    <t>PEG10</t>
  </si>
  <si>
    <t>DPP9</t>
  </si>
  <si>
    <t>TRPT1</t>
  </si>
  <si>
    <t>PRUNE</t>
  </si>
  <si>
    <t>SETD3</t>
  </si>
  <si>
    <t>LGMN</t>
  </si>
  <si>
    <t>ADCK1</t>
  </si>
  <si>
    <t>ISCA2</t>
  </si>
  <si>
    <t>METTL3</t>
  </si>
  <si>
    <t>LDB1</t>
  </si>
  <si>
    <t>YRDC</t>
  </si>
  <si>
    <t>PRPF39</t>
  </si>
  <si>
    <t>SAPCD2</t>
  </si>
  <si>
    <t>MTDH</t>
  </si>
  <si>
    <t>TLK2</t>
  </si>
  <si>
    <t>ZNF598</t>
  </si>
  <si>
    <t>AGPAT6</t>
  </si>
  <si>
    <t>RTN4RL2</t>
  </si>
  <si>
    <t>KTN1</t>
  </si>
  <si>
    <t>NLRX1</t>
  </si>
  <si>
    <t>BCL9L</t>
  </si>
  <si>
    <t>PHLDB1</t>
  </si>
  <si>
    <t>USP48</t>
  </si>
  <si>
    <t>ABCC5</t>
  </si>
  <si>
    <t>FERMT3</t>
  </si>
  <si>
    <t>TXNDC5</t>
  </si>
  <si>
    <t>NT5DC3</t>
  </si>
  <si>
    <t>AACS</t>
  </si>
  <si>
    <t>LUZP1</t>
  </si>
  <si>
    <t>GPR180</t>
  </si>
  <si>
    <t>C11orf74</t>
  </si>
  <si>
    <t>VPS36</t>
  </si>
  <si>
    <t>CAND1</t>
  </si>
  <si>
    <t>GLCCI1</t>
  </si>
  <si>
    <t>FAM134C</t>
  </si>
  <si>
    <t>HOOK3</t>
  </si>
  <si>
    <t>COMTD1</t>
  </si>
  <si>
    <t>SESTD1</t>
  </si>
  <si>
    <t>MON1A</t>
  </si>
  <si>
    <t>TPRA1</t>
  </si>
  <si>
    <t>THOC6</t>
  </si>
  <si>
    <t>METTL16</t>
  </si>
  <si>
    <t>PARG</t>
  </si>
  <si>
    <t>PPFIBP1</t>
  </si>
  <si>
    <t>BPHL</t>
  </si>
  <si>
    <t>CHD1L</t>
  </si>
  <si>
    <t>NR2C2AP</t>
  </si>
  <si>
    <t>CCDC25</t>
  </si>
  <si>
    <t>PROSER2</t>
  </si>
  <si>
    <t>TMEM173</t>
  </si>
  <si>
    <t>CCDC43</t>
  </si>
  <si>
    <t>CDR2L</t>
  </si>
  <si>
    <t>RALGPS2</t>
  </si>
  <si>
    <t>ERICH1</t>
  </si>
  <si>
    <t>CARM1</t>
  </si>
  <si>
    <t>NIT1</t>
  </si>
  <si>
    <t>COMMD2</t>
  </si>
  <si>
    <t>SFR1</t>
  </si>
  <si>
    <t>DDX42</t>
  </si>
  <si>
    <t>CACUL1</t>
  </si>
  <si>
    <t>HEATR2</t>
  </si>
  <si>
    <t>PTRH1</t>
  </si>
  <si>
    <t>STX12</t>
  </si>
  <si>
    <t>STRADA</t>
  </si>
  <si>
    <t>PDSS2</t>
  </si>
  <si>
    <t>GATAD2A</t>
  </si>
  <si>
    <t>GPSM1</t>
  </si>
  <si>
    <t>RAB11FIP4</t>
  </si>
  <si>
    <t>HPS6</t>
  </si>
  <si>
    <t>IRF2BP1</t>
  </si>
  <si>
    <t>GALNT13</t>
  </si>
  <si>
    <t>ZDHHC13</t>
  </si>
  <si>
    <t>CRLF3</t>
  </si>
  <si>
    <t>TRAPPC5</t>
  </si>
  <si>
    <t>SPATA2L</t>
  </si>
  <si>
    <t>RELL1</t>
  </si>
  <si>
    <t>PLD3</t>
  </si>
  <si>
    <t>ANKMY2</t>
  </si>
  <si>
    <t>VRK3</t>
  </si>
  <si>
    <t>LIX1L</t>
  </si>
  <si>
    <t>NUDCD3</t>
  </si>
  <si>
    <t>AHNAK2</t>
  </si>
  <si>
    <t>MMAA</t>
  </si>
  <si>
    <t>CCDC50</t>
  </si>
  <si>
    <t>MCAT</t>
  </si>
  <si>
    <t>GLYCTK</t>
  </si>
  <si>
    <t>ARID3B</t>
  </si>
  <si>
    <t>CARKD</t>
  </si>
  <si>
    <t>WDR75</t>
  </si>
  <si>
    <t>MFN1</t>
  </si>
  <si>
    <t>ITPRIP</t>
  </si>
  <si>
    <t>WDFY1</t>
  </si>
  <si>
    <t>TEX2</t>
  </si>
  <si>
    <t>MAP7D3</t>
  </si>
  <si>
    <t>DENND6A</t>
  </si>
  <si>
    <t>MGA</t>
  </si>
  <si>
    <t>GCC2</t>
  </si>
  <si>
    <t>HSCB</t>
  </si>
  <si>
    <t>CCDC28A</t>
  </si>
  <si>
    <t>UBR2</t>
  </si>
  <si>
    <t>ARHGAP12</t>
  </si>
  <si>
    <t>ANKHD1</t>
  </si>
  <si>
    <t>SUGP1</t>
  </si>
  <si>
    <t>UEVLD</t>
  </si>
  <si>
    <t>CCAR1</t>
  </si>
  <si>
    <t>DHX40</t>
  </si>
  <si>
    <t>SKA3</t>
  </si>
  <si>
    <t>DNAJC10</t>
  </si>
  <si>
    <t>RHOT2</t>
  </si>
  <si>
    <t>RHOT1</t>
  </si>
  <si>
    <t>SIRT2</t>
  </si>
  <si>
    <t>C9orf40</t>
  </si>
  <si>
    <t>KIAA1704</t>
  </si>
  <si>
    <t>RPAP2</t>
  </si>
  <si>
    <t>KBTBD2</t>
  </si>
  <si>
    <t>AMOTL1</t>
  </si>
  <si>
    <t>TMEM192</t>
  </si>
  <si>
    <t>MB21D2</t>
  </si>
  <si>
    <t>SMAP1</t>
  </si>
  <si>
    <t>DIS3L2</t>
  </si>
  <si>
    <t>SUPV3L1</t>
  </si>
  <si>
    <t>ZNF595</t>
  </si>
  <si>
    <t>GSPT2</t>
  </si>
  <si>
    <t>ZZZ3</t>
  </si>
  <si>
    <t>EXOC8</t>
  </si>
  <si>
    <t>C1orf174</t>
  </si>
  <si>
    <t>THNSL1</t>
  </si>
  <si>
    <t>SMYD4</t>
  </si>
  <si>
    <t>PM20D2</t>
  </si>
  <si>
    <t>KIAA2013</t>
  </si>
  <si>
    <t>HACE1</t>
  </si>
  <si>
    <t>MICU2</t>
  </si>
  <si>
    <t>ANKRD13A</t>
  </si>
  <si>
    <t>PHACTR4</t>
  </si>
  <si>
    <t>RASEF</t>
  </si>
  <si>
    <t>MTX2</t>
  </si>
  <si>
    <t>RPUSD2</t>
  </si>
  <si>
    <t>KIAA0319L</t>
  </si>
  <si>
    <t>DCP1B</t>
  </si>
  <si>
    <t>UNC5B</t>
  </si>
  <si>
    <t>ZDHHC14</t>
  </si>
  <si>
    <t>CMTM4</t>
  </si>
  <si>
    <t>RDH10</t>
  </si>
  <si>
    <t>C8orf59</t>
  </si>
  <si>
    <t>FAM185A</t>
  </si>
  <si>
    <t>VKORC1L1</t>
  </si>
  <si>
    <t>CLYBL</t>
  </si>
  <si>
    <t>SPG20</t>
  </si>
  <si>
    <t>ZNF444</t>
  </si>
  <si>
    <t>TTC5</t>
  </si>
  <si>
    <t>MIER1</t>
  </si>
  <si>
    <t>CYP4X1</t>
  </si>
  <si>
    <t>CNPY4</t>
  </si>
  <si>
    <t>KIAA1967</t>
  </si>
  <si>
    <t>NDUFAF2</t>
  </si>
  <si>
    <t>VPS52</t>
  </si>
  <si>
    <t>NUP93</t>
  </si>
  <si>
    <t>FTSJD2</t>
  </si>
  <si>
    <t>LRRC47</t>
  </si>
  <si>
    <t>CA13</t>
  </si>
  <si>
    <t>ARMC10</t>
  </si>
  <si>
    <t>GHDC</t>
  </si>
  <si>
    <t>ABHD12</t>
  </si>
  <si>
    <t>PIAS4</t>
  </si>
  <si>
    <t>APITD1</t>
  </si>
  <si>
    <t>CCDC23</t>
  </si>
  <si>
    <t>GPD1L</t>
  </si>
  <si>
    <t>MIER2</t>
  </si>
  <si>
    <t>KDM8</t>
  </si>
  <si>
    <t>ARHGAP18</t>
  </si>
  <si>
    <t>MICALL1</t>
  </si>
  <si>
    <t>C17orf53</t>
  </si>
  <si>
    <t>FNBP4</t>
  </si>
  <si>
    <t>GUF1</t>
  </si>
  <si>
    <t>D2HGDH</t>
  </si>
  <si>
    <t>RYBP</t>
  </si>
  <si>
    <t>PNKD</t>
  </si>
  <si>
    <t>MINK1</t>
  </si>
  <si>
    <t>KLHL36</t>
  </si>
  <si>
    <t>HDDC3</t>
  </si>
  <si>
    <t>ZADH2</t>
  </si>
  <si>
    <t>MMGT1</t>
  </si>
  <si>
    <t>OXR1</t>
  </si>
  <si>
    <t>TTC39C</t>
  </si>
  <si>
    <t>ZGPAT</t>
  </si>
  <si>
    <t>DTWD1</t>
  </si>
  <si>
    <t>SMIM20</t>
  </si>
  <si>
    <t>C12orf45</t>
  </si>
  <si>
    <t>FAM63A</t>
  </si>
  <si>
    <t>CISD2</t>
  </si>
  <si>
    <t>RPP25L</t>
  </si>
  <si>
    <t>ATPAF2</t>
  </si>
  <si>
    <t>JAGN1</t>
  </si>
  <si>
    <t>MRPL50</t>
  </si>
  <si>
    <t>EIF4E3</t>
  </si>
  <si>
    <t>KCTD17</t>
  </si>
  <si>
    <t>FAM160A2</t>
  </si>
  <si>
    <t>C10orf12</t>
  </si>
  <si>
    <t>CPSF7</t>
  </si>
  <si>
    <t>SLC15A4</t>
  </si>
  <si>
    <t>FOXP2</t>
  </si>
  <si>
    <t>ARFGAP2</t>
  </si>
  <si>
    <t>OTUD6B</t>
  </si>
  <si>
    <t>C1orf52</t>
  </si>
  <si>
    <t>ACBD7</t>
  </si>
  <si>
    <t>METTL25</t>
  </si>
  <si>
    <t>ANKRD13C</t>
  </si>
  <si>
    <t>TOM1L1</t>
  </si>
  <si>
    <t>EMC1</t>
  </si>
  <si>
    <t>PAF1</t>
  </si>
  <si>
    <t>CCNYL1</t>
  </si>
  <si>
    <t>UBR7</t>
  </si>
  <si>
    <t>C4orf32</t>
  </si>
  <si>
    <t>ARL10</t>
  </si>
  <si>
    <t>PTGR2</t>
  </si>
  <si>
    <t>C2orf69</t>
  </si>
  <si>
    <t>ARL14EP</t>
  </si>
  <si>
    <t>ENAH</t>
  </si>
  <si>
    <t>GPATCH11</t>
  </si>
  <si>
    <t>MRPL43</t>
  </si>
  <si>
    <t>C12orf29</t>
  </si>
  <si>
    <t>JMY</t>
  </si>
  <si>
    <t>PTK2</t>
  </si>
  <si>
    <t>GDPD1</t>
  </si>
  <si>
    <t>LRRC57</t>
  </si>
  <si>
    <t>EIF1AD</t>
  </si>
  <si>
    <t>TC2N</t>
  </si>
  <si>
    <t>WDSUB1</t>
  </si>
  <si>
    <t>ZNF579</t>
  </si>
  <si>
    <t>PRPF38A</t>
  </si>
  <si>
    <t>ZNF511</t>
  </si>
  <si>
    <t>PDDC1</t>
  </si>
  <si>
    <t>ATP11C</t>
  </si>
  <si>
    <t>DTWD2</t>
  </si>
  <si>
    <t>NHLRC2</t>
  </si>
  <si>
    <t>AVL9</t>
  </si>
  <si>
    <t>XXYLT1</t>
  </si>
  <si>
    <t>GOLM1</t>
  </si>
  <si>
    <t>COLGALT1</t>
  </si>
  <si>
    <t>SUMF1</t>
  </si>
  <si>
    <t>POGLUT1</t>
  </si>
  <si>
    <t>UBAC2</t>
  </si>
  <si>
    <t>PCYOX1L</t>
  </si>
  <si>
    <t>TMEM87A</t>
  </si>
  <si>
    <t>RDH13</t>
  </si>
  <si>
    <t>ATAD1</t>
  </si>
  <si>
    <t>SCCPDH</t>
  </si>
  <si>
    <t>SERBP1</t>
  </si>
  <si>
    <t>KCT2</t>
  </si>
  <si>
    <t>LEMD2</t>
  </si>
  <si>
    <t>PLA2G15</t>
  </si>
  <si>
    <t>MTMR14</t>
  </si>
  <si>
    <t>NFATC2IP</t>
  </si>
  <si>
    <t>CHST14</t>
  </si>
  <si>
    <t>PDPR</t>
  </si>
  <si>
    <t>APOA1BP</t>
  </si>
  <si>
    <t>RNF214</t>
  </si>
  <si>
    <t>LSM14A</t>
  </si>
  <si>
    <t>CCNY</t>
  </si>
  <si>
    <t>MAPK1IP1L</t>
  </si>
  <si>
    <t>NPEPL1</t>
  </si>
  <si>
    <t>EHBP1</t>
  </si>
  <si>
    <t>C3orf58</t>
  </si>
  <si>
    <t>CNNM3</t>
  </si>
  <si>
    <t>CHDH</t>
  </si>
  <si>
    <t>ABCF1</t>
  </si>
  <si>
    <t>MCU</t>
  </si>
  <si>
    <t>MTMR1</t>
  </si>
  <si>
    <t>GSTCD</t>
  </si>
  <si>
    <t>PDZD8</t>
  </si>
  <si>
    <t>APPL2</t>
  </si>
  <si>
    <t>FBXO22</t>
  </si>
  <si>
    <t>LPCAT1</t>
  </si>
  <si>
    <t>BOD1L1</t>
  </si>
  <si>
    <t>FLAD1</t>
  </si>
  <si>
    <t>FLCN</t>
  </si>
  <si>
    <t>NUP43</t>
  </si>
  <si>
    <t>NUP37</t>
  </si>
  <si>
    <t>REPS2</t>
  </si>
  <si>
    <t>ENGASE</t>
  </si>
  <si>
    <t>NUDT10</t>
  </si>
  <si>
    <t>TOR1AIP2</t>
  </si>
  <si>
    <t>IPMK</t>
  </si>
  <si>
    <t>ABHD11</t>
  </si>
  <si>
    <t>STXBP6</t>
  </si>
  <si>
    <t>NLGN2</t>
  </si>
  <si>
    <t>CADM4</t>
  </si>
  <si>
    <t>HELB</t>
  </si>
  <si>
    <t>CASC5</t>
  </si>
  <si>
    <t>TTL</t>
  </si>
  <si>
    <t>SVIP</t>
  </si>
  <si>
    <t>ZNRF2</t>
  </si>
  <si>
    <t>PLBD2</t>
  </si>
  <si>
    <t>TDRD7</t>
  </si>
  <si>
    <t>GIMAP7</t>
  </si>
  <si>
    <t>NEDD1</t>
  </si>
  <si>
    <t>CDC26</t>
  </si>
  <si>
    <t>THOC2</t>
  </si>
  <si>
    <t>PPTC7</t>
  </si>
  <si>
    <t>ADCK3</t>
  </si>
  <si>
    <t>GRPEL2</t>
  </si>
  <si>
    <t>PPP1R14C</t>
  </si>
  <si>
    <t>GADD45GIP1</t>
  </si>
  <si>
    <t>PPP1R35</t>
  </si>
  <si>
    <t>NPLOC4</t>
  </si>
  <si>
    <t>CXorf38</t>
  </si>
  <si>
    <t>GDAP1</t>
  </si>
  <si>
    <t>NUBPL</t>
  </si>
  <si>
    <t>FBXO30</t>
  </si>
  <si>
    <t>SLC35B2</t>
  </si>
  <si>
    <t>PUM2</t>
  </si>
  <si>
    <t>GOLGA5</t>
  </si>
  <si>
    <t>KLHDC4</t>
  </si>
  <si>
    <t>UBA3</t>
  </si>
  <si>
    <t>NANP</t>
  </si>
  <si>
    <t>SLC25A40</t>
  </si>
  <si>
    <t>PIP4K2C</t>
  </si>
  <si>
    <t>TRMT10A</t>
  </si>
  <si>
    <t>TBC1D15</t>
  </si>
  <si>
    <t>RDH11</t>
  </si>
  <si>
    <t>TMEM163</t>
  </si>
  <si>
    <t>SPATA18</t>
  </si>
  <si>
    <t>C18orf32</t>
  </si>
  <si>
    <t>NT5C</t>
  </si>
  <si>
    <t>KIAA1524</t>
  </si>
  <si>
    <t>STT3B</t>
  </si>
  <si>
    <t>PNPT1</t>
  </si>
  <si>
    <t>HM13</t>
  </si>
  <si>
    <t>BICD2</t>
  </si>
  <si>
    <t>NEK9</t>
  </si>
  <si>
    <t>GPT2</t>
  </si>
  <si>
    <t>PLEKHO2</t>
  </si>
  <si>
    <t>DDX54</t>
  </si>
  <si>
    <t>BLOC1S5</t>
  </si>
  <si>
    <t>GNPDA2</t>
  </si>
  <si>
    <t>NEK7</t>
  </si>
  <si>
    <t>RB1CC1</t>
  </si>
  <si>
    <t>MICAL1</t>
  </si>
  <si>
    <t>PANK1</t>
  </si>
  <si>
    <t>SSH3</t>
  </si>
  <si>
    <t>NSUN6</t>
  </si>
  <si>
    <t>DTD1</t>
  </si>
  <si>
    <t>RNF128</t>
  </si>
  <si>
    <t>DENND1A</t>
  </si>
  <si>
    <t>NUP210</t>
  </si>
  <si>
    <t>GEMIN5</t>
  </si>
  <si>
    <t>PIGO</t>
  </si>
  <si>
    <t>PARD3</t>
  </si>
  <si>
    <t>IPO4</t>
  </si>
  <si>
    <t>USP33</t>
  </si>
  <si>
    <t>PNISR</t>
  </si>
  <si>
    <t>PPP4R1</t>
  </si>
  <si>
    <t>SLC16A10</t>
  </si>
  <si>
    <t>WIPF2</t>
  </si>
  <si>
    <t>DUSP19</t>
  </si>
  <si>
    <t>ABHD5</t>
  </si>
  <si>
    <t>SETD7</t>
  </si>
  <si>
    <t>COG1</t>
  </si>
  <si>
    <t>FAM222B</t>
  </si>
  <si>
    <t>U2AF1L4</t>
  </si>
  <si>
    <t>SMAP2</t>
  </si>
  <si>
    <t>ZC3H15</t>
  </si>
  <si>
    <t>PPIL4</t>
  </si>
  <si>
    <t>PHF10</t>
  </si>
  <si>
    <t>RAB2B</t>
  </si>
  <si>
    <t>CHPT1</t>
  </si>
  <si>
    <t>PPP1R13L</t>
  </si>
  <si>
    <t>FAM172A</t>
  </si>
  <si>
    <t>CHURC1</t>
  </si>
  <si>
    <t>C12orf23</t>
  </si>
  <si>
    <t>STYX</t>
  </si>
  <si>
    <t>PTPMT1</t>
  </si>
  <si>
    <t>NUP133</t>
  </si>
  <si>
    <t>PDCD6IP</t>
  </si>
  <si>
    <t>UBTD2</t>
  </si>
  <si>
    <t>FBLIM1</t>
  </si>
  <si>
    <t>C15orf40</t>
  </si>
  <si>
    <t>CHAC2</t>
  </si>
  <si>
    <t>CHMP7</t>
  </si>
  <si>
    <t>THEM6</t>
  </si>
  <si>
    <t>NSMCE1</t>
  </si>
  <si>
    <t>MITD1</t>
  </si>
  <si>
    <t>LEO1</t>
  </si>
  <si>
    <t>RNF138</t>
  </si>
  <si>
    <t>N6AMT2</t>
  </si>
  <si>
    <t>NUDCD2</t>
  </si>
  <si>
    <t>SNRNP27</t>
  </si>
  <si>
    <t>ANKRD49</t>
  </si>
  <si>
    <t>SCFD1</t>
  </si>
  <si>
    <t>UBE2Q2</t>
  </si>
  <si>
    <t>TRAPPC12</t>
  </si>
  <si>
    <t>FAR1</t>
  </si>
  <si>
    <t>UBLCP1</t>
  </si>
  <si>
    <t>TSEN15</t>
  </si>
  <si>
    <t>PCNP</t>
  </si>
  <si>
    <t>SPRYD4</t>
  </si>
  <si>
    <t>C1orf85</t>
  </si>
  <si>
    <t>C2orf47</t>
  </si>
  <si>
    <t>TRUB1</t>
  </si>
  <si>
    <t>SLC44A1</t>
  </si>
  <si>
    <t>RTN4IP1</t>
  </si>
  <si>
    <t>SELM</t>
  </si>
  <si>
    <t>NELFB</t>
  </si>
  <si>
    <t>PALLD</t>
  </si>
  <si>
    <t>RUFY2</t>
  </si>
  <si>
    <t>SREK1</t>
  </si>
  <si>
    <t>GEMIN6</t>
  </si>
  <si>
    <t>CASKIN2</t>
  </si>
  <si>
    <t>ATRIP</t>
  </si>
  <si>
    <t>PSPC1</t>
  </si>
  <si>
    <t>GATAD2B</t>
  </si>
  <si>
    <t>DNAJC9</t>
  </si>
  <si>
    <t>BRI3BP</t>
  </si>
  <si>
    <t>PPM1E</t>
  </si>
  <si>
    <t>THAP4</t>
  </si>
  <si>
    <t>CTNNBL1</t>
  </si>
  <si>
    <t>AHCTF1</t>
  </si>
  <si>
    <t>OVCA2</t>
  </si>
  <si>
    <t>IRGQ</t>
  </si>
  <si>
    <t>DDB2</t>
  </si>
  <si>
    <t>DDX1</t>
  </si>
  <si>
    <t>HSD17B8</t>
  </si>
  <si>
    <t>FAM3C</t>
  </si>
  <si>
    <t>H1FX</t>
  </si>
  <si>
    <t>CCT6B</t>
  </si>
  <si>
    <t>GBF1</t>
  </si>
  <si>
    <t>RTF1</t>
  </si>
  <si>
    <t>TM9SF4</t>
  </si>
  <si>
    <t>TOPBP1</t>
  </si>
  <si>
    <t>MRPS27</t>
  </si>
  <si>
    <t>WASF1</t>
  </si>
  <si>
    <t>AP3S1</t>
  </si>
  <si>
    <t>UBXN4</t>
  </si>
  <si>
    <t>PHF3</t>
  </si>
  <si>
    <t>SLC9A6</t>
  </si>
  <si>
    <t>MAML1</t>
  </si>
  <si>
    <t>NDRG1</t>
  </si>
  <si>
    <t>HSPH1</t>
  </si>
  <si>
    <t>LPGAT1</t>
  </si>
  <si>
    <t>LARP4B</t>
  </si>
  <si>
    <t>GCN1L1</t>
  </si>
  <si>
    <t>DHX38</t>
  </si>
  <si>
    <t>NUP205</t>
  </si>
  <si>
    <t>TTC9</t>
  </si>
  <si>
    <t>ANKS1A</t>
  </si>
  <si>
    <t>MRPS31</t>
  </si>
  <si>
    <t>AKAP1</t>
  </si>
  <si>
    <t>NRGN</t>
  </si>
  <si>
    <t>ANP32B</t>
  </si>
  <si>
    <t>PVRL2</t>
  </si>
  <si>
    <t>RABGGTA</t>
  </si>
  <si>
    <t>TFG</t>
  </si>
  <si>
    <t>USP6NL</t>
  </si>
  <si>
    <t>ARPC1A</t>
  </si>
  <si>
    <t>STAM</t>
  </si>
  <si>
    <t>CREBBP</t>
  </si>
  <si>
    <t>SYMPK</t>
  </si>
  <si>
    <t>TAF15</t>
  </si>
  <si>
    <t>GOLGA1</t>
  </si>
  <si>
    <t>GGH</t>
  </si>
  <si>
    <t>RPGR</t>
  </si>
  <si>
    <t>BCL2L2</t>
  </si>
  <si>
    <t>KIFAP3</t>
  </si>
  <si>
    <t>PMM1</t>
  </si>
  <si>
    <t>RAD50</t>
  </si>
  <si>
    <t>OSTF1</t>
  </si>
  <si>
    <t>ARHGEF1</t>
  </si>
  <si>
    <t>ERCC4</t>
  </si>
  <si>
    <t>UFD1L</t>
  </si>
  <si>
    <t>GLG1</t>
  </si>
  <si>
    <t>UPF1</t>
  </si>
  <si>
    <t>COPS5</t>
  </si>
  <si>
    <t>GPKOW</t>
  </si>
  <si>
    <t>RAB8B</t>
  </si>
  <si>
    <t>BAD</t>
  </si>
  <si>
    <t>KHSRP</t>
  </si>
  <si>
    <t>GCDH</t>
  </si>
  <si>
    <t>PEX13</t>
  </si>
  <si>
    <t>TNPO1</t>
  </si>
  <si>
    <t>EMG1</t>
  </si>
  <si>
    <t>GLMN</t>
  </si>
  <si>
    <t>USP13</t>
  </si>
  <si>
    <t>USP9X</t>
  </si>
  <si>
    <t>NAT6</t>
  </si>
  <si>
    <t>CUL5</t>
  </si>
  <si>
    <t>LPP</t>
  </si>
  <si>
    <t>HIST1H2AC</t>
  </si>
  <si>
    <t>HIST1H2BH</t>
  </si>
  <si>
    <t>SCAMP4</t>
  </si>
  <si>
    <t>TCEAL3</t>
  </si>
  <si>
    <t>TSR2</t>
  </si>
  <si>
    <t>NKD2</t>
  </si>
  <si>
    <t>RFK</t>
  </si>
  <si>
    <t>C19orf10</t>
  </si>
  <si>
    <t>RNF34</t>
  </si>
  <si>
    <t>YIPF5</t>
  </si>
  <si>
    <t>PIGT</t>
  </si>
  <si>
    <t>IGSF8</t>
  </si>
  <si>
    <t>RPL36AL</t>
  </si>
  <si>
    <t>RAB24</t>
  </si>
  <si>
    <t>ZNF622</t>
  </si>
  <si>
    <t>GFM2</t>
  </si>
  <si>
    <t>NT5C3B</t>
  </si>
  <si>
    <t>PSMG2</t>
  </si>
  <si>
    <t>NCLN</t>
  </si>
  <si>
    <t>ERGIC1</t>
  </si>
  <si>
    <t>GTPBP3</t>
  </si>
  <si>
    <t>TBRG4</t>
  </si>
  <si>
    <t>CCDC102A</t>
  </si>
  <si>
    <t>CCDC47</t>
  </si>
  <si>
    <t>SYAP1</t>
  </si>
  <si>
    <t>EXOC4</t>
  </si>
  <si>
    <t>KIAA1191</t>
  </si>
  <si>
    <t>ISOC2</t>
  </si>
  <si>
    <t>NTAN1</t>
  </si>
  <si>
    <t>FERMT2</t>
  </si>
  <si>
    <t>PNPLA2</t>
  </si>
  <si>
    <t>FUBP1</t>
  </si>
  <si>
    <t>LRRC59</t>
  </si>
  <si>
    <t>VTI1A</t>
  </si>
  <si>
    <t>MCUR1</t>
  </si>
  <si>
    <t>KIAA1143</t>
  </si>
  <si>
    <t>RPE</t>
  </si>
  <si>
    <t>FKBP10</t>
  </si>
  <si>
    <t>RAD51AP1</t>
  </si>
  <si>
    <t>C18orf25</t>
  </si>
  <si>
    <t>EXOSC8</t>
  </si>
  <si>
    <t>AKT1S1</t>
  </si>
  <si>
    <t>C10orf32</t>
  </si>
  <si>
    <t>TOMM6</t>
  </si>
  <si>
    <t>LENG9</t>
  </si>
  <si>
    <t>SH3KBP1</t>
  </si>
  <si>
    <t>SKA1</t>
  </si>
  <si>
    <t>NACC2</t>
  </si>
  <si>
    <t>RNF25</t>
  </si>
  <si>
    <t>PINX1</t>
  </si>
  <si>
    <t>FAM105B</t>
  </si>
  <si>
    <t>CHCHD1</t>
  </si>
  <si>
    <t>PPWD1</t>
  </si>
  <si>
    <t>SELRC1</t>
  </si>
  <si>
    <t>PTER</t>
  </si>
  <si>
    <t>ATG2B</t>
  </si>
  <si>
    <t>LENG1</t>
  </si>
  <si>
    <t>EFHD2</t>
  </si>
  <si>
    <t>GALM</t>
  </si>
  <si>
    <t>RUNDC1</t>
  </si>
  <si>
    <t>PYCR2</t>
  </si>
  <si>
    <t>C12orf43</t>
  </si>
  <si>
    <t>DCPS</t>
  </si>
  <si>
    <t>PPP1R14B</t>
  </si>
  <si>
    <t>SDCCAG3</t>
  </si>
  <si>
    <t>NSUN4</t>
  </si>
  <si>
    <t>CHMP4C</t>
  </si>
  <si>
    <t>TIFA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</si>
  <si>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</si>
  <si>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</si>
  <si>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</si>
  <si>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</si>
  <si>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</si>
  <si>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</si>
  <si>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</si>
  <si>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</si>
  <si>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</si>
  <si>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</si>
  <si>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</si>
  <si>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KCTD12</t>
  </si>
  <si>
    <t>LRRC58</t>
  </si>
  <si>
    <t>C10orf35</t>
  </si>
  <si>
    <t>ADCK4</t>
  </si>
  <si>
    <t>REPS1</t>
  </si>
  <si>
    <t>RAB39B</t>
  </si>
  <si>
    <t>DNAJC19</t>
  </si>
  <si>
    <t>NUDT16</t>
  </si>
  <si>
    <t>ANAPC16</t>
  </si>
  <si>
    <t>DGCR14</t>
  </si>
  <si>
    <t>CMBL</t>
  </si>
  <si>
    <t>ARHGEF26</t>
  </si>
  <si>
    <t>ATG4C</t>
  </si>
  <si>
    <t>ZBTB10</t>
  </si>
  <si>
    <t>ITPKC</t>
  </si>
  <si>
    <t>TRIM44</t>
  </si>
  <si>
    <t>ERLEC1</t>
  </si>
  <si>
    <t>FAM122A</t>
  </si>
  <si>
    <t>MRRF</t>
  </si>
  <si>
    <t>NUS1</t>
  </si>
  <si>
    <t>OMA1</t>
  </si>
  <si>
    <t>SPDL1</t>
  </si>
  <si>
    <t>SIRT1</t>
  </si>
  <si>
    <t>YIPF6</t>
  </si>
  <si>
    <t>SEH1L</t>
  </si>
  <si>
    <t>MALSU1</t>
  </si>
  <si>
    <t>TCEAL4</t>
  </si>
  <si>
    <t>KIAA1279</t>
  </si>
  <si>
    <t>GNPNAT1</t>
  </si>
  <si>
    <t>KTI12</t>
  </si>
  <si>
    <t>MRPL53</t>
  </si>
  <si>
    <t>L3HYPDH</t>
  </si>
  <si>
    <t>DAZAP1</t>
  </si>
  <si>
    <t>SGTB</t>
  </si>
  <si>
    <t>SAAL1</t>
  </si>
  <si>
    <t>CCDC51</t>
  </si>
  <si>
    <t>RRP36</t>
  </si>
  <si>
    <t>C1GALT1C1</t>
  </si>
  <si>
    <t>RBM33</t>
  </si>
  <si>
    <t>DTNBP1</t>
  </si>
  <si>
    <t>WDR34</t>
  </si>
  <si>
    <t>DNAJA3</t>
  </si>
  <si>
    <t>MVB12A</t>
  </si>
  <si>
    <t>MMAB</t>
  </si>
  <si>
    <t>ADAT3</t>
  </si>
  <si>
    <t>SAT2</t>
  </si>
  <si>
    <t>NRBF2</t>
  </si>
  <si>
    <t>TRIM11</t>
  </si>
  <si>
    <t>ZNF503</t>
  </si>
  <si>
    <t>IL17RA</t>
  </si>
  <si>
    <t>CCDC97</t>
  </si>
  <si>
    <t>EDC3</t>
  </si>
  <si>
    <t>DDX11</t>
  </si>
  <si>
    <t>MEF2BNB</t>
  </si>
  <si>
    <t>STAMBPL1</t>
  </si>
  <si>
    <t>WDR89</t>
  </si>
  <si>
    <t>CPNE2</t>
  </si>
  <si>
    <t>THOC1</t>
  </si>
  <si>
    <t>TRMT61A</t>
  </si>
  <si>
    <t>C3orf37</t>
  </si>
  <si>
    <t>CHMP6</t>
  </si>
  <si>
    <t>PGM2</t>
  </si>
  <si>
    <t>CERS2</t>
  </si>
  <si>
    <t>MED8</t>
  </si>
  <si>
    <t>CCDC104</t>
  </si>
  <si>
    <t>DUS3L</t>
  </si>
  <si>
    <t>NUDT11</t>
  </si>
  <si>
    <t>OTUD5</t>
  </si>
  <si>
    <t>SDSL</t>
  </si>
  <si>
    <t>PDXP</t>
  </si>
  <si>
    <t>RNF185</t>
  </si>
  <si>
    <t>DCUN1D1</t>
  </si>
  <si>
    <t>FAHD2A</t>
  </si>
  <si>
    <t>SCARF2</t>
  </si>
  <si>
    <t>C17orf59</t>
  </si>
  <si>
    <t>MARS2</t>
  </si>
  <si>
    <t>ATXN7L3B</t>
  </si>
  <si>
    <t>MASTL</t>
  </si>
  <si>
    <t>APIP</t>
  </si>
  <si>
    <t>ZC2HC1A</t>
  </si>
  <si>
    <t>SNF8</t>
  </si>
  <si>
    <t>MYO19</t>
  </si>
  <si>
    <t>ZC3HAV1L</t>
  </si>
  <si>
    <t>POM121</t>
  </si>
  <si>
    <t>C1orf159</t>
  </si>
  <si>
    <t>PDLIM5</t>
  </si>
  <si>
    <t>CRELD1</t>
  </si>
  <si>
    <t>ERO1L</t>
  </si>
  <si>
    <t>C7orf55</t>
  </si>
  <si>
    <t>AHCYL2</t>
  </si>
  <si>
    <t>CDKN2AIPNL</t>
  </si>
  <si>
    <t>INTS4</t>
  </si>
  <si>
    <t>DDRGK1</t>
  </si>
  <si>
    <t>SCLY</t>
  </si>
  <si>
    <t>FUBP3</t>
  </si>
  <si>
    <t>RBM17</t>
  </si>
  <si>
    <t>COX14</t>
  </si>
  <si>
    <t>WBSCR16</t>
  </si>
  <si>
    <t>NARS2</t>
  </si>
  <si>
    <t>KAZALD1</t>
  </si>
  <si>
    <t>SUCLG2</t>
  </si>
  <si>
    <t>AJUBA</t>
  </si>
  <si>
    <t>GMPPA</t>
  </si>
  <si>
    <t>BOD1</t>
  </si>
  <si>
    <t>ZNF414</t>
  </si>
  <si>
    <t>ABHD14B</t>
  </si>
  <si>
    <t>NGLY1</t>
  </si>
  <si>
    <t>USMG5</t>
  </si>
  <si>
    <t>NSL1</t>
  </si>
  <si>
    <t>PAWR</t>
  </si>
  <si>
    <t>RSRC1</t>
  </si>
  <si>
    <t>THOC3</t>
  </si>
  <si>
    <t>ITCH</t>
  </si>
  <si>
    <t>KIRREL</t>
  </si>
  <si>
    <t>LRIG1</t>
  </si>
  <si>
    <t>CDK5RAP3</t>
  </si>
  <si>
    <t>VPS39</t>
  </si>
  <si>
    <t>EAF1</t>
  </si>
  <si>
    <t>CCDC132</t>
  </si>
  <si>
    <t>VCPIP1</t>
  </si>
  <si>
    <t>TMX3</t>
  </si>
  <si>
    <t>CHAMP1</t>
  </si>
  <si>
    <t>ZFP91</t>
  </si>
  <si>
    <t>CLMN</t>
  </si>
  <si>
    <t>PDLIM2</t>
  </si>
  <si>
    <t>C8orf76</t>
  </si>
  <si>
    <t>CLPTM1L</t>
  </si>
  <si>
    <t>PBK</t>
  </si>
  <si>
    <t>ARL5B</t>
  </si>
  <si>
    <t>DNAJC1</t>
  </si>
  <si>
    <t>FAM84B</t>
  </si>
  <si>
    <t>EXOC2</t>
  </si>
  <si>
    <t>CNDP2</t>
  </si>
  <si>
    <t>ZFR</t>
  </si>
  <si>
    <t>EPHB4</t>
  </si>
  <si>
    <t>EP400</t>
  </si>
  <si>
    <t>SNX27</t>
  </si>
  <si>
    <t>KIF16B</t>
  </si>
  <si>
    <t>PRMT6</t>
  </si>
  <si>
    <t>IFT74</t>
  </si>
  <si>
    <t>UBE2E2</t>
  </si>
  <si>
    <t>PRRC1</t>
  </si>
  <si>
    <t>FBXL18</t>
  </si>
  <si>
    <t>NDNL2</t>
  </si>
  <si>
    <t>HEXIM2</t>
  </si>
  <si>
    <t>ENTHD2</t>
  </si>
  <si>
    <t>MBOAT7</t>
  </si>
  <si>
    <t>FOPNL</t>
  </si>
  <si>
    <t>SFXN2</t>
  </si>
  <si>
    <t>ZNF830</t>
  </si>
  <si>
    <t>ZMAT2</t>
  </si>
  <si>
    <t>TMEM74</t>
  </si>
  <si>
    <t>C8orf37</t>
  </si>
  <si>
    <t>NSUN5</t>
  </si>
  <si>
    <t>RPRD1A</t>
  </si>
  <si>
    <t>AGAP3</t>
  </si>
  <si>
    <t>ARAP1</t>
  </si>
  <si>
    <t>ACAP3</t>
  </si>
  <si>
    <t>IPO9</t>
  </si>
  <si>
    <t>MCEE</t>
  </si>
  <si>
    <t>BBC3</t>
  </si>
  <si>
    <t>RBM14</t>
  </si>
  <si>
    <t>RCHY1</t>
  </si>
  <si>
    <t>NEDD4L</t>
  </si>
  <si>
    <t>QKI</t>
  </si>
  <si>
    <t>PUS7</t>
  </si>
  <si>
    <t>TRNT1</t>
  </si>
  <si>
    <t>ALKBH3</t>
  </si>
  <si>
    <t>PPP1R10</t>
  </si>
  <si>
    <t>DEPDC7</t>
  </si>
  <si>
    <t>VPS35</t>
  </si>
  <si>
    <t>PURB</t>
  </si>
  <si>
    <t>XPO6</t>
  </si>
  <si>
    <t>SPAG5</t>
  </si>
  <si>
    <t>PANX1</t>
  </si>
  <si>
    <t>NACC1</t>
  </si>
  <si>
    <t>SNX18</t>
  </si>
  <si>
    <t>PASK</t>
  </si>
  <si>
    <t>GFM1</t>
  </si>
  <si>
    <t>PEO1</t>
  </si>
  <si>
    <t>CAMKK2</t>
  </si>
  <si>
    <t>NUDCD1</t>
  </si>
  <si>
    <t>ERBB2IP</t>
  </si>
  <si>
    <t>USP28</t>
  </si>
  <si>
    <t>FNBP1</t>
  </si>
  <si>
    <t>C16orf13</t>
  </si>
  <si>
    <t>RPS6KC1</t>
  </si>
  <si>
    <t>TP53RK</t>
  </si>
  <si>
    <t>PIGS</t>
  </si>
  <si>
    <t>WRNIP1</t>
  </si>
  <si>
    <t>RANBP9</t>
  </si>
  <si>
    <t>CLCC1</t>
  </si>
  <si>
    <t>LYSMD1</t>
  </si>
  <si>
    <t>PLEKHF1</t>
  </si>
  <si>
    <t>PPP1R9B</t>
  </si>
  <si>
    <t>KCTD15</t>
  </si>
  <si>
    <t>TMEM209</t>
  </si>
  <si>
    <t>IWS1</t>
  </si>
  <si>
    <t>SIN3A</t>
  </si>
  <si>
    <t>ADO</t>
  </si>
  <si>
    <t>CDK5RAP1</t>
  </si>
  <si>
    <t>RUFY1</t>
  </si>
  <si>
    <t>SPEN</t>
  </si>
  <si>
    <t>MMS19</t>
  </si>
  <si>
    <t>FAM129B</t>
  </si>
  <si>
    <t>YME1L1</t>
  </si>
  <si>
    <t>TCF12</t>
  </si>
  <si>
    <t>MYCBP</t>
  </si>
  <si>
    <t>TBCB</t>
  </si>
  <si>
    <t>PSMB7</t>
  </si>
  <si>
    <t>SEC62</t>
  </si>
  <si>
    <t>PCYT2</t>
  </si>
  <si>
    <t>CDC5L</t>
  </si>
  <si>
    <t>PSMD1</t>
  </si>
  <si>
    <t>SDF2</t>
  </si>
  <si>
    <t>PFDN5</t>
  </si>
  <si>
    <t>PAFAH2</t>
  </si>
  <si>
    <t>RNF2</t>
  </si>
  <si>
    <t>PARK7</t>
  </si>
  <si>
    <t>EYA3</t>
  </si>
  <si>
    <t>NEU1</t>
  </si>
  <si>
    <t>SORT1</t>
  </si>
  <si>
    <t>VAT1</t>
  </si>
  <si>
    <t>DNAJC2</t>
  </si>
  <si>
    <t>NUP88</t>
  </si>
  <si>
    <t>POP1</t>
  </si>
  <si>
    <t>MNT</t>
  </si>
  <si>
    <t>S100A13</t>
  </si>
  <si>
    <t>TIMM17A</t>
  </si>
  <si>
    <t>TSNAX</t>
  </si>
  <si>
    <t>SEPHS2</t>
  </si>
  <si>
    <t>TTC1</t>
  </si>
  <si>
    <t>DNAJC7</t>
  </si>
  <si>
    <t>CDCA3</t>
  </si>
  <si>
    <t>C12orf57</t>
  </si>
  <si>
    <t>PHB2</t>
  </si>
  <si>
    <t>PRPF18</t>
  </si>
  <si>
    <t>PKMYT1</t>
  </si>
  <si>
    <t>CHP1</t>
  </si>
  <si>
    <t>KIF2C</t>
  </si>
  <si>
    <t>DOK1</t>
  </si>
  <si>
    <t>MTR</t>
  </si>
  <si>
    <t>HSD17B10</t>
  </si>
  <si>
    <t>SIGMAR1</t>
  </si>
  <si>
    <t>HNRNPAB</t>
  </si>
  <si>
    <t>NAP1L4</t>
  </si>
  <si>
    <t>MGST2</t>
  </si>
  <si>
    <t>NAPG</t>
  </si>
  <si>
    <t>TXN2</t>
  </si>
  <si>
    <t>ATP5S</t>
  </si>
  <si>
    <t>APBA2</t>
  </si>
  <si>
    <t>MIPEP</t>
  </si>
  <si>
    <t>TM9SF2</t>
  </si>
  <si>
    <t>COQ7</t>
  </si>
  <si>
    <t>TSG101</t>
  </si>
  <si>
    <t>CCT7</t>
  </si>
  <si>
    <t>ARID3A</t>
  </si>
  <si>
    <t>HIST1H2AJ</t>
  </si>
  <si>
    <t>PTPN18</t>
  </si>
  <si>
    <t>DUSP9</t>
  </si>
  <si>
    <t>SH3GL1</t>
  </si>
  <si>
    <t>SH3GL3</t>
  </si>
  <si>
    <t>VRK1</t>
  </si>
  <si>
    <t>DPYSL5</t>
  </si>
  <si>
    <t>NIPSNAP1</t>
  </si>
  <si>
    <t>NCAPG</t>
  </si>
  <si>
    <t>ARPC5L</t>
  </si>
  <si>
    <t>C7orf25</t>
  </si>
  <si>
    <t>PAIP2</t>
  </si>
  <si>
    <t>ELAC2</t>
  </si>
  <si>
    <t>C19orf43</t>
  </si>
  <si>
    <t>MACROD1</t>
  </si>
  <si>
    <t>TCF25</t>
  </si>
  <si>
    <t>ECSIT</t>
  </si>
  <si>
    <t>DPH2</t>
  </si>
  <si>
    <t>MYBBP1A</t>
  </si>
  <si>
    <t>EIF2AK1</t>
  </si>
  <si>
    <t>MGME1</t>
  </si>
  <si>
    <t>FYCO1</t>
  </si>
  <si>
    <t>SLC25A21</t>
  </si>
  <si>
    <t>ACBD6</t>
  </si>
  <si>
    <t>CORO1B</t>
  </si>
  <si>
    <t>TXNDC17</t>
  </si>
  <si>
    <t>BUD13</t>
  </si>
  <si>
    <t>CPPED1</t>
  </si>
  <si>
    <t>VPS25</t>
  </si>
  <si>
    <t>MRPL45</t>
  </si>
  <si>
    <t>SDF4</t>
  </si>
  <si>
    <t>PDCD2L</t>
  </si>
  <si>
    <t>PAAF1</t>
  </si>
  <si>
    <t>WIBG</t>
  </si>
  <si>
    <t>RIOK1</t>
  </si>
  <si>
    <t>MNF1</t>
  </si>
  <si>
    <t>GINS4</t>
  </si>
  <si>
    <t>SIKE1</t>
  </si>
  <si>
    <t>PELO</t>
  </si>
  <si>
    <t>GINS3</t>
  </si>
  <si>
    <t>ERP44</t>
  </si>
  <si>
    <t>LXN</t>
  </si>
  <si>
    <t>ATG101</t>
  </si>
  <si>
    <t>NTPCR</t>
  </si>
  <si>
    <t>C19orf52</t>
  </si>
  <si>
    <t>TACO1</t>
  </si>
  <si>
    <t>HDHD3</t>
  </si>
  <si>
    <t>TUBGCP2</t>
  </si>
  <si>
    <t>C17orf80</t>
  </si>
  <si>
    <t>ESYT1</t>
  </si>
  <si>
    <t>SLC25A33</t>
  </si>
  <si>
    <t>FEM1A</t>
  </si>
  <si>
    <t>UBAC1</t>
  </si>
  <si>
    <t>YIPF4</t>
  </si>
  <si>
    <t>RTKN</t>
  </si>
  <si>
    <t>C16orf70</t>
  </si>
  <si>
    <t>TSEN34</t>
  </si>
  <si>
    <t>CHCHD5</t>
  </si>
  <si>
    <t>CNPY3</t>
  </si>
  <si>
    <t>MTG1</t>
  </si>
  <si>
    <t>ALG1</t>
  </si>
  <si>
    <t>LIMD2</t>
  </si>
  <si>
    <t>ALKBH7</t>
  </si>
  <si>
    <t>PSMG3</t>
  </si>
  <si>
    <t>COPS4</t>
  </si>
  <si>
    <t>WAC</t>
  </si>
  <si>
    <t>DIDO1</t>
  </si>
  <si>
    <t>MCMBP</t>
  </si>
  <si>
    <t>AARSD1</t>
  </si>
  <si>
    <t>DCUN1D5</t>
  </si>
  <si>
    <t>FAM103A1</t>
  </si>
  <si>
    <t>ANP32E</t>
  </si>
  <si>
    <t>LRRC1</t>
  </si>
  <si>
    <t>PI4K2A</t>
  </si>
  <si>
    <t>FSD1</t>
  </si>
  <si>
    <t>FUCA2</t>
  </si>
  <si>
    <t>FAM203A</t>
  </si>
  <si>
    <t>DHRS4</t>
  </si>
  <si>
    <t>THTPA</t>
  </si>
  <si>
    <t>LMF2</t>
  </si>
  <si>
    <t>NDUFAF3</t>
  </si>
  <si>
    <t>MMTAG2</t>
  </si>
  <si>
    <t>DOHH</t>
  </si>
  <si>
    <t>C11orf84</t>
  </si>
  <si>
    <t>ADAT1</t>
  </si>
  <si>
    <t>TMEM70</t>
  </si>
  <si>
    <t>MED18</t>
  </si>
  <si>
    <t>TUBB6</t>
  </si>
  <si>
    <t>C9orf142</t>
  </si>
  <si>
    <t>POLR3C</t>
  </si>
  <si>
    <t>HNRNPUL1</t>
  </si>
  <si>
    <t>MSTO1</t>
  </si>
  <si>
    <t>RPP25</t>
  </si>
  <si>
    <t>HTATIP2</t>
  </si>
  <si>
    <t>WRAP53</t>
  </si>
  <si>
    <t>BDH2</t>
  </si>
  <si>
    <t>FAM195A</t>
  </si>
  <si>
    <t>C9orf16</t>
  </si>
  <si>
    <t>MRI1</t>
  </si>
  <si>
    <t>ABHD6</t>
  </si>
  <si>
    <t>WDR18</t>
  </si>
  <si>
    <t>VAMP8</t>
  </si>
  <si>
    <t>THUMPD3</t>
  </si>
  <si>
    <t>ADI1</t>
  </si>
  <si>
    <t>RNF126</t>
  </si>
  <si>
    <t>CEP250</t>
  </si>
  <si>
    <t>MECR</t>
  </si>
  <si>
    <t>NTMT1</t>
  </si>
  <si>
    <t>KATNB1</t>
  </si>
  <si>
    <t>TUBB2B</t>
  </si>
  <si>
    <t>DSCC1</t>
  </si>
  <si>
    <t>MLST8</t>
  </si>
  <si>
    <t>TMEM109</t>
  </si>
  <si>
    <t>PBDC1</t>
  </si>
  <si>
    <t>PTDSS2</t>
  </si>
  <si>
    <t>UTP14A</t>
  </si>
  <si>
    <t>TMED9</t>
  </si>
  <si>
    <t>SELO</t>
  </si>
  <si>
    <t>DPCD</t>
  </si>
  <si>
    <t>GGACT</t>
  </si>
  <si>
    <t>RUSC1</t>
  </si>
  <si>
    <t>GNL3</t>
  </si>
  <si>
    <t>TIMM21</t>
  </si>
  <si>
    <t>TIPIN</t>
  </si>
  <si>
    <t>KIFC1</t>
  </si>
  <si>
    <t>NUP85</t>
  </si>
  <si>
    <t>TPPP3</t>
  </si>
  <si>
    <t>ELOVL1</t>
  </si>
  <si>
    <t>DDA1</t>
  </si>
  <si>
    <t>KATNAL1</t>
  </si>
  <si>
    <t>HIRIP3</t>
  </si>
  <si>
    <t>IFT27</t>
  </si>
  <si>
    <t>CCDC94</t>
  </si>
  <si>
    <t>NUDT9</t>
  </si>
  <si>
    <t>TARS2</t>
  </si>
  <si>
    <t>ACAT2</t>
  </si>
  <si>
    <t>RBM4</t>
  </si>
  <si>
    <t>SCNM1</t>
  </si>
  <si>
    <t>FUNDC2</t>
  </si>
  <si>
    <t>RPAP1</t>
  </si>
  <si>
    <t>SF3B5</t>
  </si>
  <si>
    <t>SFXN3</t>
  </si>
  <si>
    <t>MND1</t>
  </si>
  <si>
    <t>CARD10</t>
  </si>
  <si>
    <t>SLC4A1AP</t>
  </si>
  <si>
    <t>LSM14B</t>
  </si>
  <si>
    <t>BRIP1</t>
  </si>
  <si>
    <t>SORBS1</t>
  </si>
  <si>
    <t>JAM3</t>
  </si>
  <si>
    <t>HINT2</t>
  </si>
  <si>
    <t>SGPP1</t>
  </si>
  <si>
    <t>RAB11FIP5</t>
  </si>
  <si>
    <t>NAA15</t>
  </si>
  <si>
    <t>KLF16</t>
  </si>
  <si>
    <t>SLC12A9</t>
  </si>
  <si>
    <t>SRRT</t>
  </si>
  <si>
    <t>QTRT1</t>
  </si>
  <si>
    <t>C14orf142</t>
  </si>
  <si>
    <t>OSBPL1A</t>
  </si>
  <si>
    <t>CECR5</t>
  </si>
  <si>
    <t>FANCD2</t>
  </si>
  <si>
    <t>DGCR6L</t>
  </si>
  <si>
    <t>ITPA</t>
  </si>
  <si>
    <t>POLDIP3</t>
  </si>
  <si>
    <t>GNB1L</t>
  </si>
  <si>
    <t>PARD6B</t>
  </si>
  <si>
    <t>RBCK1</t>
  </si>
  <si>
    <t>WNK3</t>
  </si>
  <si>
    <t>STK33</t>
  </si>
  <si>
    <t>NLN</t>
  </si>
  <si>
    <t>CEP41</t>
  </si>
  <si>
    <t>SETD2</t>
  </si>
  <si>
    <t>PANK2</t>
  </si>
  <si>
    <t>FRMD8</t>
  </si>
  <si>
    <t>NUF2</t>
  </si>
  <si>
    <t>PUS3</t>
  </si>
  <si>
    <t>ASPSCR1</t>
  </si>
  <si>
    <t>TBL1XR1</t>
  </si>
  <si>
    <t>UBL5</t>
  </si>
  <si>
    <t>PLA2G12A</t>
  </si>
  <si>
    <t>ULBP3</t>
  </si>
  <si>
    <t>ULBP2</t>
  </si>
  <si>
    <t>UCK2</t>
  </si>
  <si>
    <t>API5</t>
  </si>
  <si>
    <t>DPY30</t>
  </si>
  <si>
    <t>TRIM4</t>
  </si>
  <si>
    <t>TRIM2</t>
  </si>
  <si>
    <t>UNK</t>
  </si>
  <si>
    <t>FTO</t>
  </si>
  <si>
    <t>ZDHHC5</t>
  </si>
  <si>
    <t>TANGO6</t>
  </si>
  <si>
    <t>TNKS1BP1</t>
  </si>
  <si>
    <t>SEMA4C</t>
  </si>
  <si>
    <t>AMBRA1</t>
  </si>
  <si>
    <t>ZYG11B</t>
  </si>
  <si>
    <t>TANC1</t>
  </si>
  <si>
    <t>CEP44</t>
  </si>
  <si>
    <t>TTYH3</t>
  </si>
  <si>
    <t>MTMR12</t>
  </si>
  <si>
    <t>WDR12</t>
  </si>
  <si>
    <t>ACTR6</t>
  </si>
  <si>
    <t>C20orf27</t>
  </si>
  <si>
    <t>PITHD1</t>
  </si>
  <si>
    <t>DERL2</t>
  </si>
  <si>
    <t>WDR61</t>
  </si>
  <si>
    <t>SLIRP</t>
  </si>
  <si>
    <t>SRR</t>
  </si>
  <si>
    <t>CCDC90B</t>
  </si>
  <si>
    <t>NIF3L1</t>
  </si>
  <si>
    <t>EGLN1</t>
  </si>
  <si>
    <t>FAM192A</t>
  </si>
  <si>
    <t>TWSG1</t>
  </si>
  <si>
    <t>MFF</t>
  </si>
  <si>
    <t>UBA5</t>
  </si>
  <si>
    <t>MTFR1L</t>
  </si>
  <si>
    <t>TMEM126A</t>
  </si>
  <si>
    <t>PAIP1</t>
  </si>
  <si>
    <t>CLPB</t>
  </si>
  <si>
    <t>RAB33B</t>
  </si>
  <si>
    <t>LSG1</t>
  </si>
  <si>
    <t>FAM107B</t>
  </si>
  <si>
    <t>KLC2</t>
  </si>
  <si>
    <t>ILKAP</t>
  </si>
  <si>
    <t>XRN2</t>
  </si>
  <si>
    <t>TOLLIP</t>
  </si>
  <si>
    <t>BRD8</t>
  </si>
  <si>
    <t>NSRP1</t>
  </si>
  <si>
    <t>RACGAP1</t>
  </si>
  <si>
    <t>PUS7L</t>
  </si>
  <si>
    <t>CSTF2T</t>
  </si>
  <si>
    <t>NT5C3A</t>
  </si>
  <si>
    <t>HDHD2</t>
  </si>
  <si>
    <t>QRSL1</t>
  </si>
  <si>
    <t>MAGT1</t>
  </si>
  <si>
    <t>RAB1B</t>
  </si>
  <si>
    <t>TMEM168</t>
  </si>
  <si>
    <t>LMAN2L</t>
  </si>
  <si>
    <t>C11orf54</t>
  </si>
  <si>
    <t>ITFG3</t>
  </si>
  <si>
    <t>SIL1</t>
  </si>
  <si>
    <t>IRF2BPL</t>
  </si>
  <si>
    <t>NUCKS1</t>
  </si>
  <si>
    <t>ZFYVE20</t>
  </si>
  <si>
    <t>ISCU</t>
  </si>
  <si>
    <t>OSBPL2</t>
  </si>
  <si>
    <t>DNAJC25</t>
  </si>
  <si>
    <t>ATG5</t>
  </si>
  <si>
    <t>WDR13</t>
  </si>
  <si>
    <t>CDT1</t>
  </si>
  <si>
    <t>EHD4</t>
  </si>
  <si>
    <t>C1orf21</t>
  </si>
  <si>
    <t>VPS33B</t>
  </si>
  <si>
    <t>VPS11</t>
  </si>
  <si>
    <t>GAN</t>
  </si>
  <si>
    <t>TRIOBP</t>
  </si>
  <si>
    <t>SLK</t>
  </si>
  <si>
    <t>PPIL3</t>
  </si>
  <si>
    <t>SLC6A15</t>
  </si>
  <si>
    <t>MTIF3</t>
  </si>
  <si>
    <t>RAB3GAP2</t>
  </si>
  <si>
    <t>DPH5</t>
  </si>
  <si>
    <t>RANBP17</t>
  </si>
  <si>
    <t>PPA2</t>
  </si>
  <si>
    <t>MRPL46</t>
  </si>
  <si>
    <t>PARL</t>
  </si>
  <si>
    <t>PNN</t>
  </si>
  <si>
    <t>TMEM245</t>
  </si>
  <si>
    <t>GGNBP2</t>
  </si>
  <si>
    <t>CPVL</t>
  </si>
  <si>
    <t>TRIT1</t>
  </si>
  <si>
    <t>C11orf68</t>
  </si>
  <si>
    <t>BOLA2</t>
  </si>
  <si>
    <t>TMX1</t>
  </si>
  <si>
    <t>ACBD3</t>
  </si>
  <si>
    <t>CDC42EP4</t>
  </si>
  <si>
    <t>PTPN23</t>
  </si>
  <si>
    <t>UNC45A</t>
  </si>
  <si>
    <t>MFSD1</t>
  </si>
  <si>
    <t>PPDPF</t>
  </si>
  <si>
    <t>DSN1</t>
  </si>
  <si>
    <t>C1orf198</t>
  </si>
  <si>
    <t>CHMP4B</t>
  </si>
  <si>
    <t>FZD8</t>
  </si>
  <si>
    <t>CUEDC2</t>
  </si>
  <si>
    <t>FBXL15</t>
  </si>
  <si>
    <t>POFUT1</t>
  </si>
  <si>
    <t>IFRG15</t>
  </si>
  <si>
    <t>GOLPH3L</t>
  </si>
  <si>
    <t>GOLPH3</t>
  </si>
  <si>
    <t>OSGEPL1</t>
  </si>
  <si>
    <t>FAM83D</t>
  </si>
  <si>
    <t>GTPBP5</t>
  </si>
  <si>
    <t>OSBPL3</t>
  </si>
  <si>
    <t>SMARCAD1</t>
  </si>
  <si>
    <t>EHD1</t>
  </si>
  <si>
    <t>RNF41</t>
  </si>
  <si>
    <t>PCIF1</t>
  </si>
  <si>
    <t>ALG2</t>
  </si>
  <si>
    <t>ZBTB3</t>
  </si>
  <si>
    <t>RABEP2</t>
  </si>
  <si>
    <t>TFB2M</t>
  </si>
  <si>
    <t>CXorf56</t>
  </si>
  <si>
    <t>FAM96A</t>
  </si>
  <si>
    <t>ZNF576</t>
  </si>
  <si>
    <t>CCDC134</t>
  </si>
  <si>
    <t>CCDC86</t>
  </si>
  <si>
    <t>REEP4</t>
  </si>
  <si>
    <t>C6orf106</t>
  </si>
  <si>
    <t>OPA3</t>
  </si>
  <si>
    <t>NARFL</t>
  </si>
  <si>
    <t>YTHDC2</t>
  </si>
  <si>
    <t>RPAP3</t>
  </si>
  <si>
    <t>BCAS3</t>
  </si>
  <si>
    <t>ALG9</t>
  </si>
  <si>
    <t>ANTXR1</t>
  </si>
  <si>
    <t>WDR55</t>
  </si>
  <si>
    <t>DCTPP1</t>
  </si>
  <si>
    <t>SMYD3</t>
  </si>
  <si>
    <t>ATP13A3</t>
  </si>
  <si>
    <t>PPP1R3E</t>
  </si>
  <si>
    <t>SCAF1</t>
  </si>
  <si>
    <t>ZNF703</t>
  </si>
  <si>
    <t>ZNF696</t>
  </si>
  <si>
    <t>KAT8</t>
  </si>
  <si>
    <t>PTGES2</t>
  </si>
  <si>
    <t>TMEM206</t>
  </si>
  <si>
    <t>PHAX</t>
  </si>
  <si>
    <t>UBE2Z</t>
  </si>
  <si>
    <t>GEMIN7</t>
  </si>
  <si>
    <t>ACAD9</t>
  </si>
  <si>
    <t>NT5DC2</t>
  </si>
  <si>
    <t>CAAP1</t>
  </si>
  <si>
    <t>NOL11</t>
  </si>
  <si>
    <t>FAM188A</t>
  </si>
  <si>
    <t>MOB1A</t>
  </si>
  <si>
    <t>ZFAND3</t>
  </si>
  <si>
    <t>PLEKHF2</t>
  </si>
  <si>
    <t>ANKZF1</t>
  </si>
  <si>
    <t>GORASP2</t>
  </si>
  <si>
    <t>SLC25A22</t>
  </si>
  <si>
    <t>PSTPIP2</t>
  </si>
  <si>
    <t>MED20</t>
  </si>
  <si>
    <t>QTRTD1</t>
  </si>
  <si>
    <t>WDR54</t>
  </si>
  <si>
    <t>ACTR8</t>
  </si>
  <si>
    <t>C6orf211</t>
  </si>
  <si>
    <t>LRRC40</t>
  </si>
  <si>
    <t>EHMT1</t>
  </si>
  <si>
    <t>SFXN1</t>
  </si>
  <si>
    <t>ACTR5</t>
  </si>
  <si>
    <t>VPS37B</t>
  </si>
  <si>
    <t>L2HGDH</t>
  </si>
  <si>
    <t>FKRP</t>
  </si>
  <si>
    <t>ELP3</t>
  </si>
  <si>
    <t>JMJD4</t>
  </si>
  <si>
    <t>UCK1</t>
  </si>
  <si>
    <t>FN3KRP</t>
  </si>
  <si>
    <t>CARS2</t>
  </si>
  <si>
    <t>PPCS</t>
  </si>
  <si>
    <t>WDR41</t>
  </si>
  <si>
    <t>MEAF6</t>
  </si>
  <si>
    <t>PELI2</t>
  </si>
  <si>
    <t>GNB4</t>
  </si>
  <si>
    <t>XPO5</t>
  </si>
  <si>
    <t>EDA2R</t>
  </si>
  <si>
    <t>GRPEL1</t>
  </si>
  <si>
    <t>C12orf10</t>
  </si>
  <si>
    <t>BCL2L12</t>
  </si>
  <si>
    <t>PLEKHA3</t>
  </si>
  <si>
    <t>SCPEP1</t>
  </si>
  <si>
    <t>CACYBP</t>
  </si>
  <si>
    <t>RRAGC</t>
  </si>
  <si>
    <t>SMARCA4</t>
  </si>
  <si>
    <t>PDF</t>
  </si>
  <si>
    <t>RDH14</t>
  </si>
  <si>
    <t>PARVB</t>
  </si>
  <si>
    <t>AS3MT</t>
  </si>
  <si>
    <t>PLGRKT</t>
  </si>
  <si>
    <t>SPC25</t>
  </si>
  <si>
    <t>TAF9B</t>
  </si>
  <si>
    <t>AGPAT1</t>
  </si>
  <si>
    <t>POLL</t>
  </si>
  <si>
    <t>SLC38A10</t>
  </si>
  <si>
    <t>SLC25A19</t>
  </si>
  <si>
    <t>GLOD4</t>
  </si>
  <si>
    <t>GPBP1L1</t>
  </si>
  <si>
    <t>MCCC2</t>
  </si>
  <si>
    <t>TANC2</t>
  </si>
  <si>
    <t>METTL14</t>
  </si>
  <si>
    <t>RAVER2</t>
  </si>
  <si>
    <t>GPN1</t>
  </si>
  <si>
    <t>SDF2L1</t>
  </si>
  <si>
    <t>PREB</t>
  </si>
  <si>
    <t>SRA1</t>
  </si>
  <si>
    <t>ATP13A1</t>
  </si>
  <si>
    <t>GOPC</t>
  </si>
  <si>
    <t>SEPSECS</t>
  </si>
  <si>
    <t>TM9SF3</t>
  </si>
  <si>
    <t>RANGRF</t>
  </si>
  <si>
    <t>JPH1</t>
  </si>
  <si>
    <t>APMAP</t>
  </si>
  <si>
    <t>TUFT1</t>
  </si>
  <si>
    <t>ABCB6</t>
  </si>
  <si>
    <t>RAB18</t>
  </si>
  <si>
    <t>SSU72</t>
  </si>
  <si>
    <t>VTA1</t>
  </si>
  <si>
    <t>PNPLA8</t>
  </si>
  <si>
    <t>EMC7</t>
  </si>
  <si>
    <t>MID1IP1</t>
  </si>
  <si>
    <t>ENY2</t>
  </si>
  <si>
    <t>GPCPD1</t>
  </si>
  <si>
    <t>EXOSC4</t>
  </si>
  <si>
    <t>UBE2T</t>
  </si>
  <si>
    <t>CD320</t>
  </si>
  <si>
    <t>OSGEP</t>
  </si>
  <si>
    <t>ZDHHC4</t>
  </si>
  <si>
    <t>DCP1A</t>
  </si>
  <si>
    <t>ACOT13</t>
  </si>
  <si>
    <t>MED4</t>
  </si>
  <si>
    <t>TIMMDC1</t>
  </si>
  <si>
    <t>RIC8A</t>
  </si>
  <si>
    <t>GPR108</t>
  </si>
  <si>
    <t>ATP13A2</t>
  </si>
  <si>
    <t>LUC7L</t>
  </si>
  <si>
    <t>TIGAR</t>
  </si>
  <si>
    <t>RTN4</t>
  </si>
  <si>
    <t>HINT3</t>
  </si>
  <si>
    <t>RPRD1B</t>
  </si>
  <si>
    <t>HPS4</t>
  </si>
  <si>
    <t>XPNPEP3</t>
  </si>
  <si>
    <t>RRAGD</t>
  </si>
  <si>
    <t>PFDN4</t>
  </si>
  <si>
    <t>NIT2</t>
  </si>
  <si>
    <t>AVEN</t>
  </si>
  <si>
    <t>EXOSC5</t>
  </si>
  <si>
    <t>KIF13B</t>
  </si>
  <si>
    <t>ANLN</t>
  </si>
  <si>
    <t>XPNPEP1</t>
  </si>
  <si>
    <t>STARD7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</si>
  <si>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</si>
  <si>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</si>
  <si>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</si>
  <si>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</si>
  <si>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</si>
  <si>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</si>
  <si>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</si>
  <si>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</si>
  <si>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EIF4ENIF1</t>
  </si>
  <si>
    <t>SPTBN5</t>
  </si>
  <si>
    <t>PICK1</t>
  </si>
  <si>
    <t>SH2B1</t>
  </si>
  <si>
    <t>CTPS2</t>
  </si>
  <si>
    <t>POLE3</t>
  </si>
  <si>
    <t>CHRAC1</t>
  </si>
  <si>
    <t>SMYD2</t>
  </si>
  <si>
    <t>SDR39U1</t>
  </si>
  <si>
    <t>YAE1D1</t>
  </si>
  <si>
    <t>ABCB10</t>
  </si>
  <si>
    <t>AASDHPPT</t>
  </si>
  <si>
    <t>METTL5</t>
  </si>
  <si>
    <t>OSTC</t>
  </si>
  <si>
    <t>CMC2</t>
  </si>
  <si>
    <t>ACN9</t>
  </si>
  <si>
    <t>UBQLN4</t>
  </si>
  <si>
    <t>CDC42SE1</t>
  </si>
  <si>
    <t>SNX15</t>
  </si>
  <si>
    <t>HEBP1</t>
  </si>
  <si>
    <t>RAB6B</t>
  </si>
  <si>
    <t>DUSP22</t>
  </si>
  <si>
    <t>VPS45</t>
  </si>
  <si>
    <t>PHPT1</t>
  </si>
  <si>
    <t>SERINC1</t>
  </si>
  <si>
    <t>ARHGAP35</t>
  </si>
  <si>
    <t>FAM114A2</t>
  </si>
  <si>
    <t>PLSCR3</t>
  </si>
  <si>
    <t>AGPAT4</t>
  </si>
  <si>
    <t>AGPAT3</t>
  </si>
  <si>
    <t>HELLS</t>
  </si>
  <si>
    <t>GLRX2</t>
  </si>
  <si>
    <t>TOMM22</t>
  </si>
  <si>
    <t>LANCL2</t>
  </si>
  <si>
    <t>CTNNBIP1</t>
  </si>
  <si>
    <t>FARSB</t>
  </si>
  <si>
    <t>IARS2</t>
  </si>
  <si>
    <t>C1orf112</t>
  </si>
  <si>
    <t>FAM207A</t>
  </si>
  <si>
    <t>ATG3</t>
  </si>
  <si>
    <t>SIRT3</t>
  </si>
  <si>
    <t>SACM1L</t>
  </si>
  <si>
    <t>CUTC</t>
  </si>
  <si>
    <t>ECHDC1</t>
  </si>
  <si>
    <t>RNF146</t>
  </si>
  <si>
    <t>RBM12</t>
  </si>
  <si>
    <t>TBC1D22B</t>
  </si>
  <si>
    <t>MDN1</t>
  </si>
  <si>
    <t>LYRM2</t>
  </si>
  <si>
    <t>ACSS1</t>
  </si>
  <si>
    <t>ZDHHC18</t>
  </si>
  <si>
    <t>PDRG1</t>
  </si>
  <si>
    <t>ABHD10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</si>
  <si>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</si>
  <si>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</si>
  <si>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</si>
  <si>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</si>
  <si>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</si>
  <si>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</si>
  <si>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</si>
  <si>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</si>
  <si>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</si>
  <si>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</si>
  <si>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DDX19A</t>
  </si>
  <si>
    <t>TDP1</t>
  </si>
  <si>
    <t>TBC1D23</t>
  </si>
  <si>
    <t>DCAF13</t>
  </si>
  <si>
    <t>TMEM100</t>
  </si>
  <si>
    <t>MRGBP</t>
  </si>
  <si>
    <t>EXOC1</t>
  </si>
  <si>
    <t>TMEM30A</t>
  </si>
  <si>
    <t>MED17</t>
  </si>
  <si>
    <t>PANK4</t>
  </si>
  <si>
    <t>TBC1D13</t>
  </si>
  <si>
    <t>EXD2</t>
  </si>
  <si>
    <t>DNAJC11</t>
  </si>
  <si>
    <t>INTS7</t>
  </si>
  <si>
    <t>FANCI</t>
  </si>
  <si>
    <t>ATAD3A</t>
  </si>
  <si>
    <t>ARL8B</t>
  </si>
  <si>
    <t>EVA1B</t>
  </si>
  <si>
    <t>PRMT7</t>
  </si>
  <si>
    <t>DNAJC17</t>
  </si>
  <si>
    <t>ASUN</t>
  </si>
  <si>
    <t>FAIM</t>
  </si>
  <si>
    <t>KLHL11</t>
  </si>
  <si>
    <t>DNAAF2</t>
  </si>
  <si>
    <t>ARMC1</t>
  </si>
  <si>
    <t>TMEM38B</t>
  </si>
  <si>
    <t>NLE1</t>
  </si>
  <si>
    <t>KBTBD4</t>
  </si>
  <si>
    <t>NECAP2</t>
  </si>
  <si>
    <t>RBM22</t>
  </si>
  <si>
    <t>WDR70</t>
  </si>
  <si>
    <t>MED9</t>
  </si>
  <si>
    <t>ARGLU1</t>
  </si>
  <si>
    <t>SLTM</t>
  </si>
  <si>
    <t>ZNHIT6</t>
  </si>
  <si>
    <t>CUEDC1</t>
  </si>
  <si>
    <t>FKBP14</t>
  </si>
  <si>
    <t>PAG1</t>
  </si>
  <si>
    <t>C14orf119</t>
  </si>
  <si>
    <t>CCDC109B</t>
  </si>
  <si>
    <t>FAM118A</t>
  </si>
  <si>
    <t>HIF1AN</t>
  </si>
  <si>
    <t>OXSM</t>
  </si>
  <si>
    <t>C1orf123</t>
  </si>
  <si>
    <t>ASB6</t>
  </si>
  <si>
    <t>THG1L</t>
  </si>
  <si>
    <t>C4orf27</t>
  </si>
  <si>
    <t>IRAK4</t>
  </si>
  <si>
    <t>TXNL4B</t>
  </si>
  <si>
    <t>COMMD8</t>
  </si>
  <si>
    <t>NDUFB11</t>
  </si>
  <si>
    <t>NHP2</t>
  </si>
  <si>
    <t>FAM206A</t>
  </si>
  <si>
    <t>OCIAD1</t>
  </si>
  <si>
    <t>ADPRHL2</t>
  </si>
  <si>
    <t>MARCH5</t>
  </si>
  <si>
    <t>IMPAD1</t>
  </si>
  <si>
    <t>MED29</t>
  </si>
  <si>
    <t>DUS2L</t>
  </si>
  <si>
    <t>SIRT5</t>
  </si>
  <si>
    <t>DCAF16</t>
  </si>
  <si>
    <t>TRMT1</t>
  </si>
  <si>
    <t>GDAP2</t>
  </si>
  <si>
    <t>NDE1</t>
  </si>
  <si>
    <t>BRE</t>
  </si>
  <si>
    <t>ARL15</t>
  </si>
  <si>
    <t>KCTD5</t>
  </si>
  <si>
    <t>CDKN2AIP</t>
  </si>
  <si>
    <t>ALKBH4</t>
  </si>
  <si>
    <t>PPP4R2</t>
  </si>
  <si>
    <t>TERF2IP</t>
  </si>
  <si>
    <t>UTP6</t>
  </si>
  <si>
    <t>COA4</t>
  </si>
  <si>
    <t>TAB2</t>
  </si>
  <si>
    <t>MRPL39</t>
  </si>
  <si>
    <t>MLTK</t>
  </si>
  <si>
    <t>TMOD3</t>
  </si>
  <si>
    <t>MIS18A</t>
  </si>
  <si>
    <t>UGGT1</t>
  </si>
  <si>
    <t>FASTKD2</t>
  </si>
  <si>
    <t>GTSE1</t>
  </si>
  <si>
    <t>TECR</t>
  </si>
  <si>
    <t>UBAP1</t>
  </si>
  <si>
    <t>ACTR10</t>
  </si>
  <si>
    <t>CISD1</t>
  </si>
  <si>
    <t>PODXL2</t>
  </si>
  <si>
    <t>C9orf78</t>
  </si>
  <si>
    <t>CLIC5</t>
  </si>
  <si>
    <t>MOCS1</t>
  </si>
  <si>
    <t>GDE1</t>
  </si>
  <si>
    <t>WWOX</t>
  </si>
  <si>
    <t>SMARCAL1</t>
  </si>
  <si>
    <t>SPG21</t>
  </si>
  <si>
    <t>IGF2BP1</t>
  </si>
  <si>
    <t>SACS</t>
  </si>
  <si>
    <t>COQ3</t>
  </si>
  <si>
    <t>NUDT4</t>
  </si>
  <si>
    <t>HSPBP1</t>
  </si>
  <si>
    <t>MAT2B</t>
  </si>
  <si>
    <t>ITSN2</t>
  </si>
  <si>
    <t>EHD3</t>
  </si>
  <si>
    <t>ARHGEF12</t>
  </si>
  <si>
    <t>NCKIPSD</t>
  </si>
  <si>
    <t>OGFR</t>
  </si>
  <si>
    <t>LMCD1</t>
  </si>
  <si>
    <t>MPP6</t>
  </si>
  <si>
    <t>CHMP5</t>
  </si>
  <si>
    <t>COMMD9</t>
  </si>
  <si>
    <t>CWC15</t>
  </si>
  <si>
    <t>THYN1</t>
  </si>
  <si>
    <t>CRIPT</t>
  </si>
  <si>
    <t>CCDC59</t>
  </si>
  <si>
    <t>NDUFAF4</t>
  </si>
  <si>
    <t>PTPLAD1</t>
  </si>
  <si>
    <t>CCDC167</t>
  </si>
  <si>
    <t>PDP1</t>
  </si>
  <si>
    <t>VAPA</t>
  </si>
  <si>
    <t>MARK1</t>
  </si>
  <si>
    <t>RNF181</t>
  </si>
  <si>
    <t>GSKIP</t>
  </si>
  <si>
    <t>SH3BP4</t>
  </si>
  <si>
    <t>SCHIP1</t>
  </si>
  <si>
    <t>ZNRD1</t>
  </si>
  <si>
    <t>CAMSAP3</t>
  </si>
  <si>
    <t>CALCOCO1</t>
  </si>
  <si>
    <t>KIAA1522</t>
  </si>
  <si>
    <t>RCC2</t>
  </si>
  <si>
    <t>KIAA1468</t>
  </si>
  <si>
    <t>DIP2B</t>
  </si>
  <si>
    <t>KIAA1462</t>
  </si>
  <si>
    <t>SLAIN2</t>
  </si>
  <si>
    <t>BCCIP</t>
  </si>
  <si>
    <t>PTGFRN</t>
  </si>
  <si>
    <t>CTTNBP2NL</t>
  </si>
  <si>
    <t>CHD7</t>
  </si>
  <si>
    <t>HEATR5B</t>
  </si>
  <si>
    <t>DNAH1</t>
  </si>
  <si>
    <t>RRBP1</t>
  </si>
  <si>
    <t>CPSF2</t>
  </si>
  <si>
    <t>CGN</t>
  </si>
  <si>
    <t>RBM27</t>
  </si>
  <si>
    <t>ANKFY1</t>
  </si>
  <si>
    <t>PSMC3IP</t>
  </si>
  <si>
    <t>DPM3</t>
  </si>
  <si>
    <t>ATXN10</t>
  </si>
  <si>
    <t>NCDN</t>
  </si>
  <si>
    <t>TFIP11</t>
  </si>
  <si>
    <t>EPS15L1</t>
  </si>
  <si>
    <t>ORC3</t>
  </si>
  <si>
    <t>SAE1</t>
  </si>
  <si>
    <t>COPG2</t>
  </si>
  <si>
    <t>RNF7</t>
  </si>
  <si>
    <t>PI4KB</t>
  </si>
  <si>
    <t>GNG12</t>
  </si>
  <si>
    <t>MTRR</t>
  </si>
  <si>
    <t>CPNE7</t>
  </si>
  <si>
    <t>DHCR7</t>
  </si>
  <si>
    <t>TNFRSF10D</t>
  </si>
  <si>
    <t>SPAST</t>
  </si>
  <si>
    <t>METTL1</t>
  </si>
  <si>
    <t>VPS29</t>
  </si>
  <si>
    <t>GRHPR</t>
  </si>
  <si>
    <t>RPS6KB2</t>
  </si>
  <si>
    <t>DNAJB11</t>
  </si>
  <si>
    <t>RNF14</t>
  </si>
  <si>
    <t>UBA2</t>
  </si>
  <si>
    <t>FAM8A1</t>
  </si>
  <si>
    <t>MORF4L1</t>
  </si>
  <si>
    <t>PEF1</t>
  </si>
  <si>
    <t>ZMYM2</t>
  </si>
  <si>
    <t>COPS7A</t>
  </si>
  <si>
    <t>MTFP1</t>
  </si>
  <si>
    <t>TJP2</t>
  </si>
  <si>
    <t>DNAJB4</t>
  </si>
  <si>
    <t>MALT1</t>
  </si>
  <si>
    <t>CFDP1</t>
  </si>
  <si>
    <t>DAXX</t>
  </si>
  <si>
    <t>FTSJ1</t>
  </si>
  <si>
    <t>VTI1B</t>
  </si>
  <si>
    <t>STK39</t>
  </si>
  <si>
    <t>ADD3</t>
  </si>
  <si>
    <t>LRWD1</t>
  </si>
  <si>
    <t>C19orf25</t>
  </si>
  <si>
    <t>CGGBP1</t>
  </si>
  <si>
    <t>PISD</t>
  </si>
  <si>
    <t>ABCF2</t>
  </si>
  <si>
    <t>TES</t>
  </si>
  <si>
    <t>SERGEF</t>
  </si>
  <si>
    <t>LIMD1</t>
  </si>
  <si>
    <t>SEC63</t>
  </si>
  <si>
    <t>CACFD1</t>
  </si>
  <si>
    <t>TCF20</t>
  </si>
  <si>
    <t>ARMCX3</t>
  </si>
  <si>
    <t>SS18L2</t>
  </si>
  <si>
    <t>LAMTOR3</t>
  </si>
  <si>
    <t>NDOR1</t>
  </si>
  <si>
    <t>LIMA1</t>
  </si>
  <si>
    <t>CHORDC1</t>
  </si>
  <si>
    <t>SEPT9</t>
  </si>
  <si>
    <t>UBQLN2</t>
  </si>
  <si>
    <t>PCSK1N</t>
  </si>
  <si>
    <t>PCYOX1</t>
  </si>
  <si>
    <t>DDX20</t>
  </si>
  <si>
    <t>SHPK</t>
  </si>
  <si>
    <t>TMEM2</t>
  </si>
  <si>
    <t>USP25</t>
  </si>
  <si>
    <t>BCAP29</t>
  </si>
  <si>
    <t>CYB5R1</t>
  </si>
  <si>
    <t>BAIAP2L1</t>
  </si>
  <si>
    <t>ZNHIT2</t>
  </si>
  <si>
    <t>PFDN2</t>
  </si>
  <si>
    <t>GPN3</t>
  </si>
  <si>
    <t>PUF60</t>
  </si>
  <si>
    <t>NRBP1</t>
  </si>
  <si>
    <t>ENOPH1</t>
  </si>
  <si>
    <t>EVL</t>
  </si>
  <si>
    <t>ATP6V1H</t>
  </si>
  <si>
    <t>IPO11</t>
  </si>
  <si>
    <t>TRMT112</t>
  </si>
  <si>
    <t>LCMT1</t>
  </si>
  <si>
    <t>VPS51</t>
  </si>
  <si>
    <t>BAZ1B</t>
  </si>
  <si>
    <t>ATPIF1</t>
  </si>
  <si>
    <t>AK3</t>
  </si>
  <si>
    <t>FKBPL</t>
  </si>
  <si>
    <t>LNPEP</t>
  </si>
  <si>
    <t>RABGEF1</t>
  </si>
  <si>
    <t>NAGK</t>
  </si>
  <si>
    <t>TRMT6</t>
  </si>
  <si>
    <t>SLC25A13</t>
  </si>
  <si>
    <t>DBNL</t>
  </si>
  <si>
    <t>DCTN4</t>
  </si>
  <si>
    <t>ANAPC7</t>
  </si>
  <si>
    <t>ANAPC2</t>
  </si>
  <si>
    <t>HSPB8</t>
  </si>
  <si>
    <t>GGA2</t>
  </si>
  <si>
    <t>GGA1</t>
  </si>
  <si>
    <t>STOML2</t>
  </si>
  <si>
    <t>NAGPA</t>
  </si>
  <si>
    <t>LSM7</t>
  </si>
  <si>
    <t>DBR1</t>
  </si>
  <si>
    <t>HN1</t>
  </si>
  <si>
    <t>FBXO3</t>
  </si>
  <si>
    <t>DNAJC12</t>
  </si>
  <si>
    <t>CPSF3</t>
  </si>
  <si>
    <t>APPL1</t>
  </si>
  <si>
    <t>TLK1</t>
  </si>
  <si>
    <t>GPATCH8</t>
  </si>
  <si>
    <t>PCTP</t>
  </si>
  <si>
    <t>GTF3C4</t>
  </si>
  <si>
    <t>PACSIN3</t>
  </si>
  <si>
    <t>FBXO5</t>
  </si>
  <si>
    <t>ACAD8</t>
  </si>
  <si>
    <t>AMFR</t>
  </si>
  <si>
    <t>NUP50</t>
  </si>
  <si>
    <t>CDV3</t>
  </si>
  <si>
    <t>CNOT11</t>
  </si>
  <si>
    <t>BAG5</t>
  </si>
  <si>
    <t>RAB21</t>
  </si>
  <si>
    <t>RAB22A</t>
  </si>
  <si>
    <t>PNMA2</t>
  </si>
  <si>
    <t>PSME2</t>
  </si>
  <si>
    <t>TAOK2</t>
  </si>
  <si>
    <t>RAB23</t>
  </si>
  <si>
    <t>MCTS1</t>
  </si>
  <si>
    <t>PALD1</t>
  </si>
  <si>
    <t>SLC39A10</t>
  </si>
  <si>
    <t>ASAP1</t>
  </si>
  <si>
    <t>MKL2</t>
  </si>
  <si>
    <t>ZBTB21</t>
  </si>
  <si>
    <t>ZMIZ1</t>
  </si>
  <si>
    <t>ANKRD50</t>
  </si>
  <si>
    <t>TBC1D24</t>
  </si>
  <si>
    <t>ISY1</t>
  </si>
  <si>
    <t>PPM1H</t>
  </si>
  <si>
    <t>PAIP2B</t>
  </si>
  <si>
    <t>HECTD1</t>
  </si>
  <si>
    <t>CORO1C</t>
  </si>
  <si>
    <t>TPX2</t>
  </si>
  <si>
    <t>NOB1</t>
  </si>
  <si>
    <t>ANAPC10</t>
  </si>
  <si>
    <t>WBP7</t>
  </si>
  <si>
    <t>DDX19B</t>
  </si>
  <si>
    <t>NFU1</t>
  </si>
  <si>
    <t>PRPF19</t>
  </si>
  <si>
    <t>UBQLN1</t>
  </si>
  <si>
    <t>SUFU</t>
  </si>
  <si>
    <t>NENF</t>
  </si>
  <si>
    <t>SNX12</t>
  </si>
  <si>
    <t>SYNRG</t>
  </si>
  <si>
    <t>VPS4A</t>
  </si>
  <si>
    <t>G3BP2</t>
  </si>
  <si>
    <t>STUB1</t>
  </si>
  <si>
    <t>PACSIN2</t>
  </si>
  <si>
    <t>MAGED2</t>
  </si>
  <si>
    <t>SNX7</t>
  </si>
  <si>
    <t>SNX6</t>
  </si>
  <si>
    <t>DUSP12</t>
  </si>
  <si>
    <t>STX8</t>
  </si>
  <si>
    <t>PSMD13</t>
  </si>
  <si>
    <t>FAF1</t>
  </si>
  <si>
    <t>PROCR</t>
  </si>
  <si>
    <t>PPIE</t>
  </si>
  <si>
    <t>TIMELESS</t>
  </si>
  <si>
    <t>COPS3</t>
  </si>
  <si>
    <t>RABL2B</t>
  </si>
  <si>
    <t>MINPP1</t>
  </si>
  <si>
    <t>NOVA2</t>
  </si>
  <si>
    <t>TTF2</t>
  </si>
  <si>
    <t>NSFL1C</t>
  </si>
  <si>
    <t>C19orf53</t>
  </si>
  <si>
    <t>COG5</t>
  </si>
  <si>
    <t>SLC12A4</t>
  </si>
  <si>
    <t>B9D1</t>
  </si>
  <si>
    <t>SCAF8</t>
  </si>
  <si>
    <t>PPP6R1</t>
  </si>
  <si>
    <t>TNRC6B</t>
  </si>
  <si>
    <t>PLCL2</t>
  </si>
  <si>
    <t>SMG5</t>
  </si>
  <si>
    <t>EXOC7</t>
  </si>
  <si>
    <t>ZC3H4</t>
  </si>
  <si>
    <t>USP22</t>
  </si>
  <si>
    <t>USP24</t>
  </si>
  <si>
    <t>AGTPBP1</t>
  </si>
  <si>
    <t>MAPRE3</t>
  </si>
  <si>
    <t>SHOC2</t>
  </si>
  <si>
    <t>SRRM2</t>
  </si>
  <si>
    <t>MGAT4B</t>
  </si>
  <si>
    <t>PA2G4</t>
  </si>
  <si>
    <t>SPG7</t>
  </si>
  <si>
    <t>SMC3</t>
  </si>
  <si>
    <t>CHMP2B</t>
  </si>
  <si>
    <t>SCML2</t>
  </si>
  <si>
    <t>MTMR6</t>
  </si>
  <si>
    <t>C14orf166</t>
  </si>
  <si>
    <t>RUVBL2</t>
  </si>
  <si>
    <t>PIN4</t>
  </si>
  <si>
    <t>TCF19</t>
  </si>
  <si>
    <t>AKT3</t>
  </si>
  <si>
    <t>GINS2</t>
  </si>
  <si>
    <t>PRELID1</t>
  </si>
  <si>
    <t>PLAA</t>
  </si>
  <si>
    <t>RUVBL1</t>
  </si>
  <si>
    <t>NUDC</t>
  </si>
  <si>
    <t>BCS1L</t>
  </si>
  <si>
    <t>VDAC3</t>
  </si>
  <si>
    <t>CFL2</t>
  </si>
  <si>
    <t>SLC5A6</t>
  </si>
  <si>
    <t>ASF1A</t>
  </si>
  <si>
    <t>DRG1</t>
  </si>
  <si>
    <t>NCKAP1</t>
  </si>
  <si>
    <t>CNPY2</t>
  </si>
  <si>
    <t>UST</t>
  </si>
  <si>
    <t>AKAP2</t>
  </si>
  <si>
    <t>CARD8</t>
  </si>
  <si>
    <t>POFUT2</t>
  </si>
  <si>
    <t>DLGAP4</t>
  </si>
  <si>
    <t>STK38L</t>
  </si>
  <si>
    <t>FNDC3A</t>
  </si>
  <si>
    <t>USP20</t>
  </si>
  <si>
    <t>KDM2A</t>
  </si>
  <si>
    <t>DIS3</t>
  </si>
  <si>
    <t>ATP8A1</t>
  </si>
  <si>
    <t>LAMTOR2</t>
  </si>
  <si>
    <t>COA3</t>
  </si>
  <si>
    <t>POLR1D</t>
  </si>
  <si>
    <t>TMA7</t>
  </si>
  <si>
    <t>POLDIP2</t>
  </si>
  <si>
    <t>MAP3K2</t>
  </si>
  <si>
    <t>LEMD3</t>
  </si>
  <si>
    <t>CARHSP1</t>
  </si>
  <si>
    <t>COG6</t>
  </si>
  <si>
    <t>THRAP3</t>
  </si>
  <si>
    <t>NOP58</t>
  </si>
  <si>
    <t>GIT1</t>
  </si>
  <si>
    <t>POLR3K</t>
  </si>
  <si>
    <t>SUGT1</t>
  </si>
  <si>
    <t>MTO1</t>
  </si>
  <si>
    <t>YARS2</t>
  </si>
  <si>
    <t>COQ6</t>
  </si>
  <si>
    <t>AMDHD2</t>
  </si>
  <si>
    <t>ACOT9</t>
  </si>
  <si>
    <t>NOSIP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</si>
  <si>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</si>
  <si>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</si>
  <si>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</si>
  <si>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</si>
  <si>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</si>
  <si>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</si>
  <si>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</si>
  <si>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</si>
  <si>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DHRS7</t>
  </si>
  <si>
    <t>MOB4</t>
  </si>
  <si>
    <t>SBDS</t>
  </si>
  <si>
    <t>TMED5</t>
  </si>
  <si>
    <t>TMED7</t>
  </si>
  <si>
    <t>SF3B14</t>
  </si>
  <si>
    <t>MRPL11</t>
  </si>
  <si>
    <t>RRP15</t>
  </si>
  <si>
    <t>TPRKB</t>
  </si>
  <si>
    <t>RNF11</t>
  </si>
  <si>
    <t>PPIL1</t>
  </si>
  <si>
    <t>UFC1</t>
  </si>
  <si>
    <t>FAM96B</t>
  </si>
  <si>
    <t>MSRB2</t>
  </si>
  <si>
    <t>FIS1</t>
  </si>
  <si>
    <t>HDGFRP3</t>
  </si>
  <si>
    <t>BOLA1</t>
  </si>
  <si>
    <t>CHMP3</t>
  </si>
  <si>
    <t>STRAP</t>
  </si>
  <si>
    <t>C22orf28</t>
  </si>
  <si>
    <t>FBXO7</t>
  </si>
  <si>
    <t>RAP2C</t>
  </si>
  <si>
    <t>RABGAP1</t>
  </si>
  <si>
    <t>TSC22D4</t>
  </si>
  <si>
    <t>ZNF330</t>
  </si>
  <si>
    <t>R3HCC1</t>
  </si>
  <si>
    <t>NOC2L</t>
  </si>
  <si>
    <t>RWDD3</t>
  </si>
  <si>
    <t>CCDC9</t>
  </si>
  <si>
    <t>SAMHD1</t>
  </si>
  <si>
    <t>KNSTRN</t>
  </si>
  <si>
    <t>HBS1L</t>
  </si>
  <si>
    <t>PRKAB1</t>
  </si>
  <si>
    <t>TLN1</t>
  </si>
  <si>
    <t>RAD54L2</t>
  </si>
  <si>
    <t>KDM3A</t>
  </si>
  <si>
    <t>FAM115A</t>
  </si>
  <si>
    <t>MFHAS1</t>
  </si>
  <si>
    <t>PLXND1</t>
  </si>
  <si>
    <t>FAM21C</t>
  </si>
  <si>
    <t>USP15</t>
  </si>
  <si>
    <t>TLN2</t>
  </si>
  <si>
    <t>RAPGEF2</t>
  </si>
  <si>
    <t>IRS2</t>
  </si>
  <si>
    <t>TRAF6</t>
  </si>
  <si>
    <t>MAP4K5</t>
  </si>
  <si>
    <t>ATG4B</t>
  </si>
  <si>
    <t>WIPI2</t>
  </si>
  <si>
    <t>TELO2</t>
  </si>
  <si>
    <t>MMACHC</t>
  </si>
  <si>
    <t>AFG3L2</t>
  </si>
  <si>
    <t>ARIH1</t>
  </si>
  <si>
    <t>LSM4</t>
  </si>
  <si>
    <t>RNF114</t>
  </si>
  <si>
    <t>SAMM50</t>
  </si>
  <si>
    <t>LRRC42</t>
  </si>
  <si>
    <t>PPME1</t>
  </si>
  <si>
    <t>TIMM22</t>
  </si>
  <si>
    <t>KCTD3</t>
  </si>
  <si>
    <t>YTHDF2</t>
  </si>
  <si>
    <t>CTDP1</t>
  </si>
  <si>
    <t>PAXBP1</t>
  </si>
  <si>
    <t>NME7</t>
  </si>
  <si>
    <t>PHLDA3</t>
  </si>
  <si>
    <t>TIMM10B</t>
  </si>
  <si>
    <t>TIMM9</t>
  </si>
  <si>
    <t>UCHL5</t>
  </si>
  <si>
    <t>CD2AP</t>
  </si>
  <si>
    <t>ATP6V1D</t>
  </si>
  <si>
    <t>TIMM13</t>
  </si>
  <si>
    <t>SRPRB</t>
  </si>
  <si>
    <t>N6AMT1</t>
  </si>
  <si>
    <t>ORC6</t>
  </si>
  <si>
    <t>COL4A3BP</t>
  </si>
  <si>
    <t>GMPPB</t>
  </si>
  <si>
    <t>GTF3C5</t>
  </si>
  <si>
    <t>GTF3C3</t>
  </si>
  <si>
    <t>CDC42BPB</t>
  </si>
  <si>
    <t>RBM8A</t>
  </si>
  <si>
    <t>TSSC4</t>
  </si>
  <si>
    <t>ZNF706</t>
  </si>
  <si>
    <t>MAGED1</t>
  </si>
  <si>
    <t>SNX9</t>
  </si>
  <si>
    <t>SNX8</t>
  </si>
  <si>
    <t>SNX5</t>
  </si>
  <si>
    <t>FLVCR1</t>
  </si>
  <si>
    <t>NUBP2</t>
  </si>
  <si>
    <t>HEBP2</t>
  </si>
  <si>
    <t>UBIAD1</t>
  </si>
  <si>
    <t>MRFAP1</t>
  </si>
  <si>
    <t>LRRFIP2</t>
  </si>
  <si>
    <t>FHOD1</t>
  </si>
  <si>
    <t>PSAT1</t>
  </si>
  <si>
    <t>SLC25A15</t>
  </si>
  <si>
    <t>NPTN</t>
  </si>
  <si>
    <t>ALG5</t>
  </si>
  <si>
    <t>COPG1</t>
  </si>
  <si>
    <t>AUP1</t>
  </si>
  <si>
    <t>FKBP7</t>
  </si>
  <si>
    <t>GMEB1</t>
  </si>
  <si>
    <t>CLIC4</t>
  </si>
  <si>
    <t>NFS1</t>
  </si>
  <si>
    <t>C16orf80</t>
  </si>
  <si>
    <t>TACC3</t>
  </si>
  <si>
    <t>SAR1B</t>
  </si>
  <si>
    <t>ARFGEF2</t>
  </si>
  <si>
    <t>ARFGEF1</t>
  </si>
  <si>
    <t>MAD1L1</t>
  </si>
  <si>
    <t>DYNC1LI1</t>
  </si>
  <si>
    <t>CHCHD2</t>
  </si>
  <si>
    <t>EPN1</t>
  </si>
  <si>
    <t>TEX264</t>
  </si>
  <si>
    <t>CEPT1</t>
  </si>
  <si>
    <t>SLC30A1</t>
  </si>
  <si>
    <t>COX11</t>
  </si>
  <si>
    <t>ROBO1</t>
  </si>
  <si>
    <t>STON1</t>
  </si>
  <si>
    <t>NCOA3</t>
  </si>
  <si>
    <t>NUMBL</t>
  </si>
  <si>
    <t>DDX49</t>
  </si>
  <si>
    <t>CAPN7</t>
  </si>
  <si>
    <t>WASF2</t>
  </si>
  <si>
    <t>ENPP4</t>
  </si>
  <si>
    <t>ZHX2</t>
  </si>
  <si>
    <t>MOSPD2</t>
  </si>
  <si>
    <t>PSMD8</t>
  </si>
  <si>
    <t>LAMTOR5</t>
  </si>
  <si>
    <t>BMI1</t>
  </si>
  <si>
    <t>FBXO44</t>
  </si>
  <si>
    <t>MAPKAPK5</t>
  </si>
  <si>
    <t>YTHDF3</t>
  </si>
  <si>
    <t>DENND4C</t>
  </si>
  <si>
    <t>PSMC3</t>
  </si>
  <si>
    <t>A0AVI4</t>
  </si>
  <si>
    <t>A0AVT1</t>
  </si>
  <si>
    <t>A0FGR8-2</t>
  </si>
  <si>
    <t>A0JNW5</t>
  </si>
  <si>
    <t>A0MZ66</t>
  </si>
  <si>
    <t>A0PJW6</t>
  </si>
  <si>
    <t>A1L0T0</t>
  </si>
  <si>
    <t>A1L188</t>
  </si>
  <si>
    <t>A1X283</t>
  </si>
  <si>
    <t>A1Z1Q3-2</t>
  </si>
  <si>
    <t>A2A274</t>
  </si>
  <si>
    <t>A2A2G5</t>
  </si>
  <si>
    <t>A2A2Q9</t>
  </si>
  <si>
    <t>A2AEA2</t>
  </si>
  <si>
    <t>A2RU67</t>
  </si>
  <si>
    <t>A3KFL4</t>
  </si>
  <si>
    <t>A3KN83-3</t>
  </si>
  <si>
    <t>A4D126-2</t>
  </si>
  <si>
    <t>A4D1S0-2</t>
  </si>
  <si>
    <t>A4D1U4</t>
  </si>
  <si>
    <t>A4D2B0</t>
  </si>
  <si>
    <t>A6H8Z3</t>
  </si>
  <si>
    <t>A6ND99</t>
  </si>
  <si>
    <t>A6NDB9</t>
  </si>
  <si>
    <t>A6NDG6</t>
  </si>
  <si>
    <t>A6NDU8</t>
  </si>
  <si>
    <t>A6NED2</t>
  </si>
  <si>
    <t>A6NEM2</t>
  </si>
  <si>
    <t>A6NEM5</t>
  </si>
  <si>
    <t>A6NF31</t>
  </si>
  <si>
    <t>A6NF48</t>
  </si>
  <si>
    <t>A6NG32</t>
  </si>
  <si>
    <t>A6NG79</t>
  </si>
  <si>
    <t>A6NGB9</t>
  </si>
  <si>
    <t>A6NGC4</t>
  </si>
  <si>
    <t>A6NGP5</t>
  </si>
  <si>
    <t>A6NHL2-2</t>
  </si>
  <si>
    <t>A6NHR9</t>
  </si>
  <si>
    <t>A6NIH7</t>
  </si>
  <si>
    <t>A6NJ78</t>
  </si>
  <si>
    <t>A6NK58</t>
  </si>
  <si>
    <t>A6NKB8</t>
  </si>
  <si>
    <t>A6NKD9</t>
  </si>
  <si>
    <t>A6NKZ2</t>
  </si>
  <si>
    <t>A6NL54</t>
  </si>
  <si>
    <t>A6NLP3</t>
  </si>
  <si>
    <t>A6NMH6</t>
  </si>
  <si>
    <t>A6NML8</t>
  </si>
  <si>
    <t>A6NMN0</t>
  </si>
  <si>
    <t>A6NMQ1</t>
  </si>
  <si>
    <t>A6NN80</t>
  </si>
  <si>
    <t>A6NNI4</t>
  </si>
  <si>
    <t>A6ZKI3</t>
  </si>
  <si>
    <t>A8K0B5</t>
  </si>
  <si>
    <t>A8K0M9</t>
  </si>
  <si>
    <t>A8MPS7</t>
  </si>
  <si>
    <t>A8MQ02</t>
  </si>
  <si>
    <t>A8MRB1</t>
  </si>
  <si>
    <t>A8MSH5</t>
  </si>
  <si>
    <t>A8MTE9</t>
  </si>
  <si>
    <t>A8MTY9</t>
  </si>
  <si>
    <t>A8MUM1</t>
  </si>
  <si>
    <t>A8MVQ8</t>
  </si>
  <si>
    <t>A8MVW0</t>
  </si>
  <si>
    <t>A8MWY0</t>
  </si>
  <si>
    <t>A8MX75</t>
  </si>
  <si>
    <t>A8MXE8</t>
  </si>
  <si>
    <t>A8MXP9</t>
  </si>
  <si>
    <t>A8MXQ1</t>
  </si>
  <si>
    <t>A8MXV4</t>
  </si>
  <si>
    <t>A8MYQ9</t>
  </si>
  <si>
    <t>A8MYT4</t>
  </si>
  <si>
    <t>A9UHW6</t>
  </si>
  <si>
    <t>B0AZU2</t>
  </si>
  <si>
    <t>B0FLL2</t>
  </si>
  <si>
    <t>B0QY89</t>
  </si>
  <si>
    <t>B0QY95</t>
  </si>
  <si>
    <t>B0QYI3</t>
  </si>
  <si>
    <t>B0QYK0</t>
  </si>
  <si>
    <t>B0QZ18</t>
  </si>
  <si>
    <t>B0QZ40</t>
  </si>
  <si>
    <t>B0UX83</t>
  </si>
  <si>
    <t>B0UXB6</t>
  </si>
  <si>
    <t>B0V043</t>
  </si>
  <si>
    <t>B0V109</t>
  </si>
  <si>
    <t>B0YIW2</t>
  </si>
  <si>
    <t>B1AH87</t>
  </si>
  <si>
    <t>B1AHD1</t>
  </si>
  <si>
    <t>B1AHQ6</t>
  </si>
  <si>
    <t>B1AK13</t>
  </si>
  <si>
    <t>B1AKC9</t>
  </si>
  <si>
    <t>B1AKJ5</t>
  </si>
  <si>
    <t>B1AKR6</t>
  </si>
  <si>
    <t>B1AKZ5</t>
  </si>
  <si>
    <t>B1ALH6</t>
  </si>
  <si>
    <t>B1ALM5</t>
  </si>
  <si>
    <t>B1AMS2</t>
  </si>
  <si>
    <t>B1AMU7</t>
  </si>
  <si>
    <t>B1AN99</t>
  </si>
  <si>
    <t>B1ANH0</t>
  </si>
  <si>
    <t>B1AQP1</t>
  </si>
  <si>
    <t>B1AUU8</t>
  </si>
  <si>
    <t>B3KP81</t>
  </si>
  <si>
    <t>B3KS98</t>
  </si>
  <si>
    <t>B3KSH1</t>
  </si>
  <si>
    <t>B3KSI3</t>
  </si>
  <si>
    <t>B3KSI9</t>
  </si>
  <si>
    <t>B3KSJ7</t>
  </si>
  <si>
    <t>B3KVH8</t>
  </si>
  <si>
    <t>B3KVZ3</t>
  </si>
  <si>
    <t>B3KWN8</t>
  </si>
  <si>
    <t>B3KY83</t>
  </si>
  <si>
    <t>B3KY94</t>
  </si>
  <si>
    <t>B3V0L1</t>
  </si>
  <si>
    <t>B4DDF4</t>
  </si>
  <si>
    <t>B4DDY8</t>
  </si>
  <si>
    <t>B4DE60</t>
  </si>
  <si>
    <t>B4DEK4</t>
  </si>
  <si>
    <t>B4DEZ3</t>
  </si>
  <si>
    <t>B4DFF2</t>
  </si>
  <si>
    <t>B4DFI9</t>
  </si>
  <si>
    <t>B4DGU4</t>
  </si>
  <si>
    <t>B4DGX2</t>
  </si>
  <si>
    <t>B4DH53</t>
  </si>
  <si>
    <t>B4DIG7</t>
  </si>
  <si>
    <t>B4DJA5</t>
  </si>
  <si>
    <t>B4DJN2</t>
  </si>
  <si>
    <t>B4DJP7</t>
  </si>
  <si>
    <t>B4DJV2</t>
  </si>
  <si>
    <t>B4DK44</t>
  </si>
  <si>
    <t>B4DKB2</t>
  </si>
  <si>
    <t>B4DKF9</t>
  </si>
  <si>
    <t>B4DKL4</t>
  </si>
  <si>
    <t>B4DL54</t>
  </si>
  <si>
    <t>B4DL79</t>
  </si>
  <si>
    <t>B4DLH2</t>
  </si>
  <si>
    <t>B4DLN1</t>
  </si>
  <si>
    <t>B4DLT4</t>
  </si>
  <si>
    <t>B4DLW8</t>
  </si>
  <si>
    <t>B4DLZ9</t>
  </si>
  <si>
    <t>B4DM89</t>
  </si>
  <si>
    <t>B4DME9</t>
  </si>
  <si>
    <t>B4DMU4</t>
  </si>
  <si>
    <t>B4DMX0</t>
  </si>
  <si>
    <t>B4DP21</t>
  </si>
  <si>
    <t>B4DP38</t>
  </si>
  <si>
    <t>B4DP61</t>
  </si>
  <si>
    <t>B4DPY5</t>
  </si>
  <si>
    <t>B4DQJ8</t>
  </si>
  <si>
    <t>B4DR03</t>
  </si>
  <si>
    <t>B4DR12</t>
  </si>
  <si>
    <t>B4DR61</t>
  </si>
  <si>
    <t>B4DR80</t>
  </si>
  <si>
    <t>B4DR94</t>
  </si>
  <si>
    <t>B4DRN7</t>
  </si>
  <si>
    <t>B4DSD4</t>
  </si>
  <si>
    <t>B4DT77</t>
  </si>
  <si>
    <t>B4DUS9</t>
  </si>
  <si>
    <t>B4DVE7</t>
  </si>
  <si>
    <t>B4DVY1</t>
  </si>
  <si>
    <t>B4DWA1</t>
  </si>
  <si>
    <t>B4DWI1</t>
  </si>
  <si>
    <t>B4DXZ6</t>
  </si>
  <si>
    <t>B4DYB4</t>
  </si>
  <si>
    <t>B4DZG7</t>
  </si>
  <si>
    <t>B4DZH6</t>
  </si>
  <si>
    <t>B4DZP4</t>
  </si>
  <si>
    <t>B4DZW6</t>
  </si>
  <si>
    <t>B4E0E3</t>
  </si>
  <si>
    <t>B4E0G4</t>
  </si>
  <si>
    <t>B4E0T2</t>
  </si>
  <si>
    <t>B4E0V0</t>
  </si>
  <si>
    <t>B4E0Y9</t>
  </si>
  <si>
    <t>B4E241</t>
  </si>
  <si>
    <t>B4E2W0</t>
  </si>
  <si>
    <t>B4E2X3</t>
  </si>
  <si>
    <t>B4E3E5</t>
  </si>
  <si>
    <t>B5AK60</t>
  </si>
  <si>
    <t>B5MBW9</t>
  </si>
  <si>
    <t>B5MBX5</t>
  </si>
  <si>
    <t>B5MBZ0</t>
  </si>
  <si>
    <t>B5MCD7</t>
  </si>
  <si>
    <t>B5MCF9</t>
  </si>
  <si>
    <t>B5MCN7</t>
  </si>
  <si>
    <t>B5MCX3</t>
  </si>
  <si>
    <t>B5MD46</t>
  </si>
  <si>
    <t>B5MDE0</t>
  </si>
  <si>
    <t>B5MDU3</t>
  </si>
  <si>
    <t>B5MDU6</t>
  </si>
  <si>
    <t>B7WP27</t>
  </si>
  <si>
    <t>B7Z254</t>
  </si>
  <si>
    <t>B7Z291</t>
  </si>
  <si>
    <t>B7Z2B2</t>
  </si>
  <si>
    <t>B7Z2V9</t>
  </si>
  <si>
    <t>B7Z382</t>
  </si>
  <si>
    <t>B7Z385</t>
  </si>
  <si>
    <t>B7Z3I9</t>
  </si>
  <si>
    <t>B7Z3P1</t>
  </si>
  <si>
    <t>B7Z456</t>
  </si>
  <si>
    <t>B7Z463</t>
  </si>
  <si>
    <t>B7Z4K6</t>
  </si>
  <si>
    <t>B7Z4U0</t>
  </si>
  <si>
    <t>B7Z4W5</t>
  </si>
  <si>
    <t>B7Z5G4</t>
  </si>
  <si>
    <t>B7Z5N5</t>
  </si>
  <si>
    <t>B7Z5W1</t>
  </si>
  <si>
    <t>B7Z5X7</t>
  </si>
  <si>
    <t>B7Z683</t>
  </si>
  <si>
    <t>B7Z6M4</t>
  </si>
  <si>
    <t>B7Z7F3</t>
  </si>
  <si>
    <t>B7Z7X8</t>
  </si>
  <si>
    <t>B7Z815</t>
  </si>
  <si>
    <t>B7Z817</t>
  </si>
  <si>
    <t>B7Z860</t>
  </si>
  <si>
    <t>B7Z8H2</t>
  </si>
  <si>
    <t>B7Z9I1</t>
  </si>
  <si>
    <t>B7Z9S8</t>
  </si>
  <si>
    <t>B7ZC38</t>
  </si>
  <si>
    <t>B7ZKK9</t>
  </si>
  <si>
    <t>B7ZKQ9</t>
  </si>
  <si>
    <t>B7ZL88</t>
  </si>
  <si>
    <t>B7ZLZ2</t>
  </si>
  <si>
    <t>B8X2Z3</t>
  </si>
  <si>
    <t>B8ZZB8</t>
  </si>
  <si>
    <t>B8ZZJ1</t>
  </si>
  <si>
    <t>B8ZZN6</t>
  </si>
  <si>
    <t>B8ZZQ6</t>
  </si>
  <si>
    <t>B8ZZT9</t>
  </si>
  <si>
    <t>B8ZZU8</t>
  </si>
  <si>
    <t>B8ZZY2</t>
  </si>
  <si>
    <t>B9A018</t>
  </si>
  <si>
    <t>B9A067</t>
  </si>
  <si>
    <t>B9EGE7</t>
  </si>
  <si>
    <t>B9EGH5</t>
  </si>
  <si>
    <t>C0H5Y7</t>
  </si>
  <si>
    <t>C1IDX9</t>
  </si>
  <si>
    <t>C4AMC7</t>
  </si>
  <si>
    <t>C6GKU9</t>
  </si>
  <si>
    <t>C9IYZ1</t>
  </si>
  <si>
    <t>C9IZF6</t>
  </si>
  <si>
    <t>C9IZZ8</t>
  </si>
  <si>
    <t>C9J0F2</t>
  </si>
  <si>
    <t>C9J0I9</t>
  </si>
  <si>
    <t>C9J0J7</t>
  </si>
  <si>
    <t>C9J0K6</t>
  </si>
  <si>
    <t>C9J0V9</t>
  </si>
  <si>
    <t>C9J173</t>
  </si>
  <si>
    <t>C9J1K8</t>
  </si>
  <si>
    <t>C9J212</t>
  </si>
  <si>
    <t>C9J2P0</t>
  </si>
  <si>
    <t>C9J2U4</t>
  </si>
  <si>
    <t>C9J2V2</t>
  </si>
  <si>
    <t>C9J3D7</t>
  </si>
  <si>
    <t>C9J3L7</t>
  </si>
  <si>
    <t>C9J3L8</t>
  </si>
  <si>
    <t>C9J4M6</t>
  </si>
  <si>
    <t>C9J5C3</t>
  </si>
  <si>
    <t>C9J5X1</t>
  </si>
  <si>
    <t>C9J695</t>
  </si>
  <si>
    <t>C9J6Q8</t>
  </si>
  <si>
    <t>C9J712</t>
  </si>
  <si>
    <t>C9J715</t>
  </si>
  <si>
    <t>C9J7B7</t>
  </si>
  <si>
    <t>C9J7E5</t>
  </si>
  <si>
    <t>C9J7H8</t>
  </si>
  <si>
    <t>C9J8Q5</t>
  </si>
  <si>
    <t>C9J9K3</t>
  </si>
  <si>
    <t>C9JA08</t>
  </si>
  <si>
    <t>C9JA28</t>
  </si>
  <si>
    <t>C9JAB2</t>
  </si>
  <si>
    <t>C9JCC6</t>
  </si>
  <si>
    <t>C9JE12</t>
  </si>
  <si>
    <t>C9JEZ4</t>
  </si>
  <si>
    <t>C9JF58</t>
  </si>
  <si>
    <t>C9JFL8</t>
  </si>
  <si>
    <t>C9JFR7</t>
  </si>
  <si>
    <t>C9JG97</t>
  </si>
  <si>
    <t>C9JIF9</t>
  </si>
  <si>
    <t>C9JIM0</t>
  </si>
  <si>
    <t>C9JIZ6</t>
  </si>
  <si>
    <t>C9JK10</t>
  </si>
  <si>
    <t>C9JKQ7</t>
  </si>
  <si>
    <t>C9JLU1</t>
  </si>
  <si>
    <t>C9JLV4</t>
  </si>
  <si>
    <t>C9JN15</t>
  </si>
  <si>
    <t>C9JNA8</t>
  </si>
  <si>
    <t>C9JNE2</t>
  </si>
  <si>
    <t>C9JNG9</t>
  </si>
  <si>
    <t>C9JP00</t>
  </si>
  <si>
    <t>C9JP16</t>
  </si>
  <si>
    <t>C9JP85</t>
  </si>
  <si>
    <t>C9JPM4</t>
  </si>
  <si>
    <t>C9JPP2</t>
  </si>
  <si>
    <t>C9JQB1</t>
  </si>
  <si>
    <t>C9JQV3</t>
  </si>
  <si>
    <t>C9JRY4</t>
  </si>
  <si>
    <t>C9JRZ6</t>
  </si>
  <si>
    <t>C9JSG1</t>
  </si>
  <si>
    <t>C9JT28</t>
  </si>
  <si>
    <t>C9JUU5</t>
  </si>
  <si>
    <t>C9JWJ3</t>
  </si>
  <si>
    <t>C9JXB8</t>
  </si>
  <si>
    <t>C9JYJ0</t>
  </si>
  <si>
    <t>C9JYM0</t>
  </si>
  <si>
    <t>C9JYQ9</t>
  </si>
  <si>
    <t>C9JYY6</t>
  </si>
  <si>
    <t>C9JYY9</t>
  </si>
  <si>
    <t>C9JZB0</t>
  </si>
  <si>
    <t>C9JZP6</t>
  </si>
  <si>
    <t>C9JZY3</t>
  </si>
  <si>
    <t>C9K0J5</t>
  </si>
  <si>
    <t>D3YTB1</t>
  </si>
  <si>
    <t>D3YTB5</t>
  </si>
  <si>
    <t>D6R9G1</t>
  </si>
  <si>
    <t>D6R9U7</t>
  </si>
  <si>
    <t>D6R9X7</t>
  </si>
  <si>
    <t>D6R9Z7</t>
  </si>
  <si>
    <t>D6RA26</t>
  </si>
  <si>
    <t>D6RAT0</t>
  </si>
  <si>
    <t>D6RB01</t>
  </si>
  <si>
    <t>D6RB84</t>
  </si>
  <si>
    <t>D6RBS5</t>
  </si>
  <si>
    <t>D6RBW1</t>
  </si>
  <si>
    <t>D6RCD0</t>
  </si>
  <si>
    <t>D6RCD9</t>
  </si>
  <si>
    <t>D6RD46</t>
  </si>
  <si>
    <t>D6RDX7</t>
  </si>
  <si>
    <t>D6RE84</t>
  </si>
  <si>
    <t>D6REA0</t>
  </si>
  <si>
    <t>D6REL0</t>
  </si>
  <si>
    <t>D6REX3</t>
  </si>
  <si>
    <t>D6RF85</t>
  </si>
  <si>
    <t>D6RFG8</t>
  </si>
  <si>
    <t>D6RFH4</t>
  </si>
  <si>
    <t>D6RGI3</t>
  </si>
  <si>
    <t>D6RGJ7</t>
  </si>
  <si>
    <t>D6RH26</t>
  </si>
  <si>
    <t>D6RHD2</t>
  </si>
  <si>
    <t>D6RHD3</t>
  </si>
  <si>
    <t>D6RHI9</t>
  </si>
  <si>
    <t>D6RIE3</t>
  </si>
  <si>
    <t>D6RJG8</t>
  </si>
  <si>
    <t>D6W592</t>
  </si>
  <si>
    <t>E2QRB3</t>
  </si>
  <si>
    <t>E2QRD5</t>
  </si>
  <si>
    <t>E2QRF9</t>
  </si>
  <si>
    <t>E5KLJ5</t>
  </si>
  <si>
    <t>E5RFJ1</t>
  </si>
  <si>
    <t>E5RFQ1</t>
  </si>
  <si>
    <t>E5RG13</t>
  </si>
  <si>
    <t>E5RG17</t>
  </si>
  <si>
    <t>E5RG64</t>
  </si>
  <si>
    <t>E5RGX5</t>
  </si>
  <si>
    <t>E5RHG8</t>
  </si>
  <si>
    <t>E5RHG9</t>
  </si>
  <si>
    <t>E5RHK6</t>
  </si>
  <si>
    <t>E5RHT1</t>
  </si>
  <si>
    <t>E5RIH5</t>
  </si>
  <si>
    <t>E5RIJ0</t>
  </si>
  <si>
    <t>E5RIY0</t>
  </si>
  <si>
    <t>E5RJ29</t>
  </si>
  <si>
    <t>E5RJ68</t>
  </si>
  <si>
    <t>E5RJ97</t>
  </si>
  <si>
    <t>E5RJ99</t>
  </si>
  <si>
    <t>E5RJB8</t>
  </si>
  <si>
    <t>E5RJJ3</t>
  </si>
  <si>
    <t>E5RJR5</t>
  </si>
  <si>
    <t>E5RJS5</t>
  </si>
  <si>
    <t>E5RK82</t>
  </si>
  <si>
    <t>E7EM64</t>
  </si>
  <si>
    <t>E7EM93</t>
  </si>
  <si>
    <t>E7EMA9</t>
  </si>
  <si>
    <t>E7EMB1</t>
  </si>
  <si>
    <t>E7EMD6</t>
  </si>
  <si>
    <t>E7EMM4</t>
  </si>
  <si>
    <t>E7EMW7</t>
  </si>
  <si>
    <t>E7EMX7</t>
  </si>
  <si>
    <t>E7EMZ9</t>
  </si>
  <si>
    <t>E7EN86</t>
  </si>
  <si>
    <t>E7ENA9</t>
  </si>
  <si>
    <t>E7ENN3</t>
  </si>
  <si>
    <t>E7ENR4</t>
  </si>
  <si>
    <t>E7EP87</t>
  </si>
  <si>
    <t>E7EPB3</t>
  </si>
  <si>
    <t>E7EPC6</t>
  </si>
  <si>
    <t>E7EPD0</t>
  </si>
  <si>
    <t>E7EPL4</t>
  </si>
  <si>
    <t>E7EPN9</t>
  </si>
  <si>
    <t>E7EPT4</t>
  </si>
  <si>
    <t>E7EPV7</t>
  </si>
  <si>
    <t>E7EPY1</t>
  </si>
  <si>
    <t>E7EQ29</t>
  </si>
  <si>
    <t>E7EQ69</t>
  </si>
  <si>
    <t>E7EQ72</t>
  </si>
  <si>
    <t>E7EQN6</t>
  </si>
  <si>
    <t>E7EQR8</t>
  </si>
  <si>
    <t>E7EQR9</t>
  </si>
  <si>
    <t>E7EQT4</t>
  </si>
  <si>
    <t>E7EQX7</t>
  </si>
  <si>
    <t>E7EQY1</t>
  </si>
  <si>
    <t>E7ER60</t>
  </si>
  <si>
    <t>E7ER77</t>
  </si>
  <si>
    <t>E7ER89</t>
  </si>
  <si>
    <t>E7ERB7</t>
  </si>
  <si>
    <t>E7ERC6</t>
  </si>
  <si>
    <t>E7ERI8</t>
  </si>
  <si>
    <t>E7ERK9</t>
  </si>
  <si>
    <t>E7ERL6</t>
  </si>
  <si>
    <t>E7ERS3</t>
  </si>
  <si>
    <t>E7ES35</t>
  </si>
  <si>
    <t>E7ES43</t>
  </si>
  <si>
    <t>E7ES96</t>
  </si>
  <si>
    <t>E7ESG2</t>
  </si>
  <si>
    <t>E7ESP4</t>
  </si>
  <si>
    <t>E7ESP9</t>
  </si>
  <si>
    <t>E7EST9</t>
  </si>
  <si>
    <t>E7ESZ7</t>
  </si>
  <si>
    <t>E7ET49</t>
  </si>
  <si>
    <t>E7ET89</t>
  </si>
  <si>
    <t>E7ETB3</t>
  </si>
  <si>
    <t>E7ETE0</t>
  </si>
  <si>
    <t>E7ETU5</t>
  </si>
  <si>
    <t>E7ETU9</t>
  </si>
  <si>
    <t>E7ETY4</t>
  </si>
  <si>
    <t>E7ETY7</t>
  </si>
  <si>
    <t>E7ETZ0</t>
  </si>
  <si>
    <t>E7ETZ4</t>
  </si>
  <si>
    <t>E7EU09</t>
  </si>
  <si>
    <t>E7EU23</t>
  </si>
  <si>
    <t>E7EU96</t>
  </si>
  <si>
    <t>E7EUC7</t>
  </si>
  <si>
    <t>E7EUL7</t>
  </si>
  <si>
    <t>E7EUM5</t>
  </si>
  <si>
    <t>E7EUU4</t>
  </si>
  <si>
    <t>E7EUY3</t>
  </si>
  <si>
    <t>E7EV56</t>
  </si>
  <si>
    <t>E7EVA0</t>
  </si>
  <si>
    <t>E7EVC7</t>
  </si>
  <si>
    <t>E7EVD6</t>
  </si>
  <si>
    <t>E7EVH7</t>
  </si>
  <si>
    <t>E7EVH9</t>
  </si>
  <si>
    <t>E7EVJ5</t>
  </si>
  <si>
    <t>E7EVX8</t>
  </si>
  <si>
    <t>E7EW05</t>
  </si>
  <si>
    <t>E7EW20</t>
  </si>
  <si>
    <t>E7EW32</t>
  </si>
  <si>
    <t>E7EW59</t>
  </si>
  <si>
    <t>E7EW69</t>
  </si>
  <si>
    <t>E7EW77</t>
  </si>
  <si>
    <t>E7EW84</t>
  </si>
  <si>
    <t>E7EWM3</t>
  </si>
  <si>
    <t>E7EWP0</t>
  </si>
  <si>
    <t>E7EX01</t>
  </si>
  <si>
    <t>E7EX53</t>
  </si>
  <si>
    <t>E7EX90</t>
  </si>
  <si>
    <t>E9PAU2</t>
  </si>
  <si>
    <t>E9PAV9</t>
  </si>
  <si>
    <t>E9PB28</t>
  </si>
  <si>
    <t>E9PB61</t>
  </si>
  <si>
    <t>E9PB90</t>
  </si>
  <si>
    <t>E9PC15</t>
  </si>
  <si>
    <t>E9PC47</t>
  </si>
  <si>
    <t>E9PC74</t>
  </si>
  <si>
    <t>E9PC84</t>
  </si>
  <si>
    <t>E9PCH4</t>
  </si>
  <si>
    <t>E9PCN2</t>
  </si>
  <si>
    <t>E9PCW1</t>
  </si>
  <si>
    <t>E9PCX3</t>
  </si>
  <si>
    <t>E9PCY7</t>
  </si>
  <si>
    <t>E9PD53</t>
  </si>
  <si>
    <t>E9PD90</t>
  </si>
  <si>
    <t>E9PD99</t>
  </si>
  <si>
    <t>E9PDF6</t>
  </si>
  <si>
    <t>E9PDJ1</t>
  </si>
  <si>
    <t>E9PE47</t>
  </si>
  <si>
    <t>E9PE82</t>
  </si>
  <si>
    <t>E9PEJ6</t>
  </si>
  <si>
    <t>E9PEK8</t>
  </si>
  <si>
    <t>E9PEN8</t>
  </si>
  <si>
    <t>E9PEP6</t>
  </si>
  <si>
    <t>E9PER1</t>
  </si>
  <si>
    <t>E9PER6</t>
  </si>
  <si>
    <t>E9PEZ3</t>
  </si>
  <si>
    <t>E9PEZ5</t>
  </si>
  <si>
    <t>E9PF10</t>
  </si>
  <si>
    <t>E9PF16</t>
  </si>
  <si>
    <t>E9PF18</t>
  </si>
  <si>
    <t>E9PF19</t>
  </si>
  <si>
    <t>E9PFD7</t>
  </si>
  <si>
    <t>E9PFN5</t>
  </si>
  <si>
    <t>E9PFR3</t>
  </si>
  <si>
    <t>E9PFW2</t>
  </si>
  <si>
    <t>E9PFW8</t>
  </si>
  <si>
    <t>E9PG19</t>
  </si>
  <si>
    <t>E9PG22</t>
  </si>
  <si>
    <t>E9PG40</t>
  </si>
  <si>
    <t>E9PG71</t>
  </si>
  <si>
    <t>E9PGC0</t>
  </si>
  <si>
    <t>E9PGQ0</t>
  </si>
  <si>
    <t>E9PGT1</t>
  </si>
  <si>
    <t>E9PGT3</t>
  </si>
  <si>
    <t>E9PGT6</t>
  </si>
  <si>
    <t>E9PGW7</t>
  </si>
  <si>
    <t>E9PH29</t>
  </si>
  <si>
    <t>E9PHA2</t>
  </si>
  <si>
    <t>E9PHG5</t>
  </si>
  <si>
    <t>E9PHK9</t>
  </si>
  <si>
    <t>E9PHN7</t>
  </si>
  <si>
    <t>E9PHV4</t>
  </si>
  <si>
    <t>E9PIE4</t>
  </si>
  <si>
    <t>E9PIN3</t>
  </si>
  <si>
    <t>E9PIR7</t>
  </si>
  <si>
    <t>E9PJ55</t>
  </si>
  <si>
    <t>E9PJ81</t>
  </si>
  <si>
    <t>E9PJB8</t>
  </si>
  <si>
    <t>E9PJD7</t>
  </si>
  <si>
    <t>E9PJH1</t>
  </si>
  <si>
    <t>E9PJK1</t>
  </si>
  <si>
    <t>E9PJW9</t>
  </si>
  <si>
    <t>E9PK01</t>
  </si>
  <si>
    <t>E9PK12</t>
  </si>
  <si>
    <t>E9PK91</t>
  </si>
  <si>
    <t>E9PKA7</t>
  </si>
  <si>
    <t>E9PKG1</t>
  </si>
  <si>
    <t>E9PKS9</t>
  </si>
  <si>
    <t>E9PKT4</t>
  </si>
  <si>
    <t>E9PKV8</t>
  </si>
  <si>
    <t>E9PKZ0</t>
  </si>
  <si>
    <t>E9PL01</t>
  </si>
  <si>
    <t>E9PL10</t>
  </si>
  <si>
    <t>E9PL17</t>
  </si>
  <si>
    <t>E9PL22</t>
  </si>
  <si>
    <t>E9PL40</t>
  </si>
  <si>
    <t>E9PL57</t>
  </si>
  <si>
    <t>E9PLB8</t>
  </si>
  <si>
    <t>E9PLK3</t>
  </si>
  <si>
    <t>E9PLL6</t>
  </si>
  <si>
    <t>E9PLV6</t>
  </si>
  <si>
    <t>E9PM46</t>
  </si>
  <si>
    <t>E9PMI6</t>
  </si>
  <si>
    <t>E9PMJ2</t>
  </si>
  <si>
    <t>E9PMQ6</t>
  </si>
  <si>
    <t>E9PMR5</t>
  </si>
  <si>
    <t>E9PND3</t>
  </si>
  <si>
    <t>E9PNK6</t>
  </si>
  <si>
    <t>E9PNN3</t>
  </si>
  <si>
    <t>E9PNP3</t>
  </si>
  <si>
    <t>E9PNT2</t>
  </si>
  <si>
    <t>E9PNW4</t>
  </si>
  <si>
    <t>E9PPM8</t>
  </si>
  <si>
    <t>E9PPU0</t>
  </si>
  <si>
    <t>E9PQ61</t>
  </si>
  <si>
    <t>E9PQQ5</t>
  </si>
  <si>
    <t>E9PQR7</t>
  </si>
  <si>
    <t>E9PQY3</t>
  </si>
  <si>
    <t>E9PR30</t>
  </si>
  <si>
    <t>E9PR76</t>
  </si>
  <si>
    <t>E9PRJ3</t>
  </si>
  <si>
    <t>E9PS17</t>
  </si>
  <si>
    <t>E9PS38</t>
  </si>
  <si>
    <t>E9PS97</t>
  </si>
  <si>
    <t>E9PSD7</t>
  </si>
  <si>
    <t>E9PSI1</t>
  </si>
  <si>
    <t>F2Z2A7</t>
  </si>
  <si>
    <t>F2Z2E2</t>
  </si>
  <si>
    <t>F2Z2U8</t>
  </si>
  <si>
    <t>F2Z2W6</t>
  </si>
  <si>
    <t>F2Z2W7</t>
  </si>
  <si>
    <t>F2Z2X4</t>
  </si>
  <si>
    <t>F5GWE5</t>
  </si>
  <si>
    <t>F5GWI9</t>
  </si>
  <si>
    <t>F5GWU7</t>
  </si>
  <si>
    <t>F5GWX5</t>
  </si>
  <si>
    <t>F5GWY5</t>
  </si>
  <si>
    <t>F5GX09</t>
  </si>
  <si>
    <t>F5GXC8</t>
  </si>
  <si>
    <t>F5GXE4</t>
  </si>
  <si>
    <t>F5GXI4</t>
  </si>
  <si>
    <t>F5GXX5</t>
  </si>
  <si>
    <t>F5GY92</t>
  </si>
  <si>
    <t>F5GY99</t>
  </si>
  <si>
    <t>F5GYC1</t>
  </si>
  <si>
    <t>F5GYE8</t>
  </si>
  <si>
    <t>F5GYJ5</t>
  </si>
  <si>
    <t>F5GYK2</t>
  </si>
  <si>
    <t>F5GYN4</t>
  </si>
  <si>
    <t>F5GYQ1</t>
  </si>
  <si>
    <t>F5GZ78</t>
  </si>
  <si>
    <t>F5GZ84</t>
  </si>
  <si>
    <t>F5GZN3</t>
  </si>
  <si>
    <t>F5GZP3</t>
  </si>
  <si>
    <t>F5GZS0</t>
  </si>
  <si>
    <t>F5GZS6</t>
  </si>
  <si>
    <t>F5GZU5</t>
  </si>
  <si>
    <t>F5GZX9</t>
  </si>
  <si>
    <t>F5GZZ0</t>
  </si>
  <si>
    <t>F5H012</t>
  </si>
  <si>
    <t>F5H0L8</t>
  </si>
  <si>
    <t>F5H0R1</t>
  </si>
  <si>
    <t>F5H0U5</t>
  </si>
  <si>
    <t>F5H156</t>
  </si>
  <si>
    <t>F5H1G9</t>
  </si>
  <si>
    <t>F5H1H0</t>
  </si>
  <si>
    <t>F5H1L4</t>
  </si>
  <si>
    <t>F5H1N7</t>
  </si>
  <si>
    <t>F5H1U9</t>
  </si>
  <si>
    <t>F5H1X8</t>
  </si>
  <si>
    <t>F5H2H5</t>
  </si>
  <si>
    <t>F5H2J3</t>
  </si>
  <si>
    <t>F5H2M7</t>
  </si>
  <si>
    <t>F5H2Q7</t>
  </si>
  <si>
    <t>F5H2S7</t>
  </si>
  <si>
    <t>F5H2U7</t>
  </si>
  <si>
    <t>F5H2U8</t>
  </si>
  <si>
    <t>F5H2V5</t>
  </si>
  <si>
    <t>F5H2X3</t>
  </si>
  <si>
    <t>F5H365</t>
  </si>
  <si>
    <t>F5H450</t>
  </si>
  <si>
    <t>F5H4F1</t>
  </si>
  <si>
    <t>F5H4G7</t>
  </si>
  <si>
    <t>F5H4I5</t>
  </si>
  <si>
    <t>F5H4J2</t>
  </si>
  <si>
    <t>F5H4K0</t>
  </si>
  <si>
    <t>F5H4Q5</t>
  </si>
  <si>
    <t>F5H4R0</t>
  </si>
  <si>
    <t>F5H4V9</t>
  </si>
  <si>
    <t>F5H4Z3</t>
  </si>
  <si>
    <t>F5H527</t>
  </si>
  <si>
    <t>F5H564</t>
  </si>
  <si>
    <t>F5H569</t>
  </si>
  <si>
    <t>F5H5D3</t>
  </si>
  <si>
    <t>F5H5K6</t>
  </si>
  <si>
    <t>F5H5N1</t>
  </si>
  <si>
    <t>F5H5P2</t>
  </si>
  <si>
    <t>F5H5R8</t>
  </si>
  <si>
    <t>F5H620</t>
  </si>
  <si>
    <t>F5H648</t>
  </si>
  <si>
    <t>F5H685</t>
  </si>
  <si>
    <t>F5H698</t>
  </si>
  <si>
    <t>F5H6I7</t>
  </si>
  <si>
    <t>F5H702</t>
  </si>
  <si>
    <t>F5H715</t>
  </si>
  <si>
    <t>F5H721</t>
  </si>
  <si>
    <t>F5H7C4</t>
  </si>
  <si>
    <t>F5H7J5</t>
  </si>
  <si>
    <t>F5H7K3</t>
  </si>
  <si>
    <t>F5H7M3</t>
  </si>
  <si>
    <t>F5H7Q8</t>
  </si>
  <si>
    <t>F5H7W5</t>
  </si>
  <si>
    <t>F5H843</t>
  </si>
  <si>
    <t>F5H860</t>
  </si>
  <si>
    <t>F5H897</t>
  </si>
  <si>
    <t>F5H8D7</t>
  </si>
  <si>
    <t>F5H8G1</t>
  </si>
  <si>
    <t>F5H8J3</t>
  </si>
  <si>
    <t>F5H8L0</t>
  </si>
  <si>
    <t>F6PQP6</t>
  </si>
  <si>
    <t>F6RY50</t>
  </si>
  <si>
    <t>F6S0T5</t>
  </si>
  <si>
    <t>F6SS63</t>
  </si>
  <si>
    <t>F6T1Q0</t>
  </si>
  <si>
    <t>F6XY72</t>
  </si>
  <si>
    <t>F6YA60</t>
  </si>
  <si>
    <t>F8VP89</t>
  </si>
  <si>
    <t>F8VPD4</t>
  </si>
  <si>
    <t>F8VQ10</t>
  </si>
  <si>
    <t>F8VQD4</t>
  </si>
  <si>
    <t>F8VQX6</t>
  </si>
  <si>
    <t>F8VQY2</t>
  </si>
  <si>
    <t>F8VQZ7</t>
  </si>
  <si>
    <t>F8VR76</t>
  </si>
  <si>
    <t>F8VS47</t>
  </si>
  <si>
    <t>F8VSL3</t>
  </si>
  <si>
    <t>F8VSZ4</t>
  </si>
  <si>
    <t>F8VUA7</t>
  </si>
  <si>
    <t>F8VUY8</t>
  </si>
  <si>
    <t>F8VVA7</t>
  </si>
  <si>
    <t>F8VW96</t>
  </si>
  <si>
    <t>F8VWA5</t>
  </si>
  <si>
    <t>F8VWA9</t>
  </si>
  <si>
    <t>F8VWE0</t>
  </si>
  <si>
    <t>F8VWH9</t>
  </si>
  <si>
    <t>F8VWL0</t>
  </si>
  <si>
    <t>F8VX04</t>
  </si>
  <si>
    <t>F8VXC8</t>
  </si>
  <si>
    <t>F8VXG7</t>
  </si>
  <si>
    <t>F8VYZ4</t>
  </si>
  <si>
    <t>F8VZ44</t>
  </si>
  <si>
    <t>F8VZJ2</t>
  </si>
  <si>
    <t>F8W038</t>
  </si>
  <si>
    <t>F8W0J4</t>
  </si>
  <si>
    <t>F8W0J6</t>
  </si>
  <si>
    <t>F8W0W8</t>
  </si>
  <si>
    <t>F8W145</t>
  </si>
  <si>
    <t>F8W181</t>
  </si>
  <si>
    <t>F8W1R0</t>
  </si>
  <si>
    <t>F8W1T9</t>
  </si>
  <si>
    <t>F8W681</t>
  </si>
  <si>
    <t>F8W6I7</t>
  </si>
  <si>
    <t>F8W6N3</t>
  </si>
  <si>
    <t>F8W6N6</t>
  </si>
  <si>
    <t>F8W6T6</t>
  </si>
  <si>
    <t>F8W6X9</t>
  </si>
  <si>
    <t>F8W717</t>
  </si>
  <si>
    <t>F8W726</t>
  </si>
  <si>
    <t>F8W782</t>
  </si>
  <si>
    <t>F8W7D6</t>
  </si>
  <si>
    <t>F8W7Q4</t>
  </si>
  <si>
    <t>F8W7S1</t>
  </si>
  <si>
    <t>F8W810</t>
  </si>
  <si>
    <t>F8W8I6</t>
  </si>
  <si>
    <t>F8W8M4</t>
  </si>
  <si>
    <t>F8W8P5</t>
  </si>
  <si>
    <t>F8W8Q9</t>
  </si>
  <si>
    <t>F8W8R3</t>
  </si>
  <si>
    <t>F8W8Z9</t>
  </si>
  <si>
    <t>F8W930</t>
  </si>
  <si>
    <t>F8W9B8</t>
  </si>
  <si>
    <t>F8W9F9</t>
  </si>
  <si>
    <t>F8W9R9</t>
  </si>
  <si>
    <t>F8W9Z6</t>
  </si>
  <si>
    <t>F8WA11</t>
  </si>
  <si>
    <t>F8WA86</t>
  </si>
  <si>
    <t>F8WAC3</t>
  </si>
  <si>
    <t>F8WAD8</t>
  </si>
  <si>
    <t>F8WAE5</t>
  </si>
  <si>
    <t>F8WAK8</t>
  </si>
  <si>
    <t>F8WAN1</t>
  </si>
  <si>
    <t>F8WBH3</t>
  </si>
  <si>
    <t>F8WBK5</t>
  </si>
  <si>
    <t>F8WC68</t>
  </si>
  <si>
    <t>F8WC89</t>
  </si>
  <si>
    <t>F8WCX2</t>
  </si>
  <si>
    <t>F8WE91</t>
  </si>
  <si>
    <t>F8WEE4</t>
  </si>
  <si>
    <t>F8WEG4</t>
  </si>
  <si>
    <t>F8WF93</t>
  </si>
  <si>
    <t>G3V0I5</t>
  </si>
  <si>
    <t>G3V0I6</t>
  </si>
  <si>
    <t>G3V130</t>
  </si>
  <si>
    <t>G3V1D3</t>
  </si>
  <si>
    <t>G3V1K3</t>
  </si>
  <si>
    <t>G3V1N2</t>
  </si>
  <si>
    <t>G3V1P3</t>
  </si>
  <si>
    <t>G3V1R3</t>
  </si>
  <si>
    <t>G3V1R9</t>
  </si>
  <si>
    <t>G3V1S6</t>
  </si>
  <si>
    <t>G3V1U0</t>
  </si>
  <si>
    <t>G3V1U5</t>
  </si>
  <si>
    <t>G3V203</t>
  </si>
  <si>
    <t>G3V238</t>
  </si>
  <si>
    <t>G3V2F7</t>
  </si>
  <si>
    <t>G3V2J7</t>
  </si>
  <si>
    <t>G3V2N2</t>
  </si>
  <si>
    <t>G3V325</t>
  </si>
  <si>
    <t>G3V3G9</t>
  </si>
  <si>
    <t>G3V3M6</t>
  </si>
  <si>
    <t>G3V3R7</t>
  </si>
  <si>
    <t>G3V439</t>
  </si>
  <si>
    <t>G3V541</t>
  </si>
  <si>
    <t>G3V578</t>
  </si>
  <si>
    <t>G3V583</t>
  </si>
  <si>
    <t>G3V599</t>
  </si>
  <si>
    <t>G3V5E1</t>
  </si>
  <si>
    <t>G3V5T0</t>
  </si>
  <si>
    <t>G3V5T9</t>
  </si>
  <si>
    <t>G3V5X4</t>
  </si>
  <si>
    <t>G3V5Z7</t>
  </si>
  <si>
    <t>G3XA81</t>
  </si>
  <si>
    <t>G3XAA0</t>
  </si>
  <si>
    <t>G3XAA2</t>
  </si>
  <si>
    <t>G3XAI2</t>
  </si>
  <si>
    <t>G3XAN8</t>
  </si>
  <si>
    <t>G3XAP3</t>
  </si>
  <si>
    <t>G5E979</t>
  </si>
  <si>
    <t>G5E994</t>
  </si>
  <si>
    <t>G5E9A6</t>
  </si>
  <si>
    <t>G5E9C8</t>
  </si>
  <si>
    <t>G5E9E7</t>
  </si>
  <si>
    <t>G5E9T8</t>
  </si>
  <si>
    <t>G5E9Z4</t>
  </si>
  <si>
    <t>G5EA30</t>
  </si>
  <si>
    <t>G5EA42</t>
  </si>
  <si>
    <t>G5EA52</t>
  </si>
  <si>
    <t>G5EA54</t>
  </si>
  <si>
    <t>G8JL86</t>
  </si>
  <si>
    <t>G8JL98</t>
  </si>
  <si>
    <t>G8JLA2</t>
  </si>
  <si>
    <t>G8JLB3</t>
  </si>
  <si>
    <t>G8JLC6</t>
  </si>
  <si>
    <t>G8JLD3</t>
  </si>
  <si>
    <t>G8JLH2</t>
  </si>
  <si>
    <t>G8JLI5</t>
  </si>
  <si>
    <t>G8JLI6</t>
  </si>
  <si>
    <t>G8JLK4</t>
  </si>
  <si>
    <t>G8JLL2</t>
  </si>
  <si>
    <t>G8JLL7</t>
  </si>
  <si>
    <t>H0UI80</t>
  </si>
  <si>
    <t>H0Y2L5</t>
  </si>
  <si>
    <t>H0Y2P9</t>
  </si>
  <si>
    <t>H0Y2V6</t>
  </si>
  <si>
    <t>H0Y327</t>
  </si>
  <si>
    <t>H0Y360</t>
  </si>
  <si>
    <t>H0Y362</t>
  </si>
  <si>
    <t>H0Y384</t>
  </si>
  <si>
    <t>H0Y3A0</t>
  </si>
  <si>
    <t>H0Y3A3</t>
  </si>
  <si>
    <t>H0Y3P2</t>
  </si>
  <si>
    <t>H0Y3X6</t>
  </si>
  <si>
    <t>H0Y4M8</t>
  </si>
  <si>
    <t>H0Y4R1</t>
  </si>
  <si>
    <t>H0Y544</t>
  </si>
  <si>
    <t>H0Y5C0</t>
  </si>
  <si>
    <t>H0Y5Y0</t>
  </si>
  <si>
    <t>H0Y612</t>
  </si>
  <si>
    <t>H0Y614</t>
  </si>
  <si>
    <t>H0Y6A0</t>
  </si>
  <si>
    <t>H0Y6F5</t>
  </si>
  <si>
    <t>H0Y6I0</t>
  </si>
  <si>
    <t>H0Y6J0</t>
  </si>
  <si>
    <t>H0Y6K2</t>
  </si>
  <si>
    <t>H0Y6K5</t>
  </si>
  <si>
    <t>H0Y7L9</t>
  </si>
  <si>
    <t>H0Y860</t>
  </si>
  <si>
    <t>H0Y8C3</t>
  </si>
  <si>
    <t>H0Y9S9</t>
  </si>
  <si>
    <t>H0Y9V2</t>
  </si>
  <si>
    <t>H0Y9X1</t>
  </si>
  <si>
    <t>H0YA61</t>
  </si>
  <si>
    <t>H0YAJ5</t>
  </si>
  <si>
    <t>H0YAT2</t>
  </si>
  <si>
    <t>H0YB09</t>
  </si>
  <si>
    <t>H0YBS1</t>
  </si>
  <si>
    <t>H0YCG2</t>
  </si>
  <si>
    <t>H0YCK3</t>
  </si>
  <si>
    <t>H0YDQ1</t>
  </si>
  <si>
    <t>H0YDR5</t>
  </si>
  <si>
    <t>H0YDU8</t>
  </si>
  <si>
    <t>H0YE23</t>
  </si>
  <si>
    <t>H0YEB6</t>
  </si>
  <si>
    <t>H0YEF3</t>
  </si>
  <si>
    <t>H0YEN5</t>
  </si>
  <si>
    <t>H0YF29</t>
  </si>
  <si>
    <t>H0YGA7</t>
  </si>
  <si>
    <t>H0YGR4</t>
  </si>
  <si>
    <t>H0YGT9</t>
  </si>
  <si>
    <t>H0YH87</t>
  </si>
  <si>
    <t>H0YI02</t>
  </si>
  <si>
    <t>H0YIE9</t>
  </si>
  <si>
    <t>H0YIV5</t>
  </si>
  <si>
    <t>H0YIV9</t>
  </si>
  <si>
    <t>H0YK61</t>
  </si>
  <si>
    <t>H0YKT5</t>
  </si>
  <si>
    <t>H0YL72</t>
  </si>
  <si>
    <t>H0YLB5</t>
  </si>
  <si>
    <t>H0YLY9</t>
  </si>
  <si>
    <t>H0YMB3</t>
  </si>
  <si>
    <t>H0YMF4</t>
  </si>
  <si>
    <t>H0YMI8</t>
  </si>
  <si>
    <t>H0YMJ1</t>
  </si>
  <si>
    <t>H0YMW2</t>
  </si>
  <si>
    <t>H0YNG3</t>
  </si>
  <si>
    <t>H2N331</t>
  </si>
  <si>
    <t>H3BLU7</t>
  </si>
  <si>
    <t>H3BLW6</t>
  </si>
  <si>
    <t>H3BLW9</t>
  </si>
  <si>
    <t>H3BLZ2</t>
  </si>
  <si>
    <t>H3BLZ8</t>
  </si>
  <si>
    <t>H3BM14</t>
  </si>
  <si>
    <t>H3BMD8</t>
  </si>
  <si>
    <t>H3BMF4</t>
  </si>
  <si>
    <t>H3BMJ2</t>
  </si>
  <si>
    <t>H3BMM5</t>
  </si>
  <si>
    <t>H3BMS0</t>
  </si>
  <si>
    <t>H3BMV2</t>
  </si>
  <si>
    <t>H3BN87</t>
  </si>
  <si>
    <t>H3BN98</t>
  </si>
  <si>
    <t>H3BNA7</t>
  </si>
  <si>
    <t>H3BP20</t>
  </si>
  <si>
    <t>H3BPC4</t>
  </si>
  <si>
    <t>H3BPE1</t>
  </si>
  <si>
    <t>H3BPK3</t>
  </si>
  <si>
    <t>H3BPL0</t>
  </si>
  <si>
    <t>H3BPQ3</t>
  </si>
  <si>
    <t>H3BPR3</t>
  </si>
  <si>
    <t>H3BPS8</t>
  </si>
  <si>
    <t>H3BQA0</t>
  </si>
  <si>
    <t>H3BQZ7</t>
  </si>
  <si>
    <t>H3BR06</t>
  </si>
  <si>
    <t>H3BR94</t>
  </si>
  <si>
    <t>H3BRB6</t>
  </si>
  <si>
    <t>H3BRD1</t>
  </si>
  <si>
    <t>H3BRD2</t>
  </si>
  <si>
    <t>H3BRF9</t>
  </si>
  <si>
    <t>H3BRL3</t>
  </si>
  <si>
    <t>H3BRQ8</t>
  </si>
  <si>
    <t>H3BRS1</t>
  </si>
  <si>
    <t>H3BRU1</t>
  </si>
  <si>
    <t>H3BRV0</t>
  </si>
  <si>
    <t>H3BRY6</t>
  </si>
  <si>
    <t>H3BS42</t>
  </si>
  <si>
    <t>H3BS89</t>
  </si>
  <si>
    <t>H3BSB6</t>
  </si>
  <si>
    <t>H3BSH5</t>
  </si>
  <si>
    <t>H3BSM5</t>
  </si>
  <si>
    <t>H3BSM7</t>
  </si>
  <si>
    <t>H3BSW6</t>
  </si>
  <si>
    <t>H3BT12</t>
  </si>
  <si>
    <t>H3BTH4</t>
  </si>
  <si>
    <t>H3BTL1</t>
  </si>
  <si>
    <t>H3BTL2</t>
  </si>
  <si>
    <t>H3BTX0</t>
  </si>
  <si>
    <t>H3BU49</t>
  </si>
  <si>
    <t>H3BU63</t>
  </si>
  <si>
    <t>H3BUF6</t>
  </si>
  <si>
    <t>H3BUQ2</t>
  </si>
  <si>
    <t>H3BV23</t>
  </si>
  <si>
    <t>H7BXD5</t>
  </si>
  <si>
    <t>H7BXH2</t>
  </si>
  <si>
    <t>H7BXI5</t>
  </si>
  <si>
    <t>H7BXT7</t>
  </si>
  <si>
    <t>H7BXY6</t>
  </si>
  <si>
    <t>H7BY58</t>
  </si>
  <si>
    <t>H7BYE5</t>
  </si>
  <si>
    <t>H7BYQ6</t>
  </si>
  <si>
    <t>H7BYY1</t>
  </si>
  <si>
    <t>H7BYY4</t>
  </si>
  <si>
    <t>H7BZJ3</t>
  </si>
  <si>
    <t>H7C0G7</t>
  </si>
  <si>
    <t>H7C0T2</t>
  </si>
  <si>
    <t>H7C107</t>
  </si>
  <si>
    <t>H7C112</t>
  </si>
  <si>
    <t>H7C173</t>
  </si>
  <si>
    <t>H7C1E4</t>
  </si>
  <si>
    <t>H7C1U3</t>
  </si>
  <si>
    <t>H7C1U8</t>
  </si>
  <si>
    <t>H7C293</t>
  </si>
  <si>
    <t>H7C2E6</t>
  </si>
  <si>
    <t>H7C3C7</t>
  </si>
  <si>
    <t>H7C3D5</t>
  </si>
  <si>
    <t>H7C3D8</t>
  </si>
  <si>
    <t>H7C3P4</t>
  </si>
  <si>
    <t>H7C3U2</t>
  </si>
  <si>
    <t>H7C444</t>
  </si>
  <si>
    <t>H7C484</t>
  </si>
  <si>
    <t>H7C525</t>
  </si>
  <si>
    <t>H7C5G1</t>
  </si>
  <si>
    <t>H7C5R4</t>
  </si>
  <si>
    <t>H9KV44</t>
  </si>
  <si>
    <t>H9KV59</t>
  </si>
  <si>
    <t>H9KV61</t>
  </si>
  <si>
    <t>H9KVB8</t>
  </si>
  <si>
    <t>H9KVC5</t>
  </si>
  <si>
    <t>H9ZYI9</t>
  </si>
  <si>
    <t>I3L097</t>
  </si>
  <si>
    <t>I3L0A4</t>
  </si>
  <si>
    <t>I3L0K1</t>
  </si>
  <si>
    <t>I3L0L6</t>
  </si>
  <si>
    <t>I3L0N3</t>
  </si>
  <si>
    <t>I3L0T6</t>
  </si>
  <si>
    <t>I3L0U9</t>
  </si>
  <si>
    <t>I3L1H5</t>
  </si>
  <si>
    <t>I3L1P8</t>
  </si>
  <si>
    <t>I3L2B0</t>
  </si>
  <si>
    <t>I3L2C7</t>
  </si>
  <si>
    <t>I3L2J8</t>
  </si>
  <si>
    <t>I3L2L5</t>
  </si>
  <si>
    <t>I3L2N2</t>
  </si>
  <si>
    <t>I3L3A8</t>
  </si>
  <si>
    <t>I3L3B4</t>
  </si>
  <si>
    <t>I3L448</t>
  </si>
  <si>
    <t>I3L4V0</t>
  </si>
  <si>
    <t>I3L4X3</t>
  </si>
  <si>
    <t>J3KMY5</t>
  </si>
  <si>
    <t>J3KMZ8</t>
  </si>
  <si>
    <t>J3KMZ9</t>
  </si>
  <si>
    <t>J3KN16</t>
  </si>
  <si>
    <t>J3KN27</t>
  </si>
  <si>
    <t>J3KN29</t>
  </si>
  <si>
    <t>J3KN49</t>
  </si>
  <si>
    <t>J3KN59</t>
  </si>
  <si>
    <t>J3KN66</t>
  </si>
  <si>
    <t>J3KN67</t>
  </si>
  <si>
    <t>J3KN69</t>
  </si>
  <si>
    <t>J3KNA0</t>
  </si>
  <si>
    <t>J3KNC0</t>
  </si>
  <si>
    <t>J3KNF4</t>
  </si>
  <si>
    <t>J3KNG8</t>
  </si>
  <si>
    <t>J3KNI1</t>
  </si>
  <si>
    <t>J3KNL3</t>
  </si>
  <si>
    <t>J3KNL6</t>
  </si>
  <si>
    <t>J3KNL9</t>
  </si>
  <si>
    <t>J3KNN7</t>
  </si>
  <si>
    <t>J3KNQ1</t>
  </si>
  <si>
    <t>J3KNR0</t>
  </si>
  <si>
    <t>J3KNU8</t>
  </si>
  <si>
    <t>J3KNW4</t>
  </si>
  <si>
    <t>J3KNY6</t>
  </si>
  <si>
    <t>J3KP15</t>
  </si>
  <si>
    <t>J3KP22</t>
  </si>
  <si>
    <t>J3KP26</t>
  </si>
  <si>
    <t>J3KP29</t>
  </si>
  <si>
    <t>J3KP30</t>
  </si>
  <si>
    <t>J3KP75</t>
  </si>
  <si>
    <t>J3KP99</t>
  </si>
  <si>
    <t>J3KPF9</t>
  </si>
  <si>
    <t>J3KPH8</t>
  </si>
  <si>
    <t>J3KPJ3</t>
  </si>
  <si>
    <t>J3KPK1</t>
  </si>
  <si>
    <t>J3KPN1</t>
  </si>
  <si>
    <t>J3KPP4</t>
  </si>
  <si>
    <t>J3KPP7</t>
  </si>
  <si>
    <t>J3KPT4</t>
  </si>
  <si>
    <t>J3KPV1</t>
  </si>
  <si>
    <t>J3KPV7</t>
  </si>
  <si>
    <t>J3KPW1</t>
  </si>
  <si>
    <t>J3KPW7</t>
  </si>
  <si>
    <t>J3KPZ8</t>
  </si>
  <si>
    <t>J3KQ32</t>
  </si>
  <si>
    <t>J3KQ48</t>
  </si>
  <si>
    <t>J3KQ88</t>
  </si>
  <si>
    <t>J3KQB0</t>
  </si>
  <si>
    <t>J3KQE0</t>
  </si>
  <si>
    <t>J3KQE5</t>
  </si>
  <si>
    <t>J3KQG4</t>
  </si>
  <si>
    <t>J3KQJ1</t>
  </si>
  <si>
    <t>J3KQL8</t>
  </si>
  <si>
    <t>J3KQU9</t>
  </si>
  <si>
    <t>J3KR35</t>
  </si>
  <si>
    <t>J3KR97</t>
  </si>
  <si>
    <t>J3KRC8</t>
  </si>
  <si>
    <t>J3KRH1</t>
  </si>
  <si>
    <t>J3KRN4</t>
  </si>
  <si>
    <t>J3KS05</t>
  </si>
  <si>
    <t>J3KS15</t>
  </si>
  <si>
    <t>J3KS81</t>
  </si>
  <si>
    <t>J3KSD8</t>
  </si>
  <si>
    <t>J3KSH1</t>
  </si>
  <si>
    <t>J3KTA1</t>
  </si>
  <si>
    <t>J3KTD6</t>
  </si>
  <si>
    <t>J3KTL2</t>
  </si>
  <si>
    <t>J3QK89</t>
  </si>
  <si>
    <t>J3QKS7</t>
  </si>
  <si>
    <t>J3QL56</t>
  </si>
  <si>
    <t>J3QL63</t>
  </si>
  <si>
    <t>J3QL71</t>
  </si>
  <si>
    <t>J3QLB2</t>
  </si>
  <si>
    <t>J3QLD9</t>
  </si>
  <si>
    <t>J3QLR8</t>
  </si>
  <si>
    <t>J3QLS3</t>
  </si>
  <si>
    <t>J3QQJ0</t>
  </si>
  <si>
    <t>J3QQT2</t>
  </si>
  <si>
    <t>J3QQX3</t>
  </si>
  <si>
    <t>J3QQY0</t>
  </si>
  <si>
    <t>J3QR01</t>
  </si>
  <si>
    <t>J3QR07</t>
  </si>
  <si>
    <t>J3QR09</t>
  </si>
  <si>
    <t>J3QRD1</t>
  </si>
  <si>
    <t>J3QRK9</t>
  </si>
  <si>
    <t>J3QRM9</t>
  </si>
  <si>
    <t>J3QRS3</t>
  </si>
  <si>
    <t>J3QRS9</t>
  </si>
  <si>
    <t>J3QRU1</t>
  </si>
  <si>
    <t>J3QRU4</t>
  </si>
  <si>
    <t>J3QS41</t>
  </si>
  <si>
    <t>J3QSD7</t>
  </si>
  <si>
    <t>J3QSR7</t>
  </si>
  <si>
    <t>J3QT56</t>
  </si>
  <si>
    <t>J3QT73</t>
  </si>
  <si>
    <t>J3QTA6</t>
  </si>
  <si>
    <t>J3QTQ0</t>
  </si>
  <si>
    <t>J9JIC5</t>
  </si>
  <si>
    <t>J9JID7</t>
  </si>
  <si>
    <t>J9JID9</t>
  </si>
  <si>
    <t>J9JIE6</t>
  </si>
  <si>
    <t>J9JIG6</t>
  </si>
  <si>
    <t>K4DI92</t>
  </si>
  <si>
    <t>K4DI93</t>
  </si>
  <si>
    <t>K7EID0</t>
  </si>
  <si>
    <t>K7EIE8</t>
  </si>
  <si>
    <t>K7EIG1</t>
  </si>
  <si>
    <t>K7EIK7</t>
  </si>
  <si>
    <t>K7EIL6</t>
  </si>
  <si>
    <t>K7EIP7</t>
  </si>
  <si>
    <t>K7EIS0</t>
  </si>
  <si>
    <t>K7EIU8</t>
  </si>
  <si>
    <t>K7EJ08</t>
  </si>
  <si>
    <t>K7EJ78</t>
  </si>
  <si>
    <t>K7EJH0</t>
  </si>
  <si>
    <t>K7EJL1</t>
  </si>
  <si>
    <t>K7EJQ7</t>
  </si>
  <si>
    <t>K7EK07</t>
  </si>
  <si>
    <t>K7EK99</t>
  </si>
  <si>
    <t>K7EKE6</t>
  </si>
  <si>
    <t>K7EKI4</t>
  </si>
  <si>
    <t>K7EKS3</t>
  </si>
  <si>
    <t>K7EKW3</t>
  </si>
  <si>
    <t>K7EL68</t>
  </si>
  <si>
    <t>K7EL81</t>
  </si>
  <si>
    <t>K7ELC7</t>
  </si>
  <si>
    <t>K7ELL7</t>
  </si>
  <si>
    <t>K7ELY2</t>
  </si>
  <si>
    <t>K7EM02</t>
  </si>
  <si>
    <t>K7EM09</t>
  </si>
  <si>
    <t>K7EM38</t>
  </si>
  <si>
    <t>K7EN05</t>
  </si>
  <si>
    <t>K7EN78</t>
  </si>
  <si>
    <t>K7ENF0</t>
  </si>
  <si>
    <t>K7ENL9</t>
  </si>
  <si>
    <t>K7ENR1</t>
  </si>
  <si>
    <t>K7EP31</t>
  </si>
  <si>
    <t>K7EP32</t>
  </si>
  <si>
    <t>K7EPX7</t>
  </si>
  <si>
    <t>K7EQ77</t>
  </si>
  <si>
    <t>K7EQG1</t>
  </si>
  <si>
    <t>K7EQL6</t>
  </si>
  <si>
    <t>K7ER00</t>
  </si>
  <si>
    <t>K7ER93</t>
  </si>
  <si>
    <t>K7ERF1</t>
  </si>
  <si>
    <t>K7ERH7</t>
  </si>
  <si>
    <t>K7ERQ0</t>
  </si>
  <si>
    <t>K7ERS5</t>
  </si>
  <si>
    <t>K7ES11</t>
  </si>
  <si>
    <t>K7ES84</t>
  </si>
  <si>
    <t>K7ESA4</t>
  </si>
  <si>
    <t>K7ESE3</t>
  </si>
  <si>
    <t>K7ESE6</t>
  </si>
  <si>
    <t>K7ESI9</t>
  </si>
  <si>
    <t>K7ESL1</t>
  </si>
  <si>
    <t>K7ESP4</t>
  </si>
  <si>
    <t>M0QWZ7</t>
  </si>
  <si>
    <t>M0QX07</t>
  </si>
  <si>
    <t>M0QXA7</t>
  </si>
  <si>
    <t>M0QXB4</t>
  </si>
  <si>
    <t>M0QXB5</t>
  </si>
  <si>
    <t>M0QXD0</t>
  </si>
  <si>
    <t>M0QXN5</t>
  </si>
  <si>
    <t>M0QXT0</t>
  </si>
  <si>
    <t>M0QXZ5</t>
  </si>
  <si>
    <t>M0QY77</t>
  </si>
  <si>
    <t>M0QYA2</t>
  </si>
  <si>
    <t>M0QYH2</t>
  </si>
  <si>
    <t>M0QYM7</t>
  </si>
  <si>
    <t>M0QYS1</t>
  </si>
  <si>
    <t>M0QYT5</t>
  </si>
  <si>
    <t>M0QZ12</t>
  </si>
  <si>
    <t>M0QZ21</t>
  </si>
  <si>
    <t>M0QZ23</t>
  </si>
  <si>
    <t>M0QZC7</t>
  </si>
  <si>
    <t>M0QZM1</t>
  </si>
  <si>
    <t>M0QZW1</t>
  </si>
  <si>
    <t>M0R042</t>
  </si>
  <si>
    <t>M0R0E9</t>
  </si>
  <si>
    <t>M0R0F0</t>
  </si>
  <si>
    <t>M0R116</t>
  </si>
  <si>
    <t>M0R117</t>
  </si>
  <si>
    <t>M0R150</t>
  </si>
  <si>
    <t>M0R1E0</t>
  </si>
  <si>
    <t>M0R226</t>
  </si>
  <si>
    <t>M0R299</t>
  </si>
  <si>
    <t>M0R2A0</t>
  </si>
  <si>
    <t>M0R2B7</t>
  </si>
  <si>
    <t>M0R2D3</t>
  </si>
  <si>
    <t>M0R3D4</t>
  </si>
  <si>
    <t>O00116</t>
  </si>
  <si>
    <t>O00124-3</t>
  </si>
  <si>
    <t>O00139-2</t>
  </si>
  <si>
    <t>O00148</t>
  </si>
  <si>
    <t>O00151</t>
  </si>
  <si>
    <t>O00154-4</t>
  </si>
  <si>
    <t>O00159</t>
  </si>
  <si>
    <t>O00161</t>
  </si>
  <si>
    <t>O00165-5</t>
  </si>
  <si>
    <t>O00170</t>
  </si>
  <si>
    <t>O00178</t>
  </si>
  <si>
    <t>O00186</t>
  </si>
  <si>
    <t>O00193</t>
  </si>
  <si>
    <t>O00213-2</t>
  </si>
  <si>
    <t>O00217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</si>
  <si>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</si>
  <si>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</si>
  <si>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</si>
  <si>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</si>
  <si>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</si>
  <si>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</si>
  <si>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</si>
  <si>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</si>
  <si>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O00287</t>
  </si>
  <si>
    <t>O00291</t>
  </si>
  <si>
    <t>O00299</t>
  </si>
  <si>
    <t>O00330</t>
  </si>
  <si>
    <t>O00399</t>
  </si>
  <si>
    <t>O00400</t>
  </si>
  <si>
    <t>O00401</t>
  </si>
  <si>
    <t>O00410</t>
  </si>
  <si>
    <t>O00418</t>
  </si>
  <si>
    <t>O00425</t>
  </si>
  <si>
    <t>O00429-3</t>
  </si>
  <si>
    <t>O00429-4</t>
  </si>
  <si>
    <t>O00442</t>
  </si>
  <si>
    <t>O00443</t>
  </si>
  <si>
    <t>O00451</t>
  </si>
  <si>
    <t>O00459</t>
  </si>
  <si>
    <t>O00461</t>
  </si>
  <si>
    <t>O00479</t>
  </si>
  <si>
    <t>O00483</t>
  </si>
  <si>
    <t>O00487</t>
  </si>
  <si>
    <t>O00488</t>
  </si>
  <si>
    <t>O00506</t>
  </si>
  <si>
    <t>O00512</t>
  </si>
  <si>
    <t>O00560-3</t>
  </si>
  <si>
    <t>O00571</t>
  </si>
  <si>
    <t>O00625</t>
  </si>
  <si>
    <t>O00629</t>
  </si>
  <si>
    <t>O00635</t>
  </si>
  <si>
    <t>O00716</t>
  </si>
  <si>
    <t>O00743</t>
  </si>
  <si>
    <t>O00748</t>
  </si>
  <si>
    <t>O00754-2</t>
  </si>
  <si>
    <t>O00762</t>
  </si>
  <si>
    <t>O00764</t>
  </si>
  <si>
    <t>O00767</t>
  </si>
  <si>
    <t>O14497-2</t>
  </si>
  <si>
    <t>O14519-2</t>
  </si>
  <si>
    <t>O14523</t>
  </si>
  <si>
    <t>O14524-2</t>
  </si>
  <si>
    <t>O14545</t>
  </si>
  <si>
    <t>O14613</t>
  </si>
  <si>
    <t>O14617-4</t>
  </si>
  <si>
    <t>O14640-2</t>
  </si>
  <si>
    <t>O14657</t>
  </si>
  <si>
    <t>O14672</t>
  </si>
  <si>
    <t>O14686</t>
  </si>
  <si>
    <t>O14732-2</t>
  </si>
  <si>
    <t>O14733</t>
  </si>
  <si>
    <t>O14734</t>
  </si>
  <si>
    <t>O14737</t>
  </si>
  <si>
    <t>O14744</t>
  </si>
  <si>
    <t>O14745</t>
  </si>
  <si>
    <t>O14757</t>
  </si>
  <si>
    <t>O14763-2</t>
  </si>
  <si>
    <t>O14772</t>
  </si>
  <si>
    <t>O14773-2</t>
  </si>
  <si>
    <t>O14776-2</t>
  </si>
  <si>
    <t>O14777</t>
  </si>
  <si>
    <t>O14787-2</t>
  </si>
  <si>
    <t>O14810</t>
  </si>
  <si>
    <t>O14818</t>
  </si>
  <si>
    <t>O14828</t>
  </si>
  <si>
    <t>O14867</t>
  </si>
  <si>
    <t>O14893-2</t>
  </si>
  <si>
    <t>O14907</t>
  </si>
  <si>
    <t>O14908</t>
  </si>
  <si>
    <t>O14910</t>
  </si>
  <si>
    <t>O14920</t>
  </si>
  <si>
    <t>O14925</t>
  </si>
  <si>
    <t>O14929</t>
  </si>
  <si>
    <t>O14936-3</t>
  </si>
  <si>
    <t>O14964</t>
  </si>
  <si>
    <t>O14965</t>
  </si>
  <si>
    <t>O14966-2</t>
  </si>
  <si>
    <t>O14967</t>
  </si>
  <si>
    <t>O14974-2</t>
  </si>
  <si>
    <t>O14976</t>
  </si>
  <si>
    <t>O14979-3</t>
  </si>
  <si>
    <t>O14980</t>
  </si>
  <si>
    <t>O14981</t>
  </si>
  <si>
    <t>O15013-4</t>
  </si>
  <si>
    <t>O15014</t>
  </si>
  <si>
    <t>O15031</t>
  </si>
  <si>
    <t>O15047</t>
  </si>
  <si>
    <t>O15067</t>
  </si>
  <si>
    <t>O15085</t>
  </si>
  <si>
    <t>O15091-4</t>
  </si>
  <si>
    <t>O15111</t>
  </si>
  <si>
    <t>O15116</t>
  </si>
  <si>
    <t>O15118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</si>
  <si>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</si>
  <si>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</si>
  <si>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</si>
  <si>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</si>
  <si>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</si>
  <si>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</si>
  <si>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</si>
  <si>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</si>
  <si>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O15164-2</t>
  </si>
  <si>
    <t>O15169-2</t>
  </si>
  <si>
    <t>O15173</t>
  </si>
  <si>
    <t>O15212</t>
  </si>
  <si>
    <t>O15228</t>
  </si>
  <si>
    <t>O15234</t>
  </si>
  <si>
    <t>O15239</t>
  </si>
  <si>
    <t>O15258</t>
  </si>
  <si>
    <t>O15269</t>
  </si>
  <si>
    <t>O15270</t>
  </si>
  <si>
    <t>O15294-3</t>
  </si>
  <si>
    <t>O15305</t>
  </si>
  <si>
    <t>O15344</t>
  </si>
  <si>
    <t>O15347</t>
  </si>
  <si>
    <t>O15355</t>
  </si>
  <si>
    <t>O15357</t>
  </si>
  <si>
    <t>O15397</t>
  </si>
  <si>
    <t>O15400-2</t>
  </si>
  <si>
    <t>O15439-2</t>
  </si>
  <si>
    <t>O15446</t>
  </si>
  <si>
    <t>O15460-2</t>
  </si>
  <si>
    <t>O15511</t>
  </si>
  <si>
    <t>O15541</t>
  </si>
  <si>
    <t>O43143</t>
  </si>
  <si>
    <t>O43148</t>
  </si>
  <si>
    <t>O43150-2</t>
  </si>
  <si>
    <t>O43155</t>
  </si>
  <si>
    <t>O43156</t>
  </si>
  <si>
    <t>O43164-2</t>
  </si>
  <si>
    <t>O43172-2</t>
  </si>
  <si>
    <t>O43175</t>
  </si>
  <si>
    <t>O43242</t>
  </si>
  <si>
    <t>O43251-6</t>
  </si>
  <si>
    <t>O43252</t>
  </si>
  <si>
    <t>O43257</t>
  </si>
  <si>
    <t>O43264</t>
  </si>
  <si>
    <t>O43290</t>
  </si>
  <si>
    <t>O43301</t>
  </si>
  <si>
    <t>O43310</t>
  </si>
  <si>
    <t>O43314-2</t>
  </si>
  <si>
    <t>O43318-2</t>
  </si>
  <si>
    <t>O43353</t>
  </si>
  <si>
    <t>O43379</t>
  </si>
  <si>
    <t>O43395</t>
  </si>
  <si>
    <t>O43396</t>
  </si>
  <si>
    <t>O43399</t>
  </si>
  <si>
    <t>O43399-2</t>
  </si>
  <si>
    <t>O43402</t>
  </si>
  <si>
    <t>O43435-3</t>
  </si>
  <si>
    <t>O43447</t>
  </si>
  <si>
    <t>O43464-3</t>
  </si>
  <si>
    <t>O43474-1</t>
  </si>
  <si>
    <t>O43482</t>
  </si>
  <si>
    <t>O43491</t>
  </si>
  <si>
    <t>O43493-2</t>
  </si>
  <si>
    <t>O43502</t>
  </si>
  <si>
    <t>O43505</t>
  </si>
  <si>
    <t>O43516</t>
  </si>
  <si>
    <t>O43521-6</t>
  </si>
  <si>
    <t>O43524</t>
  </si>
  <si>
    <t>O43567</t>
  </si>
  <si>
    <t>O43583</t>
  </si>
  <si>
    <t>O43592</t>
  </si>
  <si>
    <t>O43598</t>
  </si>
  <si>
    <t>O43615</t>
  </si>
  <si>
    <t>O43617</t>
  </si>
  <si>
    <t>O43633</t>
  </si>
  <si>
    <t>O43639</t>
  </si>
  <si>
    <t>O43657</t>
  </si>
  <si>
    <t>O43665-2</t>
  </si>
  <si>
    <t>O43676</t>
  </si>
  <si>
    <t>O43677</t>
  </si>
  <si>
    <t>O43678</t>
  </si>
  <si>
    <t>O43681</t>
  </si>
  <si>
    <t>O43684</t>
  </si>
  <si>
    <t>O43684-2</t>
  </si>
  <si>
    <t>O43707</t>
  </si>
  <si>
    <t>O43709</t>
  </si>
  <si>
    <t>O43715</t>
  </si>
  <si>
    <t>O43719</t>
  </si>
  <si>
    <t>O43752</t>
  </si>
  <si>
    <t>O43765</t>
  </si>
  <si>
    <t>O43766</t>
  </si>
  <si>
    <t>O43768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</si>
  <si>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</si>
  <si>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</si>
  <si>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</si>
  <si>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</si>
  <si>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</si>
  <si>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</si>
  <si>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</si>
  <si>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</si>
  <si>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</si>
  <si>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O43824</t>
  </si>
  <si>
    <t>O43826</t>
  </si>
  <si>
    <t>O43837</t>
  </si>
  <si>
    <t>O43852</t>
  </si>
  <si>
    <t>O43865</t>
  </si>
  <si>
    <t>O43896</t>
  </si>
  <si>
    <t>O43913-2</t>
  </si>
  <si>
    <t>O43920</t>
  </si>
  <si>
    <t>O43929</t>
  </si>
  <si>
    <t>O43933</t>
  </si>
  <si>
    <t>O60220</t>
  </si>
  <si>
    <t>O60231</t>
  </si>
  <si>
    <t>O60256</t>
  </si>
  <si>
    <t>O60262</t>
  </si>
  <si>
    <t>O60271-4</t>
  </si>
  <si>
    <t>O60279</t>
  </si>
  <si>
    <t>O60282</t>
  </si>
  <si>
    <t>O60333-2</t>
  </si>
  <si>
    <t>O60343-2</t>
  </si>
  <si>
    <t>O60344-4</t>
  </si>
  <si>
    <t>O60347</t>
  </si>
  <si>
    <t>O60353-2</t>
  </si>
  <si>
    <t>O60361</t>
  </si>
  <si>
    <t>O60427</t>
  </si>
  <si>
    <t>O60449-3</t>
  </si>
  <si>
    <t>O60476</t>
  </si>
  <si>
    <t>O60488-2</t>
  </si>
  <si>
    <t>O60493</t>
  </si>
  <si>
    <t>O60502</t>
  </si>
  <si>
    <t>O60503</t>
  </si>
  <si>
    <t>O60504-2</t>
  </si>
  <si>
    <t>O60506-4</t>
  </si>
  <si>
    <t>O60518</t>
  </si>
  <si>
    <t>O60524-4</t>
  </si>
  <si>
    <t>O60547</t>
  </si>
  <si>
    <t>O60548</t>
  </si>
  <si>
    <t>O60566</t>
  </si>
  <si>
    <t>O60568</t>
  </si>
  <si>
    <t>O60613</t>
  </si>
  <si>
    <t>O60645-3</t>
  </si>
  <si>
    <t>O60664</t>
  </si>
  <si>
    <t>O60678</t>
  </si>
  <si>
    <t>O60701</t>
  </si>
  <si>
    <t>O60704</t>
  </si>
  <si>
    <t>O60716-5</t>
  </si>
  <si>
    <t>O60725</t>
  </si>
  <si>
    <t>O60749</t>
  </si>
  <si>
    <t>O60763</t>
  </si>
  <si>
    <t>O60826</t>
  </si>
  <si>
    <t>O60828</t>
  </si>
  <si>
    <t>O60830</t>
  </si>
  <si>
    <t>O60831</t>
  </si>
  <si>
    <t>O60832</t>
  </si>
  <si>
    <t>O60841</t>
  </si>
  <si>
    <t>O60869</t>
  </si>
  <si>
    <t>O60884</t>
  </si>
  <si>
    <t>O60885</t>
  </si>
  <si>
    <t>O60888-3</t>
  </si>
  <si>
    <t>O60906</t>
  </si>
  <si>
    <t>O60925</t>
  </si>
  <si>
    <t>O60927</t>
  </si>
  <si>
    <t>O60934</t>
  </si>
  <si>
    <t>O60942</t>
  </si>
  <si>
    <t>O75027</t>
  </si>
  <si>
    <t>O75044</t>
  </si>
  <si>
    <t>O75051</t>
  </si>
  <si>
    <t>O75063</t>
  </si>
  <si>
    <t>O75083</t>
  </si>
  <si>
    <t>O75084</t>
  </si>
  <si>
    <t>O75110</t>
  </si>
  <si>
    <t>O75113</t>
  </si>
  <si>
    <t>O75116</t>
  </si>
  <si>
    <t>O75131</t>
  </si>
  <si>
    <t>O75143-2</t>
  </si>
  <si>
    <t>O75146</t>
  </si>
  <si>
    <t>O75150</t>
  </si>
  <si>
    <t>O75153</t>
  </si>
  <si>
    <t>O75155</t>
  </si>
  <si>
    <t>O75157-2</t>
  </si>
  <si>
    <t>O75164</t>
  </si>
  <si>
    <t>O75170-6</t>
  </si>
  <si>
    <t>O75175</t>
  </si>
  <si>
    <t>O75179-2</t>
  </si>
  <si>
    <t>O75191</t>
  </si>
  <si>
    <t>O75208</t>
  </si>
  <si>
    <t>O75223</t>
  </si>
  <si>
    <t>O75306-2</t>
  </si>
  <si>
    <t>O75312</t>
  </si>
  <si>
    <t>O75323</t>
  </si>
  <si>
    <t>O75330-2</t>
  </si>
  <si>
    <t>O75340</t>
  </si>
  <si>
    <t>O75347</t>
  </si>
  <si>
    <t>O75348</t>
  </si>
  <si>
    <t>O75351</t>
  </si>
  <si>
    <t>O75368</t>
  </si>
  <si>
    <t>O75369-8</t>
  </si>
  <si>
    <t>O75376</t>
  </si>
  <si>
    <t>O75379</t>
  </si>
  <si>
    <t>O75380</t>
  </si>
  <si>
    <t>O75391</t>
  </si>
  <si>
    <t>O75396</t>
  </si>
  <si>
    <t>O75400-2</t>
  </si>
  <si>
    <t>O75419-2</t>
  </si>
  <si>
    <t>O75420</t>
  </si>
  <si>
    <t>O75427</t>
  </si>
  <si>
    <t>O75436</t>
  </si>
  <si>
    <t>O75438</t>
  </si>
  <si>
    <t>O75439</t>
  </si>
  <si>
    <t>O75449</t>
  </si>
  <si>
    <t>O75475</t>
  </si>
  <si>
    <t>O75489</t>
  </si>
  <si>
    <t>O75506</t>
  </si>
  <si>
    <t>O75521-2</t>
  </si>
  <si>
    <t>O75526</t>
  </si>
  <si>
    <t>O75528</t>
  </si>
  <si>
    <t>O75531</t>
  </si>
  <si>
    <t>O75533</t>
  </si>
  <si>
    <t>O75534-2</t>
  </si>
  <si>
    <t>O75554</t>
  </si>
  <si>
    <t>O75570</t>
  </si>
  <si>
    <t>O75582</t>
  </si>
  <si>
    <t>O75600</t>
  </si>
  <si>
    <t>O75607</t>
  </si>
  <si>
    <t>O75608-2</t>
  </si>
  <si>
    <t>O75616</t>
  </si>
  <si>
    <t>O75629</t>
  </si>
  <si>
    <t>O75643</t>
  </si>
  <si>
    <t>O75648</t>
  </si>
  <si>
    <t>O75663</t>
  </si>
  <si>
    <t>O75688</t>
  </si>
  <si>
    <t>O75689</t>
  </si>
  <si>
    <t>O75695</t>
  </si>
  <si>
    <t>O75717</t>
  </si>
  <si>
    <t>O75746</t>
  </si>
  <si>
    <t>O75781</t>
  </si>
  <si>
    <t>O75792</t>
  </si>
  <si>
    <t>O75794</t>
  </si>
  <si>
    <t>O75808</t>
  </si>
  <si>
    <t>O75818-2</t>
  </si>
  <si>
    <t>O75821</t>
  </si>
  <si>
    <t>O75822</t>
  </si>
  <si>
    <t>O75828</t>
  </si>
  <si>
    <t>O75832</t>
  </si>
  <si>
    <t>O75844</t>
  </si>
  <si>
    <t>O75874</t>
  </si>
  <si>
    <t>O75884</t>
  </si>
  <si>
    <t>O75886</t>
  </si>
  <si>
    <t>O75915</t>
  </si>
  <si>
    <t>O75920-2</t>
  </si>
  <si>
    <t>O75928-3</t>
  </si>
  <si>
    <t>O75934</t>
  </si>
  <si>
    <t>O75937</t>
  </si>
  <si>
    <t>O75940</t>
  </si>
  <si>
    <t>O75947</t>
  </si>
  <si>
    <t>O75964</t>
  </si>
  <si>
    <t>O75976</t>
  </si>
  <si>
    <t>O76003</t>
  </si>
  <si>
    <t>O76024</t>
  </si>
  <si>
    <t>O76031</t>
  </si>
  <si>
    <t>O76041-2</t>
  </si>
  <si>
    <t>O76070</t>
  </si>
  <si>
    <t>O76071</t>
  </si>
  <si>
    <t>O76075-2</t>
  </si>
  <si>
    <t>O76080</t>
  </si>
  <si>
    <t>O76094</t>
  </si>
  <si>
    <t>O76095-2</t>
  </si>
  <si>
    <t>O94760</t>
  </si>
  <si>
    <t>O94761</t>
  </si>
  <si>
    <t>O94766</t>
  </si>
  <si>
    <t>O94776</t>
  </si>
  <si>
    <t>O94782</t>
  </si>
  <si>
    <t>O94788-2</t>
  </si>
  <si>
    <t>O94804</t>
  </si>
  <si>
    <t>O94811</t>
  </si>
  <si>
    <t>O94813-3</t>
  </si>
  <si>
    <t>O94819</t>
  </si>
  <si>
    <t>O94822</t>
  </si>
  <si>
    <t>O94826</t>
  </si>
  <si>
    <t>O94829</t>
  </si>
  <si>
    <t>O94830</t>
  </si>
  <si>
    <t>O94832</t>
  </si>
  <si>
    <t>O94851-5</t>
  </si>
  <si>
    <t>O94855</t>
  </si>
  <si>
    <t>O94864-2</t>
  </si>
  <si>
    <t>O94874</t>
  </si>
  <si>
    <t>O94885</t>
  </si>
  <si>
    <t>O94888</t>
  </si>
  <si>
    <t>O94898</t>
  </si>
  <si>
    <t>O94903</t>
  </si>
  <si>
    <t>O94905</t>
  </si>
  <si>
    <t>O94919</t>
  </si>
  <si>
    <t>O94921</t>
  </si>
  <si>
    <t>O94925-3</t>
  </si>
  <si>
    <t>O94927</t>
  </si>
  <si>
    <t>O94967-2</t>
  </si>
  <si>
    <t>O94973</t>
  </si>
  <si>
    <t>O94973-2</t>
  </si>
  <si>
    <t>O94992</t>
  </si>
  <si>
    <t>O95067</t>
  </si>
  <si>
    <t>O95081</t>
  </si>
  <si>
    <t>O95104-3</t>
  </si>
  <si>
    <t>O95136</t>
  </si>
  <si>
    <t>O95139</t>
  </si>
  <si>
    <t>O95140</t>
  </si>
  <si>
    <t>O95155-2</t>
  </si>
  <si>
    <t>O95159</t>
  </si>
  <si>
    <t>O95163</t>
  </si>
  <si>
    <t>O95167</t>
  </si>
  <si>
    <t>O95168</t>
  </si>
  <si>
    <t>O95197-7</t>
  </si>
  <si>
    <t>O95202</t>
  </si>
  <si>
    <t>O95218-2</t>
  </si>
  <si>
    <t>O95219</t>
  </si>
  <si>
    <t>O95229</t>
  </si>
  <si>
    <t>O95251-4</t>
  </si>
  <si>
    <t>O95273</t>
  </si>
  <si>
    <t>O95292</t>
  </si>
  <si>
    <t>O95295</t>
  </si>
  <si>
    <t>O95297-2</t>
  </si>
  <si>
    <t>O95298-2</t>
  </si>
  <si>
    <t>O95302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</si>
  <si>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</si>
  <si>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</si>
  <si>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</si>
  <si>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</si>
  <si>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</si>
  <si>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</si>
  <si>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</si>
  <si>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</si>
  <si>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O95391</t>
  </si>
  <si>
    <t>O95394</t>
  </si>
  <si>
    <t>O95396</t>
  </si>
  <si>
    <t>O95400</t>
  </si>
  <si>
    <t>O95405</t>
  </si>
  <si>
    <t>O95429-2</t>
  </si>
  <si>
    <t>O95433</t>
  </si>
  <si>
    <t>O95453-2</t>
  </si>
  <si>
    <t>O95455</t>
  </si>
  <si>
    <t>O95456</t>
  </si>
  <si>
    <t>O95470</t>
  </si>
  <si>
    <t>O95486</t>
  </si>
  <si>
    <t>O95487-2</t>
  </si>
  <si>
    <t>O95544</t>
  </si>
  <si>
    <t>O95551</t>
  </si>
  <si>
    <t>O95573</t>
  </si>
  <si>
    <t>O95600</t>
  </si>
  <si>
    <t>O95613-2</t>
  </si>
  <si>
    <t>O95620</t>
  </si>
  <si>
    <t>O95628-5</t>
  </si>
  <si>
    <t>O95630</t>
  </si>
  <si>
    <t>O95671-2</t>
  </si>
  <si>
    <t>O95684</t>
  </si>
  <si>
    <t>O95716</t>
  </si>
  <si>
    <t>O95721</t>
  </si>
  <si>
    <t>O95747</t>
  </si>
  <si>
    <t>O95751</t>
  </si>
  <si>
    <t>O95755-2</t>
  </si>
  <si>
    <t>O95758-1</t>
  </si>
  <si>
    <t>O95777</t>
  </si>
  <si>
    <t>O95782-2</t>
  </si>
  <si>
    <t>O95816</t>
  </si>
  <si>
    <t>O95817</t>
  </si>
  <si>
    <t>O95822</t>
  </si>
  <si>
    <t>O95825</t>
  </si>
  <si>
    <t>O95831-3</t>
  </si>
  <si>
    <t>O95835</t>
  </si>
  <si>
    <t>O95857</t>
  </si>
  <si>
    <t>O95865</t>
  </si>
  <si>
    <t>O95873</t>
  </si>
  <si>
    <t>O95881</t>
  </si>
  <si>
    <t>O95905</t>
  </si>
  <si>
    <t>O95926</t>
  </si>
  <si>
    <t>O95989</t>
  </si>
  <si>
    <t>O95997</t>
  </si>
  <si>
    <t>O95999</t>
  </si>
  <si>
    <t>O96000</t>
  </si>
  <si>
    <t>O96006</t>
  </si>
  <si>
    <t>O96008</t>
  </si>
  <si>
    <t>O96011</t>
  </si>
  <si>
    <t>O96013</t>
  </si>
  <si>
    <t>O96017</t>
  </si>
  <si>
    <t>O96019</t>
  </si>
  <si>
    <t>O96033</t>
  </si>
  <si>
    <t>P00167-2</t>
  </si>
  <si>
    <t>P00338</t>
  </si>
  <si>
    <t>P00367</t>
  </si>
  <si>
    <t>P00374</t>
  </si>
  <si>
    <t>P00387-2</t>
  </si>
  <si>
    <t>P00390-2</t>
  </si>
  <si>
    <t>P00403</t>
  </si>
  <si>
    <t>P00441</t>
  </si>
  <si>
    <t>P00491</t>
  </si>
  <si>
    <t>P00492</t>
  </si>
  <si>
    <t>P00505</t>
  </si>
  <si>
    <t>P00519-2</t>
  </si>
  <si>
    <t>P00558</t>
  </si>
  <si>
    <t>P00813</t>
  </si>
  <si>
    <t>P00918</t>
  </si>
  <si>
    <t>P01034</t>
  </si>
  <si>
    <t>P01111</t>
  </si>
  <si>
    <t>P01112</t>
  </si>
  <si>
    <t>P01116</t>
  </si>
  <si>
    <t>P01116-2</t>
  </si>
  <si>
    <t>P01814</t>
  </si>
  <si>
    <t>P01889</t>
  </si>
  <si>
    <t>P02008</t>
  </si>
  <si>
    <t>P02100</t>
  </si>
  <si>
    <t>P02545</t>
  </si>
  <si>
    <t>P02786</t>
  </si>
  <si>
    <t>P02794</t>
  </si>
  <si>
    <t>P02795</t>
  </si>
  <si>
    <t>P03928</t>
  </si>
  <si>
    <t>P04040</t>
  </si>
  <si>
    <t>P04066</t>
  </si>
  <si>
    <t>P04075</t>
  </si>
  <si>
    <t>P04080</t>
  </si>
  <si>
    <t>P04083</t>
  </si>
  <si>
    <t>P04150-9</t>
  </si>
  <si>
    <t>P04181</t>
  </si>
  <si>
    <t>P04183</t>
  </si>
  <si>
    <t>P04350</t>
  </si>
  <si>
    <t>P04406</t>
  </si>
  <si>
    <t>P04626-4</t>
  </si>
  <si>
    <t>P04632</t>
  </si>
  <si>
    <t>P04792</t>
  </si>
  <si>
    <t>P04818</t>
  </si>
  <si>
    <t>P04843</t>
  </si>
  <si>
    <t>P04844-2</t>
  </si>
  <si>
    <t>P04899</t>
  </si>
  <si>
    <t>P04920-2</t>
  </si>
  <si>
    <t>P05023-4</t>
  </si>
  <si>
    <t>P05091</t>
  </si>
  <si>
    <t>P05141</t>
  </si>
  <si>
    <t>P05198</t>
  </si>
  <si>
    <t>P05204</t>
  </si>
  <si>
    <t>P05386</t>
  </si>
  <si>
    <t>P05387</t>
  </si>
  <si>
    <t>P05388</t>
  </si>
  <si>
    <t>P05412</t>
  </si>
  <si>
    <t>P05455</t>
  </si>
  <si>
    <t>P05556</t>
  </si>
  <si>
    <t>P05771-2</t>
  </si>
  <si>
    <t>P05783</t>
  </si>
  <si>
    <t>P05976-2</t>
  </si>
  <si>
    <t>P06132</t>
  </si>
  <si>
    <t>P06241</t>
  </si>
  <si>
    <t>P06280</t>
  </si>
  <si>
    <t>P06400</t>
  </si>
  <si>
    <t>P06493</t>
  </si>
  <si>
    <t>P06576</t>
  </si>
  <si>
    <t>P06733</t>
  </si>
  <si>
    <t>P06737-2</t>
  </si>
  <si>
    <t>P06744</t>
  </si>
  <si>
    <t>P06748</t>
  </si>
  <si>
    <t>P06753-2</t>
  </si>
  <si>
    <t>P06756-3</t>
  </si>
  <si>
    <t>P07108</t>
  </si>
  <si>
    <t>P07195</t>
  </si>
  <si>
    <t>P07196</t>
  </si>
  <si>
    <t>P07203</t>
  </si>
  <si>
    <t>P07204</t>
  </si>
  <si>
    <t>P07205</t>
  </si>
  <si>
    <t>P07237</t>
  </si>
  <si>
    <t>P07339</t>
  </si>
  <si>
    <t>P07355</t>
  </si>
  <si>
    <t>P07384</t>
  </si>
  <si>
    <t>P07686</t>
  </si>
  <si>
    <t>P07711</t>
  </si>
  <si>
    <t>P07737</t>
  </si>
  <si>
    <t>P07738</t>
  </si>
  <si>
    <t>P07741</t>
  </si>
  <si>
    <t>P07858</t>
  </si>
  <si>
    <t>P07900</t>
  </si>
  <si>
    <t>P07902</t>
  </si>
  <si>
    <t>P07919</t>
  </si>
  <si>
    <t>P07948</t>
  </si>
  <si>
    <t>P07954-2</t>
  </si>
  <si>
    <t>P07992</t>
  </si>
  <si>
    <t>P08047</t>
  </si>
  <si>
    <t>P08107</t>
  </si>
  <si>
    <t>P08133</t>
  </si>
  <si>
    <t>P08237</t>
  </si>
  <si>
    <t>P08238</t>
  </si>
  <si>
    <t>P08240</t>
  </si>
  <si>
    <t>P08243-2</t>
  </si>
  <si>
    <t>P08397-2</t>
  </si>
  <si>
    <t>P08559-3</t>
  </si>
  <si>
    <t>P08574</t>
  </si>
  <si>
    <t>P08579</t>
  </si>
  <si>
    <t>P08581</t>
  </si>
  <si>
    <t>P08582</t>
  </si>
  <si>
    <t>P08648</t>
  </si>
  <si>
    <t>P08670</t>
  </si>
  <si>
    <t>P08754</t>
  </si>
  <si>
    <t>P08758</t>
  </si>
  <si>
    <t>P09104</t>
  </si>
  <si>
    <t>P09110</t>
  </si>
  <si>
    <t>P09132</t>
  </si>
  <si>
    <t>P09211</t>
  </si>
  <si>
    <t>P09234</t>
  </si>
  <si>
    <t>P09382</t>
  </si>
  <si>
    <t>P09417</t>
  </si>
  <si>
    <t>P09429</t>
  </si>
  <si>
    <t>P09486</t>
  </si>
  <si>
    <t>P09493-4</t>
  </si>
  <si>
    <t>P09496-2</t>
  </si>
  <si>
    <t>P09497-2</t>
  </si>
  <si>
    <t>P09525</t>
  </si>
  <si>
    <t>P09543-2</t>
  </si>
  <si>
    <t>P09601</t>
  </si>
  <si>
    <t>P09622</t>
  </si>
  <si>
    <t>P09661</t>
  </si>
  <si>
    <t>P09874</t>
  </si>
  <si>
    <t>P09936</t>
  </si>
  <si>
    <t>P09958</t>
  </si>
  <si>
    <t>P09960</t>
  </si>
  <si>
    <t>P09972</t>
  </si>
  <si>
    <t>P0C2W1</t>
  </si>
  <si>
    <t>P0C7P0</t>
  </si>
  <si>
    <t>P0C7T5</t>
  </si>
  <si>
    <t>P0CG12</t>
  </si>
  <si>
    <t>P0CG35</t>
  </si>
  <si>
    <t>P0CW22</t>
  </si>
  <si>
    <t>P0DI83</t>
  </si>
  <si>
    <t>P0DJ93</t>
  </si>
  <si>
    <t>P10109</t>
  </si>
  <si>
    <t>P10155-3</t>
  </si>
  <si>
    <t>P10253</t>
  </si>
  <si>
    <t>P10301</t>
  </si>
  <si>
    <t>P10398</t>
  </si>
  <si>
    <t>P10586-2</t>
  </si>
  <si>
    <t>P10588</t>
  </si>
  <si>
    <t>P10599</t>
  </si>
  <si>
    <t>P10606</t>
  </si>
  <si>
    <t>P10619</t>
  </si>
  <si>
    <t>P10636</t>
  </si>
  <si>
    <t>P10644</t>
  </si>
  <si>
    <t>P10746</t>
  </si>
  <si>
    <t>P10768</t>
  </si>
  <si>
    <t>P10809</t>
  </si>
  <si>
    <t>P10909-4</t>
  </si>
  <si>
    <t>P11021</t>
  </si>
  <si>
    <t>P11047</t>
  </si>
  <si>
    <t>P11142</t>
  </si>
  <si>
    <t>P11166</t>
  </si>
  <si>
    <t>P11169</t>
  </si>
  <si>
    <t>P11171</t>
  </si>
  <si>
    <t>P11171-4</t>
  </si>
  <si>
    <t>P11172</t>
  </si>
  <si>
    <t>P11177-2</t>
  </si>
  <si>
    <t>P11216</t>
  </si>
  <si>
    <t>P11233</t>
  </si>
  <si>
    <t>P11234</t>
  </si>
  <si>
    <t>P11274-2</t>
  </si>
  <si>
    <t>P11279</t>
  </si>
  <si>
    <t>P11387</t>
  </si>
  <si>
    <t>P11413</t>
  </si>
  <si>
    <t>P11441</t>
  </si>
  <si>
    <t>P11498</t>
  </si>
  <si>
    <t>P11586</t>
  </si>
  <si>
    <t>P11717</t>
  </si>
  <si>
    <t>P11766</t>
  </si>
  <si>
    <t>P11802</t>
  </si>
  <si>
    <t>P11831</t>
  </si>
  <si>
    <t>P11940</t>
  </si>
  <si>
    <t>P12004</t>
  </si>
  <si>
    <t>P12081</t>
  </si>
  <si>
    <t>P12109</t>
  </si>
  <si>
    <t>P12235</t>
  </si>
  <si>
    <t>P12236</t>
  </si>
  <si>
    <t>P12270</t>
  </si>
  <si>
    <t>P12277</t>
  </si>
  <si>
    <t>P12429</t>
  </si>
  <si>
    <t>P12532</t>
  </si>
  <si>
    <t>P12814-2</t>
  </si>
  <si>
    <t>P12882</t>
  </si>
  <si>
    <t>P12931</t>
  </si>
  <si>
    <t>P12955-3</t>
  </si>
  <si>
    <t>P12956</t>
  </si>
  <si>
    <t>P13010</t>
  </si>
  <si>
    <t>P13051</t>
  </si>
  <si>
    <t>P13056</t>
  </si>
  <si>
    <t>P13073</t>
  </si>
  <si>
    <t>P13196</t>
  </si>
  <si>
    <t>P13489</t>
  </si>
  <si>
    <t>P13498</t>
  </si>
  <si>
    <t>P13591-1</t>
  </si>
  <si>
    <t>P13612</t>
  </si>
  <si>
    <t>P13639</t>
  </si>
  <si>
    <t>P13667</t>
  </si>
  <si>
    <t>P13674-2</t>
  </si>
  <si>
    <t>P13693</t>
  </si>
  <si>
    <t>P13797</t>
  </si>
  <si>
    <t>P13804</t>
  </si>
  <si>
    <t>P13861</t>
  </si>
  <si>
    <t>P13984</t>
  </si>
  <si>
    <t>P13995</t>
  </si>
  <si>
    <t>P14174</t>
  </si>
  <si>
    <t>P14209-3</t>
  </si>
  <si>
    <t>P14324-2</t>
  </si>
  <si>
    <t>P14550</t>
  </si>
  <si>
    <t>P14618</t>
  </si>
  <si>
    <t>P14618-2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</si>
  <si>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</si>
  <si>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</si>
  <si>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</si>
  <si>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</si>
  <si>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</si>
  <si>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</si>
  <si>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</si>
  <si>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</si>
  <si>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</si>
  <si>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</si>
  <si>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P15104</t>
  </si>
  <si>
    <t>P15121</t>
  </si>
  <si>
    <t>P15151-3</t>
  </si>
  <si>
    <t>P15170-2</t>
  </si>
  <si>
    <t>P15289</t>
  </si>
  <si>
    <t>P15311</t>
  </si>
  <si>
    <t>P15374</t>
  </si>
  <si>
    <t>P15529-16</t>
  </si>
  <si>
    <t>P15531</t>
  </si>
  <si>
    <t>P15848</t>
  </si>
  <si>
    <t>P15882</t>
  </si>
  <si>
    <t>P15923</t>
  </si>
  <si>
    <t>P15923-2</t>
  </si>
  <si>
    <t>P15924</t>
  </si>
  <si>
    <t>P15927</t>
  </si>
  <si>
    <t>P16152</t>
  </si>
  <si>
    <t>P16220-3</t>
  </si>
  <si>
    <t>P16298</t>
  </si>
  <si>
    <t>P16383</t>
  </si>
  <si>
    <t>P16403</t>
  </si>
  <si>
    <t>P16435</t>
  </si>
  <si>
    <t>P16591-3</t>
  </si>
  <si>
    <t>P16615</t>
  </si>
  <si>
    <t>P16930</t>
  </si>
  <si>
    <t>P16949</t>
  </si>
  <si>
    <t>P16989</t>
  </si>
  <si>
    <t>P16989-2</t>
  </si>
  <si>
    <t>P17028</t>
  </si>
  <si>
    <t>P17050</t>
  </si>
  <si>
    <t>P17066</t>
  </si>
  <si>
    <t>P17096-2</t>
  </si>
  <si>
    <t>P17152</t>
  </si>
  <si>
    <t>P17174</t>
  </si>
  <si>
    <t>P17252</t>
  </si>
  <si>
    <t>P17302</t>
  </si>
  <si>
    <t>P17509</t>
  </si>
  <si>
    <t>P17535</t>
  </si>
  <si>
    <t>P17568</t>
  </si>
  <si>
    <t>P17612</t>
  </si>
  <si>
    <t>P17655</t>
  </si>
  <si>
    <t>P17677</t>
  </si>
  <si>
    <t>P17706-2</t>
  </si>
  <si>
    <t>P17812</t>
  </si>
  <si>
    <t>P17858</t>
  </si>
  <si>
    <t>P17987</t>
  </si>
  <si>
    <t>P18031</t>
  </si>
  <si>
    <t>P18065</t>
  </si>
  <si>
    <t>P18084</t>
  </si>
  <si>
    <t>P18124</t>
  </si>
  <si>
    <t>P18206-2</t>
  </si>
  <si>
    <t>P18583-6</t>
  </si>
  <si>
    <t>P18615</t>
  </si>
  <si>
    <t>P18669</t>
  </si>
  <si>
    <t>P18754</t>
  </si>
  <si>
    <t>P18846</t>
  </si>
  <si>
    <t>P18858</t>
  </si>
  <si>
    <t>P18859</t>
  </si>
  <si>
    <t>P19022</t>
  </si>
  <si>
    <t>P19174-2</t>
  </si>
  <si>
    <t>P19338</t>
  </si>
  <si>
    <t>P19387</t>
  </si>
  <si>
    <t>P19388</t>
  </si>
  <si>
    <t>P19623</t>
  </si>
  <si>
    <t>P19784</t>
  </si>
  <si>
    <t>P19838</t>
  </si>
  <si>
    <t>P20020-6</t>
  </si>
  <si>
    <t>P20042</t>
  </si>
  <si>
    <t>P20248</t>
  </si>
  <si>
    <t>P20290</t>
  </si>
  <si>
    <t>P20290-2</t>
  </si>
  <si>
    <t>P20336</t>
  </si>
  <si>
    <t>P20337</t>
  </si>
  <si>
    <t>P20338</t>
  </si>
  <si>
    <t>P20340</t>
  </si>
  <si>
    <t>P20340-2</t>
  </si>
  <si>
    <t>P20618</t>
  </si>
  <si>
    <t>P20645</t>
  </si>
  <si>
    <t>P20674</t>
  </si>
  <si>
    <t>P20700</t>
  </si>
  <si>
    <t>P20810-5</t>
  </si>
  <si>
    <t>P20962</t>
  </si>
  <si>
    <t>P21127-8</t>
  </si>
  <si>
    <t>P21266</t>
  </si>
  <si>
    <t>P21281</t>
  </si>
  <si>
    <t>P21283</t>
  </si>
  <si>
    <t>P21399</t>
  </si>
  <si>
    <t>P21796</t>
  </si>
  <si>
    <t>P21912</t>
  </si>
  <si>
    <t>P21953</t>
  </si>
  <si>
    <t>P21964-2</t>
  </si>
  <si>
    <t>P22033</t>
  </si>
  <si>
    <t>P22059</t>
  </si>
  <si>
    <t>P22102</t>
  </si>
  <si>
    <t>P22234</t>
  </si>
  <si>
    <t>P22307-7</t>
  </si>
  <si>
    <t>P22314</t>
  </si>
  <si>
    <t>P22413</t>
  </si>
  <si>
    <t>P22466</t>
  </si>
  <si>
    <t>P22570</t>
  </si>
  <si>
    <t>P22626</t>
  </si>
  <si>
    <t>P22681</t>
  </si>
  <si>
    <t>P22695</t>
  </si>
  <si>
    <t>P22830</t>
  </si>
  <si>
    <t>P23025</t>
  </si>
  <si>
    <t>P23193</t>
  </si>
  <si>
    <t>P23246</t>
  </si>
  <si>
    <t>P23284</t>
  </si>
  <si>
    <t>P23368</t>
  </si>
  <si>
    <t>P23378</t>
  </si>
  <si>
    <t>P23381</t>
  </si>
  <si>
    <t>P23396</t>
  </si>
  <si>
    <t>P23434</t>
  </si>
  <si>
    <t>P23470-2</t>
  </si>
  <si>
    <t>P23497</t>
  </si>
  <si>
    <t>P23508</t>
  </si>
  <si>
    <t>P23511-2</t>
  </si>
  <si>
    <t>P23526</t>
  </si>
  <si>
    <t>P23527</t>
  </si>
  <si>
    <t>P23528</t>
  </si>
  <si>
    <t>P23588</t>
  </si>
  <si>
    <t>P23634-6</t>
  </si>
  <si>
    <t>P23786</t>
  </si>
  <si>
    <t>P23919</t>
  </si>
  <si>
    <t>P23921</t>
  </si>
  <si>
    <t>P24534</t>
  </si>
  <si>
    <t>P24666</t>
  </si>
  <si>
    <t>P24666-2</t>
  </si>
  <si>
    <t>P24752</t>
  </si>
  <si>
    <t>P24928</t>
  </si>
  <si>
    <t>P25098</t>
  </si>
  <si>
    <t>P25205</t>
  </si>
  <si>
    <t>P25398</t>
  </si>
  <si>
    <t>P25445-6</t>
  </si>
  <si>
    <t>P25490</t>
  </si>
  <si>
    <t>P25685</t>
  </si>
  <si>
    <t>P25705</t>
  </si>
  <si>
    <t>P25786</t>
  </si>
  <si>
    <t>P25787</t>
  </si>
  <si>
    <t>P25788-2</t>
  </si>
  <si>
    <t>P25789</t>
  </si>
  <si>
    <t>P25815</t>
  </si>
  <si>
    <t>P26006</t>
  </si>
  <si>
    <t>P26038</t>
  </si>
  <si>
    <t>P26196</t>
  </si>
  <si>
    <t>P26358</t>
  </si>
  <si>
    <t>P26368-2</t>
  </si>
  <si>
    <t>P26373</t>
  </si>
  <si>
    <t>P26374</t>
  </si>
  <si>
    <t>P26440</t>
  </si>
  <si>
    <t>P26572</t>
  </si>
  <si>
    <t>P26583</t>
  </si>
  <si>
    <t>P26599</t>
  </si>
  <si>
    <t>P26639</t>
  </si>
  <si>
    <t>P26641</t>
  </si>
  <si>
    <t>P26885</t>
  </si>
  <si>
    <t>P27144</t>
  </si>
  <si>
    <t>P27348</t>
  </si>
  <si>
    <t>P27361</t>
  </si>
  <si>
    <t>P27540-3</t>
  </si>
  <si>
    <t>P27544-2</t>
  </si>
  <si>
    <t>P27635</t>
  </si>
  <si>
    <t>P27694</t>
  </si>
  <si>
    <t>P27797</t>
  </si>
  <si>
    <t>P27824</t>
  </si>
  <si>
    <t>P28066</t>
  </si>
  <si>
    <t>P28070</t>
  </si>
  <si>
    <t>P28072</t>
  </si>
  <si>
    <t>P28074</t>
  </si>
  <si>
    <t>P28289</t>
  </si>
  <si>
    <t>P28331-4</t>
  </si>
  <si>
    <t>P28482</t>
  </si>
  <si>
    <t>P28702</t>
  </si>
  <si>
    <t>P28715</t>
  </si>
  <si>
    <t>P28799</t>
  </si>
  <si>
    <t>P28838-2</t>
  </si>
  <si>
    <t>P29083</t>
  </si>
  <si>
    <t>P29084</t>
  </si>
  <si>
    <t>P29218</t>
  </si>
  <si>
    <t>P29317</t>
  </si>
  <si>
    <t>P29353-7</t>
  </si>
  <si>
    <t>P29373</t>
  </si>
  <si>
    <t>P29401</t>
  </si>
  <si>
    <t>P29590</t>
  </si>
  <si>
    <t>P29966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</si>
  <si>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</si>
  <si>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</si>
  <si>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</si>
  <si>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</si>
  <si>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</si>
  <si>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</si>
  <si>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</si>
  <si>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</si>
  <si>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</si>
  <si>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</si>
  <si>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</si>
  <si>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</si>
  <si>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</si>
  <si>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</si>
  <si>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</si>
  <si>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P30307-2</t>
  </si>
  <si>
    <t>P30405</t>
  </si>
  <si>
    <t>P30419</t>
  </si>
  <si>
    <t>P30519</t>
  </si>
  <si>
    <t>P30520</t>
  </si>
  <si>
    <t>P30533</t>
  </si>
  <si>
    <t>P30566</t>
  </si>
  <si>
    <t>P30613-2</t>
  </si>
  <si>
    <t>P30622-1</t>
  </si>
  <si>
    <t>P30740</t>
  </si>
  <si>
    <t>P30825</t>
  </si>
  <si>
    <t>P30837</t>
  </si>
  <si>
    <t>P31040</t>
  </si>
  <si>
    <t>P31146</t>
  </si>
  <si>
    <t>P31150</t>
  </si>
  <si>
    <t>P31153</t>
  </si>
  <si>
    <t>P31323</t>
  </si>
  <si>
    <t>P31327</t>
  </si>
  <si>
    <t>P31350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</si>
  <si>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</si>
  <si>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</si>
  <si>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</si>
  <si>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</si>
  <si>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</si>
  <si>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</si>
  <si>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</si>
  <si>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</si>
  <si>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P31947-2</t>
  </si>
  <si>
    <t>P31948</t>
  </si>
  <si>
    <t>P31949</t>
  </si>
  <si>
    <t>P32019-3</t>
  </si>
  <si>
    <t>P32119</t>
  </si>
  <si>
    <t>P32121-5</t>
  </si>
  <si>
    <t>P32321-2</t>
  </si>
  <si>
    <t>P32519-2</t>
  </si>
  <si>
    <t>P32856-3</t>
  </si>
  <si>
    <t>P32929</t>
  </si>
  <si>
    <t>P33121-2</t>
  </si>
  <si>
    <t>P33176</t>
  </si>
  <si>
    <t>P33240-2</t>
  </si>
  <si>
    <t>P33316</t>
  </si>
  <si>
    <t>P33316-2</t>
  </si>
  <si>
    <t>P33527-7</t>
  </si>
  <si>
    <t>P33552</t>
  </si>
  <si>
    <t>P33908</t>
  </si>
  <si>
    <t>P33981-2</t>
  </si>
  <si>
    <t>P33991</t>
  </si>
  <si>
    <t>P33992</t>
  </si>
  <si>
    <t>P33993</t>
  </si>
  <si>
    <t>P34896-2</t>
  </si>
  <si>
    <t>P34897-3</t>
  </si>
  <si>
    <t>P34931</t>
  </si>
  <si>
    <t>P34932</t>
  </si>
  <si>
    <t>P34949</t>
  </si>
  <si>
    <t>P35219</t>
  </si>
  <si>
    <t>P35221</t>
  </si>
  <si>
    <t>P35232</t>
  </si>
  <si>
    <t>P35237</t>
  </si>
  <si>
    <t>P35240-5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</si>
  <si>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</si>
  <si>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</si>
  <si>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</si>
  <si>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</si>
  <si>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</si>
  <si>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</si>
  <si>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</si>
  <si>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</si>
  <si>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P35520</t>
  </si>
  <si>
    <t>P35556</t>
  </si>
  <si>
    <t>P35573</t>
  </si>
  <si>
    <t>P35579</t>
  </si>
  <si>
    <t>P35580</t>
  </si>
  <si>
    <t>P35606</t>
  </si>
  <si>
    <t>P35611-2</t>
  </si>
  <si>
    <t>P35612</t>
  </si>
  <si>
    <t>P35613-2</t>
  </si>
  <si>
    <t>P35637-2</t>
  </si>
  <si>
    <t>P35658-2</t>
  </si>
  <si>
    <t>P35659</t>
  </si>
  <si>
    <t>P35754</t>
  </si>
  <si>
    <t>P35790-2</t>
  </si>
  <si>
    <t>P35813</t>
  </si>
  <si>
    <t>P35998</t>
  </si>
  <si>
    <t>P36404</t>
  </si>
  <si>
    <t>P36405</t>
  </si>
  <si>
    <t>P36406-3</t>
  </si>
  <si>
    <t>P36507</t>
  </si>
  <si>
    <t>P36542</t>
  </si>
  <si>
    <t>P36543</t>
  </si>
  <si>
    <t>P36551</t>
  </si>
  <si>
    <t>P36639-4</t>
  </si>
  <si>
    <t>P36871</t>
  </si>
  <si>
    <t>P36915</t>
  </si>
  <si>
    <t>P36954</t>
  </si>
  <si>
    <t>P36957</t>
  </si>
  <si>
    <t>P36969-2</t>
  </si>
  <si>
    <t>P37108</t>
  </si>
  <si>
    <t>P37268</t>
  </si>
  <si>
    <t>P37287-3</t>
  </si>
  <si>
    <t>P37802</t>
  </si>
  <si>
    <t>P37837</t>
  </si>
  <si>
    <t>P38117</t>
  </si>
  <si>
    <t>P38606</t>
  </si>
  <si>
    <t>P38646</t>
  </si>
  <si>
    <t>P38919</t>
  </si>
  <si>
    <t>P39019</t>
  </si>
  <si>
    <t>P39023</t>
  </si>
  <si>
    <t>P39656</t>
  </si>
  <si>
    <t>P39687</t>
  </si>
  <si>
    <t>P39748</t>
  </si>
  <si>
    <t>P39880-3</t>
  </si>
  <si>
    <t>P40121-2</t>
  </si>
  <si>
    <t>P40189-3</t>
  </si>
  <si>
    <t>P40222</t>
  </si>
  <si>
    <t>P40227</t>
  </si>
  <si>
    <t>P40763</t>
  </si>
  <si>
    <t>P40763-2</t>
  </si>
  <si>
    <t>P40818</t>
  </si>
  <si>
    <t>P40925</t>
  </si>
  <si>
    <t>P40926</t>
  </si>
  <si>
    <t>P40937</t>
  </si>
  <si>
    <t>P40938-2</t>
  </si>
  <si>
    <t>P40939</t>
  </si>
  <si>
    <t>P41091</t>
  </si>
  <si>
    <t>P41208</t>
  </si>
  <si>
    <t>P41214</t>
  </si>
  <si>
    <t>P41219</t>
  </si>
  <si>
    <t>P41223</t>
  </si>
  <si>
    <t>P41227-2</t>
  </si>
  <si>
    <t>P41229-2</t>
  </si>
  <si>
    <t>P41236</t>
  </si>
  <si>
    <t>P41240</t>
  </si>
  <si>
    <t>P41250</t>
  </si>
  <si>
    <t>P41440</t>
  </si>
  <si>
    <t>P41567</t>
  </si>
  <si>
    <t>P41743</t>
  </si>
  <si>
    <t>P42126-2</t>
  </si>
  <si>
    <t>P42166</t>
  </si>
  <si>
    <t>P42167</t>
  </si>
  <si>
    <t>P42224</t>
  </si>
  <si>
    <t>P42226</t>
  </si>
  <si>
    <t>P42285</t>
  </si>
  <si>
    <t>P42330</t>
  </si>
  <si>
    <t>P42336</t>
  </si>
  <si>
    <t>P42345</t>
  </si>
  <si>
    <t>P42574</t>
  </si>
  <si>
    <t>P42575</t>
  </si>
  <si>
    <t>P42677</t>
  </si>
  <si>
    <t>P42684-6</t>
  </si>
  <si>
    <t>P42695</t>
  </si>
  <si>
    <t>P42702</t>
  </si>
  <si>
    <t>P42704</t>
  </si>
  <si>
    <t>P42765</t>
  </si>
  <si>
    <t>P42771</t>
  </si>
  <si>
    <t>P42773</t>
  </si>
  <si>
    <t>P42785</t>
  </si>
  <si>
    <t>P42898</t>
  </si>
  <si>
    <t>P43003-2</t>
  </si>
  <si>
    <t>P43007</t>
  </si>
  <si>
    <t>P43034</t>
  </si>
  <si>
    <t>P43121</t>
  </si>
  <si>
    <t>P43155-2</t>
  </si>
  <si>
    <t>P43246</t>
  </si>
  <si>
    <t>P43250-2</t>
  </si>
  <si>
    <t>P43304</t>
  </si>
  <si>
    <t>P43378</t>
  </si>
  <si>
    <t>P43405-2</t>
  </si>
  <si>
    <t>P43487</t>
  </si>
  <si>
    <t>P43490</t>
  </si>
  <si>
    <t>P43686</t>
  </si>
  <si>
    <t>P43897</t>
  </si>
  <si>
    <t>P45880</t>
  </si>
  <si>
    <t>P45880-2</t>
  </si>
  <si>
    <t>P45954</t>
  </si>
  <si>
    <t>P45973</t>
  </si>
  <si>
    <t>P45974-2</t>
  </si>
  <si>
    <t>P45983-3</t>
  </si>
  <si>
    <t>P45984-3</t>
  </si>
  <si>
    <t>P45985</t>
  </si>
  <si>
    <t>P46013</t>
  </si>
  <si>
    <t>P46013-2</t>
  </si>
  <si>
    <t>P46060</t>
  </si>
  <si>
    <t>P46063</t>
  </si>
  <si>
    <t>P46087-2</t>
  </si>
  <si>
    <t>P46108</t>
  </si>
  <si>
    <t>P46108-2</t>
  </si>
  <si>
    <t>P46109</t>
  </si>
  <si>
    <t>P46199</t>
  </si>
  <si>
    <t>P46531</t>
  </si>
  <si>
    <t>P46734</t>
  </si>
  <si>
    <t>P46736-2</t>
  </si>
  <si>
    <t>P46777</t>
  </si>
  <si>
    <t>P46778</t>
  </si>
  <si>
    <t>P46781</t>
  </si>
  <si>
    <t>P46783</t>
  </si>
  <si>
    <t>P46821</t>
  </si>
  <si>
    <t>P46926</t>
  </si>
  <si>
    <t>P46934-4</t>
  </si>
  <si>
    <t>P46937</t>
  </si>
  <si>
    <t>P46939</t>
  </si>
  <si>
    <t>P46940</t>
  </si>
  <si>
    <t>P46976-2</t>
  </si>
  <si>
    <t>P46977</t>
  </si>
  <si>
    <t>P47224</t>
  </si>
  <si>
    <t>P47712</t>
  </si>
  <si>
    <t>P47755</t>
  </si>
  <si>
    <t>P47756-2</t>
  </si>
  <si>
    <t>P47813</t>
  </si>
  <si>
    <t>P47914</t>
  </si>
  <si>
    <t>P47928</t>
  </si>
  <si>
    <t>P47985</t>
  </si>
  <si>
    <t>P48029-3</t>
  </si>
  <si>
    <t>P48047</t>
  </si>
  <si>
    <t>P48050</t>
  </si>
  <si>
    <t>P48059</t>
  </si>
  <si>
    <t>P48066</t>
  </si>
  <si>
    <t>P48147</t>
  </si>
  <si>
    <t>P48163</t>
  </si>
  <si>
    <t>P48200</t>
  </si>
  <si>
    <t>P48444</t>
  </si>
  <si>
    <t>P48449-3</t>
  </si>
  <si>
    <t>P48506</t>
  </si>
  <si>
    <t>P48507</t>
  </si>
  <si>
    <t>P48634</t>
  </si>
  <si>
    <t>P48637</t>
  </si>
  <si>
    <t>P48643</t>
  </si>
  <si>
    <t>P48723</t>
  </si>
  <si>
    <t>P48729</t>
  </si>
  <si>
    <t>P48735</t>
  </si>
  <si>
    <t>P48739</t>
  </si>
  <si>
    <t>P48745</t>
  </si>
  <si>
    <t>P48960-2</t>
  </si>
  <si>
    <t>P49006</t>
  </si>
  <si>
    <t>P49069</t>
  </si>
  <si>
    <t>P49116</t>
  </si>
  <si>
    <t>P49137</t>
  </si>
  <si>
    <t>P49189</t>
  </si>
  <si>
    <t>P49207</t>
  </si>
  <si>
    <t>P49247</t>
  </si>
  <si>
    <t>P49257</t>
  </si>
  <si>
    <t>P49321</t>
  </si>
  <si>
    <t>P49327</t>
  </si>
  <si>
    <t>P49354</t>
  </si>
  <si>
    <t>P49356</t>
  </si>
  <si>
    <t>P49366</t>
  </si>
  <si>
    <t>P49368</t>
  </si>
  <si>
    <t>P49411</t>
  </si>
  <si>
    <t>P49419-2</t>
  </si>
  <si>
    <t>P49427</t>
  </si>
  <si>
    <t>P49454</t>
  </si>
  <si>
    <t>P49458</t>
  </si>
  <si>
    <t>P49459</t>
  </si>
  <si>
    <t>P49585</t>
  </si>
  <si>
    <t>P49588</t>
  </si>
  <si>
    <t>P49589-3</t>
  </si>
  <si>
    <t>P49593</t>
  </si>
  <si>
    <t>P49642</t>
  </si>
  <si>
    <t>P49643</t>
  </si>
  <si>
    <t>P49674</t>
  </si>
  <si>
    <t>P49721</t>
  </si>
  <si>
    <t>P49736</t>
  </si>
  <si>
    <t>P49748-2</t>
  </si>
  <si>
    <t>P49750-3</t>
  </si>
  <si>
    <t>P49755</t>
  </si>
  <si>
    <t>P49756</t>
  </si>
  <si>
    <t>P49757-4</t>
  </si>
  <si>
    <t>P49770</t>
  </si>
  <si>
    <t>P49773</t>
  </si>
  <si>
    <t>P49790</t>
  </si>
  <si>
    <t>P49792</t>
  </si>
  <si>
    <t>P49840</t>
  </si>
  <si>
    <t>P49841</t>
  </si>
  <si>
    <t>P49903</t>
  </si>
  <si>
    <t>P49914</t>
  </si>
  <si>
    <t>P49915</t>
  </si>
  <si>
    <t>P49959</t>
  </si>
  <si>
    <t>P50053</t>
  </si>
  <si>
    <t>P50148</t>
  </si>
  <si>
    <t>P50150</t>
  </si>
  <si>
    <t>P50151</t>
  </si>
  <si>
    <t>P50219</t>
  </si>
  <si>
    <t>P50224</t>
  </si>
  <si>
    <t>P50225</t>
  </si>
  <si>
    <t>P50336</t>
  </si>
  <si>
    <t>P50402</t>
  </si>
  <si>
    <t>P50416-2</t>
  </si>
  <si>
    <t>P50452</t>
  </si>
  <si>
    <t>P50454</t>
  </si>
  <si>
    <t>P50479</t>
  </si>
  <si>
    <t>P50502</t>
  </si>
  <si>
    <t>P50552</t>
  </si>
  <si>
    <t>P50579</t>
  </si>
  <si>
    <t>P50583</t>
  </si>
  <si>
    <t>P50747</t>
  </si>
  <si>
    <t>P50748</t>
  </si>
  <si>
    <t>P50749</t>
  </si>
  <si>
    <t>P50895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</si>
  <si>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</si>
  <si>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</si>
  <si>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</si>
  <si>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</si>
  <si>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</si>
  <si>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</si>
  <si>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</si>
  <si>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</si>
  <si>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P51153</t>
  </si>
  <si>
    <t>P51157</t>
  </si>
  <si>
    <t>P51397</t>
  </si>
  <si>
    <t>P51398-2</t>
  </si>
  <si>
    <t>P51452</t>
  </si>
  <si>
    <t>P51511</t>
  </si>
  <si>
    <t>P51513-4</t>
  </si>
  <si>
    <t>P51531-2</t>
  </si>
  <si>
    <t>P51553</t>
  </si>
  <si>
    <t>P51570</t>
  </si>
  <si>
    <t>P51571</t>
  </si>
  <si>
    <t>P51572</t>
  </si>
  <si>
    <t>P51580</t>
  </si>
  <si>
    <t>P51610-2</t>
  </si>
  <si>
    <t>P51659</t>
  </si>
  <si>
    <t>P51665</t>
  </si>
  <si>
    <t>P51668</t>
  </si>
  <si>
    <t>P51687</t>
  </si>
  <si>
    <t>P51692</t>
  </si>
  <si>
    <t>P51790-4</t>
  </si>
  <si>
    <t>P51795</t>
  </si>
  <si>
    <t>P51798-2</t>
  </si>
  <si>
    <t>P51809</t>
  </si>
  <si>
    <t>P51812</t>
  </si>
  <si>
    <t>P51817</t>
  </si>
  <si>
    <t>P51858</t>
  </si>
  <si>
    <t>P51946</t>
  </si>
  <si>
    <t>P51948</t>
  </si>
  <si>
    <t>P51970</t>
  </si>
  <si>
    <t>P51991</t>
  </si>
  <si>
    <t>P52272-2</t>
  </si>
  <si>
    <t>P52292</t>
  </si>
  <si>
    <t>P52294</t>
  </si>
  <si>
    <t>P52298</t>
  </si>
  <si>
    <t>P52306</t>
  </si>
  <si>
    <t>P52565</t>
  </si>
  <si>
    <t>P52569</t>
  </si>
  <si>
    <t>P52597</t>
  </si>
  <si>
    <t>P52630-4</t>
  </si>
  <si>
    <t>P52657</t>
  </si>
  <si>
    <t>P52701</t>
  </si>
  <si>
    <t>P52732</t>
  </si>
  <si>
    <t>P52735-3</t>
  </si>
  <si>
    <t>P52758</t>
  </si>
  <si>
    <t>P52788</t>
  </si>
  <si>
    <t>P52799</t>
  </si>
  <si>
    <t>P52815</t>
  </si>
  <si>
    <t>P52888</t>
  </si>
  <si>
    <t>P52907</t>
  </si>
  <si>
    <t>P52943</t>
  </si>
  <si>
    <t>P53004</t>
  </si>
  <si>
    <t>P53007</t>
  </si>
  <si>
    <t>P53350</t>
  </si>
  <si>
    <t>P53365</t>
  </si>
  <si>
    <t>P53367</t>
  </si>
  <si>
    <t>P53367-2</t>
  </si>
  <si>
    <t>P53384-2</t>
  </si>
  <si>
    <t>P53396</t>
  </si>
  <si>
    <t>P53582</t>
  </si>
  <si>
    <t>P53597</t>
  </si>
  <si>
    <t>P53602</t>
  </si>
  <si>
    <t>P53609</t>
  </si>
  <si>
    <t>P53618</t>
  </si>
  <si>
    <t>P53621</t>
  </si>
  <si>
    <t>P53634</t>
  </si>
  <si>
    <t>P53701</t>
  </si>
  <si>
    <t>P53778</t>
  </si>
  <si>
    <t>P53794</t>
  </si>
  <si>
    <t>P53803</t>
  </si>
  <si>
    <t>P53814-5</t>
  </si>
  <si>
    <t>P53985</t>
  </si>
  <si>
    <t>P53990-2</t>
  </si>
  <si>
    <t>P53992</t>
  </si>
  <si>
    <t>P53999</t>
  </si>
  <si>
    <t>P54136</t>
  </si>
  <si>
    <t>P54136-2</t>
  </si>
  <si>
    <t>P54259</t>
  </si>
  <si>
    <t>P54289-4</t>
  </si>
  <si>
    <t>P54577</t>
  </si>
  <si>
    <t>P54578-2</t>
  </si>
  <si>
    <t>P54619-2</t>
  </si>
  <si>
    <t>P54646</t>
  </si>
  <si>
    <t>P54687</t>
  </si>
  <si>
    <t>P54707</t>
  </si>
  <si>
    <t>P54709</t>
  </si>
  <si>
    <t>P54727</t>
  </si>
  <si>
    <t>P54802</t>
  </si>
  <si>
    <t>P54819</t>
  </si>
  <si>
    <t>P54826</t>
  </si>
  <si>
    <t>P54886-2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</si>
  <si>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</si>
  <si>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</si>
  <si>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</si>
  <si>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</si>
  <si>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</si>
  <si>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</si>
  <si>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</si>
  <si>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</si>
  <si>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P55082-2</t>
  </si>
  <si>
    <t>P55145</t>
  </si>
  <si>
    <t>P55210-4</t>
  </si>
  <si>
    <t>P55212</t>
  </si>
  <si>
    <t>P55263-2</t>
  </si>
  <si>
    <t>P55268</t>
  </si>
  <si>
    <t>P55327-2</t>
  </si>
  <si>
    <t>P55735</t>
  </si>
  <si>
    <t>P55884</t>
  </si>
  <si>
    <t>P55957</t>
  </si>
  <si>
    <t>P56181-2</t>
  </si>
  <si>
    <t>P56182</t>
  </si>
  <si>
    <t>P56192</t>
  </si>
  <si>
    <t>P56270-2</t>
  </si>
  <si>
    <t>P56277</t>
  </si>
  <si>
    <t>P56377</t>
  </si>
  <si>
    <t>P56385</t>
  </si>
  <si>
    <t>P56524</t>
  </si>
  <si>
    <t>P56537</t>
  </si>
  <si>
    <t>P56589</t>
  </si>
  <si>
    <t>P56937-3</t>
  </si>
  <si>
    <t>P56945-4</t>
  </si>
  <si>
    <t>P56962</t>
  </si>
  <si>
    <t>P57054-3</t>
  </si>
  <si>
    <t>P57060</t>
  </si>
  <si>
    <t>P57076</t>
  </si>
  <si>
    <t>P57081-2</t>
  </si>
  <si>
    <t>P57088</t>
  </si>
  <si>
    <t>P57105</t>
  </si>
  <si>
    <t>P57737-3</t>
  </si>
  <si>
    <t>P57740</t>
  </si>
  <si>
    <t>P57772</t>
  </si>
  <si>
    <t>P58004</t>
  </si>
  <si>
    <t>P58005</t>
  </si>
  <si>
    <t>P58107</t>
  </si>
  <si>
    <t>P58397-3</t>
  </si>
  <si>
    <t>P58546</t>
  </si>
  <si>
    <t>P58557</t>
  </si>
  <si>
    <t>P59998</t>
  </si>
  <si>
    <t>P60059</t>
  </si>
  <si>
    <t>P60174-1</t>
  </si>
  <si>
    <t>P60228</t>
  </si>
  <si>
    <t>P60468</t>
  </si>
  <si>
    <t>P60510</t>
  </si>
  <si>
    <t>P60602</t>
  </si>
  <si>
    <t>P60604-2</t>
  </si>
  <si>
    <t>P60709</t>
  </si>
  <si>
    <t>P60763</t>
  </si>
  <si>
    <t>P60842</t>
  </si>
  <si>
    <t>P60866</t>
  </si>
  <si>
    <t>P60891</t>
  </si>
  <si>
    <t>P60896</t>
  </si>
  <si>
    <t>P60903</t>
  </si>
  <si>
    <t>P60953</t>
  </si>
  <si>
    <t>P60953-1</t>
  </si>
  <si>
    <t>P60981</t>
  </si>
  <si>
    <t>P60983</t>
  </si>
  <si>
    <t>P61006</t>
  </si>
  <si>
    <t>P61009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</si>
  <si>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</si>
  <si>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</si>
  <si>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</si>
  <si>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</si>
  <si>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</si>
  <si>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</si>
  <si>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</si>
  <si>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</si>
  <si>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</si>
  <si>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</si>
  <si>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</si>
  <si>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</si>
  <si>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</si>
  <si>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</si>
  <si>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</si>
  <si>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</si>
  <si>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</si>
  <si>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</si>
  <si>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</si>
  <si>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P61254</t>
  </si>
  <si>
    <t>P61289</t>
  </si>
  <si>
    <t>P61326</t>
  </si>
  <si>
    <t>P61586</t>
  </si>
  <si>
    <t>P61587</t>
  </si>
  <si>
    <t>P61599</t>
  </si>
  <si>
    <t>P61604</t>
  </si>
  <si>
    <t>P61758</t>
  </si>
  <si>
    <t>P61764</t>
  </si>
  <si>
    <t>P61925</t>
  </si>
  <si>
    <t>P61956</t>
  </si>
  <si>
    <t>P61960-2</t>
  </si>
  <si>
    <t>P61962</t>
  </si>
  <si>
    <t>P61964</t>
  </si>
  <si>
    <t>P61970</t>
  </si>
  <si>
    <t>P61978-2</t>
  </si>
  <si>
    <t>P61981</t>
  </si>
  <si>
    <t>P62070</t>
  </si>
  <si>
    <t>P62072</t>
  </si>
  <si>
    <t>P62081</t>
  </si>
  <si>
    <t>P62136</t>
  </si>
  <si>
    <t>P62140</t>
  </si>
  <si>
    <t>P62191</t>
  </si>
  <si>
    <t>P62195-2</t>
  </si>
  <si>
    <t>P62249</t>
  </si>
  <si>
    <t>P62258</t>
  </si>
  <si>
    <t>P62263</t>
  </si>
  <si>
    <t>P62266</t>
  </si>
  <si>
    <t>P62269</t>
  </si>
  <si>
    <t>P62273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</si>
  <si>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</si>
  <si>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</si>
  <si>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</si>
  <si>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</si>
  <si>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</si>
  <si>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</si>
  <si>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</si>
  <si>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</si>
  <si>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</si>
  <si>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</si>
  <si>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</si>
  <si>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</si>
  <si>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</si>
  <si>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</si>
  <si>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</si>
  <si>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</si>
  <si>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P62633-3</t>
  </si>
  <si>
    <t>P62633-4</t>
  </si>
  <si>
    <t>P62701</t>
  </si>
  <si>
    <t>P62714</t>
  </si>
  <si>
    <t>P62745</t>
  </si>
  <si>
    <t>P62750</t>
  </si>
  <si>
    <t>P62753</t>
  </si>
  <si>
    <t>P62805</t>
  </si>
  <si>
    <t>P62807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</si>
  <si>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</si>
  <si>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</si>
  <si>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</si>
  <si>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</si>
  <si>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</si>
  <si>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</si>
  <si>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</si>
  <si>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</si>
  <si>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P62879</t>
  </si>
  <si>
    <t>P62888</t>
  </si>
  <si>
    <t>P62899</t>
  </si>
  <si>
    <t>P62906</t>
  </si>
  <si>
    <t>P62913-2</t>
  </si>
  <si>
    <t>P62937</t>
  </si>
  <si>
    <t>P62942</t>
  </si>
  <si>
    <t>P62979</t>
  </si>
  <si>
    <t>P62987</t>
  </si>
  <si>
    <t>P62993</t>
  </si>
  <si>
    <t>P63000</t>
  </si>
  <si>
    <t>P63010</t>
  </si>
  <si>
    <t>P63092</t>
  </si>
  <si>
    <t>P63096</t>
  </si>
  <si>
    <t>P63104</t>
  </si>
  <si>
    <t>P63151</t>
  </si>
  <si>
    <t>P63167</t>
  </si>
  <si>
    <t>P63173</t>
  </si>
  <si>
    <t>P63218</t>
  </si>
  <si>
    <t>P63220</t>
  </si>
  <si>
    <t>P63241</t>
  </si>
  <si>
    <t>P63244</t>
  </si>
  <si>
    <t>P63261</t>
  </si>
  <si>
    <t>P63272</t>
  </si>
  <si>
    <t>P67775</t>
  </si>
  <si>
    <t>P67809</t>
  </si>
  <si>
    <t>P67936</t>
  </si>
  <si>
    <t>P68032</t>
  </si>
  <si>
    <t>P68036</t>
  </si>
  <si>
    <t>P68104</t>
  </si>
  <si>
    <t>P68106</t>
  </si>
  <si>
    <t>P68133</t>
  </si>
  <si>
    <t>P68363</t>
  </si>
  <si>
    <t>P68371</t>
  </si>
  <si>
    <t>P68402</t>
  </si>
  <si>
    <t>P69892</t>
  </si>
  <si>
    <t>P78310</t>
  </si>
  <si>
    <t>P78318</t>
  </si>
  <si>
    <t>P78324</t>
  </si>
  <si>
    <t>P78330</t>
  </si>
  <si>
    <t>P78347-2</t>
  </si>
  <si>
    <t>P78371</t>
  </si>
  <si>
    <t>P78406</t>
  </si>
  <si>
    <t>P78417</t>
  </si>
  <si>
    <t>P78527</t>
  </si>
  <si>
    <t>P78536</t>
  </si>
  <si>
    <t>P78537</t>
  </si>
  <si>
    <t>P78540</t>
  </si>
  <si>
    <t>P80217</t>
  </si>
  <si>
    <t>P80297</t>
  </si>
  <si>
    <t>P80303</t>
  </si>
  <si>
    <t>P80723</t>
  </si>
  <si>
    <t>P81274</t>
  </si>
  <si>
    <t>P82094</t>
  </si>
  <si>
    <t>P82664</t>
  </si>
  <si>
    <t>P82909</t>
  </si>
  <si>
    <t>P82979</t>
  </si>
  <si>
    <t>P83436</t>
  </si>
  <si>
    <t>P84074</t>
  </si>
  <si>
    <t>P84077</t>
  </si>
  <si>
    <t>P84085</t>
  </si>
  <si>
    <t>P84090</t>
  </si>
  <si>
    <t>P84095</t>
  </si>
  <si>
    <t>P84101</t>
  </si>
  <si>
    <t>P84157</t>
  </si>
  <si>
    <t>P84157-2</t>
  </si>
  <si>
    <t>P84157-3</t>
  </si>
  <si>
    <t>P85037</t>
  </si>
  <si>
    <t>P86397</t>
  </si>
  <si>
    <t>P86791</t>
  </si>
  <si>
    <t>P98082-3</t>
  </si>
  <si>
    <t>P98172</t>
  </si>
  <si>
    <t>P98173-3</t>
  </si>
  <si>
    <t>P98175-2</t>
  </si>
  <si>
    <t>P98179</t>
  </si>
  <si>
    <t>Q00013-2</t>
  </si>
  <si>
    <t>Q00059</t>
  </si>
  <si>
    <t>Q00325-2</t>
  </si>
  <si>
    <t>Q00341</t>
  </si>
  <si>
    <t>Q00403</t>
  </si>
  <si>
    <t>Q00534</t>
  </si>
  <si>
    <t>Q00535</t>
  </si>
  <si>
    <t>Q00536</t>
  </si>
  <si>
    <t>Q00587-2</t>
  </si>
  <si>
    <t>Q00610-2</t>
  </si>
  <si>
    <t>Q00653-4</t>
  </si>
  <si>
    <t>Q00688</t>
  </si>
  <si>
    <t>Q00765</t>
  </si>
  <si>
    <t>Q00796</t>
  </si>
  <si>
    <t>Q00839-2</t>
  </si>
  <si>
    <t>Q01081</t>
  </si>
  <si>
    <t>Q01082</t>
  </si>
  <si>
    <t>Q01085-2</t>
  </si>
  <si>
    <t>Q01105</t>
  </si>
  <si>
    <t>Q01167</t>
  </si>
  <si>
    <t>Q01415</t>
  </si>
  <si>
    <t>Q01469</t>
  </si>
  <si>
    <t>Q01518-2</t>
  </si>
  <si>
    <t>Q01543-2</t>
  </si>
  <si>
    <t>Q01581</t>
  </si>
  <si>
    <t>Q01650</t>
  </si>
  <si>
    <t>Q01658</t>
  </si>
  <si>
    <t>Q01813</t>
  </si>
  <si>
    <t>Q01968</t>
  </si>
  <si>
    <t>Q01970</t>
  </si>
  <si>
    <t>Q02078-3</t>
  </si>
  <si>
    <t>Q02083-2</t>
  </si>
  <si>
    <t>Q02086-2</t>
  </si>
  <si>
    <t>Q02127</t>
  </si>
  <si>
    <t>Q02156</t>
  </si>
  <si>
    <t>Q02241</t>
  </si>
  <si>
    <t>Q02446</t>
  </si>
  <si>
    <t>Q02487-2</t>
  </si>
  <si>
    <t>Q02535</t>
  </si>
  <si>
    <t>Q02750</t>
  </si>
  <si>
    <t>Q02763-2</t>
  </si>
  <si>
    <t>Q02790</t>
  </si>
  <si>
    <t>Q02809</t>
  </si>
  <si>
    <t>Q02818</t>
  </si>
  <si>
    <t>Q02952-3</t>
  </si>
  <si>
    <t>Q03154</t>
  </si>
  <si>
    <t>Q03519</t>
  </si>
  <si>
    <t>Q04446</t>
  </si>
  <si>
    <t>Q04721</t>
  </si>
  <si>
    <t>Q04724</t>
  </si>
  <si>
    <t>Q04760</t>
  </si>
  <si>
    <t>Q04828</t>
  </si>
  <si>
    <t>Q04837</t>
  </si>
  <si>
    <t>Q04917</t>
  </si>
  <si>
    <t>Q04941</t>
  </si>
  <si>
    <t>Q05048</t>
  </si>
  <si>
    <t>Q05086-3</t>
  </si>
  <si>
    <t>Q05209</t>
  </si>
  <si>
    <t>Q05519-2</t>
  </si>
  <si>
    <t>Q05639</t>
  </si>
  <si>
    <t>Q05655</t>
  </si>
  <si>
    <t>Q05682-4</t>
  </si>
  <si>
    <t>Q05682-5</t>
  </si>
  <si>
    <t>Q05932-3</t>
  </si>
  <si>
    <t>Q06124</t>
  </si>
  <si>
    <t>Q06203</t>
  </si>
  <si>
    <t>Q06210-2</t>
  </si>
  <si>
    <t>Q06265</t>
  </si>
  <si>
    <t>Q06323</t>
  </si>
  <si>
    <t>Q06330-5</t>
  </si>
  <si>
    <t>Q06481</t>
  </si>
  <si>
    <t>Q06546</t>
  </si>
  <si>
    <t>Q06547-2</t>
  </si>
  <si>
    <t>Q06609-3</t>
  </si>
  <si>
    <t>Q06830</t>
  </si>
  <si>
    <t>Q07021</t>
  </si>
  <si>
    <t>Q07065</t>
  </si>
  <si>
    <t>Q07075</t>
  </si>
  <si>
    <t>Q07666</t>
  </si>
  <si>
    <t>Q07812-5</t>
  </si>
  <si>
    <t>Q07820-2</t>
  </si>
  <si>
    <t>Q07866-6</t>
  </si>
  <si>
    <t>Q07912</t>
  </si>
  <si>
    <t>Q07960</t>
  </si>
  <si>
    <t>Q08209-2</t>
  </si>
  <si>
    <t>Q08257</t>
  </si>
  <si>
    <t>Q08289-6</t>
  </si>
  <si>
    <t>Q08357</t>
  </si>
  <si>
    <t>Q08378-2</t>
  </si>
  <si>
    <t>Q08379</t>
  </si>
  <si>
    <t>Q08426</t>
  </si>
  <si>
    <t>Q08722-2</t>
  </si>
  <si>
    <t>Q08752</t>
  </si>
  <si>
    <t>Q08945</t>
  </si>
  <si>
    <t>Q08AD1-2</t>
  </si>
  <si>
    <t>Q08AE8-2</t>
  </si>
  <si>
    <t>Q08AG7</t>
  </si>
  <si>
    <t>Q08AM6</t>
  </si>
  <si>
    <t>Q08E86</t>
  </si>
  <si>
    <t>Q08J23</t>
  </si>
  <si>
    <t>Q09028-3</t>
  </si>
  <si>
    <t>Q09161</t>
  </si>
  <si>
    <t>Q09472</t>
  </si>
  <si>
    <t>Q09666</t>
  </si>
  <si>
    <t>Q0JRZ9-3</t>
  </si>
  <si>
    <t>Q0VDF9</t>
  </si>
  <si>
    <t>Q0VDG4</t>
  </si>
  <si>
    <t>Q10469</t>
  </si>
  <si>
    <t>Q10567-2</t>
  </si>
  <si>
    <t>Q10713</t>
  </si>
  <si>
    <t>Q12765</t>
  </si>
  <si>
    <t>Q12769</t>
  </si>
  <si>
    <t>Q12788</t>
  </si>
  <si>
    <t>Q12792</t>
  </si>
  <si>
    <t>Q12834</t>
  </si>
  <si>
    <t>Q12841</t>
  </si>
  <si>
    <t>Q12846</t>
  </si>
  <si>
    <t>Q12849</t>
  </si>
  <si>
    <t>Q12860-2</t>
  </si>
  <si>
    <t>Q12872</t>
  </si>
  <si>
    <t>Q12874</t>
  </si>
  <si>
    <t>Q12888</t>
  </si>
  <si>
    <t>Q12893</t>
  </si>
  <si>
    <t>Q12904</t>
  </si>
  <si>
    <t>Q12905</t>
  </si>
  <si>
    <t>Q12906</t>
  </si>
  <si>
    <t>Q12907</t>
  </si>
  <si>
    <t>Q12929</t>
  </si>
  <si>
    <t>Q12933-3</t>
  </si>
  <si>
    <t>Q12948</t>
  </si>
  <si>
    <t>Q12955-6</t>
  </si>
  <si>
    <t>Q12959-5</t>
  </si>
  <si>
    <t>Q12962</t>
  </si>
  <si>
    <t>Q12965</t>
  </si>
  <si>
    <t>Q12972</t>
  </si>
  <si>
    <t>Q12981</t>
  </si>
  <si>
    <t>Q12996</t>
  </si>
  <si>
    <t>Q13011</t>
  </si>
  <si>
    <t>Q13015</t>
  </si>
  <si>
    <t>Q13017-2</t>
  </si>
  <si>
    <t>Q13033-2</t>
  </si>
  <si>
    <t>Q13043</t>
  </si>
  <si>
    <t>Q13045</t>
  </si>
  <si>
    <t>Q13045-2</t>
  </si>
  <si>
    <t>Q13057</t>
  </si>
  <si>
    <t>Q13098</t>
  </si>
  <si>
    <t>Q13111-2</t>
  </si>
  <si>
    <t>Q13112</t>
  </si>
  <si>
    <t>Q13123</t>
  </si>
  <si>
    <t>Q13126</t>
  </si>
  <si>
    <t>Q13131</t>
  </si>
  <si>
    <t>Q13136-2</t>
  </si>
  <si>
    <t>Q13137-4</t>
  </si>
  <si>
    <t>Q13148</t>
  </si>
  <si>
    <t>Q13151</t>
  </si>
  <si>
    <t>Q13153</t>
  </si>
  <si>
    <t>Q13158</t>
  </si>
  <si>
    <t>Q13162</t>
  </si>
  <si>
    <t>Q13164-2</t>
  </si>
  <si>
    <t>Q13177</t>
  </si>
  <si>
    <t>Q13185</t>
  </si>
  <si>
    <t>Q13188</t>
  </si>
  <si>
    <t>Q13200</t>
  </si>
  <si>
    <t>Q13217</t>
  </si>
  <si>
    <t>Q13228-2</t>
  </si>
  <si>
    <t>Q13232</t>
  </si>
  <si>
    <t>Q13243-3</t>
  </si>
  <si>
    <t>Q13247-3</t>
  </si>
  <si>
    <t>Q13257</t>
  </si>
  <si>
    <t>Q13263</t>
  </si>
  <si>
    <t>Q13277-2</t>
  </si>
  <si>
    <t>Q13283</t>
  </si>
  <si>
    <t>Q13308</t>
  </si>
  <si>
    <t>Q13309</t>
  </si>
  <si>
    <t>Q13310-3</t>
  </si>
  <si>
    <t>Q13322-2</t>
  </si>
  <si>
    <t>Q13325</t>
  </si>
  <si>
    <t>Q13347</t>
  </si>
  <si>
    <t>Q13356</t>
  </si>
  <si>
    <t>Q13362-4</t>
  </si>
  <si>
    <t>Q13363</t>
  </si>
  <si>
    <t>Q13395</t>
  </si>
  <si>
    <t>Q13405</t>
  </si>
  <si>
    <t>Q13409-6</t>
  </si>
  <si>
    <t>Q13416</t>
  </si>
  <si>
    <t>Q13418</t>
  </si>
  <si>
    <t>Q13423</t>
  </si>
  <si>
    <t>Q13424</t>
  </si>
  <si>
    <t>Q13426</t>
  </si>
  <si>
    <t>Q13432-2</t>
  </si>
  <si>
    <t>Q13435</t>
  </si>
  <si>
    <t>Q13438-5</t>
  </si>
  <si>
    <t>Q13442</t>
  </si>
  <si>
    <t>Q13443</t>
  </si>
  <si>
    <t>Q13444-8</t>
  </si>
  <si>
    <t>Q13445</t>
  </si>
  <si>
    <t>Q13451</t>
  </si>
  <si>
    <t>Q13464</t>
  </si>
  <si>
    <t>Q13480-2</t>
  </si>
  <si>
    <t>Q13492-3</t>
  </si>
  <si>
    <t>Q13503</t>
  </si>
  <si>
    <t>Q13505-3</t>
  </si>
  <si>
    <t>Q13509</t>
  </si>
  <si>
    <t>Q13526</t>
  </si>
  <si>
    <t>Q13541</t>
  </si>
  <si>
    <t>Q13542</t>
  </si>
  <si>
    <t>Q13546-2</t>
  </si>
  <si>
    <t>Q13564-2</t>
  </si>
  <si>
    <t>Q13572</t>
  </si>
  <si>
    <t>Q13573</t>
  </si>
  <si>
    <t>Q13576</t>
  </si>
  <si>
    <t>Q13586</t>
  </si>
  <si>
    <t>Q13596-2</t>
  </si>
  <si>
    <t>Q13614</t>
  </si>
  <si>
    <t>Q13616</t>
  </si>
  <si>
    <t>Q13617</t>
  </si>
  <si>
    <t>Q13618-2</t>
  </si>
  <si>
    <t>Q13625</t>
  </si>
  <si>
    <t>Q13630</t>
  </si>
  <si>
    <t>Q13636</t>
  </si>
  <si>
    <t>Q13641</t>
  </si>
  <si>
    <t>Q13642-5</t>
  </si>
  <si>
    <t>Q13643</t>
  </si>
  <si>
    <t>Q13686</t>
  </si>
  <si>
    <t>Q13724</t>
  </si>
  <si>
    <t>Q13740-2</t>
  </si>
  <si>
    <t>Q13796</t>
  </si>
  <si>
    <t>Q13813-3</t>
  </si>
  <si>
    <t>Q13825</t>
  </si>
  <si>
    <t>Q13884</t>
  </si>
  <si>
    <t>Q13885</t>
  </si>
  <si>
    <t>Q13895</t>
  </si>
  <si>
    <t>Q13907</t>
  </si>
  <si>
    <t>Q13951-2</t>
  </si>
  <si>
    <t>Q13952-3</t>
  </si>
  <si>
    <t>Q14008-2</t>
  </si>
  <si>
    <t>Q14011</t>
  </si>
  <si>
    <t>Q14012</t>
  </si>
  <si>
    <t>Q14019</t>
  </si>
  <si>
    <t>Q14050</t>
  </si>
  <si>
    <t>Q14061</t>
  </si>
  <si>
    <t>Q14103-3</t>
  </si>
  <si>
    <t>Q14108</t>
  </si>
  <si>
    <t>Q14118</t>
  </si>
  <si>
    <t>Q14126</t>
  </si>
  <si>
    <t>Q14129</t>
  </si>
  <si>
    <t>Q14135</t>
  </si>
  <si>
    <t>Q14137</t>
  </si>
  <si>
    <t>Q14139</t>
  </si>
  <si>
    <t>Q14145</t>
  </si>
  <si>
    <t>Q14149</t>
  </si>
  <si>
    <t>Q14151</t>
  </si>
  <si>
    <t>Q14152</t>
  </si>
  <si>
    <t>Q14157</t>
  </si>
  <si>
    <t>Q14157-1</t>
  </si>
  <si>
    <t>Q14160</t>
  </si>
  <si>
    <t>Q14165</t>
  </si>
  <si>
    <t>Q14166</t>
  </si>
  <si>
    <t>Q14181</t>
  </si>
  <si>
    <t>Q14195-2</t>
  </si>
  <si>
    <t>Q14204</t>
  </si>
  <si>
    <t>Q14232</t>
  </si>
  <si>
    <t>Q14240</t>
  </si>
  <si>
    <t>Q14244</t>
  </si>
  <si>
    <t>Q14247</t>
  </si>
  <si>
    <t>Q14257</t>
  </si>
  <si>
    <t>Q14315-2</t>
  </si>
  <si>
    <t>Q14318-2</t>
  </si>
  <si>
    <t>Q14320</t>
  </si>
  <si>
    <t>Q14331</t>
  </si>
  <si>
    <t>Q14344</t>
  </si>
  <si>
    <t>Q14353</t>
  </si>
  <si>
    <t>Q14376</t>
  </si>
  <si>
    <t>Q14409</t>
  </si>
  <si>
    <t>Q14444-2</t>
  </si>
  <si>
    <t>Q14469</t>
  </si>
  <si>
    <t>Q14498-2</t>
  </si>
  <si>
    <t>Q14520-2</t>
  </si>
  <si>
    <t>Q14527-2</t>
  </si>
  <si>
    <t>Q14534</t>
  </si>
  <si>
    <t>Q14554</t>
  </si>
  <si>
    <t>Q14558</t>
  </si>
  <si>
    <t>Q14566</t>
  </si>
  <si>
    <t>Q14651</t>
  </si>
  <si>
    <t>Q14653</t>
  </si>
  <si>
    <t>Q14657</t>
  </si>
  <si>
    <t>Q14669-2</t>
  </si>
  <si>
    <t>Q14671</t>
  </si>
  <si>
    <t>Q14674</t>
  </si>
  <si>
    <t>Q14676-3</t>
  </si>
  <si>
    <t>Q14677</t>
  </si>
  <si>
    <t>Q14681</t>
  </si>
  <si>
    <t>Q14683</t>
  </si>
  <si>
    <t>Q14686</t>
  </si>
  <si>
    <t>Q14687-2</t>
  </si>
  <si>
    <t>Q14691</t>
  </si>
  <si>
    <t>Q14694</t>
  </si>
  <si>
    <t>Q14696</t>
  </si>
  <si>
    <t>Q14697</t>
  </si>
  <si>
    <t>Q14699</t>
  </si>
  <si>
    <t>Q14739</t>
  </si>
  <si>
    <t>Q14746-2</t>
  </si>
  <si>
    <t>Q14789</t>
  </si>
  <si>
    <t>Q14790</t>
  </si>
  <si>
    <t>Q147X3</t>
  </si>
  <si>
    <t>Q14814-4</t>
  </si>
  <si>
    <t>Q14847</t>
  </si>
  <si>
    <t>Q14872</t>
  </si>
  <si>
    <t>Q14964</t>
  </si>
  <si>
    <t>Q14966</t>
  </si>
  <si>
    <t>Q14974</t>
  </si>
  <si>
    <t>Q14978</t>
  </si>
  <si>
    <t>Q14980-2</t>
  </si>
  <si>
    <t>Q14C86-6</t>
  </si>
  <si>
    <t>Q14CS0</t>
  </si>
  <si>
    <t>Q14CX7-2</t>
  </si>
  <si>
    <t>Q14CZ7</t>
  </si>
  <si>
    <t>Q15004</t>
  </si>
  <si>
    <t>Q15006</t>
  </si>
  <si>
    <t>Q15007</t>
  </si>
  <si>
    <t>Q15008</t>
  </si>
  <si>
    <t>Q15011-3</t>
  </si>
  <si>
    <t>Q15012</t>
  </si>
  <si>
    <t>Q15013</t>
  </si>
  <si>
    <t>Q15018</t>
  </si>
  <si>
    <t>Q15019</t>
  </si>
  <si>
    <t>Q15021</t>
  </si>
  <si>
    <t>Q15024</t>
  </si>
  <si>
    <t>Q15029-2</t>
  </si>
  <si>
    <t>Q15031</t>
  </si>
  <si>
    <t>Q15032-2</t>
  </si>
  <si>
    <t>Q15036-2</t>
  </si>
  <si>
    <t>Q15038-2</t>
  </si>
  <si>
    <t>Q15043-2</t>
  </si>
  <si>
    <t>Q15046</t>
  </si>
  <si>
    <t>Q15047-3</t>
  </si>
  <si>
    <t>Q15051</t>
  </si>
  <si>
    <t>Q15056</t>
  </si>
  <si>
    <t>Q15056-2</t>
  </si>
  <si>
    <t>Q15057</t>
  </si>
  <si>
    <t>Q15059</t>
  </si>
  <si>
    <t>Q15061</t>
  </si>
  <si>
    <t>Q15067-2</t>
  </si>
  <si>
    <t>Q15075</t>
  </si>
  <si>
    <t>Q15102</t>
  </si>
  <si>
    <t>Q15111</t>
  </si>
  <si>
    <t>Q15118</t>
  </si>
  <si>
    <t>Q15120</t>
  </si>
  <si>
    <t>Q15125</t>
  </si>
  <si>
    <t>Q15126</t>
  </si>
  <si>
    <t>Q15149-4</t>
  </si>
  <si>
    <t>Q15155</t>
  </si>
  <si>
    <t>Q15170-2</t>
  </si>
  <si>
    <t>Q15172</t>
  </si>
  <si>
    <t>Q15173-2</t>
  </si>
  <si>
    <t>Q15181</t>
  </si>
  <si>
    <t>Q15208</t>
  </si>
  <si>
    <t>Q15233</t>
  </si>
  <si>
    <t>Q15257</t>
  </si>
  <si>
    <t>Q15276</t>
  </si>
  <si>
    <t>Q15286</t>
  </si>
  <si>
    <t>Q15291</t>
  </si>
  <si>
    <t>Q15293</t>
  </si>
  <si>
    <t>Q15311</t>
  </si>
  <si>
    <t>Q15334</t>
  </si>
  <si>
    <t>Q15345</t>
  </si>
  <si>
    <t>Q15365</t>
  </si>
  <si>
    <t>Q15366-2</t>
  </si>
  <si>
    <t>Q15366-3</t>
  </si>
  <si>
    <t>Q15375</t>
  </si>
  <si>
    <t>Q15382</t>
  </si>
  <si>
    <t>Q15386</t>
  </si>
  <si>
    <t>Q15388</t>
  </si>
  <si>
    <t>Q15393</t>
  </si>
  <si>
    <t>Q15398-3</t>
  </si>
  <si>
    <t>Q15404</t>
  </si>
  <si>
    <t>Q15424-2</t>
  </si>
  <si>
    <t>Q15428</t>
  </si>
  <si>
    <t>Q15435</t>
  </si>
  <si>
    <t>Q15437</t>
  </si>
  <si>
    <t>Q15438-2</t>
  </si>
  <si>
    <t>Q15459</t>
  </si>
  <si>
    <t>Q15464</t>
  </si>
  <si>
    <t>Q15506</t>
  </si>
  <si>
    <t>Q15526-2</t>
  </si>
  <si>
    <t>Q15527</t>
  </si>
  <si>
    <t>Q15543</t>
  </si>
  <si>
    <t>Q15545</t>
  </si>
  <si>
    <t>Q15555</t>
  </si>
  <si>
    <t>Q15596</t>
  </si>
  <si>
    <t>Q15599-2</t>
  </si>
  <si>
    <t>Q15628</t>
  </si>
  <si>
    <t>Q15637-5</t>
  </si>
  <si>
    <t>Q15642-2</t>
  </si>
  <si>
    <t>Q15643</t>
  </si>
  <si>
    <t>Q15645</t>
  </si>
  <si>
    <t>Q15648</t>
  </si>
  <si>
    <t>Q15649</t>
  </si>
  <si>
    <t>Q15652-2</t>
  </si>
  <si>
    <t>Q15654</t>
  </si>
  <si>
    <t>Q15691</t>
  </si>
  <si>
    <t>Q15714</t>
  </si>
  <si>
    <t>Q15738</t>
  </si>
  <si>
    <t>Q15750</t>
  </si>
  <si>
    <t>Q15758</t>
  </si>
  <si>
    <t>Q15759</t>
  </si>
  <si>
    <t>Q15768</t>
  </si>
  <si>
    <t>Q15773</t>
  </si>
  <si>
    <t>Q15785</t>
  </si>
  <si>
    <t>Q15797</t>
  </si>
  <si>
    <t>Q15800-2</t>
  </si>
  <si>
    <t>Q15814</t>
  </si>
  <si>
    <t>Q15818</t>
  </si>
  <si>
    <t>Q15819</t>
  </si>
  <si>
    <t>Q15831</t>
  </si>
  <si>
    <t>Q15833-2</t>
  </si>
  <si>
    <t>Q15836</t>
  </si>
  <si>
    <t>Q15904</t>
  </si>
  <si>
    <t>Q15907</t>
  </si>
  <si>
    <t>Q15942</t>
  </si>
  <si>
    <t>Q16134</t>
  </si>
  <si>
    <t>Q16143</t>
  </si>
  <si>
    <t>Q16181</t>
  </si>
  <si>
    <t>Q16186</t>
  </si>
  <si>
    <t>Q16204</t>
  </si>
  <si>
    <t>Q16222-2</t>
  </si>
  <si>
    <t>Q16254</t>
  </si>
  <si>
    <t>Q16401-2</t>
  </si>
  <si>
    <t>Q16512</t>
  </si>
  <si>
    <t>Q16513</t>
  </si>
  <si>
    <t>Q16514-2</t>
  </si>
  <si>
    <t>Q16531</t>
  </si>
  <si>
    <t>Q16539</t>
  </si>
  <si>
    <t>Q16539-2</t>
  </si>
  <si>
    <t>Q16543</t>
  </si>
  <si>
    <t>Q16555</t>
  </si>
  <si>
    <t>Q16566</t>
  </si>
  <si>
    <t>Q16576</t>
  </si>
  <si>
    <t>Q16576-2</t>
  </si>
  <si>
    <t>Q16587-5</t>
  </si>
  <si>
    <t>Q16594</t>
  </si>
  <si>
    <t>Q16625-4</t>
  </si>
  <si>
    <t>Q16626</t>
  </si>
  <si>
    <t>Q16630</t>
  </si>
  <si>
    <t>Q16643</t>
  </si>
  <si>
    <t>Q16658</t>
  </si>
  <si>
    <t>Q16706</t>
  </si>
  <si>
    <t>Q16718</t>
  </si>
  <si>
    <t>Q16740</t>
  </si>
  <si>
    <t>Q16762</t>
  </si>
  <si>
    <t>Q16763</t>
  </si>
  <si>
    <t>Q16799</t>
  </si>
  <si>
    <t>Q16822</t>
  </si>
  <si>
    <t>Q16831</t>
  </si>
  <si>
    <t>Q16850</t>
  </si>
  <si>
    <t>Q16864</t>
  </si>
  <si>
    <t>Q17R31-2</t>
  </si>
  <si>
    <t>Q17RN3</t>
  </si>
  <si>
    <t>Q17RU2</t>
  </si>
  <si>
    <t>Q24JP5</t>
  </si>
  <si>
    <t>Q27J81-2</t>
  </si>
  <si>
    <t>Q29RF7</t>
  </si>
  <si>
    <t>Q2KHR3</t>
  </si>
  <si>
    <t>Q2KHT3-2</t>
  </si>
  <si>
    <t>Q2M1P5</t>
  </si>
  <si>
    <t>Q2M2I8-2</t>
  </si>
  <si>
    <t>Q2NKX8</t>
  </si>
  <si>
    <t>Q2NL82</t>
  </si>
  <si>
    <t>Q2T9J0</t>
  </si>
  <si>
    <t>Q2TAL8</t>
  </si>
  <si>
    <t>Q2TAM5</t>
  </si>
  <si>
    <t>Q2TAP0</t>
  </si>
  <si>
    <t>Q2TAY7</t>
  </si>
  <si>
    <t>Q32MZ4</t>
  </si>
  <si>
    <t>Q32MZ4-3</t>
  </si>
  <si>
    <t>Q32MZ4-4</t>
  </si>
  <si>
    <t>Q32N00</t>
  </si>
  <si>
    <t>Q32NB8</t>
  </si>
  <si>
    <t>Q32P28</t>
  </si>
  <si>
    <t>Q32P41</t>
  </si>
  <si>
    <t>Q32Q12</t>
  </si>
  <si>
    <t>Q3KQV9</t>
  </si>
  <si>
    <t>Q3KRA9</t>
  </si>
  <si>
    <t>Q3LXA3</t>
  </si>
  <si>
    <t>Q3MHD2</t>
  </si>
  <si>
    <t>Q3MII6</t>
  </si>
  <si>
    <t>Q3MIT2</t>
  </si>
  <si>
    <t>Q3SXM5</t>
  </si>
  <si>
    <t>Q3SXY8-2</t>
  </si>
  <si>
    <t>Q3V6T2-2</t>
  </si>
  <si>
    <t>Q3YEC7</t>
  </si>
  <si>
    <t>Q3ZAQ7</t>
  </si>
  <si>
    <t>Q3ZCM7</t>
  </si>
  <si>
    <t>Q3ZCQ8</t>
  </si>
  <si>
    <t>Q3ZCV1</t>
  </si>
  <si>
    <t>Q3ZCW2</t>
  </si>
  <si>
    <t>Q495W5-2</t>
  </si>
  <si>
    <t>Q49AH0-2</t>
  </si>
  <si>
    <t>Q49AR2</t>
  </si>
  <si>
    <t>Q49B96</t>
  </si>
  <si>
    <t>Q4G0F5</t>
  </si>
  <si>
    <t>Q4G0I0</t>
  </si>
  <si>
    <t>Q4G0J3</t>
  </si>
  <si>
    <t>Q4G0N4</t>
  </si>
  <si>
    <t>Q4G148-2</t>
  </si>
  <si>
    <t>Q4G176</t>
  </si>
  <si>
    <t>Q4J6C6-4</t>
  </si>
  <si>
    <t>Q4KMP7</t>
  </si>
  <si>
    <t>Q4KMQ2-3</t>
  </si>
  <si>
    <t>Q4LDG9</t>
  </si>
  <si>
    <t>Q4V328</t>
  </si>
  <si>
    <t>Q4VC05</t>
  </si>
  <si>
    <t>Q4ZIN3-2</t>
  </si>
  <si>
    <t>Q504Q3-2</t>
  </si>
  <si>
    <t>Q504U0</t>
  </si>
  <si>
    <t>Q52LJ0-2</t>
  </si>
  <si>
    <t>Q52LW3</t>
  </si>
  <si>
    <t>Q53EL6-2</t>
  </si>
  <si>
    <t>Q53ET0</t>
  </si>
  <si>
    <t>Q53EZ4</t>
  </si>
  <si>
    <t>Q53GG5-2</t>
  </si>
  <si>
    <t>Q53GQ0</t>
  </si>
  <si>
    <t>Q53H80</t>
  </si>
  <si>
    <t>Q53H82</t>
  </si>
  <si>
    <t>Q53H96</t>
  </si>
  <si>
    <t>Q53HV7</t>
  </si>
  <si>
    <t>Q53S33</t>
  </si>
  <si>
    <t>Q53S58</t>
  </si>
  <si>
    <t>Q53T59</t>
  </si>
  <si>
    <t>Q562R1</t>
  </si>
  <si>
    <t>Q587I9</t>
  </si>
  <si>
    <t>Q58FF8</t>
  </si>
  <si>
    <t>Q58FG1</t>
  </si>
  <si>
    <t>Q58WW2</t>
  </si>
  <si>
    <t>Q5BKX5</t>
  </si>
  <si>
    <t>Q5EBL4</t>
  </si>
  <si>
    <t>Q5EBL8</t>
  </si>
  <si>
    <t>Q5GLZ8-3</t>
  </si>
  <si>
    <t>Q5H937</t>
  </si>
  <si>
    <t>Q5H9A7</t>
  </si>
  <si>
    <t>Q5HY54</t>
  </si>
  <si>
    <t>Q5HY92</t>
  </si>
  <si>
    <t>Q5HYI7</t>
  </si>
  <si>
    <t>Q5HYI8</t>
  </si>
  <si>
    <t>Q5HYK3</t>
  </si>
  <si>
    <t>Q5HYK7-2</t>
  </si>
  <si>
    <t>Q5JP53</t>
  </si>
  <si>
    <t>Q5JPE7-2</t>
  </si>
  <si>
    <t>Q5JPH6</t>
  </si>
  <si>
    <t>Q5JR01</t>
  </si>
  <si>
    <t>Q5JR08</t>
  </si>
  <si>
    <t>Q5JR95</t>
  </si>
  <si>
    <t>Q5JRG1</t>
  </si>
  <si>
    <t>Q5JRS3</t>
  </si>
  <si>
    <t>Q5JRX3</t>
  </si>
  <si>
    <t>Q5JS54</t>
  </si>
  <si>
    <t>Q5JSH3-2</t>
  </si>
  <si>
    <t>Q5JSK7</t>
  </si>
  <si>
    <t>Q5JSZ5</t>
  </si>
  <si>
    <t>Q5JTD0-2</t>
  </si>
  <si>
    <t>Q5JTH9-2</t>
  </si>
  <si>
    <t>Q5JTJ3-3</t>
  </si>
  <si>
    <t>Q5JTV1</t>
  </si>
  <si>
    <t>Q5JTV8</t>
  </si>
  <si>
    <t>Q5JTZ9</t>
  </si>
  <si>
    <t>Q5JU69</t>
  </si>
  <si>
    <t>Q5JUA8</t>
  </si>
  <si>
    <t>Q5JUE6</t>
  </si>
  <si>
    <t>Q5JUW8</t>
  </si>
  <si>
    <t>Q5JV61</t>
  </si>
  <si>
    <t>Q5JV73</t>
  </si>
  <si>
    <t>Q5JVF3-3</t>
  </si>
  <si>
    <t>Q5JVS0</t>
  </si>
  <si>
    <t>Q5JW30</t>
  </si>
  <si>
    <t>Q5JWB9</t>
  </si>
  <si>
    <t>Q5JXX2</t>
  </si>
  <si>
    <t>Q5JY65</t>
  </si>
  <si>
    <t>Q5JZH3</t>
  </si>
  <si>
    <t>Q5K4L6</t>
  </si>
  <si>
    <t>Q5M775</t>
  </si>
  <si>
    <t>Q5MNZ6</t>
  </si>
  <si>
    <t>Q5NDL2</t>
  </si>
  <si>
    <t>Q5QJ74</t>
  </si>
  <si>
    <t>Q5QNY5</t>
  </si>
  <si>
    <t>Q5QNZ2</t>
  </si>
  <si>
    <t>Q5QPK2</t>
  </si>
  <si>
    <t>Q5R363</t>
  </si>
  <si>
    <t>Q5R372-4</t>
  </si>
  <si>
    <t>Q5RGS4</t>
  </si>
  <si>
    <t>Q5RI15</t>
  </si>
  <si>
    <t>Q5RKV6</t>
  </si>
  <si>
    <t>Q5SPY9</t>
  </si>
  <si>
    <t>Q5SQI0-5</t>
  </si>
  <si>
    <t>Q5SQP8</t>
  </si>
  <si>
    <t>Q5SQU3</t>
  </si>
  <si>
    <t>Q5SRE7-2</t>
  </si>
  <si>
    <t>Q5SRQ6</t>
  </si>
  <si>
    <t>Q5SSJ5</t>
  </si>
  <si>
    <t>Q5ST30</t>
  </si>
  <si>
    <t>Q5SVK8</t>
  </si>
  <si>
    <t>Q5SW96</t>
  </si>
  <si>
    <t>Q5SWX8</t>
  </si>
  <si>
    <t>Q5SXM8</t>
  </si>
  <si>
    <t>Q5SYE7-2</t>
  </si>
  <si>
    <t>Q5SYW2</t>
  </si>
  <si>
    <t>Q5SZR4</t>
  </si>
  <si>
    <t>Q5T0D9</t>
  </si>
  <si>
    <t>Q5T0N5-3</t>
  </si>
  <si>
    <t>Q5T0Z6</t>
  </si>
  <si>
    <t>Q5T123</t>
  </si>
  <si>
    <t>Q5T160</t>
  </si>
  <si>
    <t>Q5T171</t>
  </si>
  <si>
    <t>Q5T1C6</t>
  </si>
  <si>
    <t>Q5T1M5</t>
  </si>
  <si>
    <t>Q5T1V6</t>
  </si>
  <si>
    <t>Q5T1Z0</t>
  </si>
  <si>
    <t>Q5T200-2</t>
  </si>
  <si>
    <t>Q5T2R2-3</t>
  </si>
  <si>
    <t>Q5T321</t>
  </si>
  <si>
    <t>Q5T370</t>
  </si>
  <si>
    <t>Q5T3Q7</t>
  </si>
  <si>
    <t>Q5T3U5-2</t>
  </si>
  <si>
    <t>Q5T440</t>
  </si>
  <si>
    <t>Q5T481</t>
  </si>
  <si>
    <t>Q5T4F4-7</t>
  </si>
  <si>
    <t>Q5T4U8</t>
  </si>
  <si>
    <t>Q5T5C7</t>
  </si>
  <si>
    <t>Q5T5P2-3</t>
  </si>
  <si>
    <t>Q5T5U3</t>
  </si>
  <si>
    <t>Q5T5Y3-2</t>
  </si>
  <si>
    <t>Q5T6F2</t>
  </si>
  <si>
    <t>Q5T6V5</t>
  </si>
  <si>
    <t>Q5T7M9</t>
  </si>
  <si>
    <t>Q5T7V8</t>
  </si>
  <si>
    <t>Q5T8D3-2</t>
  </si>
  <si>
    <t>Q5T8P6-2</t>
  </si>
  <si>
    <t>Q5T8U5</t>
  </si>
  <si>
    <t>Q5T9B7</t>
  </si>
  <si>
    <t>Q5TA45-2</t>
  </si>
  <si>
    <t>Q5TA50</t>
  </si>
  <si>
    <t>Q5TA95</t>
  </si>
  <si>
    <t>Q5TAX3</t>
  </si>
  <si>
    <t>Q5TBB1</t>
  </si>
  <si>
    <t>Q5TCQ9-3</t>
  </si>
  <si>
    <t>Q5TD07</t>
  </si>
  <si>
    <t>Q5TDC5</t>
  </si>
  <si>
    <t>Q5TDH0</t>
  </si>
  <si>
    <t>Q5TEU4-2</t>
  </si>
  <si>
    <t>Q5TFE4</t>
  </si>
  <si>
    <t>Q5TGE2</t>
  </si>
  <si>
    <t>Q5TH30</t>
  </si>
  <si>
    <t>Q5THK1-3</t>
  </si>
  <si>
    <t>Q5TIE1</t>
  </si>
  <si>
    <t>Q5TZA2</t>
  </si>
  <si>
    <t>Q5U5X0</t>
  </si>
  <si>
    <t>Q5UIP0-2</t>
  </si>
  <si>
    <t>Q5VIR6-4</t>
  </si>
  <si>
    <t>Q5VSL9</t>
  </si>
  <si>
    <t>Q5VT52</t>
  </si>
  <si>
    <t>Q5VT66</t>
  </si>
  <si>
    <t>Q5VT94</t>
  </si>
  <si>
    <t>Q5VTL8</t>
  </si>
  <si>
    <t>Q5VTR2</t>
  </si>
  <si>
    <t>Q5VU58</t>
  </si>
  <si>
    <t>Q5VUA4</t>
  </si>
  <si>
    <t>Q5VUD6-2</t>
  </si>
  <si>
    <t>Q5VV41</t>
  </si>
  <si>
    <t>Q5VV42</t>
  </si>
  <si>
    <t>Q5VV50</t>
  </si>
  <si>
    <t>Q5VVD7</t>
  </si>
  <si>
    <t>Q5VVQ6</t>
  </si>
  <si>
    <t>Q5VVW5</t>
  </si>
  <si>
    <t>Q5VW27</t>
  </si>
  <si>
    <t>Q5VW32</t>
  </si>
  <si>
    <t>Q5VWJ9</t>
  </si>
  <si>
    <t>Q5VWZ2</t>
  </si>
  <si>
    <t>Q5VY30</t>
  </si>
  <si>
    <t>Q5VY93</t>
  </si>
  <si>
    <t>Q5VZE5</t>
  </si>
  <si>
    <t>Q5VZI3-2</t>
  </si>
  <si>
    <t>Q5VZK9</t>
  </si>
  <si>
    <t>Q5VZR0</t>
  </si>
  <si>
    <t>Q5VZU9</t>
  </si>
  <si>
    <t>Q5W015</t>
  </si>
  <si>
    <t>Q5W0V3-2</t>
  </si>
  <si>
    <t>Q5W0Z9-3</t>
  </si>
  <si>
    <t>Q5W111</t>
  </si>
  <si>
    <t>Q5W145</t>
  </si>
  <si>
    <t>Q5XKP0</t>
  </si>
  <si>
    <t>Q5XUX1-3</t>
  </si>
  <si>
    <t>Q5ZPR3</t>
  </si>
  <si>
    <t>Q641Q2-2</t>
  </si>
  <si>
    <t>Q643R3</t>
  </si>
  <si>
    <t>Q658P3-3</t>
  </si>
  <si>
    <t>Q66GS9</t>
  </si>
  <si>
    <t>Q66K14-2</t>
  </si>
  <si>
    <t>Q66K64</t>
  </si>
  <si>
    <t>Q66LE6</t>
  </si>
  <si>
    <t>Q66PJ3</t>
  </si>
  <si>
    <t>Q67FW5</t>
  </si>
  <si>
    <t>Q68CQ4</t>
  </si>
  <si>
    <t>Q68D85</t>
  </si>
  <si>
    <t>Q68D91</t>
  </si>
  <si>
    <t>Q68DH5</t>
  </si>
  <si>
    <t>Q68E01-2</t>
  </si>
  <si>
    <t>Q68EM7</t>
  </si>
  <si>
    <t>Q69YL0</t>
  </si>
  <si>
    <t>Q69YN2</t>
  </si>
  <si>
    <t>Q69YU5</t>
  </si>
  <si>
    <t>Q6AI08</t>
  </si>
  <si>
    <t>Q6AI46</t>
  </si>
  <si>
    <t>Q6DD87</t>
  </si>
  <si>
    <t>Q6DKJ4</t>
  </si>
  <si>
    <t>Q6DKK2</t>
  </si>
  <si>
    <t>Q6EEV4-2</t>
  </si>
  <si>
    <t>Q6EMK4</t>
  </si>
  <si>
    <t>Q6FI81-3</t>
  </si>
  <si>
    <t>Q6FIF0-2</t>
  </si>
  <si>
    <t>Q6GMV2</t>
  </si>
  <si>
    <t>Q6GMV3</t>
  </si>
  <si>
    <t>Q6GQQ9</t>
  </si>
  <si>
    <t>Q6I9Y2</t>
  </si>
  <si>
    <t>Q6IA69</t>
  </si>
  <si>
    <t>Q6IA86-4</t>
  </si>
  <si>
    <t>Q6IAA8</t>
  </si>
  <si>
    <t>Q6IAN0</t>
  </si>
  <si>
    <t>Q6IBS0</t>
  </si>
  <si>
    <t>Q6ICB0</t>
  </si>
  <si>
    <t>Q6IEE7</t>
  </si>
  <si>
    <t>Q6IN85-2</t>
  </si>
  <si>
    <t>Q6IQ22</t>
  </si>
  <si>
    <t>Q6IQ49-2</t>
  </si>
  <si>
    <t>Q6IS14</t>
  </si>
  <si>
    <t>Q6IV72</t>
  </si>
  <si>
    <t>Q6JHV3</t>
  </si>
  <si>
    <t>Q6JQN1</t>
  </si>
  <si>
    <t>Q6KC79-2</t>
  </si>
  <si>
    <t>Q6N063</t>
  </si>
  <si>
    <t>Q6N069</t>
  </si>
  <si>
    <t>Q6NSI4-4</t>
  </si>
  <si>
    <t>Q6NSJ2-2</t>
  </si>
  <si>
    <t>Q6NT16</t>
  </si>
  <si>
    <t>Q6NUK1</t>
  </si>
  <si>
    <t>Q6NUK4-2</t>
  </si>
  <si>
    <t>Q6NUM9</t>
  </si>
  <si>
    <t>Q6NUP7</t>
  </si>
  <si>
    <t>Q6NUQ1</t>
  </si>
  <si>
    <t>Q6NUQ4-2</t>
  </si>
  <si>
    <t>Q6NUS6-3</t>
  </si>
  <si>
    <t>Q6NVU6</t>
  </si>
  <si>
    <t>Q6NVY1</t>
  </si>
  <si>
    <t>Q6NXE6</t>
  </si>
  <si>
    <t>Q6NXT1</t>
  </si>
  <si>
    <t>Q6NXT6-2</t>
  </si>
  <si>
    <t>Q6NYC1</t>
  </si>
  <si>
    <t>Q6NYC8</t>
  </si>
  <si>
    <t>Q6NZI2</t>
  </si>
  <si>
    <t>Q6NZY4</t>
  </si>
  <si>
    <t>Q6P087-2</t>
  </si>
  <si>
    <t>Q6P161</t>
  </si>
  <si>
    <t>Q6P1J9</t>
  </si>
  <si>
    <t>Q6P1K2-4</t>
  </si>
  <si>
    <t>Q6P1L5</t>
  </si>
  <si>
    <t>Q6P1L8</t>
  </si>
  <si>
    <t>Q6P1M0</t>
  </si>
  <si>
    <t>Q6P1N0</t>
  </si>
  <si>
    <t>Q6P1Q9</t>
  </si>
  <si>
    <t>Q6P1R4</t>
  </si>
  <si>
    <t>Q6P2C8-2</t>
  </si>
  <si>
    <t>Q6P2E9</t>
  </si>
  <si>
    <t>Q6P2H3-2</t>
  </si>
  <si>
    <t>Q6P2P2</t>
  </si>
  <si>
    <t>Q6P3S6</t>
  </si>
  <si>
    <t>Q6P3W7</t>
  </si>
  <si>
    <t>Q6P3X3</t>
  </si>
  <si>
    <t>Q6P444</t>
  </si>
  <si>
    <t>Q6P4A7</t>
  </si>
  <si>
    <t>Q6P4E1</t>
  </si>
  <si>
    <t>Q6P4F2</t>
  </si>
  <si>
    <t>Q6P4I2</t>
  </si>
  <si>
    <t>Q6P4R8-3</t>
  </si>
  <si>
    <t>Q6P582</t>
  </si>
  <si>
    <t>Q6P587</t>
  </si>
  <si>
    <t>Q6P6B1</t>
  </si>
  <si>
    <t>Q6P6B7-2</t>
  </si>
  <si>
    <t>Q6P6C2</t>
  </si>
  <si>
    <t>Q6P9B6</t>
  </si>
  <si>
    <t>Q6PCE3</t>
  </si>
  <si>
    <t>Q6PD62</t>
  </si>
  <si>
    <t>Q6PD74</t>
  </si>
  <si>
    <t>Q6PGN9-2</t>
  </si>
  <si>
    <t>Q6PGP7</t>
  </si>
  <si>
    <t>Q6PH81</t>
  </si>
  <si>
    <t>Q6PHR2-3</t>
  </si>
  <si>
    <t>Q6PI48</t>
  </si>
  <si>
    <t>Q6PI78</t>
  </si>
  <si>
    <t>Q6PID6</t>
  </si>
  <si>
    <t>Q6PII5-2</t>
  </si>
  <si>
    <t>Q6PIW4-2</t>
  </si>
  <si>
    <t>Q6PJ69</t>
  </si>
  <si>
    <t>Q6PJF5-2</t>
  </si>
  <si>
    <t>Q6PJG6</t>
  </si>
  <si>
    <t>Q6PJT7-5</t>
  </si>
  <si>
    <t>Q6PKG0</t>
  </si>
  <si>
    <t>Q6PL24</t>
  </si>
  <si>
    <t>Q6PML9</t>
  </si>
  <si>
    <t>Q6QNY0</t>
  </si>
  <si>
    <t>Q6QNY1</t>
  </si>
  <si>
    <t>Q6RW13-2</t>
  </si>
  <si>
    <t>Q6SPF0</t>
  </si>
  <si>
    <t>Q6UB28</t>
  </si>
  <si>
    <t>Q6UB35</t>
  </si>
  <si>
    <t>Q6ULP2-3</t>
  </si>
  <si>
    <t>Q6UN15-3</t>
  </si>
  <si>
    <t>Q6UUV9-3</t>
  </si>
  <si>
    <t>Q6UVJ0</t>
  </si>
  <si>
    <t>Q6UW63</t>
  </si>
  <si>
    <t>Q6UWE0</t>
  </si>
  <si>
    <t>Q6UWI4</t>
  </si>
  <si>
    <t>Q6UWP2</t>
  </si>
  <si>
    <t>Q6UWP7-3</t>
  </si>
  <si>
    <t>Q6UWS5</t>
  </si>
  <si>
    <t>Q6UX04</t>
  </si>
  <si>
    <t>Q6UX71</t>
  </si>
  <si>
    <t>Q6UXD5-6</t>
  </si>
  <si>
    <t>Q6UXH1-4</t>
  </si>
  <si>
    <t>Q6UXN9</t>
  </si>
  <si>
    <t>Q6UXV4</t>
  </si>
  <si>
    <t>Q6VY07</t>
  </si>
  <si>
    <t>Q6WCQ1</t>
  </si>
  <si>
    <t>Q6WKZ4</t>
  </si>
  <si>
    <t>Q6XQN6</t>
  </si>
  <si>
    <t>Q6XUX3-2</t>
  </si>
  <si>
    <t>Q6Y288</t>
  </si>
  <si>
    <t>Q6Y7W6-4</t>
  </si>
  <si>
    <t>Q6YHU6-3</t>
  </si>
  <si>
    <t>Q6YN16</t>
  </si>
  <si>
    <t>Q6YP21-3</t>
  </si>
  <si>
    <t>Q6ZMG9</t>
  </si>
  <si>
    <t>Q6ZMR3</t>
  </si>
  <si>
    <t>Q6ZN17</t>
  </si>
  <si>
    <t>Q6ZN18-2</t>
  </si>
  <si>
    <t>Q6ZNB6</t>
  </si>
  <si>
    <t>Q6ZNW5</t>
  </si>
  <si>
    <t>Q6ZPD9</t>
  </si>
  <si>
    <t>Q6ZRP7</t>
  </si>
  <si>
    <t>Q6ZS17-2</t>
  </si>
  <si>
    <t>Q6ZSJ8</t>
  </si>
  <si>
    <t>Q6ZT21-2</t>
  </si>
  <si>
    <t>Q6ZT62</t>
  </si>
  <si>
    <t>Q6ZTW0</t>
  </si>
  <si>
    <t>Q6ZU65</t>
  </si>
  <si>
    <t>Q6ZVM7-2</t>
  </si>
  <si>
    <t>Q6ZW49-4</t>
  </si>
  <si>
    <t>Q6ZWJ1</t>
  </si>
  <si>
    <t>Q6ZWT7</t>
  </si>
  <si>
    <t>Q6ZXV5-2</t>
  </si>
  <si>
    <t>Q709F0</t>
  </si>
  <si>
    <t>Q70CQ2-3</t>
  </si>
  <si>
    <t>Q70E73-7</t>
  </si>
  <si>
    <t>Q70IA6</t>
  </si>
  <si>
    <t>Q70UQ0</t>
  </si>
  <si>
    <t>Q70UQ0-4</t>
  </si>
  <si>
    <t>Q70Z53-3</t>
  </si>
  <si>
    <t>Q712K3</t>
  </si>
  <si>
    <t>Q71UI9</t>
  </si>
  <si>
    <t>Q765P7</t>
  </si>
  <si>
    <t>Q7KYR7</t>
  </si>
  <si>
    <t>Q7KZ85</t>
  </si>
  <si>
    <t>Q7KZF4</t>
  </si>
  <si>
    <t>Q7KZN9-2</t>
  </si>
  <si>
    <t>Q7L014</t>
  </si>
  <si>
    <t>Q7L099-4</t>
  </si>
  <si>
    <t>Q7L0J3-2</t>
  </si>
  <si>
    <t>Q7L0Y3</t>
  </si>
  <si>
    <t>Q7L1Q6</t>
  </si>
  <si>
    <t>Q7L266</t>
  </si>
  <si>
    <t>Q7L273</t>
  </si>
  <si>
    <t>Q7L2H7</t>
  </si>
  <si>
    <t>Q7L2J0</t>
  </si>
  <si>
    <t>Q7L3S4</t>
  </si>
  <si>
    <t>Q7L3T8</t>
  </si>
  <si>
    <t>Q7L4I2</t>
  </si>
  <si>
    <t>Q7L523</t>
  </si>
  <si>
    <t>Q7L592</t>
  </si>
  <si>
    <t>Q7L5N7</t>
  </si>
  <si>
    <t>Q7L5Y1</t>
  </si>
  <si>
    <t>Q7L7X3</t>
  </si>
  <si>
    <t>Q7L804</t>
  </si>
  <si>
    <t>Q7L8J4</t>
  </si>
  <si>
    <t>Q7L8W6</t>
  </si>
  <si>
    <t>Q7LBC6</t>
  </si>
  <si>
    <t>Q7LBR1</t>
  </si>
  <si>
    <t>Q7LG56</t>
  </si>
  <si>
    <t>Q7RTP0</t>
  </si>
  <si>
    <t>Q7RTP6</t>
  </si>
  <si>
    <t>Q7RTS9</t>
  </si>
  <si>
    <t>Q7RTV0</t>
  </si>
  <si>
    <t>Q7Z2K8</t>
  </si>
  <si>
    <t>Q7Z2W4</t>
  </si>
  <si>
    <t>Q7Z2Z2</t>
  </si>
  <si>
    <t>Q7Z3C6-2</t>
  </si>
  <si>
    <t>Q7Z3D4</t>
  </si>
  <si>
    <t>Q7Z3E2</t>
  </si>
  <si>
    <t>Q7Z3K3-5</t>
  </si>
  <si>
    <t>Q7Z3T8</t>
  </si>
  <si>
    <t>Q7Z417</t>
  </si>
  <si>
    <t>Q7Z422-2</t>
  </si>
  <si>
    <t>Q7Z434</t>
  </si>
  <si>
    <t>Q7Z4G4-2</t>
  </si>
  <si>
    <t>Q7Z4H3</t>
  </si>
  <si>
    <t>Q7Z4H8</t>
  </si>
  <si>
    <t>Q7Z4I7-4</t>
  </si>
  <si>
    <t>Q7Z4K8-4</t>
  </si>
  <si>
    <t>Q7Z4Q2</t>
  </si>
  <si>
    <t>Q7Z4V5</t>
  </si>
  <si>
    <t>Q7Z4W1</t>
  </si>
  <si>
    <t>Q7Z5G4-3</t>
  </si>
  <si>
    <t>Q7Z5K2</t>
  </si>
  <si>
    <t>Q7Z5L2-2</t>
  </si>
  <si>
    <t>Q7Z5L9</t>
  </si>
  <si>
    <t>Q7Z5U6</t>
  </si>
  <si>
    <t>Q7Z5W3</t>
  </si>
  <si>
    <t>Q7Z5Y7</t>
  </si>
  <si>
    <t>Q7Z624</t>
  </si>
  <si>
    <t>Q7Z674</t>
  </si>
  <si>
    <t>Q7Z6B0-2</t>
  </si>
  <si>
    <t>Q7Z6E9-2</t>
  </si>
  <si>
    <t>Q7Z6I8</t>
  </si>
  <si>
    <t>Q7Z6J0</t>
  </si>
  <si>
    <t>Q7Z6J8</t>
  </si>
  <si>
    <t>Q7Z6J9</t>
  </si>
  <si>
    <t>Q7Z6L1</t>
  </si>
  <si>
    <t>Q7Z6M1</t>
  </si>
  <si>
    <t>Q7Z6M4</t>
  </si>
  <si>
    <t>Q7Z6V5-2</t>
  </si>
  <si>
    <t>Q7Z6Z7-2</t>
  </si>
  <si>
    <t>Q7Z7A3</t>
  </si>
  <si>
    <t>Q7Z7C8</t>
  </si>
  <si>
    <t>Q7Z7E8</t>
  </si>
  <si>
    <t>Q7Z7F0-2</t>
  </si>
  <si>
    <t>Q7Z7H5-3</t>
  </si>
  <si>
    <t>Q7Z7L1</t>
  </si>
  <si>
    <t>Q7Z7L8</t>
  </si>
  <si>
    <t>Q7Z7N9</t>
  </si>
  <si>
    <t>Q86SF2</t>
  </si>
  <si>
    <t>Q86SQ7</t>
  </si>
  <si>
    <t>Q86SQ9-3</t>
  </si>
  <si>
    <t>Q86SX6</t>
  </si>
  <si>
    <t>Q86T03</t>
  </si>
  <si>
    <t>Q86TA1</t>
  </si>
  <si>
    <t>Q86TB9-4</t>
  </si>
  <si>
    <t>Q86TG7-2</t>
  </si>
  <si>
    <t>Q86TI2</t>
  </si>
  <si>
    <t>Q86TN4</t>
  </si>
  <si>
    <t>Q86TP1</t>
  </si>
  <si>
    <t>Q86TU7</t>
  </si>
  <si>
    <t>Q86TV3</t>
  </si>
  <si>
    <t>Q86TW2-3</t>
  </si>
  <si>
    <t>Q86U28</t>
  </si>
  <si>
    <t>Q86U44</t>
  </si>
  <si>
    <t>Q86U70-3</t>
  </si>
  <si>
    <t>Q86U90</t>
  </si>
  <si>
    <t>Q86UA1</t>
  </si>
  <si>
    <t>Q86UD0</t>
  </si>
  <si>
    <t>Q86UE4</t>
  </si>
  <si>
    <t>Q86UE8-2</t>
  </si>
  <si>
    <t>Q86UK7-3</t>
  </si>
  <si>
    <t>Q86UL3</t>
  </si>
  <si>
    <t>Q86UN3</t>
  </si>
  <si>
    <t>Q86UP2</t>
  </si>
  <si>
    <t>Q86UT6-2</t>
  </si>
  <si>
    <t>Q86UU0-4</t>
  </si>
  <si>
    <t>Q86UU1-2</t>
  </si>
  <si>
    <t>Q86UV5</t>
  </si>
  <si>
    <t>Q86UX3</t>
  </si>
  <si>
    <t>Q86UX7-2</t>
  </si>
  <si>
    <t>Q86UY0</t>
  </si>
  <si>
    <t>Q86UY8-2</t>
  </si>
  <si>
    <t>Q86V21</t>
  </si>
  <si>
    <t>Q86V48</t>
  </si>
  <si>
    <t>Q86V85</t>
  </si>
  <si>
    <t>Q86VG3</t>
  </si>
  <si>
    <t>Q86VN1-2</t>
  </si>
  <si>
    <t>Q86VP6</t>
  </si>
  <si>
    <t>Q86VQ1</t>
  </si>
  <si>
    <t>Q86VR2</t>
  </si>
  <si>
    <t>Q86VS8</t>
  </si>
  <si>
    <t>Q86VU5</t>
  </si>
  <si>
    <t>Q86VW0</t>
  </si>
  <si>
    <t>Q86VX9</t>
  </si>
  <si>
    <t>Q86W33</t>
  </si>
  <si>
    <t>Q86W42</t>
  </si>
  <si>
    <t>Q86W50</t>
  </si>
  <si>
    <t>Q86W56</t>
  </si>
  <si>
    <t>Q86W92-4</t>
  </si>
  <si>
    <t>Q86WA6-2</t>
  </si>
  <si>
    <t>Q86WJ1-2</t>
  </si>
  <si>
    <t>Q86WQ0</t>
  </si>
  <si>
    <t>Q86WR0</t>
  </si>
  <si>
    <t>Q86WR7</t>
  </si>
  <si>
    <t>Q86WV6</t>
  </si>
  <si>
    <t>Q86WV7</t>
  </si>
  <si>
    <t>Q86X02</t>
  </si>
  <si>
    <t>Q86X27</t>
  </si>
  <si>
    <t>Q86X53</t>
  </si>
  <si>
    <t>Q86X55-1</t>
  </si>
  <si>
    <t>Q86X76-2</t>
  </si>
  <si>
    <t>Q86X83</t>
  </si>
  <si>
    <t>Q86XK3-3</t>
  </si>
  <si>
    <t>Q86XP3</t>
  </si>
  <si>
    <t>Q86Y37</t>
  </si>
  <si>
    <t>Q86Y56</t>
  </si>
  <si>
    <t>Q86Y79</t>
  </si>
  <si>
    <t>Q86Y82</t>
  </si>
  <si>
    <t>Q86YC8</t>
  </si>
  <si>
    <t>Q86YH6</t>
  </si>
  <si>
    <t>Q86YP4-2</t>
  </si>
  <si>
    <t>Q86YR5-4</t>
  </si>
  <si>
    <t>Q86YS3-2</t>
  </si>
  <si>
    <t>Q86YV9</t>
  </si>
  <si>
    <t>Q8IU81</t>
  </si>
  <si>
    <t>Q8IUC8-2</t>
  </si>
  <si>
    <t>Q8IUH4</t>
  </si>
  <si>
    <t>Q8IUI8</t>
  </si>
  <si>
    <t>Q8IUR0</t>
  </si>
  <si>
    <t>Q8IUW3</t>
  </si>
  <si>
    <t>Q8IUW5</t>
  </si>
  <si>
    <t>Q8IV08</t>
  </si>
  <si>
    <t>Q8IV38</t>
  </si>
  <si>
    <t>Q8IV63-3</t>
  </si>
  <si>
    <t>Q8IVB5</t>
  </si>
  <si>
    <t>Q8IVD9</t>
  </si>
  <si>
    <t>Q8IVF2-3</t>
  </si>
  <si>
    <t>Q8IVH4</t>
  </si>
  <si>
    <t>Q8IVM0</t>
  </si>
  <si>
    <t>Q8IVS2</t>
  </si>
  <si>
    <t>Q8IVS8</t>
  </si>
  <si>
    <t>Q8IVW6-4</t>
  </si>
  <si>
    <t>Q8IW45</t>
  </si>
  <si>
    <t>Q8IWA0</t>
  </si>
  <si>
    <t>Q8IWA4</t>
  </si>
  <si>
    <t>Q8IWB1</t>
  </si>
  <si>
    <t>Q8IWB7</t>
  </si>
  <si>
    <t>Q8IWB9</t>
  </si>
  <si>
    <t>Q8IWC1-2</t>
  </si>
  <si>
    <t>Q8IWF6</t>
  </si>
  <si>
    <t>Q8IWI9</t>
  </si>
  <si>
    <t>Q8IWJ2</t>
  </si>
  <si>
    <t>Q8IWL3</t>
  </si>
  <si>
    <t>Q8IWP9</t>
  </si>
  <si>
    <t>Q8IWV8-4</t>
  </si>
  <si>
    <t>Q8IWW6-4</t>
  </si>
  <si>
    <t>Q8IWZ3-6</t>
  </si>
  <si>
    <t>Q8IWZ8</t>
  </si>
  <si>
    <t>Q8IX04-6</t>
  </si>
  <si>
    <t>Q8IX12-2</t>
  </si>
  <si>
    <t>Q8IX18-3</t>
  </si>
  <si>
    <t>Q8IX90</t>
  </si>
  <si>
    <t>Q8IXB1-2</t>
  </si>
  <si>
    <t>Q8IXI1</t>
  </si>
  <si>
    <t>Q8IXI2-4</t>
  </si>
  <si>
    <t>Q8IXJ6-2</t>
  </si>
  <si>
    <t>Q8IXQ3</t>
  </si>
  <si>
    <t>Q8IXQ4</t>
  </si>
  <si>
    <t>Q8IXW5-2</t>
  </si>
  <si>
    <t>Q8IY47</t>
  </si>
  <si>
    <t>Q8IY63-2</t>
  </si>
  <si>
    <t>Q8IY95-2</t>
  </si>
  <si>
    <t>Q8IYB1</t>
  </si>
  <si>
    <t>Q8IYB5-3</t>
  </si>
  <si>
    <t>Q8IYB7</t>
  </si>
  <si>
    <t>Q8IYB8</t>
  </si>
  <si>
    <t>Q8IYB9</t>
  </si>
  <si>
    <t>Q8IYD1</t>
  </si>
  <si>
    <t>Q8IYH5-4</t>
  </si>
  <si>
    <t>Q8IYI6</t>
  </si>
  <si>
    <t>Q8IYL3</t>
  </si>
  <si>
    <t>Q8IYQ7</t>
  </si>
  <si>
    <t>Q8IYR2</t>
  </si>
  <si>
    <t>Q8IYS1</t>
  </si>
  <si>
    <t>Q8IYS2</t>
  </si>
  <si>
    <t>Q8IYU2-4</t>
  </si>
  <si>
    <t>Q8IYU8</t>
  </si>
  <si>
    <t>Q8IZ07</t>
  </si>
  <si>
    <t>Q8IZ21-3</t>
  </si>
  <si>
    <t>Q8IZ41</t>
  </si>
  <si>
    <t>Q8IZ68</t>
  </si>
  <si>
    <t>Q8IZ73</t>
  </si>
  <si>
    <t>Q8IZA0</t>
  </si>
  <si>
    <t>Q8IZD4</t>
  </si>
  <si>
    <t>Q8IZJ1-2</t>
  </si>
  <si>
    <t>Q8IZN3-2</t>
  </si>
  <si>
    <t>Q8IZR5-3</t>
  </si>
  <si>
    <t>Q8IZV5</t>
  </si>
  <si>
    <t>Q8N0T1</t>
  </si>
  <si>
    <t>Q8N0U4-3</t>
  </si>
  <si>
    <t>Q8N0U8</t>
  </si>
  <si>
    <t>Q8N0X4-2</t>
  </si>
  <si>
    <t>Q8N0X7</t>
  </si>
  <si>
    <t>Q8N0Y2-2</t>
  </si>
  <si>
    <t>Q8N0Z6</t>
  </si>
  <si>
    <t>Q8N108-17</t>
  </si>
  <si>
    <t>Q8N118-3</t>
  </si>
  <si>
    <t>Q8N129</t>
  </si>
  <si>
    <t>Q8N163</t>
  </si>
  <si>
    <t>Q8N183</t>
  </si>
  <si>
    <t>Q8N1B4</t>
  </si>
  <si>
    <t>Q8N1F7</t>
  </si>
  <si>
    <t>Q8N1G2</t>
  </si>
  <si>
    <t>Q8N1G4</t>
  </si>
  <si>
    <t>Q8N1Q1</t>
  </si>
  <si>
    <t>Q8N2F6-3</t>
  </si>
  <si>
    <t>Q8N2G8-3</t>
  </si>
  <si>
    <t>Q8N2K0</t>
  </si>
  <si>
    <t>Q8N2W9</t>
  </si>
  <si>
    <t>Q8N2Z9</t>
  </si>
  <si>
    <t>Q8N300</t>
  </si>
  <si>
    <t>Q8N335</t>
  </si>
  <si>
    <t>Q8N344</t>
  </si>
  <si>
    <t>Q8N371</t>
  </si>
  <si>
    <t>Q8N392-2</t>
  </si>
  <si>
    <t>Q8N3F8</t>
  </si>
  <si>
    <t>Q8N3J3-3</t>
  </si>
  <si>
    <t>Q8N3X1</t>
  </si>
  <si>
    <t>Q8N442</t>
  </si>
  <si>
    <t>Q8N465</t>
  </si>
  <si>
    <t>Q8N488</t>
  </si>
  <si>
    <t>Q8N490-2</t>
  </si>
  <si>
    <t>Q8N490-4</t>
  </si>
  <si>
    <t>Q8N4C8-2</t>
  </si>
  <si>
    <t>Q8N4N3-2</t>
  </si>
  <si>
    <t>Q8N4P3</t>
  </si>
  <si>
    <t>Q8N4Q0</t>
  </si>
  <si>
    <t>Q8N4V1</t>
  </si>
  <si>
    <t>Q8N573-2</t>
  </si>
  <si>
    <t>Q8N573-8</t>
  </si>
  <si>
    <t>Q8N584</t>
  </si>
  <si>
    <t>Q8N5A5-3</t>
  </si>
  <si>
    <t>Q8N5C7</t>
  </si>
  <si>
    <t>Q8N5G0-2</t>
  </si>
  <si>
    <t>Q8N5I9</t>
  </si>
  <si>
    <t>Q8N5J2</t>
  </si>
  <si>
    <t>Q8N5K1</t>
  </si>
  <si>
    <t>Q8N5L8</t>
  </si>
  <si>
    <t>Q8N5M1</t>
  </si>
  <si>
    <t>Q8N5M9</t>
  </si>
  <si>
    <t>Q8N5N7</t>
  </si>
  <si>
    <t>Q8N5X7</t>
  </si>
  <si>
    <t>Q8N5Z5-2</t>
  </si>
  <si>
    <t>Q8N612</t>
  </si>
  <si>
    <t>Q8N655</t>
  </si>
  <si>
    <t>Q8N684-2</t>
  </si>
  <si>
    <t>Q8N697</t>
  </si>
  <si>
    <t>Q8N6B5</t>
  </si>
  <si>
    <t>Q8N6H7</t>
  </si>
  <si>
    <t>Q8N6M0</t>
  </si>
  <si>
    <t>Q8N6N3</t>
  </si>
  <si>
    <t>Q8N6N7</t>
  </si>
  <si>
    <t>Q8N6Q8</t>
  </si>
  <si>
    <t>Q8N6S4-2</t>
  </si>
  <si>
    <t>Q8N749</t>
  </si>
  <si>
    <t>Q8N766-3</t>
  </si>
  <si>
    <t>Q8N7H5</t>
  </si>
  <si>
    <t>Q8N7R7-3</t>
  </si>
  <si>
    <t>Q8N806</t>
  </si>
  <si>
    <t>Q8N8J7</t>
  </si>
  <si>
    <t>Q8N8L6</t>
  </si>
  <si>
    <t>Q8N8N7</t>
  </si>
  <si>
    <t>Q8N8R5</t>
  </si>
  <si>
    <t>Q8N8R7</t>
  </si>
  <si>
    <t>Q8N8S7</t>
  </si>
  <si>
    <t>Q8N8S7-2</t>
  </si>
  <si>
    <t>Q8N954</t>
  </si>
  <si>
    <t>Q8N983-4</t>
  </si>
  <si>
    <t>Q8N999</t>
  </si>
  <si>
    <t>Q8N9B5-2</t>
  </si>
  <si>
    <t>Q8N9D7</t>
  </si>
  <si>
    <t>Q8N9F7</t>
  </si>
  <si>
    <t>Q8N9N7</t>
  </si>
  <si>
    <t>Q8N9N8</t>
  </si>
  <si>
    <t>Q8N9U0-2</t>
  </si>
  <si>
    <t>Q8N9V3-2</t>
  </si>
  <si>
    <t>Q8NAF0</t>
  </si>
  <si>
    <t>Q8NAV1</t>
  </si>
  <si>
    <t>Q8NB15-2</t>
  </si>
  <si>
    <t>Q8NB37</t>
  </si>
  <si>
    <t>Q8NB49</t>
  </si>
  <si>
    <t>Q8NBA8</t>
  </si>
  <si>
    <t>Q8NBF2</t>
  </si>
  <si>
    <t>Q8NBF6</t>
  </si>
  <si>
    <t>Q8NBI6</t>
  </si>
  <si>
    <t>Q8NBJ4-2</t>
  </si>
  <si>
    <t>Q8NBJ5</t>
  </si>
  <si>
    <t>Q8NBK3-4</t>
  </si>
  <si>
    <t>Q8NBL1</t>
  </si>
  <si>
    <t>Q8NBM4-2</t>
  </si>
  <si>
    <t>Q8NBM8</t>
  </si>
  <si>
    <t>Q8NBN3</t>
  </si>
  <si>
    <t>Q8NBN7</t>
  </si>
  <si>
    <t>Q8NBU5</t>
  </si>
  <si>
    <t>Q8NBX0</t>
  </si>
  <si>
    <t>Q8NC51-2</t>
  </si>
  <si>
    <t>Q8NC54</t>
  </si>
  <si>
    <t>Q8NC56</t>
  </si>
  <si>
    <t>Q8NCC3</t>
  </si>
  <si>
    <t>Q8NCE2-2</t>
  </si>
  <si>
    <t>Q8NCF5</t>
  </si>
  <si>
    <t>Q8NCH0</t>
  </si>
  <si>
    <t>Q8NCN5</t>
  </si>
  <si>
    <t>Q8NCW5</t>
  </si>
  <si>
    <t>Q8ND24</t>
  </si>
  <si>
    <t>Q8ND56-2</t>
  </si>
  <si>
    <t>Q8ND76-3</t>
  </si>
  <si>
    <t>Q8NDC0</t>
  </si>
  <si>
    <t>Q8NDH3-5</t>
  </si>
  <si>
    <t>Q8NDI1-3</t>
  </si>
  <si>
    <t>Q8NDZ4</t>
  </si>
  <si>
    <t>Q8NE01</t>
  </si>
  <si>
    <t>Q8NE62</t>
  </si>
  <si>
    <t>Q8NE71-2</t>
  </si>
  <si>
    <t>Q8NE86-3</t>
  </si>
  <si>
    <t>Q8NEC6</t>
  </si>
  <si>
    <t>Q8NEC7</t>
  </si>
  <si>
    <t>Q8NEN9</t>
  </si>
  <si>
    <t>Q8NEU8</t>
  </si>
  <si>
    <t>Q8NEZ5</t>
  </si>
  <si>
    <t>Q8NF37</t>
  </si>
  <si>
    <t>Q8NF67</t>
  </si>
  <si>
    <t>Q8NFC6</t>
  </si>
  <si>
    <t>Q8NFF5-2</t>
  </si>
  <si>
    <t>Q8NFG4</t>
  </si>
  <si>
    <t>Q8NFH3</t>
  </si>
  <si>
    <t>Q8NFH4</t>
  </si>
  <si>
    <t>Q8NFH8-4</t>
  </si>
  <si>
    <t>Q8NFI3</t>
  </si>
  <si>
    <t>Q8NFP7</t>
  </si>
  <si>
    <t>Q8NFQ8</t>
  </si>
  <si>
    <t>Q8NFU5</t>
  </si>
  <si>
    <t>Q8NFV4</t>
  </si>
  <si>
    <t>Q8NFX7-2</t>
  </si>
  <si>
    <t>Q8NFZ4</t>
  </si>
  <si>
    <t>Q8NFZ8</t>
  </si>
  <si>
    <t>Q8NG08</t>
  </si>
  <si>
    <t>Q8NG31-2</t>
  </si>
  <si>
    <t>Q8NG68</t>
  </si>
  <si>
    <t>Q8NHG7</t>
  </si>
  <si>
    <t>Q8NHG8</t>
  </si>
  <si>
    <t>Q8NHP8</t>
  </si>
  <si>
    <t>Q8NHU6</t>
  </si>
  <si>
    <t>Q8NHV1</t>
  </si>
  <si>
    <t>Q8NHV4</t>
  </si>
  <si>
    <t>Q8NHZ8</t>
  </si>
  <si>
    <t>Q8NI27</t>
  </si>
  <si>
    <t>Q8NI37</t>
  </si>
  <si>
    <t>Q8NI60</t>
  </si>
  <si>
    <t>Q8TAA5</t>
  </si>
  <si>
    <t>Q8TAE6</t>
  </si>
  <si>
    <t>Q8TAE8</t>
  </si>
  <si>
    <t>Q8TAP8</t>
  </si>
  <si>
    <t>Q8TAT6</t>
  </si>
  <si>
    <t>Q8TB03</t>
  </si>
  <si>
    <t>Q8TB36</t>
  </si>
  <si>
    <t>Q8TB37</t>
  </si>
  <si>
    <t>Q8TB52</t>
  </si>
  <si>
    <t>Q8TB61-3</t>
  </si>
  <si>
    <t>Q8TB72-3</t>
  </si>
  <si>
    <t>Q8TBA6-2</t>
  </si>
  <si>
    <t>Q8TBB5-3</t>
  </si>
  <si>
    <t>Q8TBC4</t>
  </si>
  <si>
    <t>Q8TBE9</t>
  </si>
  <si>
    <t>Q8TBP6</t>
  </si>
  <si>
    <t>Q8TBX8</t>
  </si>
  <si>
    <t>Q8TBZ6</t>
  </si>
  <si>
    <t>Q8TC07-2</t>
  </si>
  <si>
    <t>Q8TC12</t>
  </si>
  <si>
    <t>Q8TC26</t>
  </si>
  <si>
    <t>Q8TC71-2</t>
  </si>
  <si>
    <t>Q8TCD1</t>
  </si>
  <si>
    <t>Q8TCD5</t>
  </si>
  <si>
    <t>Q8TCG1</t>
  </si>
  <si>
    <t>Q8TCJ2</t>
  </si>
  <si>
    <t>Q8TCS8</t>
  </si>
  <si>
    <t>Q8TCT9-5</t>
  </si>
  <si>
    <t>Q8TD16</t>
  </si>
  <si>
    <t>Q8TD19</t>
  </si>
  <si>
    <t>Q8TD30</t>
  </si>
  <si>
    <t>Q8TD55-2</t>
  </si>
  <si>
    <t>Q8TDD1</t>
  </si>
  <si>
    <t>Q8TDH9</t>
  </si>
  <si>
    <t>Q8TDQ7</t>
  </si>
  <si>
    <t>Q8TDX7</t>
  </si>
  <si>
    <t>Q8TDY2-2</t>
  </si>
  <si>
    <t>Q8TDZ2</t>
  </si>
  <si>
    <t>Q8TE04-2</t>
  </si>
  <si>
    <t>Q8TE77</t>
  </si>
  <si>
    <t>Q8TEA1</t>
  </si>
  <si>
    <t>Q8TEA8</t>
  </si>
  <si>
    <t>Q8TEB7-2</t>
  </si>
  <si>
    <t>Q8TEH3</t>
  </si>
  <si>
    <t>Q8TEM1</t>
  </si>
  <si>
    <t>Q8TEQ6</t>
  </si>
  <si>
    <t>Q8TEQ8-2</t>
  </si>
  <si>
    <t>Q8TEW0-4</t>
  </si>
  <si>
    <t>Q8TEX9</t>
  </si>
  <si>
    <t>Q8TEY7-2</t>
  </si>
  <si>
    <t>Q8TF01</t>
  </si>
  <si>
    <t>Q8TF05-2</t>
  </si>
  <si>
    <t>Q8TF71</t>
  </si>
  <si>
    <t>Q8TF74</t>
  </si>
  <si>
    <t>Q8WTR2-2</t>
  </si>
  <si>
    <t>Q8WTS1</t>
  </si>
  <si>
    <t>Q8WTS6</t>
  </si>
  <si>
    <t>Q8WTW3</t>
  </si>
  <si>
    <t>Q8WU58</t>
  </si>
  <si>
    <t>Q8WU68-3</t>
  </si>
  <si>
    <t>Q8WU79-2</t>
  </si>
  <si>
    <t>Q8WU90</t>
  </si>
  <si>
    <t>Q8WUA2</t>
  </si>
  <si>
    <t>Q8WUB8-3</t>
  </si>
  <si>
    <t>Q8WUD1</t>
  </si>
  <si>
    <t>Q8WUD6</t>
  </si>
  <si>
    <t>Q8WUF5</t>
  </si>
  <si>
    <t>Q8WUF8-2</t>
  </si>
  <si>
    <t>Q8WUH1</t>
  </si>
  <si>
    <t>Q8WUH6</t>
  </si>
  <si>
    <t>Q8WUJ0</t>
  </si>
  <si>
    <t>Q8WUK0</t>
  </si>
  <si>
    <t>Q8WUM0</t>
  </si>
  <si>
    <t>Q8WUM4</t>
  </si>
  <si>
    <t>Q8WUN7</t>
  </si>
  <si>
    <t>Q8WUP2</t>
  </si>
  <si>
    <t>Q8WUR7</t>
  </si>
  <si>
    <t>Q8WUX2</t>
  </si>
  <si>
    <t>Q8WUX9</t>
  </si>
  <si>
    <t>Q8WUY1</t>
  </si>
  <si>
    <t>Q8WV22</t>
  </si>
  <si>
    <t>Q8WV92</t>
  </si>
  <si>
    <t>Q8WVC0</t>
  </si>
  <si>
    <t>Q8WVD3</t>
  </si>
  <si>
    <t>Q8WVE0</t>
  </si>
  <si>
    <t>Q8WVJ2</t>
  </si>
  <si>
    <t>Q8WVK2</t>
  </si>
  <si>
    <t>Q8WVL7</t>
  </si>
  <si>
    <t>Q8WVM8</t>
  </si>
  <si>
    <t>Q8WVN8-3</t>
  </si>
  <si>
    <t>Q8WVT3</t>
  </si>
  <si>
    <t>Q8WVX9</t>
  </si>
  <si>
    <t>Q8WVY7</t>
  </si>
  <si>
    <t>Q8WW01</t>
  </si>
  <si>
    <t>Q8WW12</t>
  </si>
  <si>
    <t>Q8WW59</t>
  </si>
  <si>
    <t>Q8WWB7-2</t>
  </si>
  <si>
    <t>Q8WWC4</t>
  </si>
  <si>
    <t>Q8WWH5</t>
  </si>
  <si>
    <t>Q8WWI5</t>
  </si>
  <si>
    <t>Q8WWM7</t>
  </si>
  <si>
    <t>Q8WWV3</t>
  </si>
  <si>
    <t>Q8WWX9</t>
  </si>
  <si>
    <t>Q8WX92</t>
  </si>
  <si>
    <t>Q8WX93-3</t>
  </si>
  <si>
    <t>Q8WXA3</t>
  </si>
  <si>
    <t>Q8WXA9-2</t>
  </si>
  <si>
    <t>Q8WXD5</t>
  </si>
  <si>
    <t>Q8WXE0</t>
  </si>
  <si>
    <t>Q8WXE1-2</t>
  </si>
  <si>
    <t>Q8WXF1</t>
  </si>
  <si>
    <t>Q8WXI9</t>
  </si>
  <si>
    <t>Q8WXX5</t>
  </si>
  <si>
    <t>Q8WY22</t>
  </si>
  <si>
    <t>Q8WY54-2</t>
  </si>
  <si>
    <t>Q8WY91</t>
  </si>
  <si>
    <t>Q8WYA6-3</t>
  </si>
  <si>
    <t>Q8WYP5</t>
  </si>
  <si>
    <t>Q8WZ82</t>
  </si>
  <si>
    <t>Q8WZA9</t>
  </si>
  <si>
    <t>Q92466-4</t>
  </si>
  <si>
    <t>Q92499</t>
  </si>
  <si>
    <t>Q92506</t>
  </si>
  <si>
    <t>Q92520</t>
  </si>
  <si>
    <t>Q92522</t>
  </si>
  <si>
    <t>Q92526-3</t>
  </si>
  <si>
    <t>Q92538</t>
  </si>
  <si>
    <t>Q92541</t>
  </si>
  <si>
    <t>Q92544</t>
  </si>
  <si>
    <t>Q92547</t>
  </si>
  <si>
    <t>Q92552</t>
  </si>
  <si>
    <t>Q92558</t>
  </si>
  <si>
    <t>Q92572</t>
  </si>
  <si>
    <t>Q92575</t>
  </si>
  <si>
    <t>Q92576-2</t>
  </si>
  <si>
    <t>Q92581-3</t>
  </si>
  <si>
    <t>Q92585</t>
  </si>
  <si>
    <t>Q92597</t>
  </si>
  <si>
    <t>Q92598-2</t>
  </si>
  <si>
    <t>Q92604</t>
  </si>
  <si>
    <t>Q92615</t>
  </si>
  <si>
    <t>Q92616</t>
  </si>
  <si>
    <t>Q92620</t>
  </si>
  <si>
    <t>Q92621</t>
  </si>
  <si>
    <t>Q92623</t>
  </si>
  <si>
    <t>Q92625</t>
  </si>
  <si>
    <t>Q92665</t>
  </si>
  <si>
    <t>Q92667</t>
  </si>
  <si>
    <t>Q92686</t>
  </si>
  <si>
    <t>Q92688</t>
  </si>
  <si>
    <t>Q92692</t>
  </si>
  <si>
    <t>Q92692-2</t>
  </si>
  <si>
    <t>Q92696</t>
  </si>
  <si>
    <t>Q92734-2</t>
  </si>
  <si>
    <t>Q92738</t>
  </si>
  <si>
    <t>Q92747</t>
  </si>
  <si>
    <t>Q92783-2</t>
  </si>
  <si>
    <t>Q92793-2</t>
  </si>
  <si>
    <t>Q92797</t>
  </si>
  <si>
    <t>Q92804-2</t>
  </si>
  <si>
    <t>Q92805</t>
  </si>
  <si>
    <t>Q92820</t>
  </si>
  <si>
    <t>Q92834-4</t>
  </si>
  <si>
    <t>Q92843-2</t>
  </si>
  <si>
    <t>Q92845-4</t>
  </si>
  <si>
    <t>Q92871</t>
  </si>
  <si>
    <t>Q92878</t>
  </si>
  <si>
    <t>Q92882</t>
  </si>
  <si>
    <t>Q92888-3</t>
  </si>
  <si>
    <t>Q92889</t>
  </si>
  <si>
    <t>Q92890</t>
  </si>
  <si>
    <t>Q92896</t>
  </si>
  <si>
    <t>Q92900-2</t>
  </si>
  <si>
    <t>Q92905</t>
  </si>
  <si>
    <t>Q92917</t>
  </si>
  <si>
    <t>Q92930</t>
  </si>
  <si>
    <t>Q92934</t>
  </si>
  <si>
    <t>Q92945</t>
  </si>
  <si>
    <t>Q92947</t>
  </si>
  <si>
    <t>Q92968</t>
  </si>
  <si>
    <t>Q92973-2</t>
  </si>
  <si>
    <t>Q92979</t>
  </si>
  <si>
    <t>Q92990</t>
  </si>
  <si>
    <t>Q92995</t>
  </si>
  <si>
    <t>Q93008-1</t>
  </si>
  <si>
    <t>Q93015-2</t>
  </si>
  <si>
    <t>Q93034</t>
  </si>
  <si>
    <t>Q93052</t>
  </si>
  <si>
    <t>Q93077</t>
  </si>
  <si>
    <t>Q93079</t>
  </si>
  <si>
    <t>Q969E2-2</t>
  </si>
  <si>
    <t>Q969E4</t>
  </si>
  <si>
    <t>Q969E8</t>
  </si>
  <si>
    <t>Q969F2-2</t>
  </si>
  <si>
    <t>Q969G6</t>
  </si>
  <si>
    <t>Q969H8</t>
  </si>
  <si>
    <t>Q969K3</t>
  </si>
  <si>
    <t>Q969M3</t>
  </si>
  <si>
    <t>Q969N2-4</t>
  </si>
  <si>
    <t>Q969P0-3</t>
  </si>
  <si>
    <t>Q969Q0</t>
  </si>
  <si>
    <t>Q969Q5</t>
  </si>
  <si>
    <t>Q969S3</t>
  </si>
  <si>
    <t>Q969S9-2</t>
  </si>
  <si>
    <t>Q969T7-2</t>
  </si>
  <si>
    <t>Q969U7</t>
  </si>
  <si>
    <t>Q969V3-2</t>
  </si>
  <si>
    <t>Q969X5-2</t>
  </si>
  <si>
    <t>Q969Y2-3</t>
  </si>
  <si>
    <t>Q969Z0</t>
  </si>
  <si>
    <t>Q96A19</t>
  </si>
  <si>
    <t>Q96A33</t>
  </si>
  <si>
    <t>Q96A49</t>
  </si>
  <si>
    <t>Q96A65</t>
  </si>
  <si>
    <t>Q96A73</t>
  </si>
  <si>
    <t>Q96AB3</t>
  </si>
  <si>
    <t>Q96AB6</t>
  </si>
  <si>
    <t>Q96AC1</t>
  </si>
  <si>
    <t>Q96AD5</t>
  </si>
  <si>
    <t>Q96AE4</t>
  </si>
  <si>
    <t>Q96AE4-2</t>
  </si>
  <si>
    <t>Q96AG4</t>
  </si>
  <si>
    <t>Q96AJ9-1</t>
  </si>
  <si>
    <t>Q96AQ8</t>
  </si>
  <si>
    <t>Q96AT1</t>
  </si>
  <si>
    <t>Q96AT9</t>
  </si>
  <si>
    <t>Q96AY3</t>
  </si>
  <si>
    <t>Q96B01-2</t>
  </si>
  <si>
    <t>Q96B23-2</t>
  </si>
  <si>
    <t>Q96B26</t>
  </si>
  <si>
    <t>Q96B36</t>
  </si>
  <si>
    <t>Q96B45</t>
  </si>
  <si>
    <t>Q96B49</t>
  </si>
  <si>
    <t>Q96B70</t>
  </si>
  <si>
    <t>Q96B97</t>
  </si>
  <si>
    <t>Q96BD8-2</t>
  </si>
  <si>
    <t>Q96BF6</t>
  </si>
  <si>
    <t>Q96BH1</t>
  </si>
  <si>
    <t>Q96BK5</t>
  </si>
  <si>
    <t>Q96BN8</t>
  </si>
  <si>
    <t>Q96BP2</t>
  </si>
  <si>
    <t>Q96BP3</t>
  </si>
  <si>
    <t>Q96BR5</t>
  </si>
  <si>
    <t>Q96BW5-2</t>
  </si>
  <si>
    <t>Q96BY7</t>
  </si>
  <si>
    <t>Q96BZ8</t>
  </si>
  <si>
    <t>Q96C19</t>
  </si>
  <si>
    <t>Q96C23</t>
  </si>
  <si>
    <t>Q96C34-2</t>
  </si>
  <si>
    <t>Q96C36</t>
  </si>
  <si>
    <t>Q96C57</t>
  </si>
  <si>
    <t>Q96C86</t>
  </si>
  <si>
    <t>Q96C90</t>
  </si>
  <si>
    <t>Q96C92-2</t>
  </si>
  <si>
    <t>Q96C92-4</t>
  </si>
  <si>
    <t>Q96CB9-4</t>
  </si>
  <si>
    <t>Q96CF2</t>
  </si>
  <si>
    <t>Q96CG3</t>
  </si>
  <si>
    <t>Q96CN7</t>
  </si>
  <si>
    <t>Q96CN9</t>
  </si>
  <si>
    <t>Q96CP2</t>
  </si>
  <si>
    <t>Q96CS2</t>
  </si>
  <si>
    <t>Q96CS3</t>
  </si>
  <si>
    <t>Q96CT7</t>
  </si>
  <si>
    <t>Q96CU9-3</t>
  </si>
  <si>
    <t>Q96CV9-3</t>
  </si>
  <si>
    <t>Q96CW1-2</t>
  </si>
  <si>
    <t>Q96CW5-2</t>
  </si>
  <si>
    <t>Q96CW6</t>
  </si>
  <si>
    <t>Q96CX2</t>
  </si>
  <si>
    <t>Q96CX6</t>
  </si>
  <si>
    <t>Q96D05</t>
  </si>
  <si>
    <t>Q96D53</t>
  </si>
  <si>
    <t>Q96D71-3</t>
  </si>
  <si>
    <t>Q96DA2</t>
  </si>
  <si>
    <t>Q96DA6-2</t>
  </si>
  <si>
    <t>Q96DE0</t>
  </si>
  <si>
    <t>Q96DE5</t>
  </si>
  <si>
    <t>Q96DF8</t>
  </si>
  <si>
    <t>Q96DG6</t>
  </si>
  <si>
    <t>Q96DR7</t>
  </si>
  <si>
    <t>Q96DT6</t>
  </si>
  <si>
    <t>Q96DT7-2</t>
  </si>
  <si>
    <t>Q96DU7</t>
  </si>
  <si>
    <t>Q96DX7</t>
  </si>
  <si>
    <t>Q96DZ1-2</t>
  </si>
  <si>
    <t>Q96E09</t>
  </si>
  <si>
    <t>Q96E11-3</t>
  </si>
  <si>
    <t>Q96E22</t>
  </si>
  <si>
    <t>Q96E52</t>
  </si>
  <si>
    <t>Q96EA4</t>
  </si>
  <si>
    <t>Q96EB6</t>
  </si>
  <si>
    <t>Q96EC8</t>
  </si>
  <si>
    <t>Q96EE3</t>
  </si>
  <si>
    <t>Q96EH3</t>
  </si>
  <si>
    <t>Q96EI5</t>
  </si>
  <si>
    <t>Q96EK5</t>
  </si>
  <si>
    <t>Q96EK6</t>
  </si>
  <si>
    <t>Q96EK9</t>
  </si>
  <si>
    <t>Q96EL3</t>
  </si>
  <si>
    <t>Q96EM0</t>
  </si>
  <si>
    <t>Q96EP5</t>
  </si>
  <si>
    <t>Q96EQ0</t>
  </si>
  <si>
    <t>Q96ER3</t>
  </si>
  <si>
    <t>Q96ER9</t>
  </si>
  <si>
    <t>Q96EU6</t>
  </si>
  <si>
    <t>Q96EU7</t>
  </si>
  <si>
    <t>Q96EV2</t>
  </si>
  <si>
    <t>Q96EV8</t>
  </si>
  <si>
    <t>Q96EX3</t>
  </si>
  <si>
    <t>Q96EY1</t>
  </si>
  <si>
    <t>Q96EY5</t>
  </si>
  <si>
    <t>Q96EY8</t>
  </si>
  <si>
    <t>Q96EY9</t>
  </si>
  <si>
    <t>Q96F10</t>
  </si>
  <si>
    <t>Q96F24-2</t>
  </si>
  <si>
    <t>Q96F44-3</t>
  </si>
  <si>
    <t>Q96F45</t>
  </si>
  <si>
    <t>Q96F46</t>
  </si>
  <si>
    <t>Q96F63</t>
  </si>
  <si>
    <t>Q96F86</t>
  </si>
  <si>
    <t>Q96FC9-4</t>
  </si>
  <si>
    <t>Q96FH0-2</t>
  </si>
  <si>
    <t>Q96FJ0</t>
  </si>
  <si>
    <t>Q96FK6</t>
  </si>
  <si>
    <t>Q96FN4</t>
  </si>
  <si>
    <t>Q96FV9</t>
  </si>
  <si>
    <t>Q96FX7</t>
  </si>
  <si>
    <t>Q96FZ2</t>
  </si>
  <si>
    <t>Q96FZ7</t>
  </si>
  <si>
    <t>Q96G03</t>
  </si>
  <si>
    <t>Q96G23</t>
  </si>
  <si>
    <t>Q96G25</t>
  </si>
  <si>
    <t>Q96G28</t>
  </si>
  <si>
    <t>Q96G46</t>
  </si>
  <si>
    <t>Q96G61</t>
  </si>
  <si>
    <t>Q96G74-3</t>
  </si>
  <si>
    <t>Q96GA7</t>
  </si>
  <si>
    <t>Q96GD0</t>
  </si>
  <si>
    <t>Q96GF1</t>
  </si>
  <si>
    <t>Q96GG9</t>
  </si>
  <si>
    <t>Q96GK7</t>
  </si>
  <si>
    <t>Q96GP6-2</t>
  </si>
  <si>
    <t>Q96GS4</t>
  </si>
  <si>
    <t>Q96GW9</t>
  </si>
  <si>
    <t>Q96GX2</t>
  </si>
  <si>
    <t>Q96GX5-2</t>
  </si>
  <si>
    <t>Q96GX9</t>
  </si>
  <si>
    <t>Q96GY0</t>
  </si>
  <si>
    <t>Q96H20</t>
  </si>
  <si>
    <t>Q96H55-3</t>
  </si>
  <si>
    <t>Q96H79</t>
  </si>
  <si>
    <t>Q96HA1-2</t>
  </si>
  <si>
    <t>Q96HA4-4</t>
  </si>
  <si>
    <t>Q96HC4</t>
  </si>
  <si>
    <t>Q96HD1</t>
  </si>
  <si>
    <t>Q96HE7</t>
  </si>
  <si>
    <t>Q96HJ9-2</t>
  </si>
  <si>
    <t>Q96HN2-2</t>
  </si>
  <si>
    <t>Q96HQ2-2</t>
  </si>
  <si>
    <t>Q96HW7-2</t>
  </si>
  <si>
    <t>Q96HY6</t>
  </si>
  <si>
    <t>Q96I15</t>
  </si>
  <si>
    <t>Q96I24</t>
  </si>
  <si>
    <t>Q96I25</t>
  </si>
  <si>
    <t>Q96I36</t>
  </si>
  <si>
    <t>Q96I51</t>
  </si>
  <si>
    <t>Q96I59</t>
  </si>
  <si>
    <t>Q96I82-2</t>
  </si>
  <si>
    <t>Q96I99</t>
  </si>
  <si>
    <t>Q96IF1</t>
  </si>
  <si>
    <t>Q96IJ6</t>
  </si>
  <si>
    <t>Q96IK1</t>
  </si>
  <si>
    <t>Q96IQ9-2</t>
  </si>
  <si>
    <t>Q96IU4</t>
  </si>
  <si>
    <t>Q96IV0-3</t>
  </si>
  <si>
    <t>Q96IX5</t>
  </si>
  <si>
    <t>Q96IY1</t>
  </si>
  <si>
    <t>Q96IZ0</t>
  </si>
  <si>
    <t>Q96IZ7-2</t>
  </si>
  <si>
    <t>Q96J01</t>
  </si>
  <si>
    <t>Q96J02-2</t>
  </si>
  <si>
    <t>Q96J84</t>
  </si>
  <si>
    <t>Q96JA1</t>
  </si>
  <si>
    <t>Q96JB5-2</t>
  </si>
  <si>
    <t>Q96JC1-2</t>
  </si>
  <si>
    <t>Q96JC9</t>
  </si>
  <si>
    <t>Q96JG6-3</t>
  </si>
  <si>
    <t>Q96JH7</t>
  </si>
  <si>
    <t>Q96JJ7</t>
  </si>
  <si>
    <t>Q96JM3</t>
  </si>
  <si>
    <t>Q96JP5</t>
  </si>
  <si>
    <t>Q96JQ2</t>
  </si>
  <si>
    <t>Q96JY6</t>
  </si>
  <si>
    <t>Q96K31</t>
  </si>
  <si>
    <t>Q96KA5-2</t>
  </si>
  <si>
    <t>Q96KB5</t>
  </si>
  <si>
    <t>Q96KC2</t>
  </si>
  <si>
    <t>Q96KC8</t>
  </si>
  <si>
    <t>Q96KN1</t>
  </si>
  <si>
    <t>Q96KP1</t>
  </si>
  <si>
    <t>Q96KP4</t>
  </si>
  <si>
    <t>Q96KR1</t>
  </si>
  <si>
    <t>Q96L35</t>
  </si>
  <si>
    <t>Q96L91-4</t>
  </si>
  <si>
    <t>Q96L92-3</t>
  </si>
  <si>
    <t>Q96L93-6</t>
  </si>
  <si>
    <t>Q96LA8-2</t>
  </si>
  <si>
    <t>Q96LB3</t>
  </si>
  <si>
    <t>Q96LR5</t>
  </si>
  <si>
    <t>Q96M27</t>
  </si>
  <si>
    <t>Q96ME1-4</t>
  </si>
  <si>
    <t>Q96MG7</t>
  </si>
  <si>
    <t>Q96MH2</t>
  </si>
  <si>
    <t>Q96N21-2</t>
  </si>
  <si>
    <t>Q96N66-2</t>
  </si>
  <si>
    <t>Q96NB1</t>
  </si>
  <si>
    <t>Q96NB2</t>
  </si>
  <si>
    <t>Q96NB3</t>
  </si>
  <si>
    <t>Q96NC0</t>
  </si>
  <si>
    <t>Q96NL1</t>
  </si>
  <si>
    <t>Q96NL8</t>
  </si>
  <si>
    <t>Q96P11-2</t>
  </si>
  <si>
    <t>Q96P16-3</t>
  </si>
  <si>
    <t>Q96P47</t>
  </si>
  <si>
    <t>Q96P48-3</t>
  </si>
  <si>
    <t>Q96P50</t>
  </si>
  <si>
    <t>Q96P70</t>
  </si>
  <si>
    <t>Q96PE7</t>
  </si>
  <si>
    <t>Q96PG8</t>
  </si>
  <si>
    <t>Q96PK6</t>
  </si>
  <si>
    <t>Q96PM5</t>
  </si>
  <si>
    <t>Q96PU5-2</t>
  </si>
  <si>
    <t>Q96PU8</t>
  </si>
  <si>
    <t>Q96PZ0</t>
  </si>
  <si>
    <t>Q96Q11-2</t>
  </si>
  <si>
    <t>Q96Q83</t>
  </si>
  <si>
    <t>Q96QC0</t>
  </si>
  <si>
    <t>Q96QD5-2</t>
  </si>
  <si>
    <t>Q96QK1</t>
  </si>
  <si>
    <t>Q96QR8</t>
  </si>
  <si>
    <t>Q96QU8</t>
  </si>
  <si>
    <t>Q96R06</t>
  </si>
  <si>
    <t>Q96RD7-2</t>
  </si>
  <si>
    <t>Q96RE7</t>
  </si>
  <si>
    <t>Q96RF0-3</t>
  </si>
  <si>
    <t>Q96RG2</t>
  </si>
  <si>
    <t>Q96RP9</t>
  </si>
  <si>
    <t>Q96RR1</t>
  </si>
  <si>
    <t>Q96RR4-2</t>
  </si>
  <si>
    <t>Q96RS6</t>
  </si>
  <si>
    <t>Q96RT1-7</t>
  </si>
  <si>
    <t>Q96RU2-2</t>
  </si>
  <si>
    <t>Q96RU3-4</t>
  </si>
  <si>
    <t>Q96S19</t>
  </si>
  <si>
    <t>Q96S38-2</t>
  </si>
  <si>
    <t>Q96S44</t>
  </si>
  <si>
    <t>Q96S52</t>
  </si>
  <si>
    <t>Q96S55-2</t>
  </si>
  <si>
    <t>Q96S59</t>
  </si>
  <si>
    <t>Q96S66</t>
  </si>
  <si>
    <t>Q96S90-2</t>
  </si>
  <si>
    <t>Q96S99</t>
  </si>
  <si>
    <t>Q96SB3</t>
  </si>
  <si>
    <t>Q96SI1</t>
  </si>
  <si>
    <t>Q96SK2-2</t>
  </si>
  <si>
    <t>Q96ST2</t>
  </si>
  <si>
    <t>Q96ST3</t>
  </si>
  <si>
    <t>Q96SZ5</t>
  </si>
  <si>
    <t>Q96SZ6-2</t>
  </si>
  <si>
    <t>Q96T51</t>
  </si>
  <si>
    <t>Q96T58</t>
  </si>
  <si>
    <t>Q96T76-9</t>
  </si>
  <si>
    <t>Q96TA1-2</t>
  </si>
  <si>
    <t>Q96TA2-3</t>
  </si>
  <si>
    <t>Q99081</t>
  </si>
  <si>
    <t>Q99417</t>
  </si>
  <si>
    <t>Q99426</t>
  </si>
  <si>
    <t>Q99436</t>
  </si>
  <si>
    <t>Q99442</t>
  </si>
  <si>
    <t>Q99447</t>
  </si>
  <si>
    <t>Q99459</t>
  </si>
  <si>
    <t>Q99460</t>
  </si>
  <si>
    <t>Q99470</t>
  </si>
  <si>
    <t>Q99471</t>
  </si>
  <si>
    <t>Q99487</t>
  </si>
  <si>
    <t>Q99496</t>
  </si>
  <si>
    <t>Q99497</t>
  </si>
  <si>
    <t>Q99504-2</t>
  </si>
  <si>
    <t>Q99519</t>
  </si>
  <si>
    <t>Q99523</t>
  </si>
  <si>
    <t>Q99536</t>
  </si>
  <si>
    <t>Q99543</t>
  </si>
  <si>
    <t>Q99567</t>
  </si>
  <si>
    <t>Q99575</t>
  </si>
  <si>
    <t>Q99583</t>
  </si>
  <si>
    <t>Q99584</t>
  </si>
  <si>
    <t>Q99595</t>
  </si>
  <si>
    <t>Q99598</t>
  </si>
  <si>
    <t>Q99611</t>
  </si>
  <si>
    <t>Q99614</t>
  </si>
  <si>
    <t>Q99615</t>
  </si>
  <si>
    <t>Q99618</t>
  </si>
  <si>
    <t>Q99622</t>
  </si>
  <si>
    <t>Q99623</t>
  </si>
  <si>
    <t>Q99633</t>
  </si>
  <si>
    <t>Q99640-3</t>
  </si>
  <si>
    <t>Q99653</t>
  </si>
  <si>
    <t>Q99661</t>
  </si>
  <si>
    <t>Q99704</t>
  </si>
  <si>
    <t>Q99707</t>
  </si>
  <si>
    <t>Q99714</t>
  </si>
  <si>
    <t>Q99720-4</t>
  </si>
  <si>
    <t>Q99729-3</t>
  </si>
  <si>
    <t>Q99733</t>
  </si>
  <si>
    <t>Q99735-2</t>
  </si>
  <si>
    <t>Q99747</t>
  </si>
  <si>
    <t>Q99757</t>
  </si>
  <si>
    <t>Q99766</t>
  </si>
  <si>
    <t>Q99767-2</t>
  </si>
  <si>
    <t>Q99797</t>
  </si>
  <si>
    <t>Q99805</t>
  </si>
  <si>
    <t>Q99807</t>
  </si>
  <si>
    <t>Q99816</t>
  </si>
  <si>
    <t>Q99832</t>
  </si>
  <si>
    <t>Q99856</t>
  </si>
  <si>
    <t>Q99878</t>
  </si>
  <si>
    <t>Q99952-2</t>
  </si>
  <si>
    <t>Q99956</t>
  </si>
  <si>
    <t>Q99961</t>
  </si>
  <si>
    <t>Q99963-4</t>
  </si>
  <si>
    <t>Q99986</t>
  </si>
  <si>
    <t>Q9BPU6</t>
  </si>
  <si>
    <t>Q9BPW8</t>
  </si>
  <si>
    <t>Q9BPX3</t>
  </si>
  <si>
    <t>Q9BPX5</t>
  </si>
  <si>
    <t>Q9BPX7</t>
  </si>
  <si>
    <t>Q9BPZ3</t>
  </si>
  <si>
    <t>Q9BQ52</t>
  </si>
  <si>
    <t>Q9BQ61</t>
  </si>
  <si>
    <t>Q9BQ69</t>
  </si>
  <si>
    <t>Q9BQ70</t>
  </si>
  <si>
    <t>Q9BQ95</t>
  </si>
  <si>
    <t>Q9BQC3</t>
  </si>
  <si>
    <t>Q9BQG0</t>
  </si>
  <si>
    <t>Q9BQI3-2</t>
  </si>
  <si>
    <t>Q9BQP7</t>
  </si>
  <si>
    <t>Q9BQS8</t>
  </si>
  <si>
    <t>Q9BQT8-2</t>
  </si>
  <si>
    <t>Q9BR61</t>
  </si>
  <si>
    <t>Q9BR76</t>
  </si>
  <si>
    <t>Q9BRA2</t>
  </si>
  <si>
    <t>Q9BRD0-2</t>
  </si>
  <si>
    <t>Q9BRF8</t>
  </si>
  <si>
    <t>Q9BRG1</t>
  </si>
  <si>
    <t>Q9BRJ2</t>
  </si>
  <si>
    <t>Q9BRK5</t>
  </si>
  <si>
    <t>Q9BRP1</t>
  </si>
  <si>
    <t>Q9BRP4</t>
  </si>
  <si>
    <t>Q9BRP8-2</t>
  </si>
  <si>
    <t>Q9BRR6-2</t>
  </si>
  <si>
    <t>Q9BRS2</t>
  </si>
  <si>
    <t>Q9BRT2</t>
  </si>
  <si>
    <t>Q9BRT9</t>
  </si>
  <si>
    <t>Q9BRV8</t>
  </si>
  <si>
    <t>Q9BRX2</t>
  </si>
  <si>
    <t>Q9BRX5</t>
  </si>
  <si>
    <t>Q9BS26</t>
  </si>
  <si>
    <t>Q9BS40</t>
  </si>
  <si>
    <t>Q9BSB4</t>
  </si>
  <si>
    <t>Q9BSD7</t>
  </si>
  <si>
    <t>Q9BSF4</t>
  </si>
  <si>
    <t>Q9BSH4</t>
  </si>
  <si>
    <t>Q9BSH5</t>
  </si>
  <si>
    <t>Q9BSJ2</t>
  </si>
  <si>
    <t>Q9BSJ5-3</t>
  </si>
  <si>
    <t>Q9BSJ8</t>
  </si>
  <si>
    <t>Q9BSK2</t>
  </si>
  <si>
    <t>Q9BSK4</t>
  </si>
  <si>
    <t>Q9BSL1</t>
  </si>
  <si>
    <t>Q9BSR8</t>
  </si>
  <si>
    <t>Q9BST9-2</t>
  </si>
  <si>
    <t>Q9BSU1</t>
  </si>
  <si>
    <t>Q9BSV6</t>
  </si>
  <si>
    <t>Q9BSY4</t>
  </si>
  <si>
    <t>Q9BT09</t>
  </si>
  <si>
    <t>Q9BT17</t>
  </si>
  <si>
    <t>Q9BT22</t>
  </si>
  <si>
    <t>Q9BT23</t>
  </si>
  <si>
    <t>Q9BT30</t>
  </si>
  <si>
    <t>Q9BT73</t>
  </si>
  <si>
    <t>Q9BT78</t>
  </si>
  <si>
    <t>Q9BTA9-5</t>
  </si>
  <si>
    <t>Q9BTC0</t>
  </si>
  <si>
    <t>Q9BTE3-2</t>
  </si>
  <si>
    <t>Q9BTE6</t>
  </si>
  <si>
    <t>Q9BTE7</t>
  </si>
  <si>
    <t>Q9BTL3</t>
  </si>
  <si>
    <t>Q9BTT0</t>
  </si>
  <si>
    <t>Q9BTT6</t>
  </si>
  <si>
    <t>Q9BTU6</t>
  </si>
  <si>
    <t>Q9BTV5</t>
  </si>
  <si>
    <t>Q9BTY2</t>
  </si>
  <si>
    <t>Q9BTY7</t>
  </si>
  <si>
    <t>Q9BTZ2-8</t>
  </si>
  <si>
    <t>Q9BU02</t>
  </si>
  <si>
    <t>Q9BU23-3</t>
  </si>
  <si>
    <t>Q9BU61</t>
  </si>
  <si>
    <t>Q9BU76-2</t>
  </si>
  <si>
    <t>Q9BU89</t>
  </si>
  <si>
    <t>Q9BUA3</t>
  </si>
  <si>
    <t>Q9BUB4</t>
  </si>
  <si>
    <t>Q9BUB7-2</t>
  </si>
  <si>
    <t>Q9BUE0</t>
  </si>
  <si>
    <t>Q9BUF5</t>
  </si>
  <si>
    <t>Q9BUH6</t>
  </si>
  <si>
    <t>Q9BUI4</t>
  </si>
  <si>
    <t>Q9BUJ2-2</t>
  </si>
  <si>
    <t>Q9BUK6-3</t>
  </si>
  <si>
    <t>Q9BUL9</t>
  </si>
  <si>
    <t>Q9BUP3-3</t>
  </si>
  <si>
    <t>Q9BUR4</t>
  </si>
  <si>
    <t>Q9BUT1</t>
  </si>
  <si>
    <t>Q9BUT9</t>
  </si>
  <si>
    <t>Q9BUW7</t>
  </si>
  <si>
    <t>Q9BV20</t>
  </si>
  <si>
    <t>Q9BV23</t>
  </si>
  <si>
    <t>Q9BV38</t>
  </si>
  <si>
    <t>Q9BV40</t>
  </si>
  <si>
    <t>Q9BV44</t>
  </si>
  <si>
    <t>Q9BV57</t>
  </si>
  <si>
    <t>Q9BV68-2</t>
  </si>
  <si>
    <t>Q9BV73-2</t>
  </si>
  <si>
    <t>Q9BV79</t>
  </si>
  <si>
    <t>Q9BV86</t>
  </si>
  <si>
    <t>Q9BVA0</t>
  </si>
  <si>
    <t>Q9BVA1</t>
  </si>
  <si>
    <t>Q9BVC3</t>
  </si>
  <si>
    <t>Q9BVC4</t>
  </si>
  <si>
    <t>Q9BVC6</t>
  </si>
  <si>
    <t>Q9BVG4</t>
  </si>
  <si>
    <t>Q9BVG9</t>
  </si>
  <si>
    <t>Q9BVJ6-3</t>
  </si>
  <si>
    <t>Q9BVK6</t>
  </si>
  <si>
    <t>Q9BVL4</t>
  </si>
  <si>
    <t>Q9BVM2</t>
  </si>
  <si>
    <t>Q9BVM4</t>
  </si>
  <si>
    <t>Q9BVN2-2</t>
  </si>
  <si>
    <t>Q9BVP2-2</t>
  </si>
  <si>
    <t>Q9BVV7</t>
  </si>
  <si>
    <t>Q9BVW5</t>
  </si>
  <si>
    <t>Q9BW19</t>
  </si>
  <si>
    <t>Q9BW27</t>
  </si>
  <si>
    <t>Q9BW30</t>
  </si>
  <si>
    <t>Q9BW60</t>
  </si>
  <si>
    <t>Q9BW61</t>
  </si>
  <si>
    <t>Q9BW62</t>
  </si>
  <si>
    <t>Q9BW71</t>
  </si>
  <si>
    <t>Q9BW83</t>
  </si>
  <si>
    <t>Q9BW85</t>
  </si>
  <si>
    <t>Q9BW91-2</t>
  </si>
  <si>
    <t>Q9BW92</t>
  </si>
  <si>
    <t>Q9BWD1</t>
  </si>
  <si>
    <t>Q9BWF3</t>
  </si>
  <si>
    <t>Q9BWG6-2</t>
  </si>
  <si>
    <t>Q9BWH2</t>
  </si>
  <si>
    <t>Q9BWH6-2</t>
  </si>
  <si>
    <t>Q9BWJ5</t>
  </si>
  <si>
    <t>Q9BWM7</t>
  </si>
  <si>
    <t>Q9BWT6</t>
  </si>
  <si>
    <t>Q9BWT7</t>
  </si>
  <si>
    <t>Q9BWU0</t>
  </si>
  <si>
    <t>Q9BX40</t>
  </si>
  <si>
    <t>Q9BX63</t>
  </si>
  <si>
    <t>Q9BX66-9</t>
  </si>
  <si>
    <t>Q9BX67</t>
  </si>
  <si>
    <t>Q9BX68</t>
  </si>
  <si>
    <t>Q9BX95</t>
  </si>
  <si>
    <t>Q9BXF6</t>
  </si>
  <si>
    <t>Q9BXH1</t>
  </si>
  <si>
    <t>Q9BXJ9</t>
  </si>
  <si>
    <t>Q9BXK1</t>
  </si>
  <si>
    <t>Q9BXP2</t>
  </si>
  <si>
    <t>Q9BXP5-4</t>
  </si>
  <si>
    <t>Q9BXR0</t>
  </si>
  <si>
    <t>Q9BXV9</t>
  </si>
  <si>
    <t>Q9BXW6</t>
  </si>
  <si>
    <t>Q9BXW7-2</t>
  </si>
  <si>
    <t>Q9BXW9-2</t>
  </si>
  <si>
    <t>Q9BY27</t>
  </si>
  <si>
    <t>Q9BY32</t>
  </si>
  <si>
    <t>Q9BY77</t>
  </si>
  <si>
    <t>Q9BYB4</t>
  </si>
  <si>
    <t>Q9BYG5</t>
  </si>
  <si>
    <t>Q9BYM8</t>
  </si>
  <si>
    <t>Q9BYP7-3</t>
  </si>
  <si>
    <t>Q9BYT3</t>
  </si>
  <si>
    <t>Q9BYT8</t>
  </si>
  <si>
    <t>Q9BYV8</t>
  </si>
  <si>
    <t>Q9BYW2</t>
  </si>
  <si>
    <t>Q9BZ23-3</t>
  </si>
  <si>
    <t>Q9BZ67-2</t>
  </si>
  <si>
    <t>Q9BZD4</t>
  </si>
  <si>
    <t>Q9BZE2</t>
  </si>
  <si>
    <t>Q9BZE9</t>
  </si>
  <si>
    <t>Q9BZK7</t>
  </si>
  <si>
    <t>Q9BZL1</t>
  </si>
  <si>
    <t>Q9BZM1</t>
  </si>
  <si>
    <t>Q9BZM4</t>
  </si>
  <si>
    <t>Q9BZM5</t>
  </si>
  <si>
    <t>Q9BZX2</t>
  </si>
  <si>
    <t>Q9BZZ5</t>
  </si>
  <si>
    <t>Q9BZZ5-2</t>
  </si>
  <si>
    <t>Q9C005</t>
  </si>
  <si>
    <t>Q9C037-2</t>
  </si>
  <si>
    <t>Q9C040</t>
  </si>
  <si>
    <t>Q9C0B0</t>
  </si>
  <si>
    <t>Q9C0B1</t>
  </si>
  <si>
    <t>Q9C0B5-2</t>
  </si>
  <si>
    <t>Q9C0B7</t>
  </si>
  <si>
    <t>Q9C0C2</t>
  </si>
  <si>
    <t>Q9C0C4</t>
  </si>
  <si>
    <t>Q9C0C7-4</t>
  </si>
  <si>
    <t>Q9C0C9</t>
  </si>
  <si>
    <t>Q9C0D3</t>
  </si>
  <si>
    <t>Q9C0D5-2</t>
  </si>
  <si>
    <t>Q9C0F1</t>
  </si>
  <si>
    <t>Q9C0H2-2</t>
  </si>
  <si>
    <t>Q9C0I1-3</t>
  </si>
  <si>
    <t>Q9GZL7</t>
  </si>
  <si>
    <t>Q9GZN1</t>
  </si>
  <si>
    <t>Q9GZN8-2</t>
  </si>
  <si>
    <t>Q9GZP4</t>
  </si>
  <si>
    <t>Q9GZP9</t>
  </si>
  <si>
    <t>Q9GZS3</t>
  </si>
  <si>
    <t>Q9GZT3</t>
  </si>
  <si>
    <t>Q9GZT4</t>
  </si>
  <si>
    <t>Q9GZT6-2</t>
  </si>
  <si>
    <t>Q9GZT8-2</t>
  </si>
  <si>
    <t>Q9GZT9</t>
  </si>
  <si>
    <t>Q9GZU8</t>
  </si>
  <si>
    <t>Q9GZX9</t>
  </si>
  <si>
    <t>Q9GZY8</t>
  </si>
  <si>
    <t>Q9GZY8-2</t>
  </si>
  <si>
    <t>Q9GZZ9</t>
  </si>
  <si>
    <t>Q9H019-3</t>
  </si>
  <si>
    <t>Q9H061</t>
  </si>
  <si>
    <t>Q9H074</t>
  </si>
  <si>
    <t>Q9H078-2</t>
  </si>
  <si>
    <t>Q9H082</t>
  </si>
  <si>
    <t>Q9H089</t>
  </si>
  <si>
    <t>Q9H098</t>
  </si>
  <si>
    <t>Q9H0B6</t>
  </si>
  <si>
    <t>Q9H0C8</t>
  </si>
  <si>
    <t>Q9H0D6</t>
  </si>
  <si>
    <t>Q9H0E2</t>
  </si>
  <si>
    <t>Q9H0E9-2</t>
  </si>
  <si>
    <t>Q9H0G5</t>
  </si>
  <si>
    <t>Q9H0H5</t>
  </si>
  <si>
    <t>Q9H0K6</t>
  </si>
  <si>
    <t>Q9H0L4</t>
  </si>
  <si>
    <t>Q9H0P0</t>
  </si>
  <si>
    <t>Q9H0R4</t>
  </si>
  <si>
    <t>Q9H0R6</t>
  </si>
  <si>
    <t>Q9H0U3</t>
  </si>
  <si>
    <t>Q9H0U4</t>
  </si>
  <si>
    <t>Q9H0V1</t>
  </si>
  <si>
    <t>Q9H0V9</t>
  </si>
  <si>
    <t>Q9H0W9</t>
  </si>
  <si>
    <t>Q9H0X4</t>
  </si>
  <si>
    <t>Q9H173</t>
  </si>
  <si>
    <t>Q9H1B7</t>
  </si>
  <si>
    <t>Q9H1E3</t>
  </si>
  <si>
    <t>Q9H1K0</t>
  </si>
  <si>
    <t>Q9H1K1</t>
  </si>
  <si>
    <t>Q9H1P3-2</t>
  </si>
  <si>
    <t>Q9H1X3</t>
  </si>
  <si>
    <t>Q9H1Y0</t>
  </si>
  <si>
    <t>Q9H1Z4</t>
  </si>
  <si>
    <t>Q9H211</t>
  </si>
  <si>
    <t>Q9H223</t>
  </si>
  <si>
    <t>Q9H246</t>
  </si>
  <si>
    <t>Q9H267</t>
  </si>
  <si>
    <t>Q9H270</t>
  </si>
  <si>
    <t>Q9H2C0</t>
  </si>
  <si>
    <t>Q9H2D6-5</t>
  </si>
  <si>
    <t>Q9H2G2-2</t>
  </si>
  <si>
    <t>Q9H2H8</t>
  </si>
  <si>
    <t>Q9H2J7</t>
  </si>
  <si>
    <t>Q9H2K0</t>
  </si>
  <si>
    <t>Q9H2M9</t>
  </si>
  <si>
    <t>Q9H2P9-3</t>
  </si>
  <si>
    <t>Q9H2T7</t>
  </si>
  <si>
    <t>Q9H2U2</t>
  </si>
  <si>
    <t>Q9H2W6</t>
  </si>
  <si>
    <t>Q9H300</t>
  </si>
  <si>
    <t>Q9H307</t>
  </si>
  <si>
    <t>Q9H330-2</t>
  </si>
  <si>
    <t>Q9H3C7</t>
  </si>
  <si>
    <t>Q9H3G5</t>
  </si>
  <si>
    <t>Q9H3H1-4</t>
  </si>
  <si>
    <t>Q9H3H3</t>
  </si>
  <si>
    <t>Q9H3K6</t>
  </si>
  <si>
    <t>Q9H3N1</t>
  </si>
  <si>
    <t>Q9H3P7</t>
  </si>
  <si>
    <t>Q9H3Q1</t>
  </si>
  <si>
    <t>Q9H3S7</t>
  </si>
  <si>
    <t>Q9H3U1</t>
  </si>
  <si>
    <t>Q9H3U5-4</t>
  </si>
  <si>
    <t>Q9H3Y8</t>
  </si>
  <si>
    <t>Q9H410</t>
  </si>
  <si>
    <t>Q9H425</t>
  </si>
  <si>
    <t>Q9H444</t>
  </si>
  <si>
    <t>Q9H461</t>
  </si>
  <si>
    <t>Q9H467</t>
  </si>
  <si>
    <t>Q9H469</t>
  </si>
  <si>
    <t>Q9H488</t>
  </si>
  <si>
    <t>Q9H496</t>
  </si>
  <si>
    <t>Q9H4A5</t>
  </si>
  <si>
    <t>Q9H4A6</t>
  </si>
  <si>
    <t>Q9H4B0</t>
  </si>
  <si>
    <t>Q9H4H8</t>
  </si>
  <si>
    <t>Q9H4K7</t>
  </si>
  <si>
    <t>Q9H4L5-2</t>
  </si>
  <si>
    <t>Q9H4L7</t>
  </si>
  <si>
    <t>Q9H4M9</t>
  </si>
  <si>
    <t>Q9H4P4-2</t>
  </si>
  <si>
    <t>Q9H4Z3</t>
  </si>
  <si>
    <t>Q9H553</t>
  </si>
  <si>
    <t>Q9H5J0</t>
  </si>
  <si>
    <t>Q9H5N1</t>
  </si>
  <si>
    <t>Q9H5Q4</t>
  </si>
  <si>
    <t>Q9H5V9-2</t>
  </si>
  <si>
    <t>Q9H5X1</t>
  </si>
  <si>
    <t>Q9H609</t>
  </si>
  <si>
    <t>Q9H6E4</t>
  </si>
  <si>
    <t>Q9H6F5</t>
  </si>
  <si>
    <t>Q9H6H4</t>
  </si>
  <si>
    <t>Q9H6K1-2</t>
  </si>
  <si>
    <t>Q9H6K4</t>
  </si>
  <si>
    <t>Q9H6Q4</t>
  </si>
  <si>
    <t>Q9H6S0</t>
  </si>
  <si>
    <t>Q9H6T3-2</t>
  </si>
  <si>
    <t>Q9H6U6-7</t>
  </si>
  <si>
    <t>Q9H6U8</t>
  </si>
  <si>
    <t>Q9H6X2</t>
  </si>
  <si>
    <t>Q9H6Y2</t>
  </si>
  <si>
    <t>Q9H773</t>
  </si>
  <si>
    <t>Q9H7B4</t>
  </si>
  <si>
    <t>Q9H7F0</t>
  </si>
  <si>
    <t>Q9H7J1</t>
  </si>
  <si>
    <t>Q9H7N4</t>
  </si>
  <si>
    <t>Q9H7S9</t>
  </si>
  <si>
    <t>Q9H7X3</t>
  </si>
  <si>
    <t>Q9H7Z6</t>
  </si>
  <si>
    <t>Q9H7Z7</t>
  </si>
  <si>
    <t>Q9H813</t>
  </si>
  <si>
    <t>Q9H814</t>
  </si>
  <si>
    <t>Q9H832</t>
  </si>
  <si>
    <t>Q9H840</t>
  </si>
  <si>
    <t>Q9H845</t>
  </si>
  <si>
    <t>Q9H857-2</t>
  </si>
  <si>
    <t>Q9H8G2</t>
  </si>
  <si>
    <t>Q9H8H0</t>
  </si>
  <si>
    <t>Q9H8M7</t>
  </si>
  <si>
    <t>Q9H8S9</t>
  </si>
  <si>
    <t>Q9H8U3</t>
  </si>
  <si>
    <t>Q9H8W4</t>
  </si>
  <si>
    <t>Q9H8Y5</t>
  </si>
  <si>
    <t>Q9H8Y8</t>
  </si>
  <si>
    <t>Q9H910-2</t>
  </si>
  <si>
    <t>Q9H936</t>
  </si>
  <si>
    <t>Q9H939</t>
  </si>
  <si>
    <t>Q9H944</t>
  </si>
  <si>
    <t>Q9H974-4</t>
  </si>
  <si>
    <t>Q9H977</t>
  </si>
  <si>
    <t>Q9H981</t>
  </si>
  <si>
    <t>Q9H993</t>
  </si>
  <si>
    <t>Q9H9A6</t>
  </si>
  <si>
    <t>Q9H9B1-3</t>
  </si>
  <si>
    <t>Q9H9B4</t>
  </si>
  <si>
    <t>Q9H9F9</t>
  </si>
  <si>
    <t>Q9H9H4</t>
  </si>
  <si>
    <t>Q9H9P8</t>
  </si>
  <si>
    <t>Q9H9S5</t>
  </si>
  <si>
    <t>Q9H9T3-2</t>
  </si>
  <si>
    <t>Q9H9V9-2</t>
  </si>
  <si>
    <t>Q9HA47-3</t>
  </si>
  <si>
    <t>Q9HA64</t>
  </si>
  <si>
    <t>Q9HA77</t>
  </si>
  <si>
    <t>Q9HAB8</t>
  </si>
  <si>
    <t>Q9HAD4</t>
  </si>
  <si>
    <t>Q9HAF1-2</t>
  </si>
  <si>
    <t>Q9HAT8</t>
  </si>
  <si>
    <t>Q9HAV0</t>
  </si>
  <si>
    <t>Q9HAV4</t>
  </si>
  <si>
    <t>Q9HAV5</t>
  </si>
  <si>
    <t>Q9HAV7</t>
  </si>
  <si>
    <t>Q9HB07</t>
  </si>
  <si>
    <t>Q9HB09</t>
  </si>
  <si>
    <t>Q9HB20</t>
  </si>
  <si>
    <t>Q9HB40</t>
  </si>
  <si>
    <t>Q9HB71</t>
  </si>
  <si>
    <t>Q9HB90</t>
  </si>
  <si>
    <t>Q9HBD4</t>
  </si>
  <si>
    <t>Q9HBH1</t>
  </si>
  <si>
    <t>Q9HBH5</t>
  </si>
  <si>
    <t>Q9HBI1-3</t>
  </si>
  <si>
    <t>Q9HBK9</t>
  </si>
  <si>
    <t>Q9HBL7</t>
  </si>
  <si>
    <t>Q9HBM1</t>
  </si>
  <si>
    <t>Q9HBM6</t>
  </si>
  <si>
    <t>Q9HBM8</t>
  </si>
  <si>
    <t>Q9HBN3</t>
  </si>
  <si>
    <t>Q9HBR0</t>
  </si>
  <si>
    <t>Q9HC21</t>
  </si>
  <si>
    <t>Q9HC38-2</t>
  </si>
  <si>
    <t>Q9HC44</t>
  </si>
  <si>
    <t>Q9HCC0</t>
  </si>
  <si>
    <t>Q9HCD6</t>
  </si>
  <si>
    <t>Q9HCE5</t>
  </si>
  <si>
    <t>Q9HCJ3-2</t>
  </si>
  <si>
    <t>Q9HCN4-3</t>
  </si>
  <si>
    <t>Q9HCN8</t>
  </si>
  <si>
    <t>Q9HCU5</t>
  </si>
  <si>
    <t>Q9HD15</t>
  </si>
  <si>
    <t>Q9HD20-2</t>
  </si>
  <si>
    <t>Q9HD26-2</t>
  </si>
  <si>
    <t>Q9HD40-3</t>
  </si>
  <si>
    <t>Q9HD42</t>
  </si>
  <si>
    <t>Q9HD45</t>
  </si>
  <si>
    <t>Q9HD47-2</t>
  </si>
  <si>
    <t>Q9HDC5</t>
  </si>
  <si>
    <t>Q9HDC9</t>
  </si>
  <si>
    <t>Q9NNW7-2</t>
  </si>
  <si>
    <t>Q9NNX1-2</t>
  </si>
  <si>
    <t>Q9NP58-4</t>
  </si>
  <si>
    <t>Q9NP61</t>
  </si>
  <si>
    <t>Q9NP72</t>
  </si>
  <si>
    <t>Q9NP77</t>
  </si>
  <si>
    <t>Q9NP79</t>
  </si>
  <si>
    <t>Q9NP80-3</t>
  </si>
  <si>
    <t>Q9NPA0</t>
  </si>
  <si>
    <t>Q9NPA3</t>
  </si>
  <si>
    <t>Q9NPA8-2</t>
  </si>
  <si>
    <t>Q9NPB8</t>
  </si>
  <si>
    <t>Q9NPD3</t>
  </si>
  <si>
    <t>Q9NPD8</t>
  </si>
  <si>
    <t>Q9NPF0</t>
  </si>
  <si>
    <t>Q9NPF4</t>
  </si>
  <si>
    <t>Q9NPG8</t>
  </si>
  <si>
    <t>Q9NPI6</t>
  </si>
  <si>
    <t>Q9NPJ3</t>
  </si>
  <si>
    <t>Q9NPJ6</t>
  </si>
  <si>
    <t>Q9NPL8</t>
  </si>
  <si>
    <t>Q9NPQ8-4</t>
  </si>
  <si>
    <t>Q9NPR9</t>
  </si>
  <si>
    <t>Q9NQ11-3</t>
  </si>
  <si>
    <t>Q9NQ29</t>
  </si>
  <si>
    <t>Q9NQ88</t>
  </si>
  <si>
    <t>Q9NQC3</t>
  </si>
  <si>
    <t>Q9NQE9</t>
  </si>
  <si>
    <t>Q9NQG5</t>
  </si>
  <si>
    <t>Q9NQG7-3</t>
  </si>
  <si>
    <t>Q9NQH7-2</t>
  </si>
  <si>
    <t>Q9NQL2</t>
  </si>
  <si>
    <t>Q9NQP4</t>
  </si>
  <si>
    <t>Q9NQR4</t>
  </si>
  <si>
    <t>Q9NQS1</t>
  </si>
  <si>
    <t>Q9NQT4</t>
  </si>
  <si>
    <t>Q9NQT8</t>
  </si>
  <si>
    <t>Q9NQW6</t>
  </si>
  <si>
    <t>Q9NQW7-3</t>
  </si>
  <si>
    <t>Q9NQZ5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</si>
  <si>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</si>
  <si>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</si>
  <si>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</si>
  <si>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</si>
  <si>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</si>
  <si>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</si>
  <si>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</si>
  <si>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</si>
  <si>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Q9NRA8</t>
  </si>
  <si>
    <t>Q9NRC6</t>
  </si>
  <si>
    <t>Q9NRD5</t>
  </si>
  <si>
    <t>Q9NRF2-3</t>
  </si>
  <si>
    <t>Q9NRF8</t>
  </si>
  <si>
    <t>Q9NRF9</t>
  </si>
  <si>
    <t>Q9NRG0</t>
  </si>
  <si>
    <t>Q9NRG4</t>
  </si>
  <si>
    <t>Q9NRG7-2</t>
  </si>
  <si>
    <t>Q9NRH1</t>
  </si>
  <si>
    <t>Q9NRK6</t>
  </si>
  <si>
    <t>Q9NRN7</t>
  </si>
  <si>
    <t>Q9NRN9</t>
  </si>
  <si>
    <t>Q9NRP0</t>
  </si>
  <si>
    <t>Q9NRP2</t>
  </si>
  <si>
    <t>Q9NRP4</t>
  </si>
  <si>
    <t>Q9NRR5</t>
  </si>
  <si>
    <t>Q9NRR8</t>
  </si>
  <si>
    <t>Q9NRS6-2</t>
  </si>
  <si>
    <t>Q9NRV9</t>
  </si>
  <si>
    <t>Q9NRW1</t>
  </si>
  <si>
    <t>Q9NRW4</t>
  </si>
  <si>
    <t>Q9NRW7</t>
  </si>
  <si>
    <t>Q9NRX4</t>
  </si>
  <si>
    <t>Q9NRX5</t>
  </si>
  <si>
    <t>Q9NRY4</t>
  </si>
  <si>
    <t>Q9NRY5</t>
  </si>
  <si>
    <t>Q9NRY6</t>
  </si>
  <si>
    <t>Q9NRZ5</t>
  </si>
  <si>
    <t>Q9NRZ7-2</t>
  </si>
  <si>
    <t>Q9NRZ9-3</t>
  </si>
  <si>
    <t>Q9NS18</t>
  </si>
  <si>
    <t>Q9NS69</t>
  </si>
  <si>
    <t>Q9NS86</t>
  </si>
  <si>
    <t>Q9NSA3</t>
  </si>
  <si>
    <t>Q9NSD9</t>
  </si>
  <si>
    <t>Q9NSE4</t>
  </si>
  <si>
    <t>Q9NSG2-3</t>
  </si>
  <si>
    <t>Q9NSI2-2</t>
  </si>
  <si>
    <t>Q9NT62</t>
  </si>
  <si>
    <t>Q9NTG7</t>
  </si>
  <si>
    <t>Q9NTJ5</t>
  </si>
  <si>
    <t>Q9NTM9</t>
  </si>
  <si>
    <t>Q9NTX5-3</t>
  </si>
  <si>
    <t>Q9NTX7-2</t>
  </si>
  <si>
    <t>Q9NTZ6</t>
  </si>
  <si>
    <t>Q9NU19</t>
  </si>
  <si>
    <t>Q9NU22</t>
  </si>
  <si>
    <t>Q9NU23</t>
  </si>
  <si>
    <t>Q9NUB1-2</t>
  </si>
  <si>
    <t>Q9NUE0</t>
  </si>
  <si>
    <t>Q9NUG6</t>
  </si>
  <si>
    <t>Q9NUJ1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</si>
  <si>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</si>
  <si>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</si>
  <si>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</si>
  <si>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</si>
  <si>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</si>
  <si>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</si>
  <si>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</si>
  <si>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</si>
  <si>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</si>
  <si>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</si>
  <si>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Q9NUU7</t>
  </si>
  <si>
    <t>Q9NUW8</t>
  </si>
  <si>
    <t>Q9NUY8-2</t>
  </si>
  <si>
    <t>Q9NV06</t>
  </si>
  <si>
    <t>Q9NV29</t>
  </si>
  <si>
    <t>Q9NV56</t>
  </si>
  <si>
    <t>Q9NV70-2</t>
  </si>
  <si>
    <t>Q9NV96-3</t>
  </si>
  <si>
    <t>Q9NVC6</t>
  </si>
  <si>
    <t>Q9NVE7</t>
  </si>
  <si>
    <t>Q9NVG8</t>
  </si>
  <si>
    <t>Q9NVH0</t>
  </si>
  <si>
    <t>Q9NVH1-3</t>
  </si>
  <si>
    <t>Q9NVH2-4</t>
  </si>
  <si>
    <t>Q9NVI1</t>
  </si>
  <si>
    <t>Q9NVI7-2</t>
  </si>
  <si>
    <t>Q9NVJ2</t>
  </si>
  <si>
    <t>Q9NVM1</t>
  </si>
  <si>
    <t>Q9NVM4</t>
  </si>
  <si>
    <t>Q9NVM6</t>
  </si>
  <si>
    <t>Q9NVM9</t>
  </si>
  <si>
    <t>Q9NVQ4</t>
  </si>
  <si>
    <t>Q9NVR0</t>
  </si>
  <si>
    <t>Q9NVR5</t>
  </si>
  <si>
    <t>Q9NVT9</t>
  </si>
  <si>
    <t>Q9NVV0</t>
  </si>
  <si>
    <t>Q9NVX2</t>
  </si>
  <si>
    <t>Q9NVX7</t>
  </si>
  <si>
    <t>Q9NVZ3</t>
  </si>
  <si>
    <t>Q9NW64</t>
  </si>
  <si>
    <t>Q9NW82</t>
  </si>
  <si>
    <t>Q9NWA0</t>
  </si>
  <si>
    <t>Q9NWB6</t>
  </si>
  <si>
    <t>Q9NWH9</t>
  </si>
  <si>
    <t>Q9NWK9-2</t>
  </si>
  <si>
    <t>Q9NWM3</t>
  </si>
  <si>
    <t>Q9NWM8</t>
  </si>
  <si>
    <t>Q9NWQ8</t>
  </si>
  <si>
    <t>Q9NWQ9</t>
  </si>
  <si>
    <t>Q9NWR8</t>
  </si>
  <si>
    <t>Q9NWS6</t>
  </si>
  <si>
    <t>Q9NWT6</t>
  </si>
  <si>
    <t>Q9NWU1</t>
  </si>
  <si>
    <t>Q9NWV4</t>
  </si>
  <si>
    <t>Q9NWX5</t>
  </si>
  <si>
    <t>Q9NWX6</t>
  </si>
  <si>
    <t>Q9NWY4</t>
  </si>
  <si>
    <t>Q9NWZ3</t>
  </si>
  <si>
    <t>Q9NX01</t>
  </si>
  <si>
    <t>Q9NX08</t>
  </si>
  <si>
    <t>Q9NX14</t>
  </si>
  <si>
    <t>Q9NX24</t>
  </si>
  <si>
    <t>Q9NX38</t>
  </si>
  <si>
    <t>Q9NX40</t>
  </si>
  <si>
    <t>Q9NX46</t>
  </si>
  <si>
    <t>Q9NX47</t>
  </si>
  <si>
    <t>Q9NX55</t>
  </si>
  <si>
    <t>Q9NX62</t>
  </si>
  <si>
    <t>Q9NX70</t>
  </si>
  <si>
    <t>Q9NX74</t>
  </si>
  <si>
    <t>Q9NXA8</t>
  </si>
  <si>
    <t>Q9NXF7</t>
  </si>
  <si>
    <t>Q9NXH9</t>
  </si>
  <si>
    <t>Q9NXN4-2</t>
  </si>
  <si>
    <t>Q9NXR1-2</t>
  </si>
  <si>
    <t>Q9NXR7</t>
  </si>
  <si>
    <t>Q9NXU5</t>
  </si>
  <si>
    <t>Q9NXV2</t>
  </si>
  <si>
    <t>Q9NXV6</t>
  </si>
  <si>
    <t>Q9NXW9</t>
  </si>
  <si>
    <t>Q9NY27</t>
  </si>
  <si>
    <t>Q9NYB0</t>
  </si>
  <si>
    <t>Q9NYH9</t>
  </si>
  <si>
    <t>Q9NYJ1</t>
  </si>
  <si>
    <t>Q9NYJ8</t>
  </si>
  <si>
    <t>Q9NYK5</t>
  </si>
  <si>
    <t>Q9NYL2-2</t>
  </si>
  <si>
    <t>Q9NYL9</t>
  </si>
  <si>
    <t>Q9NYP9</t>
  </si>
  <si>
    <t>Q9NYU2-2</t>
  </si>
  <si>
    <t>Q9NYY8</t>
  </si>
  <si>
    <t>Q9NYZ3</t>
  </si>
  <si>
    <t>Q9NZ01</t>
  </si>
  <si>
    <t>Q9NZ09-2</t>
  </si>
  <si>
    <t>Q9NZ32</t>
  </si>
  <si>
    <t>Q9NZ45</t>
  </si>
  <si>
    <t>Q9NZ53</t>
  </si>
  <si>
    <t>Q9NZ63</t>
  </si>
  <si>
    <t>Q9NZA1-3</t>
  </si>
  <si>
    <t>Q9NZB8-2</t>
  </si>
  <si>
    <t>Q9NZC3</t>
  </si>
  <si>
    <t>Q9NZC7</t>
  </si>
  <si>
    <t>Q9NZC9</t>
  </si>
  <si>
    <t>Q9NZD8-2</t>
  </si>
  <si>
    <t>Q9NZI8</t>
  </si>
  <si>
    <t>Q9NZJ4-2</t>
  </si>
  <si>
    <t>Q9NZJ6</t>
  </si>
  <si>
    <t>Q9NZJ9</t>
  </si>
  <si>
    <t>Q9NZL4</t>
  </si>
  <si>
    <t>Q9NZL9</t>
  </si>
  <si>
    <t>Q9NZL9-2</t>
  </si>
  <si>
    <t>Q9NZM3-4</t>
  </si>
  <si>
    <t>Q9NZN3</t>
  </si>
  <si>
    <t>Q9NZN5</t>
  </si>
  <si>
    <t>Q9NZQ3-3</t>
  </si>
  <si>
    <t>Q9NZT2-2</t>
  </si>
  <si>
    <t>Q9NZU5</t>
  </si>
  <si>
    <t>Q9NZW5</t>
  </si>
  <si>
    <t>Q9NZZ3</t>
  </si>
  <si>
    <t>Q9P000</t>
  </si>
  <si>
    <t>Q9P013</t>
  </si>
  <si>
    <t>Q9P016</t>
  </si>
  <si>
    <t>Q9P021</t>
  </si>
  <si>
    <t>Q9P031</t>
  </si>
  <si>
    <t>Q9P032</t>
  </si>
  <si>
    <t>Q9P035</t>
  </si>
  <si>
    <t>Q9P0B6</t>
  </si>
  <si>
    <t>Q9P0J1</t>
  </si>
  <si>
    <t>Q9P0L0</t>
  </si>
  <si>
    <t>Q9P0L2</t>
  </si>
  <si>
    <t>Q9P0P0</t>
  </si>
  <si>
    <t>Q9P0R6</t>
  </si>
  <si>
    <t>Q9P0V3</t>
  </si>
  <si>
    <t>Q9P0W5</t>
  </si>
  <si>
    <t>Q9P1U0</t>
  </si>
  <si>
    <t>Q9P1Y5</t>
  </si>
  <si>
    <t>Q9P1Z2-2</t>
  </si>
  <si>
    <t>Q9P206</t>
  </si>
  <si>
    <t>Q9P258</t>
  </si>
  <si>
    <t>Q9P260-2</t>
  </si>
  <si>
    <t>Q9P265</t>
  </si>
  <si>
    <t>Q9P266</t>
  </si>
  <si>
    <t>Q9P270</t>
  </si>
  <si>
    <t>Q9P287-2</t>
  </si>
  <si>
    <t>Q9P2B2</t>
  </si>
  <si>
    <t>Q9P2B4</t>
  </si>
  <si>
    <t>Q9P2D1-4</t>
  </si>
  <si>
    <t>Q9P2D3-3</t>
  </si>
  <si>
    <t>Q9P2D7-5</t>
  </si>
  <si>
    <t>Q9P2E9</t>
  </si>
  <si>
    <t>Q9P2I0</t>
  </si>
  <si>
    <t>Q9P2M7</t>
  </si>
  <si>
    <t>Q9P2N5</t>
  </si>
  <si>
    <t>Q9P2R3</t>
  </si>
  <si>
    <t>Q9P2W1-2</t>
  </si>
  <si>
    <t>Q9P2X0</t>
  </si>
  <si>
    <t>Q9UBB4</t>
  </si>
  <si>
    <t>Q9UBB6</t>
  </si>
  <si>
    <t>Q9UBB9</t>
  </si>
  <si>
    <t>Q9UBC2-2</t>
  </si>
  <si>
    <t>Q9UBD5-3</t>
  </si>
  <si>
    <t>Q9UBE0</t>
  </si>
  <si>
    <t>Q9UBF2</t>
  </si>
  <si>
    <t>Q9UBF6</t>
  </si>
  <si>
    <t>Q9UBF8-2</t>
  </si>
  <si>
    <t>Q9UBI6</t>
  </si>
  <si>
    <t>Q9UBK8-2</t>
  </si>
  <si>
    <t>Q9UBL6-2</t>
  </si>
  <si>
    <t>Q9UBM7</t>
  </si>
  <si>
    <t>Q9UBN6</t>
  </si>
  <si>
    <t>Q9UBP0-3</t>
  </si>
  <si>
    <t>Q9UBP6</t>
  </si>
  <si>
    <t>Q9UBQ0</t>
  </si>
  <si>
    <t>Q9UBQ7</t>
  </si>
  <si>
    <t>Q9UBS0</t>
  </si>
  <si>
    <t>Q9UBS4</t>
  </si>
  <si>
    <t>Q9UBS8-2</t>
  </si>
  <si>
    <t>Q9UBT2</t>
  </si>
  <si>
    <t>Q9UBU6</t>
  </si>
  <si>
    <t>Q9UBU8-2</t>
  </si>
  <si>
    <t>Q9UBV8</t>
  </si>
  <si>
    <t>Q9UBW7</t>
  </si>
  <si>
    <t>Q9UBW8</t>
  </si>
  <si>
    <t>Q9UDX5</t>
  </si>
  <si>
    <t>Q9UDY2-3</t>
  </si>
  <si>
    <t>Q9UDY4</t>
  </si>
  <si>
    <t>Q9UDY8-2</t>
  </si>
  <si>
    <t>Q9UEE9</t>
  </si>
  <si>
    <t>Q9UEL6</t>
  </si>
  <si>
    <t>Q9UER7-3</t>
  </si>
  <si>
    <t>Q9UET6-2</t>
  </si>
  <si>
    <t>Q9UEU0</t>
  </si>
  <si>
    <t>Q9UEW8</t>
  </si>
  <si>
    <t>Q9UEY8-2</t>
  </si>
  <si>
    <t>Q9UFC0</t>
  </si>
  <si>
    <t>Q9UFG5</t>
  </si>
  <si>
    <t>Q9UFW8</t>
  </si>
  <si>
    <t>Q9UG56-2</t>
  </si>
  <si>
    <t>Q9UG63</t>
  </si>
  <si>
    <t>Q9UGI8</t>
  </si>
  <si>
    <t>Q9UGI8-2</t>
  </si>
  <si>
    <t>Q9UGK8</t>
  </si>
  <si>
    <t>Q9UGP4</t>
  </si>
  <si>
    <t>Q9UGP8</t>
  </si>
  <si>
    <t>Q9UGQ2-2</t>
  </si>
  <si>
    <t>Q9UGU0-2</t>
  </si>
  <si>
    <t>Q9UH62</t>
  </si>
  <si>
    <t>Q9UHA2</t>
  </si>
  <si>
    <t>Q9UHA4</t>
  </si>
  <si>
    <t>Q9UHB4-3</t>
  </si>
  <si>
    <t>Q9UHB6</t>
  </si>
  <si>
    <t>Q9UHD1</t>
  </si>
  <si>
    <t>Q9UHD8-7</t>
  </si>
  <si>
    <t>Q9UHD9</t>
  </si>
  <si>
    <t>Q9UHG2</t>
  </si>
  <si>
    <t>Q9UHG3</t>
  </si>
  <si>
    <t>Q9UHI6</t>
  </si>
  <si>
    <t>Q9UHJ6</t>
  </si>
  <si>
    <t>Q9UHN6-2</t>
  </si>
  <si>
    <t>Q9UHP3</t>
  </si>
  <si>
    <t>Q9UHQ4</t>
  </si>
  <si>
    <t>Q9UHQ9</t>
  </si>
  <si>
    <t>Q9UHR4</t>
  </si>
  <si>
    <t>Q9UHR6</t>
  </si>
  <si>
    <t>Q9UHV9</t>
  </si>
  <si>
    <t>Q9UHW5</t>
  </si>
  <si>
    <t>Q9UHX1-4</t>
  </si>
  <si>
    <t>Q9UHY1</t>
  </si>
  <si>
    <t>Q9UHY7</t>
  </si>
  <si>
    <t>Q9UI08</t>
  </si>
  <si>
    <t>Q9UI12-2</t>
  </si>
  <si>
    <t>Q9UI26</t>
  </si>
  <si>
    <t>Q9UI30</t>
  </si>
  <si>
    <t>Q9UIC8</t>
  </si>
  <si>
    <t>Q9UID3</t>
  </si>
  <si>
    <t>Q9UIG0-2</t>
  </si>
  <si>
    <t>Q9UII2</t>
  </si>
  <si>
    <t>Q9UIJ7</t>
  </si>
  <si>
    <t>Q9UIM3</t>
  </si>
  <si>
    <t>Q9UIQ6-3</t>
  </si>
  <si>
    <t>Q9UJ41</t>
  </si>
  <si>
    <t>Q9UJ70</t>
  </si>
  <si>
    <t>Q9UJA5</t>
  </si>
  <si>
    <t>Q9UJS0</t>
  </si>
  <si>
    <t>Q9UJU6</t>
  </si>
  <si>
    <t>Q9UJU6-2</t>
  </si>
  <si>
    <t>Q9UJW0-2</t>
  </si>
  <si>
    <t>Q9UJX3-2</t>
  </si>
  <si>
    <t>Q9UJX6-2</t>
  </si>
  <si>
    <t>Q9UJY1</t>
  </si>
  <si>
    <t>Q9UJY4</t>
  </si>
  <si>
    <t>Q9UJY5-4</t>
  </si>
  <si>
    <t>Q9UJZ1</t>
  </si>
  <si>
    <t>Q9UK23</t>
  </si>
  <si>
    <t>Q9UK45</t>
  </si>
  <si>
    <t>Q9UK59</t>
  </si>
  <si>
    <t>Q9UK76</t>
  </si>
  <si>
    <t>Q9UK99</t>
  </si>
  <si>
    <t>Q9UKB3</t>
  </si>
  <si>
    <t>Q9UKF6</t>
  </si>
  <si>
    <t>Q9UKG1</t>
  </si>
  <si>
    <t>Q9UKI8</t>
  </si>
  <si>
    <t>Q9UKJ3-2</t>
  </si>
  <si>
    <t>Q9UKK9</t>
  </si>
  <si>
    <t>Q9UKL6-2</t>
  </si>
  <si>
    <t>Q9UKN8</t>
  </si>
  <si>
    <t>Q9UKS6</t>
  </si>
  <si>
    <t>Q9UKT4-2</t>
  </si>
  <si>
    <t>Q9UKU7</t>
  </si>
  <si>
    <t>Q9UKV5</t>
  </si>
  <si>
    <t>Q9UKX7</t>
  </si>
  <si>
    <t>Q9UKY7</t>
  </si>
  <si>
    <t>Q9UKZ1</t>
  </si>
  <si>
    <t>Q9UL15</t>
  </si>
  <si>
    <t>Q9UL25</t>
  </si>
  <si>
    <t>Q9UL26</t>
  </si>
  <si>
    <t>Q9UL42</t>
  </si>
  <si>
    <t>Q9UL46</t>
  </si>
  <si>
    <t>Q9UL54-2</t>
  </si>
  <si>
    <t>Q9ULC3</t>
  </si>
  <si>
    <t>Q9ULC4</t>
  </si>
  <si>
    <t>Q9ULE6</t>
  </si>
  <si>
    <t>Q9ULF5</t>
  </si>
  <si>
    <t>Q9ULH1</t>
  </si>
  <si>
    <t>Q9ULH7-4</t>
  </si>
  <si>
    <t>Q9ULJ3-2</t>
  </si>
  <si>
    <t>Q9ULJ6</t>
  </si>
  <si>
    <t>Q9ULJ7-2</t>
  </si>
  <si>
    <t>Q9ULP9-2</t>
  </si>
  <si>
    <t>Q9ULR0</t>
  </si>
  <si>
    <t>Q9ULR3</t>
  </si>
  <si>
    <t>Q9ULR5</t>
  </si>
  <si>
    <t>Q9ULT8</t>
  </si>
  <si>
    <t>Q9ULV4</t>
  </si>
  <si>
    <t>Q9ULW0</t>
  </si>
  <si>
    <t>Q9ULX3</t>
  </si>
  <si>
    <t>Q9UM13</t>
  </si>
  <si>
    <t>Q9UMN6</t>
  </si>
  <si>
    <t>Q9UMR2</t>
  </si>
  <si>
    <t>Q9UMS0-3</t>
  </si>
  <si>
    <t>Q9UMS4</t>
  </si>
  <si>
    <t>Q9UMX0</t>
  </si>
  <si>
    <t>Q9UMX1</t>
  </si>
  <si>
    <t>Q9UMX5</t>
  </si>
  <si>
    <t>Q9UMY4-2</t>
  </si>
  <si>
    <t>Q9UMZ2-6</t>
  </si>
  <si>
    <t>Q9UN37</t>
  </si>
  <si>
    <t>Q9UN86-2</t>
  </si>
  <si>
    <t>Q9UNE7</t>
  </si>
  <si>
    <t>Q9UNF0-2</t>
  </si>
  <si>
    <t>Q9UNF1</t>
  </si>
  <si>
    <t>Q9UNH6</t>
  </si>
  <si>
    <t>Q9UNH7</t>
  </si>
  <si>
    <t>Q9UNI6</t>
  </si>
  <si>
    <t>Q9UNK0</t>
  </si>
  <si>
    <t>Q9UNM6</t>
  </si>
  <si>
    <t>Q9UNN5</t>
  </si>
  <si>
    <t>Q9UNN8</t>
  </si>
  <si>
    <t>Q9UNP9</t>
  </si>
  <si>
    <t>Q9UNS1-2</t>
  </si>
  <si>
    <t>Q9UNS2</t>
  </si>
  <si>
    <t>Q9UNT1-2</t>
  </si>
  <si>
    <t>Q9UNW1</t>
  </si>
  <si>
    <t>Q9UNW9</t>
  </si>
  <si>
    <t>Q9UNY4</t>
  </si>
  <si>
    <t>Q9UNZ2-5</t>
  </si>
  <si>
    <t>Q9UNZ5</t>
  </si>
  <si>
    <t>Q9UP83</t>
  </si>
  <si>
    <t>Q9UP95-5</t>
  </si>
  <si>
    <t>Q9UPM9</t>
  </si>
  <si>
    <t>Q9UPN6</t>
  </si>
  <si>
    <t>Q9UPN7</t>
  </si>
  <si>
    <t>Q9UPN9-2</t>
  </si>
  <si>
    <t>Q9UPQ9-1</t>
  </si>
  <si>
    <t>Q9UPR0</t>
  </si>
  <si>
    <t>Q9UPR3</t>
  </si>
  <si>
    <t>Q9UPT5-2</t>
  </si>
  <si>
    <t>Q9UPT8</t>
  </si>
  <si>
    <t>Q9UPT9</t>
  </si>
  <si>
    <t>Q9UPU5</t>
  </si>
  <si>
    <t>Q9UPW5</t>
  </si>
  <si>
    <t>Q9UPY8</t>
  </si>
  <si>
    <t>Q9UPY8-2</t>
  </si>
  <si>
    <t>Q9UQ13-2</t>
  </si>
  <si>
    <t>Q9UQ35</t>
  </si>
  <si>
    <t>Q9UQ53-2</t>
  </si>
  <si>
    <t>Q9UQ80</t>
  </si>
  <si>
    <t>Q9UQ90</t>
  </si>
  <si>
    <t>Q9UQE7</t>
  </si>
  <si>
    <t>Q9UQN3</t>
  </si>
  <si>
    <t>Q9UQR0</t>
  </si>
  <si>
    <t>Q9Y217</t>
  </si>
  <si>
    <t>Q9Y224</t>
  </si>
  <si>
    <t>Q9Y230</t>
  </si>
  <si>
    <t>Q9Y237</t>
  </si>
  <si>
    <t>Q9Y242</t>
  </si>
  <si>
    <t>Q9Y243-2</t>
  </si>
  <si>
    <t>Q9Y248</t>
  </si>
  <si>
    <t>Q9Y255</t>
  </si>
  <si>
    <t>Q9Y263</t>
  </si>
  <si>
    <t>Q9Y265</t>
  </si>
  <si>
    <t>Q9Y266</t>
  </si>
  <si>
    <t>Q9Y276</t>
  </si>
  <si>
    <t>Q9Y277</t>
  </si>
  <si>
    <t>Q9Y281</t>
  </si>
  <si>
    <t>Q9Y289</t>
  </si>
  <si>
    <t>Q9Y294</t>
  </si>
  <si>
    <t>Q9Y295</t>
  </si>
  <si>
    <t>Q9Y2A7</t>
  </si>
  <si>
    <t>Q9Y2B0</t>
  </si>
  <si>
    <t>Q9Y2C2</t>
  </si>
  <si>
    <t>Q9Y2D5-6</t>
  </si>
  <si>
    <t>Q9Y2G2-4</t>
  </si>
  <si>
    <t>Q9Y2G5</t>
  </si>
  <si>
    <t>Q9Y2H0-1</t>
  </si>
  <si>
    <t>Q9Y2H1</t>
  </si>
  <si>
    <t>Q9Y2H6-2</t>
  </si>
  <si>
    <t>Q9Y2J2</t>
  </si>
  <si>
    <t>Q9Y2J2-2</t>
  </si>
  <si>
    <t>Q9Y2K6</t>
  </si>
  <si>
    <t>Q9Y2K7-4</t>
  </si>
  <si>
    <t>Q9Y2L1</t>
  </si>
  <si>
    <t>Q9Y2Q0-3</t>
  </si>
  <si>
    <t>Q9Y2Q5</t>
  </si>
  <si>
    <t>Q9Y2R0</t>
  </si>
  <si>
    <t>Q9Y2S0</t>
  </si>
  <si>
    <t>Q9Y2S6</t>
  </si>
  <si>
    <t>Q9Y2S7</t>
  </si>
  <si>
    <t>Q9Y2U5</t>
  </si>
  <si>
    <t>Q9Y2U8</t>
  </si>
  <si>
    <t>Q9Y2V2</t>
  </si>
  <si>
    <t>Q9Y2V7-2</t>
  </si>
  <si>
    <t>Q9Y2W1</t>
  </si>
  <si>
    <t>Q9Y2X3</t>
  </si>
  <si>
    <t>Q9Y2X7</t>
  </si>
  <si>
    <t>Q9Y2Y1</t>
  </si>
  <si>
    <t>Q9Y2Z0-2</t>
  </si>
  <si>
    <t>Q9Y2Z2-5</t>
  </si>
  <si>
    <t>Q9Y2Z4</t>
  </si>
  <si>
    <t>Q9Y2Z9-3</t>
  </si>
  <si>
    <t>Q9Y303-2</t>
  </si>
  <si>
    <t>Q9Y305</t>
  </si>
  <si>
    <t>Q9Y314</t>
  </si>
  <si>
    <t>Q9Y316</t>
  </si>
  <si>
    <t>Q9Y320-2</t>
  </si>
  <si>
    <t>Q9Y333</t>
  </si>
  <si>
    <t>Q9Y371</t>
  </si>
  <si>
    <t>Q9Y375</t>
  </si>
  <si>
    <t>Q9Y376</t>
  </si>
  <si>
    <t>Q9Y383</t>
  </si>
  <si>
    <t>Q9Y385</t>
  </si>
  <si>
    <t>Q9Y394-2</t>
  </si>
  <si>
    <t>Q9Y3A3</t>
  </si>
  <si>
    <t>Q9Y3A5</t>
  </si>
  <si>
    <t>Q9Y3A6</t>
  </si>
  <si>
    <t>Q9Y3B3-2</t>
  </si>
  <si>
    <t>Q9Y3B4</t>
  </si>
  <si>
    <t>Q9Y3B7</t>
  </si>
  <si>
    <t>Q9Y3B9</t>
  </si>
  <si>
    <t>Q9Y3C4</t>
  </si>
  <si>
    <t>Q9Y3C5</t>
  </si>
  <si>
    <t>Q9Y3C6</t>
  </si>
  <si>
    <t>Q9Y3C8</t>
  </si>
  <si>
    <t>Q9Y3D0</t>
  </si>
  <si>
    <t>Q9Y3D2</t>
  </si>
  <si>
    <t>Q9Y3D6</t>
  </si>
  <si>
    <t>Q9Y3D8</t>
  </si>
  <si>
    <t>Q9Y3E1</t>
  </si>
  <si>
    <t>Q9Y3E2</t>
  </si>
  <si>
    <t>Q9Y3E7-4</t>
  </si>
  <si>
    <t>Q9Y3F4</t>
  </si>
  <si>
    <t>Q9Y3I0</t>
  </si>
  <si>
    <t>Q9Y3I1</t>
  </si>
  <si>
    <t>Q9Y3L5</t>
  </si>
  <si>
    <t>Q9Y3P9</t>
  </si>
  <si>
    <t>Q9Y3Q8</t>
  </si>
  <si>
    <t>Q9Y3S2</t>
  </si>
  <si>
    <t>Q9Y3T6</t>
  </si>
  <si>
    <t>Q9Y3T9</t>
  </si>
  <si>
    <t>Q9Y3V2-2</t>
  </si>
  <si>
    <t>Q9Y3X0</t>
  </si>
  <si>
    <t>Q9Y3Z3-4</t>
  </si>
  <si>
    <t>Q9Y448</t>
  </si>
  <si>
    <t>Q9Y450-4</t>
  </si>
  <si>
    <t>Q9Y478</t>
  </si>
  <si>
    <t>Q9Y490</t>
  </si>
  <si>
    <t>Q9Y4B4</t>
  </si>
  <si>
    <t>Q9Y4C1</t>
  </si>
  <si>
    <t>Q9Y4C2-2</t>
  </si>
  <si>
    <t>Q9Y4C4</t>
  </si>
  <si>
    <t>Q9Y4D7-2</t>
  </si>
  <si>
    <t>Q9Y4E1-2</t>
  </si>
  <si>
    <t>Q9Y4E8</t>
  </si>
  <si>
    <t>Q9Y4G6</t>
  </si>
  <si>
    <t>Q9Y4G8</t>
  </si>
  <si>
    <t>Q9Y4H2</t>
  </si>
  <si>
    <t>Q9Y4K3</t>
  </si>
  <si>
    <t>Q9Y4K4</t>
  </si>
  <si>
    <t>Q9Y4P1-6</t>
  </si>
  <si>
    <t>Q9Y4P8-3</t>
  </si>
  <si>
    <t>Q9Y4R8</t>
  </si>
  <si>
    <t>Q9Y4U1</t>
  </si>
  <si>
    <t>Q9Y4W6</t>
  </si>
  <si>
    <t>Q9Y4X5</t>
  </si>
  <si>
    <t>Q9Y4Z0</t>
  </si>
  <si>
    <t>Q9Y508</t>
  </si>
  <si>
    <t>Q9Y512</t>
  </si>
  <si>
    <t>Q9Y546</t>
  </si>
  <si>
    <t>Q9Y570</t>
  </si>
  <si>
    <t>Q9Y584</t>
  </si>
  <si>
    <t>Q9Y597-3</t>
  </si>
  <si>
    <t>Q9Y5A9</t>
  </si>
  <si>
    <t>Q9Y5B0</t>
  </si>
  <si>
    <t>Q9Y5B6-3</t>
  </si>
  <si>
    <t>Q9Y5B8-2</t>
  </si>
  <si>
    <t>Q9Y5J5</t>
  </si>
  <si>
    <t>Q9Y5J6</t>
  </si>
  <si>
    <t>Q9Y5J7</t>
  </si>
  <si>
    <t>Q9Y5K5-2</t>
  </si>
  <si>
    <t>Q9Y5K6</t>
  </si>
  <si>
    <t>Q9Y5K8</t>
  </si>
  <si>
    <t>Q9Y5L4</t>
  </si>
  <si>
    <t>Q9Y5M8</t>
  </si>
  <si>
    <t>Q9Y5N5</t>
  </si>
  <si>
    <t>Q9Y5N6</t>
  </si>
  <si>
    <t>Q9Y5P4-2</t>
  </si>
  <si>
    <t>Q9Y5P6</t>
  </si>
  <si>
    <t>Q9Y5Q8</t>
  </si>
  <si>
    <t>Q9Y5Q9</t>
  </si>
  <si>
    <t>Q9Y5S2</t>
  </si>
  <si>
    <t>Q9Y5S9</t>
  </si>
  <si>
    <t>Q9Y5U2-2</t>
  </si>
  <si>
    <t>Q9Y5V0</t>
  </si>
  <si>
    <t>Q9Y5V3</t>
  </si>
  <si>
    <t>Q9Y5X1</t>
  </si>
  <si>
    <t>Q9Y5X2</t>
  </si>
  <si>
    <t>Q9Y5X3</t>
  </si>
  <si>
    <t>Q9Y5Y0</t>
  </si>
  <si>
    <t>Q9Y5Y2</t>
  </si>
  <si>
    <t>Q9Y5Z4</t>
  </si>
  <si>
    <t>Q9Y5Z9-2</t>
  </si>
  <si>
    <t>Q9Y605</t>
  </si>
  <si>
    <t>Q9Y608-4</t>
  </si>
  <si>
    <t>Q9Y613</t>
  </si>
  <si>
    <t>Q9Y617</t>
  </si>
  <si>
    <t>Q9Y619</t>
  </si>
  <si>
    <t>Q9Y639-1</t>
  </si>
  <si>
    <t>Q9Y673</t>
  </si>
  <si>
    <t>Q9Y678</t>
  </si>
  <si>
    <t>Q9Y679-2</t>
  </si>
  <si>
    <t>Q9Y680-3</t>
  </si>
  <si>
    <t>Q9Y692-2</t>
  </si>
  <si>
    <t>Q9Y696</t>
  </si>
  <si>
    <t>Q9Y697-2</t>
  </si>
  <si>
    <t>Q9Y6A4</t>
  </si>
  <si>
    <t>Q9Y6A5</t>
  </si>
  <si>
    <t>Q9Y6B6</t>
  </si>
  <si>
    <t>Q9Y6C9</t>
  </si>
  <si>
    <t>Q9Y6D5</t>
  </si>
  <si>
    <t>Q9Y6D6</t>
  </si>
  <si>
    <t>Q9Y6D9</t>
  </si>
  <si>
    <t>Q9Y6G9</t>
  </si>
  <si>
    <t>Q9Y6H1</t>
  </si>
  <si>
    <t>Q9Y6I3-3</t>
  </si>
  <si>
    <t>Q9Y6I9</t>
  </si>
  <si>
    <t>Q9Y6K0</t>
  </si>
  <si>
    <t>Q9Y6K9</t>
  </si>
  <si>
    <t>Q9Y6M5</t>
  </si>
  <si>
    <t>Q9Y6N1</t>
  </si>
  <si>
    <t>Q9Y6N7-6</t>
  </si>
  <si>
    <t>Q9Y6Q2</t>
  </si>
  <si>
    <t>Q9Y6Q9-2</t>
  </si>
  <si>
    <t>Q9Y6R0</t>
  </si>
  <si>
    <t>Q9Y6V7</t>
  </si>
  <si>
    <t>Q9Y6W3</t>
  </si>
  <si>
    <t>Q9Y6W5</t>
  </si>
  <si>
    <t>Q9Y6X5</t>
  </si>
  <si>
    <t>Q9Y6X8</t>
  </si>
  <si>
    <t>R4GMN1</t>
  </si>
  <si>
    <t>R4GMR5</t>
  </si>
  <si>
    <t>R4GMU8</t>
  </si>
  <si>
    <t>R4GMX3</t>
  </si>
  <si>
    <t>R4GMZ8</t>
  </si>
  <si>
    <t>R4GN33</t>
  </si>
  <si>
    <t>R4GN55</t>
  </si>
  <si>
    <t>R4GNB2</t>
  </si>
  <si>
    <t>R4GNH3</t>
  </si>
  <si>
    <t>norm_FC_TMT126_H.sapiens_HEK293_PP018224</t>
  </si>
  <si>
    <t>norm_FC_TMT127L_H.sapiens_HEK293_PP018224</t>
  </si>
  <si>
    <t>norm_FC_TMT127H_H.sapiens_HEK293_PP018224</t>
  </si>
  <si>
    <t>norm_FC_TMT128L_H.sapiens_HEK293_PP018224</t>
  </si>
  <si>
    <t>norm_FC_TMT128H_H.sapiens_HEK293_PP018224</t>
  </si>
  <si>
    <t>norm_FC_TMT129L_H.sapiens_HEK293_PP018224</t>
  </si>
  <si>
    <t>norm_FC_TMT129H_H.sapiens_HEK293_PP018224</t>
  </si>
  <si>
    <t>norm_FC_TMT130L_H.sapiens_HEK293_PP018224</t>
  </si>
  <si>
    <t>norm_FC_TMT130H_H.sapiens_HEK293_PP018224</t>
  </si>
  <si>
    <t>norm_FC_TMT131L_H.sapiens_HEK293_PP018224</t>
  </si>
  <si>
    <t>a_H.sapiens_HEK293_PP018224</t>
  </si>
  <si>
    <t>b_H.sapiens_HEK293_PP018224</t>
  </si>
  <si>
    <t>meltPoint_H.sapiens_HEK293_PP018224</t>
  </si>
  <si>
    <t>inflPoint_H.sapiens_HEK293_PP018224</t>
  </si>
  <si>
    <t>slope_H.sapiens_HEK293_PP018224</t>
  </si>
  <si>
    <t>plateau_H.sapiens_HEK293_PP018224</t>
  </si>
  <si>
    <t>R_sq_H.sapiens_HEK293_PP018224</t>
  </si>
  <si>
    <t>protein_identified_in_H.sapiens_HEK293_PP018224</t>
  </si>
  <si>
    <t>model_converged_H.sapiens_HEK293_PP018224</t>
  </si>
  <si>
    <t>sufficient_data_for_fit_H.sapiens_HEK293_PP018224</t>
  </si>
  <si>
    <t>Proteinname_H.sapiens_HEK293_PP018224</t>
  </si>
  <si>
    <t>numSpec_H.sapiens_HEK293_PP018224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</si>
</sst>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548"/>
  <sheetViews>
    <sheetView tabSelected="1" workbookViewId="0">
      <selection activeCell="N12" sqref="N12"/>
    </sheetView>
  </sheetViews>
  <sheetFormatPr defaultRowHeight="15" x14ac:dyDescent="0.25"/>
  <sheetData>
    <row r="1" spans="1:28" s="2" customFormat="1" ht="105" x14ac:dyDescent="0.25">
      <c r="A1" s="1" t="s">
        <v>0</v>
      </c>
      <c r="B1" s="1" t="s">
        <v>27554</v>
      </c>
      <c r="C1" s="1" t="s">
        <v>27555</v>
      </c>
      <c r="D1" s="1" t="s">
        <v>27556</v>
      </c>
      <c r="E1" s="1" t="s">
        <v>27557</v>
      </c>
      <c r="F1" s="1" t="s">
        <v>27558</v>
      </c>
      <c r="G1" s="1" t="s">
        <v>27559</v>
      </c>
      <c r="H1" s="1" t="s">
        <v>27560</v>
      </c>
      <c r="I1" s="1" t="s">
        <v>27561</v>
      </c>
      <c r="J1" s="1" t="s">
        <v>27562</v>
      </c>
      <c r="K1" s="1" t="s">
        <v>27563</v>
      </c>
      <c r="L1" s="1" t="s">
        <v>27564</v>
      </c>
      <c r="M1" s="1" t="s">
        <v>27565</v>
      </c>
      <c r="N1" s="1" t="s">
        <v>27566</v>
      </c>
      <c r="O1" s="1" t="s">
        <v>27567</v>
      </c>
      <c r="P1" s="1" t="s">
        <v>27568</v>
      </c>
      <c r="Q1" s="1" t="s">
        <v>27569</v>
      </c>
      <c r="R1" s="1" t="s">
        <v>27570</v>
      </c>
      <c r="S1" s="1" t="s">
        <v>1</v>
      </c>
      <c r="T1" s="1" t="s">
        <v>27571</v>
      </c>
      <c r="U1" s="1" t="s">
        <v>27572</v>
      </c>
      <c r="V1" s="1" t="s">
        <v>27573</v>
      </c>
      <c r="W1" s="1" t="s">
        <v>27574</v>
      </c>
      <c r="X1" s="1" t="s">
        <v>27575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0.99299721793515405</v>
      </c>
      <c r="C2">
        <v>1.0190475170148501</v>
      </c>
      <c r="D2">
        <v>0.96186693064150997</v>
      </c>
      <c r="E2">
        <v>1.1327731170020301</v>
      </c>
      <c r="F2">
        <v>0.79872858825750304</v>
      </c>
      <c r="G2">
        <v>0.64534031066228403</v>
      </c>
      <c r="H2">
        <v>0.25095753457852399</v>
      </c>
      <c r="I2">
        <v>0.30303939523187001</v>
      </c>
      <c r="J2">
        <v>0.17115635459324399</v>
      </c>
      <c r="K2">
        <v>0.14711106405989</v>
      </c>
      <c r="L2">
        <v>1302.11416840949</v>
      </c>
      <c r="M2">
        <v>24.167003474944199</v>
      </c>
      <c r="N2">
        <v>54.811762001558598</v>
      </c>
      <c r="O2">
        <v>53.514980825695503</v>
      </c>
      <c r="P2">
        <v>-9.3879585788898504E-2</v>
      </c>
      <c r="Q2">
        <v>0.16847168020983899</v>
      </c>
      <c r="R2">
        <v>0.96500644551991999</v>
      </c>
      <c r="S2" t="s">
        <v>5553</v>
      </c>
      <c r="T2" t="s">
        <v>11100</v>
      </c>
      <c r="U2" t="s">
        <v>11100</v>
      </c>
      <c r="V2" t="s">
        <v>11100</v>
      </c>
      <c r="W2" t="s">
        <v>11102</v>
      </c>
      <c r="X2">
        <v>1</v>
      </c>
      <c r="Y2" t="s">
        <v>16594</v>
      </c>
      <c r="Z2" t="s">
        <v>22007</v>
      </c>
      <c r="AA2">
        <v>0.64402281747677959</v>
      </c>
      <c r="AB2" t="str">
        <f>HYPERLINK("Melting_Curves/meltCurve_A0AVI4_TMEM129.pdf", "Melting_Curves/meltCurve_A0AVI4_TMEM129.pdf")</f>
        <v>Melting_Curves/meltCurve_A0AVI4_TMEM129.pdf</v>
      </c>
    </row>
    <row r="3" spans="1:28" x14ac:dyDescent="0.25">
      <c r="A3" t="s">
        <v>7</v>
      </c>
      <c r="B3">
        <v>0.99299721793515405</v>
      </c>
      <c r="C3">
        <v>1.04839568639462</v>
      </c>
      <c r="D3">
        <v>0.92210361563666798</v>
      </c>
      <c r="E3">
        <v>0.88836880477707103</v>
      </c>
      <c r="F3">
        <v>0.76929873998319798</v>
      </c>
      <c r="G3">
        <v>0.35720549936448798</v>
      </c>
      <c r="H3">
        <v>0.16433660254261001</v>
      </c>
      <c r="I3">
        <v>0.140415598612568</v>
      </c>
      <c r="J3">
        <v>0.12760845981765001</v>
      </c>
      <c r="K3">
        <v>0.107662808252157</v>
      </c>
      <c r="L3">
        <v>1289.39352135528</v>
      </c>
      <c r="M3">
        <v>24.835384205167401</v>
      </c>
      <c r="N3">
        <v>52.428146219816703</v>
      </c>
      <c r="O3">
        <v>51.5845017460233</v>
      </c>
      <c r="P3">
        <v>-0.107435700478912</v>
      </c>
      <c r="Q3">
        <v>0.10741214868611</v>
      </c>
      <c r="R3">
        <v>0.99064547472154896</v>
      </c>
      <c r="S3" t="s">
        <v>5554</v>
      </c>
      <c r="T3" t="s">
        <v>11100</v>
      </c>
      <c r="U3" t="s">
        <v>11100</v>
      </c>
      <c r="V3" t="s">
        <v>11100</v>
      </c>
      <c r="W3" t="s">
        <v>11103</v>
      </c>
      <c r="X3">
        <v>19</v>
      </c>
      <c r="Y3" t="s">
        <v>16595</v>
      </c>
      <c r="Z3" t="s">
        <v>22008</v>
      </c>
      <c r="AA3">
        <v>0.55925569311572254</v>
      </c>
      <c r="AB3" t="str">
        <f>HYPERLINK("Melting_Curves/meltCurve_A0AVT1_UBA6.pdf", "Melting_Curves/meltCurve_A0AVT1_UBA6.pdf")</f>
        <v>Melting_Curves/meltCurve_A0AVT1_UBA6.pdf</v>
      </c>
    </row>
    <row r="4" spans="1:28" x14ac:dyDescent="0.25">
      <c r="A4" t="s">
        <v>8</v>
      </c>
      <c r="B4">
        <v>0.99299721793515405</v>
      </c>
      <c r="C4">
        <v>1.0348057568203799</v>
      </c>
      <c r="D4">
        <v>0.93155251804621497</v>
      </c>
      <c r="E4">
        <v>0.87399100211031</v>
      </c>
      <c r="F4">
        <v>0.68373686128085698</v>
      </c>
      <c r="G4">
        <v>0.39906098616969499</v>
      </c>
      <c r="H4">
        <v>0.23649703274202299</v>
      </c>
      <c r="I4">
        <v>0.16749491946857301</v>
      </c>
      <c r="J4">
        <v>0.17864193965542799</v>
      </c>
      <c r="K4">
        <v>0.123828274972622</v>
      </c>
      <c r="L4">
        <v>905.77408536597898</v>
      </c>
      <c r="M4">
        <v>17.5670897884795</v>
      </c>
      <c r="N4">
        <v>52.389704949724802</v>
      </c>
      <c r="O4">
        <v>50.9066267374372</v>
      </c>
      <c r="P4">
        <v>-7.5808469249617302E-2</v>
      </c>
      <c r="Q4">
        <v>0.121324317129324</v>
      </c>
      <c r="R4">
        <v>0.99592107847517497</v>
      </c>
      <c r="S4" t="s">
        <v>5555</v>
      </c>
      <c r="T4" t="s">
        <v>11100</v>
      </c>
      <c r="U4" t="s">
        <v>11100</v>
      </c>
      <c r="V4" t="s">
        <v>11100</v>
      </c>
      <c r="W4" t="s">
        <v>11104</v>
      </c>
      <c r="X4">
        <v>13</v>
      </c>
      <c r="Y4" t="s">
        <v>16596</v>
      </c>
      <c r="Z4" t="s">
        <v>22009</v>
      </c>
      <c r="AA4">
        <v>0.56174252570043826</v>
      </c>
      <c r="AB4" t="str">
        <f>HYPERLINK("Melting_Curves/meltCurve_A0FGR8_2_ESYT2.pdf", "Melting_Curves/meltCurve_A0FGR8_2_ESYT2.pdf")</f>
        <v>Melting_Curves/meltCurve_A0FGR8_2_ESYT2.pdf</v>
      </c>
    </row>
    <row r="5" spans="1:28" x14ac:dyDescent="0.25">
      <c r="A5" t="s">
        <v>9</v>
      </c>
      <c r="B5">
        <v>0.99299721793515405</v>
      </c>
      <c r="C5">
        <v>1.0360568607868199</v>
      </c>
      <c r="D5">
        <v>0.88650686398842604</v>
      </c>
      <c r="E5">
        <v>1.02327169633069</v>
      </c>
      <c r="F5">
        <v>0.62543623580223395</v>
      </c>
      <c r="G5">
        <v>0.59734217834514203</v>
      </c>
      <c r="H5">
        <v>0.35939207134095202</v>
      </c>
      <c r="I5">
        <v>0.15605876042623801</v>
      </c>
      <c r="J5">
        <v>0.11998738291991901</v>
      </c>
      <c r="K5">
        <v>0.117794687049779</v>
      </c>
      <c r="L5">
        <v>713.85715686779599</v>
      </c>
      <c r="M5">
        <v>13.159981477805101</v>
      </c>
      <c r="N5">
        <v>54.386243548702403</v>
      </c>
      <c r="O5">
        <v>53.037843012430002</v>
      </c>
      <c r="P5">
        <v>-6.09959789825344E-2</v>
      </c>
      <c r="Q5">
        <v>1.6852332210388399E-2</v>
      </c>
      <c r="R5">
        <v>0.96473824463188596</v>
      </c>
      <c r="S5" t="s">
        <v>5556</v>
      </c>
      <c r="T5" t="s">
        <v>11100</v>
      </c>
      <c r="U5" t="s">
        <v>11100</v>
      </c>
      <c r="V5" t="s">
        <v>11100</v>
      </c>
      <c r="W5" t="s">
        <v>11105</v>
      </c>
      <c r="X5">
        <v>1</v>
      </c>
      <c r="Y5" t="s">
        <v>16597</v>
      </c>
      <c r="Z5" t="s">
        <v>22010</v>
      </c>
      <c r="AA5">
        <v>0.59846446623071869</v>
      </c>
      <c r="AB5" t="str">
        <f>HYPERLINK("Melting_Curves/meltCurve_A0JNW5_UHRF1BP1L.pdf", "Melting_Curves/meltCurve_A0JNW5_UHRF1BP1L.pdf")</f>
        <v>Melting_Curves/meltCurve_A0JNW5_UHRF1BP1L.pdf</v>
      </c>
    </row>
    <row r="6" spans="1:28" x14ac:dyDescent="0.25">
      <c r="A6" t="s">
        <v>10</v>
      </c>
      <c r="B6">
        <v>0.99299721793515405</v>
      </c>
      <c r="C6">
        <v>0.91336618311986495</v>
      </c>
      <c r="D6">
        <v>0.90802271435303805</v>
      </c>
      <c r="E6">
        <v>0.89039771945443602</v>
      </c>
      <c r="F6">
        <v>0.766085601786473</v>
      </c>
      <c r="G6">
        <v>0.28623199631728602</v>
      </c>
      <c r="H6">
        <v>0.22394637070914</v>
      </c>
      <c r="I6">
        <v>0.184820966038931</v>
      </c>
      <c r="J6">
        <v>0.16924729214172099</v>
      </c>
      <c r="K6">
        <v>0.13752934339926501</v>
      </c>
      <c r="L6">
        <v>1638.5932330390301</v>
      </c>
      <c r="M6">
        <v>31.897565852649802</v>
      </c>
      <c r="N6">
        <v>52.019161072020303</v>
      </c>
      <c r="O6">
        <v>51.169835903139997</v>
      </c>
      <c r="P6">
        <v>-0.13027026580097301</v>
      </c>
      <c r="Q6">
        <v>0.16408994048943701</v>
      </c>
      <c r="R6">
        <v>0.97862262785249698</v>
      </c>
      <c r="S6" t="s">
        <v>5557</v>
      </c>
      <c r="T6" t="s">
        <v>11100</v>
      </c>
      <c r="U6" t="s">
        <v>11100</v>
      </c>
      <c r="V6" t="s">
        <v>11100</v>
      </c>
      <c r="W6" t="s">
        <v>11106</v>
      </c>
      <c r="X6">
        <v>25</v>
      </c>
      <c r="Y6" t="s">
        <v>16598</v>
      </c>
      <c r="Z6" t="s">
        <v>22011</v>
      </c>
      <c r="AA6">
        <v>0.56914845056300178</v>
      </c>
      <c r="AB6" t="str">
        <f>HYPERLINK("Melting_Curves/meltCurve_A0MZ66_KIAA1598.pdf", "Melting_Curves/meltCurve_A0MZ66_KIAA1598.pdf")</f>
        <v>Melting_Curves/meltCurve_A0MZ66_KIAA1598.pdf</v>
      </c>
    </row>
    <row r="7" spans="1:28" x14ac:dyDescent="0.25">
      <c r="A7" t="s">
        <v>11</v>
      </c>
      <c r="B7">
        <v>0.99299721793515405</v>
      </c>
      <c r="C7">
        <v>1.1034233224650201</v>
      </c>
      <c r="D7">
        <v>1.0044491724679201</v>
      </c>
      <c r="E7">
        <v>1.0359993510894101</v>
      </c>
      <c r="F7">
        <v>0.65010956912500595</v>
      </c>
      <c r="G7">
        <v>0.56151679553120104</v>
      </c>
      <c r="H7">
        <v>0.24888063725146201</v>
      </c>
      <c r="I7">
        <v>0.14525530315565899</v>
      </c>
      <c r="J7">
        <v>0.100386872384491</v>
      </c>
      <c r="K7">
        <v>7.2526117286642794E-2</v>
      </c>
      <c r="L7">
        <v>923.85519630743795</v>
      </c>
      <c r="M7">
        <v>17.295919041415999</v>
      </c>
      <c r="N7">
        <v>53.724070276303998</v>
      </c>
      <c r="O7">
        <v>52.7159320030499</v>
      </c>
      <c r="P7">
        <v>-7.8139967625079201E-2</v>
      </c>
      <c r="Q7">
        <v>4.7409187272840901E-2</v>
      </c>
      <c r="R7">
        <v>0.97491527033303005</v>
      </c>
      <c r="S7" t="s">
        <v>5558</v>
      </c>
      <c r="T7" t="s">
        <v>11100</v>
      </c>
      <c r="U7" t="s">
        <v>11100</v>
      </c>
      <c r="V7" t="s">
        <v>11100</v>
      </c>
      <c r="W7" t="s">
        <v>11107</v>
      </c>
      <c r="X7">
        <v>1</v>
      </c>
      <c r="Y7" t="s">
        <v>16599</v>
      </c>
      <c r="Z7" t="s">
        <v>22012</v>
      </c>
      <c r="AA7">
        <v>0.58283091143762555</v>
      </c>
      <c r="AB7" t="str">
        <f>HYPERLINK("Melting_Curves/meltCurve_A0PJW6_TMEM223.pdf", "Melting_Curves/meltCurve_A0PJW6_TMEM223.pdf")</f>
        <v>Melting_Curves/meltCurve_A0PJW6_TMEM223.pdf</v>
      </c>
    </row>
    <row r="8" spans="1:28" x14ac:dyDescent="0.25">
      <c r="A8" t="s">
        <v>12</v>
      </c>
      <c r="B8">
        <v>0.99299721793515405</v>
      </c>
      <c r="C8">
        <v>1.0127730179026599</v>
      </c>
      <c r="D8">
        <v>0.98099565033702996</v>
      </c>
      <c r="E8">
        <v>0.87847107096801502</v>
      </c>
      <c r="F8">
        <v>0.74357546156161203</v>
      </c>
      <c r="G8">
        <v>0.72376568073107295</v>
      </c>
      <c r="H8">
        <v>0.48895392502674301</v>
      </c>
      <c r="I8">
        <v>0.37363156585964102</v>
      </c>
      <c r="J8">
        <v>0.24290080627123201</v>
      </c>
      <c r="K8">
        <v>0.192611135149274</v>
      </c>
      <c r="L8">
        <v>556.96945163755004</v>
      </c>
      <c r="M8">
        <v>9.7058261961821408</v>
      </c>
      <c r="N8">
        <v>57.385081647274397</v>
      </c>
      <c r="O8">
        <v>55.107914906865602</v>
      </c>
      <c r="P8">
        <v>-4.4055001117946503E-2</v>
      </c>
      <c r="Q8">
        <v>0</v>
      </c>
      <c r="R8">
        <v>0.98848411569376804</v>
      </c>
      <c r="S8" t="s">
        <v>5559</v>
      </c>
      <c r="T8" t="s">
        <v>11100</v>
      </c>
      <c r="U8" t="s">
        <v>11100</v>
      </c>
      <c r="V8" t="s">
        <v>11100</v>
      </c>
      <c r="W8" t="s">
        <v>11108</v>
      </c>
      <c r="X8">
        <v>18</v>
      </c>
      <c r="Y8" t="s">
        <v>16600</v>
      </c>
      <c r="Z8" t="s">
        <v>22013</v>
      </c>
      <c r="AA8">
        <v>0.67453983342152335</v>
      </c>
      <c r="AB8" t="str">
        <f>HYPERLINK("Melting_Curves/meltCurve_A1L0T0_ILVBL.pdf", "Melting_Curves/meltCurve_A1L0T0_ILVBL.pdf")</f>
        <v>Melting_Curves/meltCurve_A1L0T0_ILVBL.pdf</v>
      </c>
    </row>
    <row r="9" spans="1:28" x14ac:dyDescent="0.25">
      <c r="A9" t="s">
        <v>13</v>
      </c>
      <c r="B9">
        <v>0.99299721793515405</v>
      </c>
      <c r="C9">
        <v>1.01767556822001</v>
      </c>
      <c r="D9">
        <v>1.04948587447973</v>
      </c>
      <c r="E9">
        <v>1.01185016712409</v>
      </c>
      <c r="F9">
        <v>0.81580680694114804</v>
      </c>
      <c r="G9">
        <v>0.65624493751776303</v>
      </c>
      <c r="H9">
        <v>0.60723383531383601</v>
      </c>
      <c r="I9">
        <v>0.74776484263852805</v>
      </c>
      <c r="J9">
        <v>0.87026342754731301</v>
      </c>
      <c r="K9">
        <v>0.72798951687234004</v>
      </c>
      <c r="L9">
        <v>12516.181510782601</v>
      </c>
      <c r="M9">
        <v>250</v>
      </c>
      <c r="O9">
        <v>50.061518665374798</v>
      </c>
      <c r="P9">
        <v>-0.34719865208994899</v>
      </c>
      <c r="Q9">
        <v>0.72189931165135501</v>
      </c>
      <c r="R9">
        <v>0.81875226711330196</v>
      </c>
      <c r="S9" t="s">
        <v>5560</v>
      </c>
      <c r="T9" t="s">
        <v>11100</v>
      </c>
      <c r="U9" t="s">
        <v>11100</v>
      </c>
      <c r="V9" t="s">
        <v>11100</v>
      </c>
      <c r="W9" t="s">
        <v>11109</v>
      </c>
      <c r="X9">
        <v>4</v>
      </c>
      <c r="Y9" t="s">
        <v>16601</v>
      </c>
      <c r="Z9" t="s">
        <v>22014</v>
      </c>
      <c r="AA9">
        <v>0.84303405655006169</v>
      </c>
      <c r="AB9" t="str">
        <f>HYPERLINK("Melting_Curves/meltCurve_A1L188_C17orf89.pdf", "Melting_Curves/meltCurve_A1L188_C17orf89.pdf")</f>
        <v>Melting_Curves/meltCurve_A1L188_C17orf89.pdf</v>
      </c>
    </row>
    <row r="10" spans="1:28" x14ac:dyDescent="0.25">
      <c r="A10" t="s">
        <v>14</v>
      </c>
      <c r="B10">
        <v>0.99299721793515405</v>
      </c>
      <c r="C10">
        <v>0.94172271662343798</v>
      </c>
      <c r="D10">
        <v>0.85763697503909897</v>
      </c>
      <c r="E10">
        <v>0.83346508167668198</v>
      </c>
      <c r="F10">
        <v>0.827326329873595</v>
      </c>
      <c r="G10">
        <v>0.43909685042884</v>
      </c>
      <c r="H10">
        <v>0.29064773448310899</v>
      </c>
      <c r="I10">
        <v>0.28278665754120702</v>
      </c>
      <c r="J10">
        <v>0.23418551926207301</v>
      </c>
      <c r="K10">
        <v>0.19015116823755801</v>
      </c>
      <c r="L10">
        <v>741.93655679542303</v>
      </c>
      <c r="M10">
        <v>14.1809330738137</v>
      </c>
      <c r="N10">
        <v>53.735773142598397</v>
      </c>
      <c r="O10">
        <v>51.311869374627797</v>
      </c>
      <c r="P10">
        <v>-5.8324795451228401E-2</v>
      </c>
      <c r="Q10">
        <v>0.155943355156485</v>
      </c>
      <c r="R10">
        <v>0.96035408913213804</v>
      </c>
      <c r="S10" t="s">
        <v>5561</v>
      </c>
      <c r="T10" t="s">
        <v>11100</v>
      </c>
      <c r="U10" t="s">
        <v>11100</v>
      </c>
      <c r="V10" t="s">
        <v>11100</v>
      </c>
      <c r="W10" t="s">
        <v>11110</v>
      </c>
      <c r="X10">
        <v>4</v>
      </c>
      <c r="Y10" t="s">
        <v>16602</v>
      </c>
      <c r="Z10" t="s">
        <v>22015</v>
      </c>
      <c r="AA10">
        <v>0.60374869164632528</v>
      </c>
      <c r="AB10" t="str">
        <f>HYPERLINK("Melting_Curves/meltCurve_A1X283_SH3PXD2B.pdf", "Melting_Curves/meltCurve_A1X283_SH3PXD2B.pdf")</f>
        <v>Melting_Curves/meltCurve_A1X283_SH3PXD2B.pdf</v>
      </c>
    </row>
    <row r="11" spans="1:28" x14ac:dyDescent="0.25">
      <c r="A11" t="s">
        <v>15</v>
      </c>
      <c r="B11">
        <v>0.99299721793515405</v>
      </c>
      <c r="C11">
        <v>0.94667358962161197</v>
      </c>
      <c r="D11">
        <v>0.925185699085318</v>
      </c>
      <c r="E11">
        <v>0.89738691405877702</v>
      </c>
      <c r="F11">
        <v>0.64694461290175598</v>
      </c>
      <c r="G11">
        <v>0.46415384159292999</v>
      </c>
      <c r="H11">
        <v>0.318377360447054</v>
      </c>
      <c r="I11">
        <v>0.23927445444109399</v>
      </c>
      <c r="J11">
        <v>0.21853057794555</v>
      </c>
      <c r="K11">
        <v>0.179961479300459</v>
      </c>
      <c r="L11">
        <v>745.60302930009004</v>
      </c>
      <c r="M11">
        <v>14.432661295453199</v>
      </c>
      <c r="N11">
        <v>53.060181765510499</v>
      </c>
      <c r="O11">
        <v>50.699403908919898</v>
      </c>
      <c r="P11">
        <v>-5.9909938700273703E-2</v>
      </c>
      <c r="Q11">
        <v>0.15828660151888199</v>
      </c>
      <c r="R11">
        <v>0.99495831227627496</v>
      </c>
      <c r="S11" t="s">
        <v>5562</v>
      </c>
      <c r="T11" t="s">
        <v>11100</v>
      </c>
      <c r="U11" t="s">
        <v>11100</v>
      </c>
      <c r="V11" t="s">
        <v>11100</v>
      </c>
      <c r="W11" t="s">
        <v>11111</v>
      </c>
      <c r="X11">
        <v>2</v>
      </c>
      <c r="Y11" t="s">
        <v>16603</v>
      </c>
      <c r="Z11" t="s">
        <v>22016</v>
      </c>
      <c r="AA11">
        <v>0.58680552849422374</v>
      </c>
      <c r="AB11" t="str">
        <f>HYPERLINK("Melting_Curves/meltCurve_A1Z1Q3_2_MACROD2.pdf", "Melting_Curves/meltCurve_A1Z1Q3_2_MACROD2.pdf")</f>
        <v>Melting_Curves/meltCurve_A1Z1Q3_2_MACROD2.pdf</v>
      </c>
    </row>
    <row r="12" spans="1:28" x14ac:dyDescent="0.25">
      <c r="A12" t="s">
        <v>16</v>
      </c>
      <c r="B12">
        <v>0.99299721793515405</v>
      </c>
      <c r="C12">
        <v>1.0051443860346301</v>
      </c>
      <c r="D12">
        <v>0.93441143974020002</v>
      </c>
      <c r="E12">
        <v>0.88766520679224403</v>
      </c>
      <c r="F12">
        <v>0.74045424114007796</v>
      </c>
      <c r="G12">
        <v>0.32175510490577303</v>
      </c>
      <c r="H12">
        <v>0.169923214391239</v>
      </c>
      <c r="I12">
        <v>0.148083581977102</v>
      </c>
      <c r="J12">
        <v>0.13919761283175799</v>
      </c>
      <c r="K12">
        <v>0.112896294892746</v>
      </c>
      <c r="L12">
        <v>1303.8534331390999</v>
      </c>
      <c r="M12">
        <v>25.2993109870166</v>
      </c>
      <c r="N12">
        <v>52.095027267609602</v>
      </c>
      <c r="O12">
        <v>51.218341616897</v>
      </c>
      <c r="P12">
        <v>-0.10883458673290999</v>
      </c>
      <c r="Q12">
        <v>0.118670661333467</v>
      </c>
      <c r="R12">
        <v>0.99345460569288602</v>
      </c>
      <c r="S12" t="s">
        <v>5563</v>
      </c>
      <c r="T12" t="s">
        <v>11100</v>
      </c>
      <c r="U12" t="s">
        <v>11100</v>
      </c>
      <c r="V12" t="s">
        <v>11100</v>
      </c>
      <c r="W12" t="s">
        <v>11112</v>
      </c>
      <c r="X12">
        <v>37</v>
      </c>
      <c r="Y12" t="s">
        <v>16604</v>
      </c>
      <c r="Z12" t="s">
        <v>22017</v>
      </c>
      <c r="AA12">
        <v>0.55336698827912989</v>
      </c>
      <c r="AB12" t="str">
        <f>HYPERLINK("Melting_Curves/meltCurve_A2A274_ACO2.pdf", "Melting_Curves/meltCurve_A2A274_ACO2.pdf")</f>
        <v>Melting_Curves/meltCurve_A2A274_ACO2.pdf</v>
      </c>
    </row>
    <row r="13" spans="1:28" x14ac:dyDescent="0.25">
      <c r="A13" t="s">
        <v>17</v>
      </c>
      <c r="B13">
        <v>0.99299721793515405</v>
      </c>
      <c r="C13">
        <v>0.97589058961893205</v>
      </c>
      <c r="D13">
        <v>0.73088075793380503</v>
      </c>
      <c r="E13">
        <v>0.86466769788890796</v>
      </c>
      <c r="F13">
        <v>0.75272266017670897</v>
      </c>
      <c r="G13">
        <v>0.42039038626421099</v>
      </c>
      <c r="H13">
        <v>0.56296017697593703</v>
      </c>
      <c r="I13">
        <v>1.0225913642374</v>
      </c>
      <c r="J13">
        <v>0.603926822773866</v>
      </c>
      <c r="K13">
        <v>0.73212714148199598</v>
      </c>
      <c r="L13">
        <v>829.24479826581296</v>
      </c>
      <c r="M13">
        <v>19.569146512480501</v>
      </c>
      <c r="O13">
        <v>41.940052838662197</v>
      </c>
      <c r="P13">
        <v>-3.6091371610179501E-2</v>
      </c>
      <c r="Q13">
        <v>0.690610875468464</v>
      </c>
      <c r="R13">
        <v>0.33112750761605703</v>
      </c>
      <c r="S13" t="s">
        <v>5564</v>
      </c>
      <c r="T13" t="s">
        <v>11100</v>
      </c>
      <c r="U13" t="s">
        <v>11100</v>
      </c>
      <c r="V13" t="s">
        <v>11100</v>
      </c>
      <c r="W13" t="s">
        <v>11113</v>
      </c>
      <c r="X13">
        <v>1</v>
      </c>
      <c r="Y13" t="s">
        <v>16605</v>
      </c>
      <c r="Z13" t="s">
        <v>22018</v>
      </c>
      <c r="AA13">
        <v>0.75078275314946974</v>
      </c>
      <c r="AB13" t="str">
        <f>HYPERLINK("Melting_Curves/meltCurve_A2A2G5_GGT7.pdf", "Melting_Curves/meltCurve_A2A2G5_GGT7.pdf")</f>
        <v>Melting_Curves/meltCurve_A2A2G5_GGT7.pdf</v>
      </c>
    </row>
    <row r="14" spans="1:28" x14ac:dyDescent="0.25">
      <c r="A14" t="s">
        <v>18</v>
      </c>
      <c r="B14">
        <v>0.99299721793515405</v>
      </c>
      <c r="C14">
        <v>1.0547330627306499</v>
      </c>
      <c r="D14">
        <v>0.96978915170396196</v>
      </c>
      <c r="E14">
        <v>1.0502982542525101</v>
      </c>
      <c r="F14">
        <v>0.49664676984495199</v>
      </c>
      <c r="G14">
        <v>0.23234616409047501</v>
      </c>
      <c r="H14">
        <v>0.237965896398038</v>
      </c>
      <c r="I14">
        <v>0.182101414011618</v>
      </c>
      <c r="J14">
        <v>0.185188852365369</v>
      </c>
      <c r="K14">
        <v>0.12826088595761401</v>
      </c>
      <c r="L14">
        <v>6819.70032376993</v>
      </c>
      <c r="M14">
        <v>136.35644435740301</v>
      </c>
      <c r="N14">
        <v>50.193534085637801</v>
      </c>
      <c r="O14">
        <v>50.003017321890297</v>
      </c>
      <c r="P14">
        <v>-0.550056666113522</v>
      </c>
      <c r="Q14">
        <v>0.193158990892386</v>
      </c>
      <c r="R14">
        <v>0.99053830854176095</v>
      </c>
      <c r="S14" t="s">
        <v>5565</v>
      </c>
      <c r="T14" t="s">
        <v>11100</v>
      </c>
      <c r="U14" t="s">
        <v>11100</v>
      </c>
      <c r="V14" t="s">
        <v>11100</v>
      </c>
      <c r="W14" t="s">
        <v>11114</v>
      </c>
      <c r="X14">
        <v>4</v>
      </c>
      <c r="Y14" t="s">
        <v>16606</v>
      </c>
      <c r="Z14" t="s">
        <v>22019</v>
      </c>
      <c r="AA14">
        <v>0.54339870982386862</v>
      </c>
      <c r="AB14" t="str">
        <f>HYPERLINK("Melting_Curves/meltCurve_A2A2Q9_AAR2.pdf", "Melting_Curves/meltCurve_A2A2Q9_AAR2.pdf")</f>
        <v>Melting_Curves/meltCurve_A2A2Q9_AAR2.pdf</v>
      </c>
    </row>
    <row r="15" spans="1:28" x14ac:dyDescent="0.25">
      <c r="A15" t="s">
        <v>19</v>
      </c>
      <c r="B15">
        <v>0.99299721793515405</v>
      </c>
      <c r="C15">
        <v>0.919398518757917</v>
      </c>
      <c r="D15">
        <v>0.89610357631492199</v>
      </c>
      <c r="E15">
        <v>0.87658195600567201</v>
      </c>
      <c r="F15">
        <v>0.70863737619871203</v>
      </c>
      <c r="G15">
        <v>0.46137211504577902</v>
      </c>
      <c r="H15">
        <v>0.45730515962790502</v>
      </c>
      <c r="I15">
        <v>0.40142678311601698</v>
      </c>
      <c r="J15">
        <v>0.42638300314184202</v>
      </c>
      <c r="K15">
        <v>0.33175129206068299</v>
      </c>
      <c r="L15">
        <v>707.87156579635302</v>
      </c>
      <c r="M15">
        <v>14.099923610617999</v>
      </c>
      <c r="N15">
        <v>54.837602346381203</v>
      </c>
      <c r="O15">
        <v>49.226454490475</v>
      </c>
      <c r="P15">
        <v>-4.6686578076041499E-2</v>
      </c>
      <c r="Q15">
        <v>0.34810469370894498</v>
      </c>
      <c r="R15">
        <v>0.96978235595390505</v>
      </c>
      <c r="S15" t="s">
        <v>5566</v>
      </c>
      <c r="T15" t="s">
        <v>11100</v>
      </c>
      <c r="U15" t="s">
        <v>11100</v>
      </c>
      <c r="V15" t="s">
        <v>11100</v>
      </c>
      <c r="W15" t="s">
        <v>11115</v>
      </c>
      <c r="X15">
        <v>12</v>
      </c>
      <c r="Y15" t="s">
        <v>16607</v>
      </c>
      <c r="Z15" t="s">
        <v>22020</v>
      </c>
      <c r="AA15">
        <v>0.64976544324141217</v>
      </c>
      <c r="AB15" t="str">
        <f>HYPERLINK("Melting_Curves/meltCurve_A2AEA2_HLA_C.pdf", "Melting_Curves/meltCurve_A2AEA2_HLA_C.pdf")</f>
        <v>Melting_Curves/meltCurve_A2AEA2_HLA_C.pdf</v>
      </c>
    </row>
    <row r="16" spans="1:28" x14ac:dyDescent="0.25">
      <c r="A16" t="s">
        <v>20</v>
      </c>
      <c r="B16">
        <v>0.99299721793515405</v>
      </c>
      <c r="C16">
        <v>0.91494716869032799</v>
      </c>
      <c r="D16">
        <v>0.900108919551591</v>
      </c>
      <c r="E16">
        <v>1.1876143549636999</v>
      </c>
      <c r="F16">
        <v>0.66850940545246695</v>
      </c>
      <c r="G16">
        <v>0.60291377033437699</v>
      </c>
      <c r="H16">
        <v>0.48018647110176399</v>
      </c>
      <c r="I16">
        <v>0.45531711811850001</v>
      </c>
      <c r="J16">
        <v>0.438725780965947</v>
      </c>
      <c r="K16">
        <v>0.357539521465284</v>
      </c>
      <c r="L16">
        <v>7086.9074818290001</v>
      </c>
      <c r="M16">
        <v>141.670434266478</v>
      </c>
      <c r="N16">
        <v>51.0016199341405</v>
      </c>
      <c r="O16">
        <v>50.013938678123303</v>
      </c>
      <c r="P16">
        <v>-0.37749979849515602</v>
      </c>
      <c r="Q16">
        <v>0.46692478716400798</v>
      </c>
      <c r="R16">
        <v>0.88232170686951505</v>
      </c>
      <c r="S16" t="s">
        <v>5567</v>
      </c>
      <c r="T16" t="s">
        <v>11100</v>
      </c>
      <c r="U16" t="s">
        <v>11100</v>
      </c>
      <c r="V16" t="s">
        <v>11100</v>
      </c>
      <c r="W16" t="s">
        <v>11116</v>
      </c>
      <c r="X16">
        <v>3</v>
      </c>
      <c r="Y16" t="s">
        <v>16608</v>
      </c>
      <c r="Z16" t="s">
        <v>22021</v>
      </c>
      <c r="AA16">
        <v>0.69849451211636482</v>
      </c>
      <c r="AB16" t="str">
        <f>HYPERLINK("Melting_Curves/meltCurve_A2RU67_KIAA1467.pdf", "Melting_Curves/meltCurve_A2RU67_KIAA1467.pdf")</f>
        <v>Melting_Curves/meltCurve_A2RU67_KIAA1467.pdf</v>
      </c>
    </row>
    <row r="17" spans="1:28" x14ac:dyDescent="0.25">
      <c r="A17" t="s">
        <v>21</v>
      </c>
      <c r="B17">
        <v>0.99299721793515405</v>
      </c>
      <c r="C17">
        <v>0.86070341040318499</v>
      </c>
      <c r="D17">
        <v>0.71620150563040597</v>
      </c>
      <c r="E17">
        <v>0.760732067269135</v>
      </c>
      <c r="F17">
        <v>0.81148584193824902</v>
      </c>
      <c r="G17">
        <v>2.6492333925311602</v>
      </c>
      <c r="H17">
        <v>3.4151901085310201</v>
      </c>
      <c r="I17">
        <v>3.4350135907907098</v>
      </c>
      <c r="J17">
        <v>1.8216739808661</v>
      </c>
      <c r="K17">
        <v>0.35680611779300198</v>
      </c>
      <c r="L17">
        <v>3983.17467197322</v>
      </c>
      <c r="M17">
        <v>77.563611819497098</v>
      </c>
      <c r="O17">
        <v>51.319532795707701</v>
      </c>
      <c r="P17">
        <v>0.18892320472826299</v>
      </c>
      <c r="Q17">
        <v>1.5</v>
      </c>
      <c r="R17">
        <v>0.15954470799031401</v>
      </c>
      <c r="S17" t="s">
        <v>5568</v>
      </c>
      <c r="T17" t="s">
        <v>11100</v>
      </c>
      <c r="U17" t="s">
        <v>11100</v>
      </c>
      <c r="V17" t="s">
        <v>11100</v>
      </c>
      <c r="W17" t="s">
        <v>11117</v>
      </c>
      <c r="X17">
        <v>4</v>
      </c>
      <c r="Y17" t="s">
        <v>16609</v>
      </c>
      <c r="Z17" t="s">
        <v>22022</v>
      </c>
      <c r="AA17">
        <v>1.2603033591265891</v>
      </c>
      <c r="AB17" t="str">
        <f>HYPERLINK("Melting_Curves/meltCurve_A3KFL4_EXOSC2.pdf", "Melting_Curves/meltCurve_A3KFL4_EXOSC2.pdf")</f>
        <v>Melting_Curves/meltCurve_A3KFL4_EXOSC2.pdf</v>
      </c>
    </row>
    <row r="18" spans="1:28" x14ac:dyDescent="0.25">
      <c r="A18" t="s">
        <v>22</v>
      </c>
      <c r="B18">
        <v>0.99299721793515405</v>
      </c>
      <c r="C18">
        <v>1.0115635032661501</v>
      </c>
      <c r="D18">
        <v>0.947055057849849</v>
      </c>
      <c r="E18">
        <v>0.95967829369908397</v>
      </c>
      <c r="F18">
        <v>0.82532121067359299</v>
      </c>
      <c r="G18">
        <v>0.49577955350103903</v>
      </c>
      <c r="H18">
        <v>0.19411759220988101</v>
      </c>
      <c r="I18">
        <v>0.15858374340029099</v>
      </c>
      <c r="J18">
        <v>0.137728115572605</v>
      </c>
      <c r="K18">
        <v>9.4856547455244106E-2</v>
      </c>
      <c r="L18">
        <v>1324.29116536334</v>
      </c>
      <c r="M18">
        <v>24.9454917856417</v>
      </c>
      <c r="N18">
        <v>53.603194670191797</v>
      </c>
      <c r="O18">
        <v>52.7497598453104</v>
      </c>
      <c r="P18">
        <v>-0.105612641962326</v>
      </c>
      <c r="Q18">
        <v>0.106697752145862</v>
      </c>
      <c r="R18">
        <v>0.99649855960384703</v>
      </c>
      <c r="S18" t="s">
        <v>5569</v>
      </c>
      <c r="T18" t="s">
        <v>11100</v>
      </c>
      <c r="U18" t="s">
        <v>11100</v>
      </c>
      <c r="V18" t="s">
        <v>11100</v>
      </c>
      <c r="W18" t="s">
        <v>11118</v>
      </c>
      <c r="X18">
        <v>9</v>
      </c>
      <c r="Y18" t="s">
        <v>16610</v>
      </c>
      <c r="Z18" t="s">
        <v>22023</v>
      </c>
      <c r="AA18">
        <v>0.59364658675420623</v>
      </c>
      <c r="AB18" t="str">
        <f>HYPERLINK("Melting_Curves/meltCurve_A3KN83_3_SBNO1.pdf", "Melting_Curves/meltCurve_A3KN83_3_SBNO1.pdf")</f>
        <v>Melting_Curves/meltCurve_A3KN83_3_SBNO1.pdf</v>
      </c>
    </row>
    <row r="19" spans="1:28" x14ac:dyDescent="0.25">
      <c r="A19" t="s">
        <v>23</v>
      </c>
      <c r="B19">
        <v>0.99299721793515405</v>
      </c>
      <c r="C19">
        <v>1.1353590634261199</v>
      </c>
      <c r="D19">
        <v>0.86823941595661103</v>
      </c>
      <c r="E19">
        <v>0.91152823651426695</v>
      </c>
      <c r="F19">
        <v>0.72703679671340304</v>
      </c>
      <c r="G19">
        <v>0.49066702686900399</v>
      </c>
      <c r="H19">
        <v>0.66085560781305597</v>
      </c>
      <c r="I19">
        <v>0.63090567154913002</v>
      </c>
      <c r="J19">
        <v>0.90404509010711298</v>
      </c>
      <c r="K19">
        <v>0.77367886313549605</v>
      </c>
      <c r="L19">
        <v>2062.7857047173902</v>
      </c>
      <c r="M19">
        <v>43.504317975977898</v>
      </c>
      <c r="O19">
        <v>47.315802730280303</v>
      </c>
      <c r="P19">
        <v>-7.0412156747411206E-2</v>
      </c>
      <c r="Q19">
        <v>0.69367618087009697</v>
      </c>
      <c r="R19">
        <v>0.593705618808967</v>
      </c>
      <c r="S19" t="s">
        <v>5570</v>
      </c>
      <c r="T19" t="s">
        <v>11100</v>
      </c>
      <c r="U19" t="s">
        <v>11100</v>
      </c>
      <c r="V19" t="s">
        <v>11100</v>
      </c>
      <c r="W19" t="s">
        <v>11119</v>
      </c>
      <c r="X19">
        <v>3</v>
      </c>
      <c r="Y19" t="s">
        <v>16611</v>
      </c>
      <c r="Z19" t="s">
        <v>22024</v>
      </c>
      <c r="AA19">
        <v>0.80087606951770007</v>
      </c>
      <c r="AB19" t="str">
        <f>HYPERLINK("Melting_Curves/meltCurve_A4D126_2_ISPD.pdf", "Melting_Curves/meltCurve_A4D126_2_ISPD.pdf")</f>
        <v>Melting_Curves/meltCurve_A4D126_2_ISPD.pdf</v>
      </c>
    </row>
    <row r="20" spans="1:28" x14ac:dyDescent="0.25">
      <c r="A20" t="s">
        <v>24</v>
      </c>
      <c r="B20">
        <v>0.99299721793515405</v>
      </c>
      <c r="C20">
        <v>0.91998051401217795</v>
      </c>
      <c r="D20">
        <v>1.00076531933213</v>
      </c>
      <c r="E20">
        <v>0.81938536825513297</v>
      </c>
      <c r="F20">
        <v>0.82761293880389897</v>
      </c>
      <c r="G20">
        <v>0.62057654370273596</v>
      </c>
      <c r="H20">
        <v>0.63496718945937403</v>
      </c>
      <c r="I20">
        <v>0.76137720354625704</v>
      </c>
      <c r="J20">
        <v>0.84881375203285503</v>
      </c>
      <c r="K20">
        <v>0.72036875042832305</v>
      </c>
      <c r="L20">
        <v>1259.04096916154</v>
      </c>
      <c r="M20">
        <v>27.280333314212101</v>
      </c>
      <c r="O20">
        <v>45.9061012187437</v>
      </c>
      <c r="P20">
        <v>-4.0548108248508997E-2</v>
      </c>
      <c r="Q20">
        <v>0.72707252778435505</v>
      </c>
      <c r="R20">
        <v>0.68673969988789396</v>
      </c>
      <c r="S20" t="s">
        <v>5571</v>
      </c>
      <c r="T20" t="s">
        <v>11100</v>
      </c>
      <c r="U20" t="s">
        <v>11100</v>
      </c>
      <c r="V20" t="s">
        <v>11100</v>
      </c>
      <c r="W20" t="s">
        <v>11120</v>
      </c>
      <c r="X20">
        <v>6</v>
      </c>
      <c r="Y20" t="s">
        <v>16612</v>
      </c>
      <c r="Z20" t="s">
        <v>22025</v>
      </c>
      <c r="AA20">
        <v>0.81222882517509498</v>
      </c>
      <c r="AB20" t="str">
        <f>HYPERLINK("Melting_Curves/meltCurve_A4D1S0_2_KLRG2.pdf", "Melting_Curves/meltCurve_A4D1S0_2_KLRG2.pdf")</f>
        <v>Melting_Curves/meltCurve_A4D1S0_2_KLRG2.pdf</v>
      </c>
    </row>
    <row r="21" spans="1:28" x14ac:dyDescent="0.25">
      <c r="A21" t="s">
        <v>25</v>
      </c>
      <c r="B21">
        <v>0.99299721793515405</v>
      </c>
      <c r="C21">
        <v>0.78568803820647504</v>
      </c>
      <c r="D21">
        <v>1.0044535099896199</v>
      </c>
      <c r="E21">
        <v>0.764203743556509</v>
      </c>
      <c r="F21">
        <v>0.81792783399535196</v>
      </c>
      <c r="G21">
        <v>0.71588462699151001</v>
      </c>
      <c r="H21">
        <v>0.48378897410309202</v>
      </c>
      <c r="I21">
        <v>0.40258880128769903</v>
      </c>
      <c r="J21">
        <v>0.16216824012859901</v>
      </c>
      <c r="K21">
        <v>0.121040848132837</v>
      </c>
      <c r="L21">
        <v>579.37549286979595</v>
      </c>
      <c r="M21">
        <v>10.1789161351834</v>
      </c>
      <c r="N21">
        <v>56.919177846507601</v>
      </c>
      <c r="O21">
        <v>54.853419209149401</v>
      </c>
      <c r="P21">
        <v>-4.64125228179742E-2</v>
      </c>
      <c r="Q21">
        <v>0</v>
      </c>
      <c r="R21">
        <v>0.90982357627724397</v>
      </c>
      <c r="S21" t="s">
        <v>5572</v>
      </c>
      <c r="T21" t="s">
        <v>11100</v>
      </c>
      <c r="U21" t="s">
        <v>11100</v>
      </c>
      <c r="V21" t="s">
        <v>11100</v>
      </c>
      <c r="W21" t="s">
        <v>11121</v>
      </c>
      <c r="X21">
        <v>2</v>
      </c>
      <c r="Y21" t="s">
        <v>16613</v>
      </c>
      <c r="Z21" t="s">
        <v>22026</v>
      </c>
      <c r="AA21">
        <v>0.66435226181066964</v>
      </c>
      <c r="AB21" t="str">
        <f>HYPERLINK("Melting_Curves/meltCurve_A4D1U4_LCHN.pdf", "Melting_Curves/meltCurve_A4D1U4_LCHN.pdf")</f>
        <v>Melting_Curves/meltCurve_A4D1U4_LCHN.pdf</v>
      </c>
    </row>
    <row r="22" spans="1:28" x14ac:dyDescent="0.25">
      <c r="A22" t="s">
        <v>26</v>
      </c>
      <c r="B22">
        <v>0.99299721793515405</v>
      </c>
      <c r="C22">
        <v>0.949914500424476</v>
      </c>
      <c r="D22">
        <v>0.912072314686312</v>
      </c>
      <c r="E22">
        <v>0.86309889788663696</v>
      </c>
      <c r="F22">
        <v>0.61961830964119102</v>
      </c>
      <c r="G22">
        <v>0.63191259412057399</v>
      </c>
      <c r="H22">
        <v>0.47048819593404101</v>
      </c>
      <c r="I22">
        <v>0.54616670848114002</v>
      </c>
      <c r="J22">
        <v>0.50935755733163102</v>
      </c>
      <c r="K22">
        <v>0.42854523390677202</v>
      </c>
      <c r="L22">
        <v>648.303970248631</v>
      </c>
      <c r="M22">
        <v>13.2751007043145</v>
      </c>
      <c r="N22">
        <v>60.201953352677698</v>
      </c>
      <c r="O22">
        <v>47.7677997166018</v>
      </c>
      <c r="P22">
        <v>-3.7578405373866502E-2</v>
      </c>
      <c r="Q22">
        <v>0.45921448836373602</v>
      </c>
      <c r="R22">
        <v>0.95704143570196198</v>
      </c>
      <c r="S22" t="s">
        <v>5573</v>
      </c>
      <c r="T22" t="s">
        <v>11100</v>
      </c>
      <c r="U22" t="s">
        <v>11100</v>
      </c>
      <c r="V22" t="s">
        <v>11100</v>
      </c>
      <c r="W22" t="s">
        <v>11122</v>
      </c>
      <c r="X22">
        <v>4</v>
      </c>
      <c r="Y22" t="s">
        <v>16614</v>
      </c>
      <c r="Z22" t="s">
        <v>22027</v>
      </c>
      <c r="AA22">
        <v>0.68664697840791389</v>
      </c>
      <c r="AB22" t="str">
        <f>HYPERLINK("Melting_Curves/meltCurve_A4D2B0_MBLAC1.pdf", "Melting_Curves/meltCurve_A4D2B0_MBLAC1.pdf")</f>
        <v>Melting_Curves/meltCurve_A4D2B0_MBLAC1.pdf</v>
      </c>
    </row>
    <row r="23" spans="1:28" x14ac:dyDescent="0.25">
      <c r="A23" t="s">
        <v>27</v>
      </c>
      <c r="B23">
        <v>0.99299721793515405</v>
      </c>
      <c r="C23">
        <v>0.96072792670178198</v>
      </c>
      <c r="D23">
        <v>0.89765261263261398</v>
      </c>
      <c r="E23">
        <v>0.78609701692169598</v>
      </c>
      <c r="F23">
        <v>0.61936842950064397</v>
      </c>
      <c r="G23">
        <v>0.257495393949908</v>
      </c>
      <c r="H23">
        <v>0.17840600901099199</v>
      </c>
      <c r="I23">
        <v>0.167905160163833</v>
      </c>
      <c r="J23">
        <v>0.14466344297289099</v>
      </c>
      <c r="K23">
        <v>0.12788446338019899</v>
      </c>
      <c r="L23">
        <v>845.94156369411496</v>
      </c>
      <c r="M23">
        <v>16.890039082757301</v>
      </c>
      <c r="N23">
        <v>50.821787730842303</v>
      </c>
      <c r="O23">
        <v>49.3989488141248</v>
      </c>
      <c r="P23">
        <v>-7.6202807457365795E-2</v>
      </c>
      <c r="Q23">
        <v>0.108563519466532</v>
      </c>
      <c r="R23">
        <v>0.98867022320521603</v>
      </c>
      <c r="S23" t="s">
        <v>5574</v>
      </c>
      <c r="T23" t="s">
        <v>11100</v>
      </c>
      <c r="U23" t="s">
        <v>11100</v>
      </c>
      <c r="V23" t="s">
        <v>11100</v>
      </c>
      <c r="W23" t="s">
        <v>11123</v>
      </c>
      <c r="X23">
        <v>10</v>
      </c>
      <c r="Y23" t="s">
        <v>16615</v>
      </c>
      <c r="Z23" t="s">
        <v>22028</v>
      </c>
      <c r="AA23">
        <v>0.51292689658513835</v>
      </c>
      <c r="AB23" t="str">
        <f>HYPERLINK("Melting_Curves/meltCurve_A6H8Z3_RAB3GAP1.pdf", "Melting_Curves/meltCurve_A6H8Z3_RAB3GAP1.pdf")</f>
        <v>Melting_Curves/meltCurve_A6H8Z3_RAB3GAP1.pdf</v>
      </c>
    </row>
    <row r="24" spans="1:28" x14ac:dyDescent="0.25">
      <c r="A24" t="s">
        <v>28</v>
      </c>
      <c r="B24">
        <v>0.99299721793515405</v>
      </c>
      <c r="C24">
        <v>1.01850650702816</v>
      </c>
      <c r="D24">
        <v>0.85541486850294901</v>
      </c>
      <c r="E24">
        <v>0.77899059916427504</v>
      </c>
      <c r="F24">
        <v>0.64485861884128404</v>
      </c>
      <c r="G24">
        <v>0.56843965543274799</v>
      </c>
      <c r="H24">
        <v>0.44334591169454102</v>
      </c>
      <c r="I24">
        <v>0.418691498748824</v>
      </c>
      <c r="J24">
        <v>0.442778511309661</v>
      </c>
      <c r="K24">
        <v>0.33932954654115099</v>
      </c>
      <c r="L24">
        <v>532.55588553550695</v>
      </c>
      <c r="M24">
        <v>10.7204040753531</v>
      </c>
      <c r="N24">
        <v>55.589220153326998</v>
      </c>
      <c r="O24">
        <v>48.041899870063901</v>
      </c>
      <c r="P24">
        <v>-3.6826100508340599E-2</v>
      </c>
      <c r="Q24">
        <v>0.340123006642159</v>
      </c>
      <c r="R24">
        <v>0.98046639976871997</v>
      </c>
      <c r="S24" t="s">
        <v>5575</v>
      </c>
      <c r="T24" t="s">
        <v>11100</v>
      </c>
      <c r="U24" t="s">
        <v>11100</v>
      </c>
      <c r="V24" t="s">
        <v>11100</v>
      </c>
      <c r="W24" t="s">
        <v>11124</v>
      </c>
      <c r="X24">
        <v>1</v>
      </c>
      <c r="Y24" t="s">
        <v>16616</v>
      </c>
      <c r="Z24" t="s">
        <v>22029</v>
      </c>
      <c r="AA24">
        <v>0.64043340709183938</v>
      </c>
      <c r="AB24" t="str">
        <f>HYPERLINK("Melting_Curves/meltCurve_A6ND99_HS2ST1.pdf", "Melting_Curves/meltCurve_A6ND99_HS2ST1.pdf")</f>
        <v>Melting_Curves/meltCurve_A6ND99_HS2ST1.pdf</v>
      </c>
    </row>
    <row r="25" spans="1:28" x14ac:dyDescent="0.25">
      <c r="A25" t="s">
        <v>29</v>
      </c>
      <c r="B25">
        <v>0.99299721793515405</v>
      </c>
      <c r="C25">
        <v>0.98136068241077801</v>
      </c>
      <c r="D25">
        <v>1.1233581995247099</v>
      </c>
      <c r="E25">
        <v>1.02900385968438</v>
      </c>
      <c r="F25">
        <v>0.69701185628984197</v>
      </c>
      <c r="G25">
        <v>0.86673151262866099</v>
      </c>
      <c r="H25">
        <v>0.54017862302301001</v>
      </c>
      <c r="I25">
        <v>0.52067947232559997</v>
      </c>
      <c r="J25">
        <v>0.37013762402107703</v>
      </c>
      <c r="K25">
        <v>0.20895619921883099</v>
      </c>
      <c r="L25">
        <v>608.07894403095395</v>
      </c>
      <c r="M25">
        <v>10.131863460700799</v>
      </c>
      <c r="N25">
        <v>60.016496474135899</v>
      </c>
      <c r="O25">
        <v>57.819266609698303</v>
      </c>
      <c r="P25">
        <v>-4.3828601316943799E-2</v>
      </c>
      <c r="Q25">
        <v>0</v>
      </c>
      <c r="R25">
        <v>0.90586077483285399</v>
      </c>
      <c r="S25" t="s">
        <v>5576</v>
      </c>
      <c r="T25" t="s">
        <v>11100</v>
      </c>
      <c r="U25" t="s">
        <v>11100</v>
      </c>
      <c r="V25" t="s">
        <v>11100</v>
      </c>
      <c r="W25" t="s">
        <v>11125</v>
      </c>
      <c r="X25">
        <v>1</v>
      </c>
      <c r="Y25" t="s">
        <v>16617</v>
      </c>
      <c r="Z25" t="s">
        <v>22030</v>
      </c>
      <c r="AA25">
        <v>0.7410030346240144</v>
      </c>
      <c r="AB25" t="str">
        <f>HYPERLINK("Melting_Curves/meltCurve_A6NDB9_PALM3.pdf", "Melting_Curves/meltCurve_A6NDB9_PALM3.pdf")</f>
        <v>Melting_Curves/meltCurve_A6NDB9_PALM3.pdf</v>
      </c>
    </row>
    <row r="26" spans="1:28" x14ac:dyDescent="0.25">
      <c r="A26" t="s">
        <v>30</v>
      </c>
      <c r="B26">
        <v>0.99299721793515405</v>
      </c>
      <c r="C26">
        <v>1.07387463377334</v>
      </c>
      <c r="D26">
        <v>1.3531430034465901</v>
      </c>
      <c r="E26">
        <v>0.95262311230357</v>
      </c>
      <c r="F26">
        <v>0.85204877341950003</v>
      </c>
      <c r="G26">
        <v>0.78159595868846099</v>
      </c>
      <c r="H26">
        <v>0.57391377747139705</v>
      </c>
      <c r="I26">
        <v>0.686407109488956</v>
      </c>
      <c r="J26">
        <v>0.66864767431177896</v>
      </c>
      <c r="K26">
        <v>0.31070709817025899</v>
      </c>
      <c r="L26">
        <v>661.21969800401598</v>
      </c>
      <c r="M26">
        <v>11.4891355663949</v>
      </c>
      <c r="N26">
        <v>64.724749992523002</v>
      </c>
      <c r="O26">
        <v>55.8910023222682</v>
      </c>
      <c r="P26">
        <v>-3.28973534176005E-2</v>
      </c>
      <c r="Q26">
        <v>0.36004177371551699</v>
      </c>
      <c r="R26">
        <v>0.71639274319011503</v>
      </c>
      <c r="S26" t="s">
        <v>5577</v>
      </c>
      <c r="T26" t="s">
        <v>11100</v>
      </c>
      <c r="U26" t="s">
        <v>11100</v>
      </c>
      <c r="V26" t="s">
        <v>11100</v>
      </c>
      <c r="W26" t="s">
        <v>11126</v>
      </c>
      <c r="X26">
        <v>11</v>
      </c>
      <c r="Y26" t="s">
        <v>16618</v>
      </c>
      <c r="Z26" t="s">
        <v>22031</v>
      </c>
      <c r="AA26">
        <v>0.79854210739756359</v>
      </c>
      <c r="AB26" t="str">
        <f>HYPERLINK("Melting_Curves/meltCurve_A6NDG6_PGP.pdf", "Melting_Curves/meltCurve_A6NDG6_PGP.pdf")</f>
        <v>Melting_Curves/meltCurve_A6NDG6_PGP.pdf</v>
      </c>
    </row>
    <row r="27" spans="1:28" x14ac:dyDescent="0.25">
      <c r="A27" t="s">
        <v>31</v>
      </c>
      <c r="B27">
        <v>0.99299721793515405</v>
      </c>
      <c r="C27">
        <v>0.88351557900767297</v>
      </c>
      <c r="D27">
        <v>0.87942287630400295</v>
      </c>
      <c r="E27">
        <v>0.89307365185411403</v>
      </c>
      <c r="F27">
        <v>0.70568181200046598</v>
      </c>
      <c r="G27">
        <v>0.36336733956103601</v>
      </c>
      <c r="H27">
        <v>0.22194220869879899</v>
      </c>
      <c r="I27">
        <v>0.16945537204523001</v>
      </c>
      <c r="J27">
        <v>0.147088236252956</v>
      </c>
      <c r="K27">
        <v>0.13720499243898501</v>
      </c>
      <c r="L27">
        <v>948.87315513418002</v>
      </c>
      <c r="M27">
        <v>18.419925273601201</v>
      </c>
      <c r="N27">
        <v>52.274033653614197</v>
      </c>
      <c r="O27">
        <v>50.917776795473102</v>
      </c>
      <c r="P27">
        <v>-7.9811545120671998E-2</v>
      </c>
      <c r="Q27">
        <v>0.117554864790579</v>
      </c>
      <c r="R27">
        <v>0.97847009210229996</v>
      </c>
      <c r="S27" t="s">
        <v>5578</v>
      </c>
      <c r="T27" t="s">
        <v>11100</v>
      </c>
      <c r="U27" t="s">
        <v>11100</v>
      </c>
      <c r="V27" t="s">
        <v>11100</v>
      </c>
      <c r="W27" t="s">
        <v>11127</v>
      </c>
      <c r="X27">
        <v>2</v>
      </c>
      <c r="Y27" t="s">
        <v>16619</v>
      </c>
      <c r="Z27" t="s">
        <v>22032</v>
      </c>
      <c r="AA27">
        <v>0.55753202687962145</v>
      </c>
      <c r="AB27" t="str">
        <f>HYPERLINK("Melting_Curves/meltCurve_A6NDU8_C5orf51.pdf", "Melting_Curves/meltCurve_A6NDU8_C5orf51.pdf")</f>
        <v>Melting_Curves/meltCurve_A6NDU8_C5orf51.pdf</v>
      </c>
    </row>
    <row r="28" spans="1:28" x14ac:dyDescent="0.25">
      <c r="A28" t="s">
        <v>32</v>
      </c>
      <c r="B28">
        <v>0.99299721793515405</v>
      </c>
      <c r="C28">
        <v>0.88226813245563096</v>
      </c>
      <c r="D28">
        <v>0.986810023236812</v>
      </c>
      <c r="E28">
        <v>0.80048265065880797</v>
      </c>
      <c r="F28">
        <v>0.74662589855290196</v>
      </c>
      <c r="G28">
        <v>0.53649273805603104</v>
      </c>
      <c r="H28">
        <v>0.35214130084199302</v>
      </c>
      <c r="I28">
        <v>0.19680024052901099</v>
      </c>
      <c r="J28">
        <v>0.192810405585157</v>
      </c>
      <c r="K28">
        <v>0.12857410719648901</v>
      </c>
      <c r="L28">
        <v>569.38823513862906</v>
      </c>
      <c r="M28">
        <v>10.482675097723501</v>
      </c>
      <c r="N28">
        <v>54.317073246651397</v>
      </c>
      <c r="O28">
        <v>52.4520168943641</v>
      </c>
      <c r="P28">
        <v>-4.9983449639102298E-2</v>
      </c>
      <c r="Q28">
        <v>0</v>
      </c>
      <c r="R28">
        <v>0.98247082088691795</v>
      </c>
      <c r="S28" t="s">
        <v>5579</v>
      </c>
      <c r="T28" t="s">
        <v>11100</v>
      </c>
      <c r="U28" t="s">
        <v>11100</v>
      </c>
      <c r="V28" t="s">
        <v>11100</v>
      </c>
      <c r="W28" t="s">
        <v>11128</v>
      </c>
      <c r="X28">
        <v>6</v>
      </c>
      <c r="Y28" t="s">
        <v>16620</v>
      </c>
      <c r="Z28" t="s">
        <v>22033</v>
      </c>
      <c r="AA28">
        <v>0.59358342015116383</v>
      </c>
      <c r="AB28" t="str">
        <f>HYPERLINK("Melting_Curves/meltCurve_A6NED2_RCCD1.pdf", "Melting_Curves/meltCurve_A6NED2_RCCD1.pdf")</f>
        <v>Melting_Curves/meltCurve_A6NED2_RCCD1.pdf</v>
      </c>
    </row>
    <row r="29" spans="1:28" x14ac:dyDescent="0.25">
      <c r="A29" t="s">
        <v>33</v>
      </c>
      <c r="B29">
        <v>0.99299721793515405</v>
      </c>
      <c r="C29">
        <v>1.0129844136034301</v>
      </c>
      <c r="D29">
        <v>0.96577471950484295</v>
      </c>
      <c r="E29">
        <v>0.85629785828082094</v>
      </c>
      <c r="F29">
        <v>0.80052671549468002</v>
      </c>
      <c r="G29">
        <v>0.64197718380723101</v>
      </c>
      <c r="H29">
        <v>0.49416263653654202</v>
      </c>
      <c r="I29">
        <v>0.38990477334089102</v>
      </c>
      <c r="J29">
        <v>0.32568104234547901</v>
      </c>
      <c r="K29">
        <v>0.26492599914366799</v>
      </c>
      <c r="L29">
        <v>555.25246338404304</v>
      </c>
      <c r="M29">
        <v>9.9788720661766206</v>
      </c>
      <c r="N29">
        <v>57.457212533194898</v>
      </c>
      <c r="O29">
        <v>53.546637856719798</v>
      </c>
      <c r="P29">
        <v>-4.0312892787137601E-2</v>
      </c>
      <c r="Q29">
        <v>0.135147965583924</v>
      </c>
      <c r="R29">
        <v>0.99642959352234906</v>
      </c>
      <c r="S29" t="s">
        <v>5580</v>
      </c>
      <c r="T29" t="s">
        <v>11100</v>
      </c>
      <c r="U29" t="s">
        <v>11100</v>
      </c>
      <c r="V29" t="s">
        <v>11100</v>
      </c>
      <c r="W29" t="s">
        <v>11129</v>
      </c>
      <c r="X29">
        <v>32</v>
      </c>
      <c r="Y29" t="s">
        <v>16621</v>
      </c>
      <c r="Z29" t="s">
        <v>22034</v>
      </c>
      <c r="AA29">
        <v>0.6797460654597306</v>
      </c>
      <c r="AB29" t="str">
        <f>HYPERLINK("Melting_Curves/meltCurve_A6NEM2_HCFC1.pdf", "Melting_Curves/meltCurve_A6NEM2_HCFC1.pdf")</f>
        <v>Melting_Curves/meltCurve_A6NEM2_HCFC1.pdf</v>
      </c>
    </row>
    <row r="30" spans="1:28" x14ac:dyDescent="0.25">
      <c r="A30" t="s">
        <v>34</v>
      </c>
      <c r="B30">
        <v>0.99299721793515405</v>
      </c>
      <c r="C30">
        <v>0.97400705214507599</v>
      </c>
      <c r="D30">
        <v>0.868931240683814</v>
      </c>
      <c r="E30">
        <v>0.82442754192242595</v>
      </c>
      <c r="F30">
        <v>0.78714383083324801</v>
      </c>
      <c r="G30">
        <v>0.80207918292097202</v>
      </c>
      <c r="H30">
        <v>0.61795467139789395</v>
      </c>
      <c r="I30">
        <v>0.38446866507527999</v>
      </c>
      <c r="J30">
        <v>0.31801485102788501</v>
      </c>
      <c r="K30">
        <v>0.27577140169154402</v>
      </c>
      <c r="L30">
        <v>476.98296615125798</v>
      </c>
      <c r="M30">
        <v>8.0550660088334194</v>
      </c>
      <c r="N30">
        <v>59.215272828912099</v>
      </c>
      <c r="O30">
        <v>55.900403051765799</v>
      </c>
      <c r="P30">
        <v>-3.6063897512828097E-2</v>
      </c>
      <c r="Q30">
        <v>0</v>
      </c>
      <c r="R30">
        <v>0.94988723875272296</v>
      </c>
      <c r="S30" t="s">
        <v>5581</v>
      </c>
      <c r="T30" t="s">
        <v>11100</v>
      </c>
      <c r="U30" t="s">
        <v>11100</v>
      </c>
      <c r="V30" t="s">
        <v>11100</v>
      </c>
      <c r="W30" t="s">
        <v>11130</v>
      </c>
      <c r="X30">
        <v>3</v>
      </c>
      <c r="Y30" t="s">
        <v>16622</v>
      </c>
      <c r="Z30" t="s">
        <v>22035</v>
      </c>
      <c r="AA30">
        <v>0.70687365269427782</v>
      </c>
      <c r="AB30" t="str">
        <f>HYPERLINK("Melting_Curves/meltCurve_A6NEM5_PIGK.pdf", "Melting_Curves/meltCurve_A6NEM5_PIGK.pdf")</f>
        <v>Melting_Curves/meltCurve_A6NEM5_PIGK.pdf</v>
      </c>
    </row>
    <row r="31" spans="1:28" x14ac:dyDescent="0.25">
      <c r="A31" t="s">
        <v>35</v>
      </c>
      <c r="B31">
        <v>0.99299721793515405</v>
      </c>
      <c r="C31">
        <v>0.82131210095883</v>
      </c>
      <c r="D31">
        <v>0.83842847136541798</v>
      </c>
      <c r="E31">
        <v>0.48981625367684301</v>
      </c>
      <c r="F31">
        <v>0.31401553662704701</v>
      </c>
      <c r="G31">
        <v>0.26548975724145302</v>
      </c>
      <c r="H31">
        <v>0.164579365835436</v>
      </c>
      <c r="I31">
        <v>0.12537372095333399</v>
      </c>
      <c r="J31">
        <v>0.16876893931346601</v>
      </c>
      <c r="K31">
        <v>0.111744337455862</v>
      </c>
      <c r="L31">
        <v>632.61631463975095</v>
      </c>
      <c r="M31">
        <v>13.735402642040899</v>
      </c>
      <c r="N31">
        <v>46.980236348682404</v>
      </c>
      <c r="O31">
        <v>45.114006825872501</v>
      </c>
      <c r="P31">
        <v>-6.7124616732043493E-2</v>
      </c>
      <c r="Q31">
        <v>0.11824099937483599</v>
      </c>
      <c r="R31">
        <v>0.98124225807508803</v>
      </c>
      <c r="S31" t="s">
        <v>5582</v>
      </c>
      <c r="T31" t="s">
        <v>11100</v>
      </c>
      <c r="U31" t="s">
        <v>11100</v>
      </c>
      <c r="V31" t="s">
        <v>11100</v>
      </c>
      <c r="W31" t="s">
        <v>11131</v>
      </c>
      <c r="X31">
        <v>3</v>
      </c>
      <c r="Y31" t="s">
        <v>16623</v>
      </c>
      <c r="Z31" t="s">
        <v>22036</v>
      </c>
      <c r="AA31">
        <v>0.40836496085128637</v>
      </c>
      <c r="AB31" t="str">
        <f>HYPERLINK("Melting_Curves/meltCurve_A6NF31_OFD1.pdf", "Melting_Curves/meltCurve_A6NF31_OFD1.pdf")</f>
        <v>Melting_Curves/meltCurve_A6NF31_OFD1.pdf</v>
      </c>
    </row>
    <row r="32" spans="1:28" x14ac:dyDescent="0.25">
      <c r="A32" t="s">
        <v>36</v>
      </c>
      <c r="B32">
        <v>0.99299721793515405</v>
      </c>
      <c r="C32">
        <v>0.94749213852773195</v>
      </c>
      <c r="D32">
        <v>0.77174957571203195</v>
      </c>
      <c r="E32">
        <v>0.62702819786002395</v>
      </c>
      <c r="F32">
        <v>0.24595784356582601</v>
      </c>
      <c r="G32">
        <v>0.101777024575658</v>
      </c>
      <c r="H32">
        <v>0.19468832605529099</v>
      </c>
      <c r="I32">
        <v>0.106021897926874</v>
      </c>
      <c r="J32">
        <v>0.211011834527848</v>
      </c>
      <c r="K32">
        <v>8.9152407391302396E-2</v>
      </c>
      <c r="L32">
        <v>870.41442710590604</v>
      </c>
      <c r="M32">
        <v>18.760269362257802</v>
      </c>
      <c r="N32">
        <v>47.084567657592899</v>
      </c>
      <c r="O32">
        <v>45.879169803906898</v>
      </c>
      <c r="P32">
        <v>-8.9977221121991996E-2</v>
      </c>
      <c r="Q32">
        <v>0.11986216428258099</v>
      </c>
      <c r="R32">
        <v>0.97360293306957602</v>
      </c>
      <c r="S32" t="s">
        <v>5583</v>
      </c>
      <c r="T32" t="s">
        <v>11100</v>
      </c>
      <c r="U32" t="s">
        <v>11100</v>
      </c>
      <c r="V32" t="s">
        <v>11100</v>
      </c>
      <c r="W32" t="s">
        <v>11132</v>
      </c>
      <c r="X32">
        <v>1</v>
      </c>
      <c r="Y32" t="s">
        <v>16624</v>
      </c>
      <c r="Z32" t="s">
        <v>22037</v>
      </c>
      <c r="AA32">
        <v>0.4086109805504835</v>
      </c>
      <c r="AB32" t="str">
        <f>HYPERLINK("Melting_Curves/meltCurve_A6NF48_ZNF281.pdf", "Melting_Curves/meltCurve_A6NF48_ZNF281.pdf")</f>
        <v>Melting_Curves/meltCurve_A6NF48_ZNF281.pdf</v>
      </c>
    </row>
    <row r="33" spans="1:28" x14ac:dyDescent="0.25">
      <c r="A33" t="s">
        <v>37</v>
      </c>
      <c r="B33">
        <v>0.99299721793515405</v>
      </c>
      <c r="C33">
        <v>0.93626990238802499</v>
      </c>
      <c r="D33">
        <v>1.25402510141214</v>
      </c>
      <c r="E33">
        <v>0.85262217885095204</v>
      </c>
      <c r="F33">
        <v>0.83334716982017099</v>
      </c>
      <c r="G33">
        <v>0.73981476403979995</v>
      </c>
      <c r="H33">
        <v>0.52305829857340103</v>
      </c>
      <c r="I33">
        <v>0.64151795505766096</v>
      </c>
      <c r="J33">
        <v>0.67798031609812504</v>
      </c>
      <c r="K33">
        <v>0.80011399857750398</v>
      </c>
      <c r="L33">
        <v>1319.0684423066</v>
      </c>
      <c r="M33">
        <v>26.731663368600799</v>
      </c>
      <c r="O33">
        <v>49.071132251648301</v>
      </c>
      <c r="P33">
        <v>-4.4937351632022997E-2</v>
      </c>
      <c r="Q33">
        <v>0.67003866889904995</v>
      </c>
      <c r="R33">
        <v>0.67255339010889903</v>
      </c>
      <c r="S33" t="s">
        <v>5584</v>
      </c>
      <c r="T33" t="s">
        <v>11100</v>
      </c>
      <c r="U33" t="s">
        <v>11100</v>
      </c>
      <c r="V33" t="s">
        <v>11100</v>
      </c>
      <c r="W33" t="s">
        <v>11133</v>
      </c>
      <c r="X33">
        <v>7</v>
      </c>
      <c r="Y33" t="s">
        <v>16625</v>
      </c>
      <c r="Z33" t="s">
        <v>22038</v>
      </c>
      <c r="AA33">
        <v>0.80832963149574166</v>
      </c>
      <c r="AB33" t="str">
        <f>HYPERLINK("Melting_Curves/meltCurve_A6NG32_CHMP1A.pdf", "Melting_Curves/meltCurve_A6NG32_CHMP1A.pdf")</f>
        <v>Melting_Curves/meltCurve_A6NG32_CHMP1A.pdf</v>
      </c>
    </row>
    <row r="34" spans="1:28" x14ac:dyDescent="0.25">
      <c r="A34" t="s">
        <v>38</v>
      </c>
      <c r="B34">
        <v>0.99299721793515405</v>
      </c>
      <c r="C34">
        <v>1.0581745480395499</v>
      </c>
      <c r="D34">
        <v>1.2082947125666099</v>
      </c>
      <c r="E34">
        <v>1.0334695025064</v>
      </c>
      <c r="F34">
        <v>0.80203489076765599</v>
      </c>
      <c r="G34">
        <v>0.78308603747265404</v>
      </c>
      <c r="H34">
        <v>0.57449363533329201</v>
      </c>
      <c r="I34">
        <v>0.62192994775836696</v>
      </c>
      <c r="J34">
        <v>0.79332820841678398</v>
      </c>
      <c r="K34">
        <v>0.64783165494865702</v>
      </c>
      <c r="L34">
        <v>1936.7726146909799</v>
      </c>
      <c r="M34">
        <v>38.662973541856502</v>
      </c>
      <c r="O34">
        <v>49.960280613033902</v>
      </c>
      <c r="P34">
        <v>-6.2695268235805499E-2</v>
      </c>
      <c r="Q34">
        <v>0.67594155598993499</v>
      </c>
      <c r="R34">
        <v>0.78711172083259395</v>
      </c>
      <c r="S34" t="s">
        <v>5585</v>
      </c>
      <c r="T34" t="s">
        <v>11100</v>
      </c>
      <c r="U34" t="s">
        <v>11100</v>
      </c>
      <c r="V34" t="s">
        <v>11100</v>
      </c>
      <c r="W34" t="s">
        <v>11134</v>
      </c>
      <c r="X34">
        <v>11</v>
      </c>
      <c r="Y34" t="s">
        <v>16626</v>
      </c>
      <c r="Z34" t="s">
        <v>22039</v>
      </c>
      <c r="AA34">
        <v>0.81857995150154705</v>
      </c>
      <c r="AB34" t="str">
        <f>HYPERLINK("Melting_Curves/meltCurve_A6NG79_PRCC.pdf", "Melting_Curves/meltCurve_A6NG79_PRCC.pdf")</f>
        <v>Melting_Curves/meltCurve_A6NG79_PRCC.pdf</v>
      </c>
    </row>
    <row r="35" spans="1:28" x14ac:dyDescent="0.25">
      <c r="A35" t="s">
        <v>39</v>
      </c>
      <c r="B35">
        <v>0.99299721793515405</v>
      </c>
      <c r="C35">
        <v>1.03908337930201</v>
      </c>
      <c r="D35">
        <v>0.92902013042113996</v>
      </c>
      <c r="E35">
        <v>0.77154580474474699</v>
      </c>
      <c r="F35">
        <v>0.58733185681017597</v>
      </c>
      <c r="G35">
        <v>0.55528163928950203</v>
      </c>
      <c r="H35">
        <v>0.64735873758724904</v>
      </c>
      <c r="I35">
        <v>0.59998056126990396</v>
      </c>
      <c r="J35">
        <v>0.951590016016579</v>
      </c>
      <c r="K35">
        <v>0.67332046152011205</v>
      </c>
      <c r="L35">
        <v>1667.0797552848901</v>
      </c>
      <c r="M35">
        <v>37.020359989467899</v>
      </c>
      <c r="O35">
        <v>44.900636907421998</v>
      </c>
      <c r="P35">
        <v>-6.7779169549029905E-2</v>
      </c>
      <c r="Q35">
        <v>0.67117345853154597</v>
      </c>
      <c r="R35">
        <v>0.65109322199457897</v>
      </c>
      <c r="S35" t="s">
        <v>5586</v>
      </c>
      <c r="T35" t="s">
        <v>11100</v>
      </c>
      <c r="U35" t="s">
        <v>11100</v>
      </c>
      <c r="V35" t="s">
        <v>11100</v>
      </c>
      <c r="W35" t="s">
        <v>11135</v>
      </c>
      <c r="X35">
        <v>3</v>
      </c>
      <c r="Y35" t="s">
        <v>16627</v>
      </c>
      <c r="Z35" t="s">
        <v>22040</v>
      </c>
      <c r="AA35">
        <v>0.76040472409677873</v>
      </c>
      <c r="AB35" t="str">
        <f>HYPERLINK("Melting_Curves/meltCurve_A6NGB9_WIPF3.pdf", "Melting_Curves/meltCurve_A6NGB9_WIPF3.pdf")</f>
        <v>Melting_Curves/meltCurve_A6NGB9_WIPF3.pdf</v>
      </c>
    </row>
    <row r="36" spans="1:28" x14ac:dyDescent="0.25">
      <c r="A36" t="s">
        <v>40</v>
      </c>
      <c r="B36">
        <v>0.99299721793515405</v>
      </c>
      <c r="C36">
        <v>1.06105314007348</v>
      </c>
      <c r="D36">
        <v>0.98246337719071697</v>
      </c>
      <c r="E36">
        <v>1.0758993165898101</v>
      </c>
      <c r="F36">
        <v>0.78444994138584501</v>
      </c>
      <c r="G36">
        <v>0.69600222549523405</v>
      </c>
      <c r="H36">
        <v>0.61194753475451302</v>
      </c>
      <c r="I36">
        <v>0.65989104214724803</v>
      </c>
      <c r="J36">
        <v>0.44086726015665301</v>
      </c>
      <c r="K36">
        <v>0.34884774008522201</v>
      </c>
      <c r="L36">
        <v>543.48626912228804</v>
      </c>
      <c r="M36">
        <v>9.2451196998193499</v>
      </c>
      <c r="N36">
        <v>62.158990758521497</v>
      </c>
      <c r="O36">
        <v>56.232143824398598</v>
      </c>
      <c r="P36">
        <v>-3.3017482251199E-2</v>
      </c>
      <c r="Q36">
        <v>0.19722970043753099</v>
      </c>
      <c r="R36">
        <v>0.908621655014201</v>
      </c>
      <c r="S36" t="s">
        <v>5587</v>
      </c>
      <c r="T36" t="s">
        <v>11100</v>
      </c>
      <c r="U36" t="s">
        <v>11100</v>
      </c>
      <c r="V36" t="s">
        <v>11100</v>
      </c>
      <c r="W36" t="s">
        <v>11136</v>
      </c>
      <c r="X36">
        <v>1</v>
      </c>
      <c r="Y36" t="s">
        <v>16628</v>
      </c>
      <c r="Z36" t="s">
        <v>22041</v>
      </c>
      <c r="AA36">
        <v>0.7643075267770626</v>
      </c>
      <c r="AB36" t="str">
        <f>HYPERLINK("Melting_Curves/meltCurve_A6NGC4_TLCD2.pdf", "Melting_Curves/meltCurve_A6NGC4_TLCD2.pdf")</f>
        <v>Melting_Curves/meltCurve_A6NGC4_TLCD2.pdf</v>
      </c>
    </row>
    <row r="37" spans="1:28" x14ac:dyDescent="0.25">
      <c r="A37" t="s">
        <v>41</v>
      </c>
      <c r="B37">
        <v>0.99299721793515405</v>
      </c>
      <c r="C37">
        <v>0.88034709511688702</v>
      </c>
      <c r="D37">
        <v>0.95931251624452196</v>
      </c>
      <c r="E37">
        <v>0.81274901325631699</v>
      </c>
      <c r="F37">
        <v>0.85653174895597395</v>
      </c>
      <c r="G37">
        <v>0.474790311791084</v>
      </c>
      <c r="H37">
        <v>0.63478819692861899</v>
      </c>
      <c r="I37">
        <v>0.860691395073517</v>
      </c>
      <c r="J37">
        <v>1.0817595731437799</v>
      </c>
      <c r="K37">
        <v>0.77416151892507401</v>
      </c>
      <c r="L37">
        <v>856.11567708202597</v>
      </c>
      <c r="M37">
        <v>19.778578710207501</v>
      </c>
      <c r="O37">
        <v>42.849792599674601</v>
      </c>
      <c r="P37">
        <v>-2.5529092612249098E-2</v>
      </c>
      <c r="Q37">
        <v>0.77877495908126204</v>
      </c>
      <c r="R37">
        <v>0.17426482578056701</v>
      </c>
      <c r="S37" t="s">
        <v>5588</v>
      </c>
      <c r="T37" t="s">
        <v>11100</v>
      </c>
      <c r="U37" t="s">
        <v>11100</v>
      </c>
      <c r="V37" t="s">
        <v>11100</v>
      </c>
      <c r="W37" t="s">
        <v>11137</v>
      </c>
      <c r="X37">
        <v>23</v>
      </c>
      <c r="Y37" t="s">
        <v>16629</v>
      </c>
      <c r="Z37" t="s">
        <v>22042</v>
      </c>
      <c r="AA37">
        <v>0.82823860457561682</v>
      </c>
      <c r="AB37" t="str">
        <f>HYPERLINK("Melting_Curves/meltCurve_A6NGP5_HN1L.pdf", "Melting_Curves/meltCurve_A6NGP5_HN1L.pdf")</f>
        <v>Melting_Curves/meltCurve_A6NGP5_HN1L.pdf</v>
      </c>
    </row>
    <row r="38" spans="1:28" x14ac:dyDescent="0.25">
      <c r="A38" t="s">
        <v>42</v>
      </c>
      <c r="B38">
        <v>0.99299721793515405</v>
      </c>
      <c r="C38">
        <v>1.00365522567693</v>
      </c>
      <c r="D38">
        <v>1.0496161698725499</v>
      </c>
      <c r="E38">
        <v>0.88698674155311896</v>
      </c>
      <c r="F38">
        <v>0.74269444777765703</v>
      </c>
      <c r="G38">
        <v>0.62400008557310505</v>
      </c>
      <c r="H38">
        <v>1.0808149104828799</v>
      </c>
      <c r="I38">
        <v>0.85748730746741497</v>
      </c>
      <c r="J38">
        <v>0.41660297547516001</v>
      </c>
      <c r="K38">
        <v>0.24633374919750001</v>
      </c>
      <c r="L38">
        <v>3398.6342971848599</v>
      </c>
      <c r="M38">
        <v>54.154964483055402</v>
      </c>
      <c r="N38">
        <v>63.453789988287802</v>
      </c>
      <c r="O38">
        <v>62.672175950443702</v>
      </c>
      <c r="P38">
        <v>-0.16763597487613</v>
      </c>
      <c r="Q38">
        <v>0.22399693360822701</v>
      </c>
      <c r="R38">
        <v>0.67915066065854401</v>
      </c>
      <c r="S38" t="s">
        <v>5589</v>
      </c>
      <c r="T38" t="s">
        <v>11100</v>
      </c>
      <c r="U38" t="s">
        <v>11100</v>
      </c>
      <c r="V38" t="s">
        <v>11100</v>
      </c>
      <c r="W38" t="s">
        <v>11138</v>
      </c>
      <c r="X38">
        <v>5</v>
      </c>
      <c r="Y38" t="s">
        <v>16630</v>
      </c>
      <c r="Z38" t="s">
        <v>22043</v>
      </c>
      <c r="AA38">
        <v>0.89095579374508249</v>
      </c>
      <c r="AB38" t="str">
        <f>HYPERLINK("Melting_Curves/meltCurve_A6NHL2_2_TUBAL3.pdf", "Melting_Curves/meltCurve_A6NHL2_2_TUBAL3.pdf")</f>
        <v>Melting_Curves/meltCurve_A6NHL2_2_TUBAL3.pdf</v>
      </c>
    </row>
    <row r="39" spans="1:28" x14ac:dyDescent="0.25">
      <c r="A39" t="s">
        <v>43</v>
      </c>
      <c r="B39">
        <v>0.99299721793515405</v>
      </c>
      <c r="C39">
        <v>0.94960093271475698</v>
      </c>
      <c r="D39">
        <v>0.90076526432691895</v>
      </c>
      <c r="E39">
        <v>0.87365591144215904</v>
      </c>
      <c r="F39">
        <v>0.40740570513683</v>
      </c>
      <c r="G39">
        <v>0.36928187625366299</v>
      </c>
      <c r="H39">
        <v>0.438644126336735</v>
      </c>
      <c r="I39">
        <v>0.32874059935662298</v>
      </c>
      <c r="J39">
        <v>0.16474088611320301</v>
      </c>
      <c r="K39">
        <v>9.7967754604117496E-2</v>
      </c>
      <c r="L39">
        <v>596.71868933789995</v>
      </c>
      <c r="M39">
        <v>11.9187700821224</v>
      </c>
      <c r="N39">
        <v>51.579896595528602</v>
      </c>
      <c r="O39">
        <v>48.718506844669903</v>
      </c>
      <c r="P39">
        <v>-5.2144617765769001E-2</v>
      </c>
      <c r="Q39">
        <v>0.14763710901200799</v>
      </c>
      <c r="R39">
        <v>0.92455907733766396</v>
      </c>
      <c r="S39" t="s">
        <v>5590</v>
      </c>
      <c r="T39" t="s">
        <v>11100</v>
      </c>
      <c r="U39" t="s">
        <v>11100</v>
      </c>
      <c r="V39" t="s">
        <v>11100</v>
      </c>
      <c r="W39" t="s">
        <v>11139</v>
      </c>
      <c r="X39">
        <v>8</v>
      </c>
      <c r="Y39" t="s">
        <v>16631</v>
      </c>
      <c r="Z39" t="s">
        <v>22044</v>
      </c>
      <c r="AA39">
        <v>0.54279821781450155</v>
      </c>
      <c r="AB39" t="str">
        <f>HYPERLINK("Melting_Curves/meltCurve_A6NHR9_SMCHD1.pdf", "Melting_Curves/meltCurve_A6NHR9_SMCHD1.pdf")</f>
        <v>Melting_Curves/meltCurve_A6NHR9_SMCHD1.pdf</v>
      </c>
    </row>
    <row r="40" spans="1:28" x14ac:dyDescent="0.25">
      <c r="A40" t="s">
        <v>44</v>
      </c>
      <c r="B40">
        <v>0.99299721793515405</v>
      </c>
      <c r="C40">
        <v>0.90376832773983795</v>
      </c>
      <c r="D40">
        <v>0.80637876336297898</v>
      </c>
      <c r="E40">
        <v>0.79539767631512803</v>
      </c>
      <c r="F40">
        <v>0.65777252961958699</v>
      </c>
      <c r="G40">
        <v>0.39907601964817002</v>
      </c>
      <c r="H40">
        <v>0.27269409398272598</v>
      </c>
      <c r="I40">
        <v>0.243936674461494</v>
      </c>
      <c r="J40">
        <v>0.270429683321668</v>
      </c>
      <c r="K40">
        <v>0.178158717024505</v>
      </c>
      <c r="L40">
        <v>500.357234962044</v>
      </c>
      <c r="M40">
        <v>9.8104281075670006</v>
      </c>
      <c r="N40">
        <v>52.275325262393501</v>
      </c>
      <c r="O40">
        <v>49.018909963893996</v>
      </c>
      <c r="P40">
        <v>-4.4741939463012102E-2</v>
      </c>
      <c r="Q40">
        <v>0.106235106942855</v>
      </c>
      <c r="R40">
        <v>0.97385597606997099</v>
      </c>
      <c r="S40" t="s">
        <v>5591</v>
      </c>
      <c r="T40" t="s">
        <v>11100</v>
      </c>
      <c r="U40" t="s">
        <v>11100</v>
      </c>
      <c r="V40" t="s">
        <v>11100</v>
      </c>
      <c r="W40" t="s">
        <v>11140</v>
      </c>
      <c r="X40">
        <v>7</v>
      </c>
      <c r="Y40" t="s">
        <v>16632</v>
      </c>
      <c r="Z40" t="s">
        <v>22045</v>
      </c>
      <c r="AA40">
        <v>0.55101630729610307</v>
      </c>
      <c r="AB40" t="str">
        <f>HYPERLINK("Melting_Curves/meltCurve_A6NIH7_UNC119B.pdf", "Melting_Curves/meltCurve_A6NIH7_UNC119B.pdf")</f>
        <v>Melting_Curves/meltCurve_A6NIH7_UNC119B.pdf</v>
      </c>
    </row>
    <row r="41" spans="1:28" x14ac:dyDescent="0.25">
      <c r="A41" t="s">
        <v>45</v>
      </c>
      <c r="B41">
        <v>0.99299721793515405</v>
      </c>
      <c r="C41">
        <v>1.0081445875209301</v>
      </c>
      <c r="D41">
        <v>0.906763730219877</v>
      </c>
      <c r="E41">
        <v>0.75172511899024796</v>
      </c>
      <c r="F41">
        <v>0.54238472374342295</v>
      </c>
      <c r="G41">
        <v>0.19056871147802201</v>
      </c>
      <c r="H41">
        <v>0.19485226531299699</v>
      </c>
      <c r="I41">
        <v>0.128861095094121</v>
      </c>
      <c r="J41">
        <v>9.1642175155113803E-2</v>
      </c>
      <c r="K41">
        <v>5.4785270702902303E-2</v>
      </c>
      <c r="L41">
        <v>821.44062966132606</v>
      </c>
      <c r="M41">
        <v>16.544799159866599</v>
      </c>
      <c r="N41">
        <v>50.074008689172203</v>
      </c>
      <c r="O41">
        <v>48.941144973873797</v>
      </c>
      <c r="P41">
        <v>-7.8988827708063397E-2</v>
      </c>
      <c r="Q41">
        <v>6.5437397716315002E-2</v>
      </c>
      <c r="R41">
        <v>0.99092089506769598</v>
      </c>
      <c r="S41" t="s">
        <v>5592</v>
      </c>
      <c r="T41" t="s">
        <v>11100</v>
      </c>
      <c r="U41" t="s">
        <v>11100</v>
      </c>
      <c r="V41" t="s">
        <v>11100</v>
      </c>
      <c r="W41" t="s">
        <v>11141</v>
      </c>
      <c r="X41">
        <v>5</v>
      </c>
      <c r="Y41" t="s">
        <v>16633</v>
      </c>
      <c r="Z41" t="s">
        <v>22046</v>
      </c>
      <c r="AA41">
        <v>0.47646830921069311</v>
      </c>
      <c r="AB41" t="str">
        <f>HYPERLINK("Melting_Curves/meltCurve_A6NJ78_METTL15.pdf", "Melting_Curves/meltCurve_A6NJ78_METTL15.pdf")</f>
        <v>Melting_Curves/meltCurve_A6NJ78_METTL15.pdf</v>
      </c>
    </row>
    <row r="42" spans="1:28" x14ac:dyDescent="0.25">
      <c r="A42" t="s">
        <v>46</v>
      </c>
      <c r="B42">
        <v>0.99299721793515405</v>
      </c>
      <c r="C42">
        <v>0.83537205572451401</v>
      </c>
      <c r="D42">
        <v>0.70982603676840095</v>
      </c>
      <c r="E42">
        <v>0.76955823512519395</v>
      </c>
      <c r="F42">
        <v>0.61720430353441802</v>
      </c>
      <c r="G42">
        <v>0.47280039248571498</v>
      </c>
      <c r="H42">
        <v>0.37345685398419398</v>
      </c>
      <c r="I42">
        <v>0.357396059542472</v>
      </c>
      <c r="J42">
        <v>0.39066534065713299</v>
      </c>
      <c r="K42">
        <v>0.24710068105596</v>
      </c>
      <c r="L42">
        <v>316.078165578555</v>
      </c>
      <c r="M42">
        <v>6.1545109161882898</v>
      </c>
      <c r="N42">
        <v>53.671319252355801</v>
      </c>
      <c r="O42">
        <v>46.728997361300799</v>
      </c>
      <c r="P42">
        <v>-2.9175444094980799E-2</v>
      </c>
      <c r="Q42">
        <v>0.116537495561415</v>
      </c>
      <c r="R42">
        <v>0.94563290938378997</v>
      </c>
      <c r="S42" t="s">
        <v>5593</v>
      </c>
      <c r="T42" t="s">
        <v>11100</v>
      </c>
      <c r="U42" t="s">
        <v>11100</v>
      </c>
      <c r="V42" t="s">
        <v>11100</v>
      </c>
      <c r="W42" t="s">
        <v>11142</v>
      </c>
      <c r="X42">
        <v>1</v>
      </c>
      <c r="Y42" t="s">
        <v>16634</v>
      </c>
      <c r="Z42" t="s">
        <v>22047</v>
      </c>
      <c r="AA42">
        <v>0.5698661970369544</v>
      </c>
      <c r="AB42" t="str">
        <f>HYPERLINK("Melting_Curves/meltCurve_A6NK58_LIPT2.pdf", "Melting_Curves/meltCurve_A6NK58_LIPT2.pdf")</f>
        <v>Melting_Curves/meltCurve_A6NK58_LIPT2.pdf</v>
      </c>
    </row>
    <row r="43" spans="1:28" x14ac:dyDescent="0.25">
      <c r="A43" t="s">
        <v>47</v>
      </c>
      <c r="B43">
        <v>0.99299721793515405</v>
      </c>
      <c r="C43">
        <v>1.03123184553443</v>
      </c>
      <c r="D43">
        <v>0.99114997527015103</v>
      </c>
      <c r="E43">
        <v>0.89884116469520003</v>
      </c>
      <c r="F43">
        <v>0.79344281297540897</v>
      </c>
      <c r="G43">
        <v>0.533289178649757</v>
      </c>
      <c r="H43">
        <v>0.241078280224512</v>
      </c>
      <c r="I43">
        <v>0.18171680463020601</v>
      </c>
      <c r="J43">
        <v>0.14853337501328501</v>
      </c>
      <c r="K43">
        <v>0.12581845867261299</v>
      </c>
      <c r="L43">
        <v>1022.87156463819</v>
      </c>
      <c r="M43">
        <v>19.2227300754571</v>
      </c>
      <c r="N43">
        <v>53.875003069086901</v>
      </c>
      <c r="O43">
        <v>52.645729841479003</v>
      </c>
      <c r="P43">
        <v>-8.1665932615611003E-2</v>
      </c>
      <c r="Q43">
        <v>0.105392653620693</v>
      </c>
      <c r="R43">
        <v>0.99565539494294397</v>
      </c>
      <c r="S43" t="s">
        <v>5594</v>
      </c>
      <c r="T43" t="s">
        <v>11100</v>
      </c>
      <c r="U43" t="s">
        <v>11100</v>
      </c>
      <c r="V43" t="s">
        <v>11100</v>
      </c>
      <c r="W43" t="s">
        <v>11143</v>
      </c>
      <c r="X43">
        <v>27</v>
      </c>
      <c r="Y43" t="s">
        <v>16635</v>
      </c>
      <c r="Z43" t="s">
        <v>22048</v>
      </c>
      <c r="AA43">
        <v>0.60064473636304405</v>
      </c>
      <c r="AB43" t="str">
        <f>HYPERLINK("Melting_Curves/meltCurve_A6NKB8_RNPEP.pdf", "Melting_Curves/meltCurve_A6NKB8_RNPEP.pdf")</f>
        <v>Melting_Curves/meltCurve_A6NKB8_RNPEP.pdf</v>
      </c>
    </row>
    <row r="44" spans="1:28" x14ac:dyDescent="0.25">
      <c r="A44" t="s">
        <v>48</v>
      </c>
      <c r="B44">
        <v>0.99299721793515405</v>
      </c>
      <c r="C44">
        <v>0.97253081915902195</v>
      </c>
      <c r="D44">
        <v>0.91682130739414103</v>
      </c>
      <c r="E44">
        <v>0.860019917374374</v>
      </c>
      <c r="F44">
        <v>0.72821971161686305</v>
      </c>
      <c r="G44">
        <v>0.36854210523868802</v>
      </c>
      <c r="H44">
        <v>0.30579761980254999</v>
      </c>
      <c r="I44">
        <v>0.328928928206974</v>
      </c>
      <c r="J44">
        <v>0.33144072942342201</v>
      </c>
      <c r="K44">
        <v>0.30269021446977401</v>
      </c>
      <c r="L44">
        <v>1195.5416053405399</v>
      </c>
      <c r="M44">
        <v>23.733608737742699</v>
      </c>
      <c r="N44">
        <v>52.3766648384766</v>
      </c>
      <c r="O44">
        <v>50.019825885309103</v>
      </c>
      <c r="P44">
        <v>-8.3239247837244998E-2</v>
      </c>
      <c r="Q44">
        <v>0.29828728639131502</v>
      </c>
      <c r="R44">
        <v>0.97906871019809705</v>
      </c>
      <c r="S44" t="s">
        <v>5595</v>
      </c>
      <c r="T44" t="s">
        <v>11100</v>
      </c>
      <c r="U44" t="s">
        <v>11100</v>
      </c>
      <c r="V44" t="s">
        <v>11100</v>
      </c>
      <c r="W44" t="s">
        <v>11144</v>
      </c>
      <c r="X44">
        <v>9</v>
      </c>
      <c r="Y44" t="s">
        <v>16636</v>
      </c>
      <c r="Z44" t="s">
        <v>22049</v>
      </c>
      <c r="AA44">
        <v>0.61788546117845911</v>
      </c>
      <c r="AB44" t="str">
        <f>HYPERLINK("Melting_Curves/meltCurve_A6NKD9_CCDC85C.pdf", "Melting_Curves/meltCurve_A6NKD9_CCDC85C.pdf")</f>
        <v>Melting_Curves/meltCurve_A6NKD9_CCDC85C.pdf</v>
      </c>
    </row>
    <row r="45" spans="1:28" x14ac:dyDescent="0.25">
      <c r="A45" t="s">
        <v>49</v>
      </c>
      <c r="B45">
        <v>0.99299721793515405</v>
      </c>
      <c r="C45">
        <v>0.89582877316811904</v>
      </c>
      <c r="D45">
        <v>0.69649152490190702</v>
      </c>
      <c r="E45">
        <v>0.74006888427085604</v>
      </c>
      <c r="F45">
        <v>0.56241078344857598</v>
      </c>
      <c r="G45">
        <v>0.42948987823817902</v>
      </c>
      <c r="H45">
        <v>0.45008196785252103</v>
      </c>
      <c r="I45">
        <v>0.40437730424228402</v>
      </c>
      <c r="J45">
        <v>0.43530535146268401</v>
      </c>
      <c r="K45">
        <v>0.28230691731533197</v>
      </c>
      <c r="L45">
        <v>408.78234716540101</v>
      </c>
      <c r="M45">
        <v>8.6714294771368703</v>
      </c>
      <c r="N45">
        <v>52.868759541077701</v>
      </c>
      <c r="O45">
        <v>44.835415761901601</v>
      </c>
      <c r="P45">
        <v>-3.3653125467025202E-2</v>
      </c>
      <c r="Q45">
        <v>0.30457055940799399</v>
      </c>
      <c r="R45">
        <v>0.93926544036739001</v>
      </c>
      <c r="S45" t="s">
        <v>5596</v>
      </c>
      <c r="T45" t="s">
        <v>11100</v>
      </c>
      <c r="U45" t="s">
        <v>11100</v>
      </c>
      <c r="V45" t="s">
        <v>11100</v>
      </c>
      <c r="W45" t="s">
        <v>11145</v>
      </c>
      <c r="X45">
        <v>1</v>
      </c>
      <c r="Y45" t="s">
        <v>16637</v>
      </c>
      <c r="Z45" t="s">
        <v>22050</v>
      </c>
      <c r="AA45">
        <v>0.57543510791788455</v>
      </c>
      <c r="AB45" t="str">
        <f>HYPERLINK("Melting_Curves/meltCurve_A6NKZ2_RENBP.pdf", "Melting_Curves/meltCurve_A6NKZ2_RENBP.pdf")</f>
        <v>Melting_Curves/meltCurve_A6NKZ2_RENBP.pdf</v>
      </c>
    </row>
    <row r="46" spans="1:28" x14ac:dyDescent="0.25">
      <c r="A46" t="s">
        <v>50</v>
      </c>
      <c r="B46">
        <v>0.99299721793515405</v>
      </c>
      <c r="C46">
        <v>0.84070170746031803</v>
      </c>
      <c r="D46">
        <v>0.84554999184785395</v>
      </c>
      <c r="E46">
        <v>0.75616792926828502</v>
      </c>
      <c r="F46">
        <v>0.70044470505761902</v>
      </c>
      <c r="G46">
        <v>0.46209204259634001</v>
      </c>
      <c r="H46">
        <v>0.51701970912246697</v>
      </c>
      <c r="I46">
        <v>0.65855538168565597</v>
      </c>
      <c r="J46">
        <v>0.74166981115803599</v>
      </c>
      <c r="K46">
        <v>0.57617748493018806</v>
      </c>
      <c r="L46">
        <v>592.937664455608</v>
      </c>
      <c r="M46">
        <v>13.593992961671001</v>
      </c>
      <c r="O46">
        <v>42.706206276650398</v>
      </c>
      <c r="P46">
        <v>-3.2219180060680003E-2</v>
      </c>
      <c r="Q46">
        <v>0.59518745232637305</v>
      </c>
      <c r="R46">
        <v>0.71145923459778404</v>
      </c>
      <c r="S46" t="s">
        <v>5597</v>
      </c>
      <c r="T46" t="s">
        <v>11100</v>
      </c>
      <c r="U46" t="s">
        <v>11100</v>
      </c>
      <c r="V46" t="s">
        <v>11100</v>
      </c>
      <c r="W46" t="s">
        <v>11146</v>
      </c>
      <c r="X46">
        <v>3</v>
      </c>
      <c r="Y46" t="s">
        <v>16638</v>
      </c>
      <c r="Z46" t="s">
        <v>22051</v>
      </c>
      <c r="AA46">
        <v>0.69706517384343603</v>
      </c>
      <c r="AB46" t="str">
        <f>HYPERLINK("Melting_Curves/meltCurve_A6NL54_ZMYM3.pdf", "Melting_Curves/meltCurve_A6NL54_ZMYM3.pdf")</f>
        <v>Melting_Curves/meltCurve_A6NL54_ZMYM3.pdf</v>
      </c>
    </row>
    <row r="47" spans="1:28" x14ac:dyDescent="0.25">
      <c r="A47" t="s">
        <v>51</v>
      </c>
      <c r="B47">
        <v>0.99299721793515405</v>
      </c>
      <c r="C47">
        <v>0.73565429169669705</v>
      </c>
      <c r="D47">
        <v>0.80660822402279198</v>
      </c>
      <c r="E47">
        <v>0.76920820173655802</v>
      </c>
      <c r="F47">
        <v>0.59001036277490904</v>
      </c>
      <c r="G47">
        <v>0.323697829070898</v>
      </c>
      <c r="H47">
        <v>0.27459175584409101</v>
      </c>
      <c r="I47">
        <v>0.26930073962099799</v>
      </c>
      <c r="J47">
        <v>0.26822958903857702</v>
      </c>
      <c r="K47">
        <v>0.22620401732180401</v>
      </c>
      <c r="L47">
        <v>400.17189551225198</v>
      </c>
      <c r="M47">
        <v>8.0689049314702395</v>
      </c>
      <c r="N47">
        <v>51.133770123785503</v>
      </c>
      <c r="O47">
        <v>46.826686630262003</v>
      </c>
      <c r="P47">
        <v>-3.8475299515125502E-2</v>
      </c>
      <c r="Q47">
        <v>0.107834532357027</v>
      </c>
      <c r="R47">
        <v>0.92659634506247301</v>
      </c>
      <c r="S47" t="s">
        <v>5598</v>
      </c>
      <c r="T47" t="s">
        <v>11100</v>
      </c>
      <c r="U47" t="s">
        <v>11100</v>
      </c>
      <c r="V47" t="s">
        <v>11100</v>
      </c>
      <c r="W47" t="s">
        <v>11147</v>
      </c>
      <c r="X47">
        <v>3</v>
      </c>
      <c r="Y47" t="s">
        <v>16639</v>
      </c>
      <c r="Z47" t="s">
        <v>22052</v>
      </c>
      <c r="AA47">
        <v>0.52053991789421872</v>
      </c>
      <c r="AB47" t="str">
        <f>HYPERLINK("Melting_Curves/meltCurve_A6NLP3_TRIM5.pdf", "Melting_Curves/meltCurve_A6NLP3_TRIM5.pdf")</f>
        <v>Melting_Curves/meltCurve_A6NLP3_TRIM5.pdf</v>
      </c>
    </row>
    <row r="48" spans="1:28" x14ac:dyDescent="0.25">
      <c r="A48" t="s">
        <v>52</v>
      </c>
      <c r="B48">
        <v>0.99299721793515405</v>
      </c>
      <c r="C48">
        <v>0.96537191180794601</v>
      </c>
      <c r="D48">
        <v>1.0717819323517901</v>
      </c>
      <c r="E48">
        <v>0.82780156039871799</v>
      </c>
      <c r="F48">
        <v>0.71721822116308198</v>
      </c>
      <c r="G48">
        <v>0.70883473657891205</v>
      </c>
      <c r="H48">
        <v>0.92878652332959899</v>
      </c>
      <c r="I48">
        <v>1.1451561853068899</v>
      </c>
      <c r="J48">
        <v>0.92359293172669898</v>
      </c>
      <c r="K48">
        <v>0.37630763912598197</v>
      </c>
      <c r="L48">
        <v>241.36274177592799</v>
      </c>
      <c r="M48">
        <v>2.6405265687526902</v>
      </c>
      <c r="O48">
        <v>63.388598641580998</v>
      </c>
      <c r="P48">
        <v>-1.08740229344821E-2</v>
      </c>
      <c r="Q48">
        <v>0</v>
      </c>
      <c r="R48">
        <v>0.168043498575634</v>
      </c>
      <c r="S48" t="s">
        <v>5599</v>
      </c>
      <c r="T48" t="s">
        <v>11100</v>
      </c>
      <c r="U48" t="s">
        <v>11100</v>
      </c>
      <c r="V48" t="s">
        <v>11100</v>
      </c>
      <c r="W48" t="s">
        <v>11148</v>
      </c>
      <c r="X48">
        <v>15</v>
      </c>
      <c r="Y48" t="s">
        <v>16640</v>
      </c>
      <c r="Z48" t="s">
        <v>22053</v>
      </c>
      <c r="AA48">
        <v>0.87090293625138793</v>
      </c>
      <c r="AB48" t="str">
        <f>HYPERLINK("Melting_Curves/meltCurve_A6NMH6_SEPT8.pdf", "Melting_Curves/meltCurve_A6NMH6_SEPT8.pdf")</f>
        <v>Melting_Curves/meltCurve_A6NMH6_SEPT8.pdf</v>
      </c>
    </row>
    <row r="49" spans="1:28" x14ac:dyDescent="0.25">
      <c r="A49" t="s">
        <v>53</v>
      </c>
      <c r="B49">
        <v>0.99299721793515405</v>
      </c>
      <c r="C49">
        <v>1.0719244285301199</v>
      </c>
      <c r="D49">
        <v>1.06748496266475</v>
      </c>
      <c r="E49">
        <v>1.0035253709406999</v>
      </c>
      <c r="F49">
        <v>0.77635445853469998</v>
      </c>
      <c r="G49">
        <v>0.31853075462901898</v>
      </c>
      <c r="H49">
        <v>0.27160508165013703</v>
      </c>
      <c r="I49">
        <v>0.17840558550299301</v>
      </c>
      <c r="J49">
        <v>0.12654552669952199</v>
      </c>
      <c r="K49">
        <v>0.12043400695395901</v>
      </c>
      <c r="L49">
        <v>1691.6516832273501</v>
      </c>
      <c r="M49">
        <v>32.705505277808598</v>
      </c>
      <c r="N49">
        <v>52.335999688387901</v>
      </c>
      <c r="O49">
        <v>51.531534372601399</v>
      </c>
      <c r="P49">
        <v>-0.13344672363628801</v>
      </c>
      <c r="Q49">
        <v>0.15895719281381801</v>
      </c>
      <c r="R49">
        <v>0.98713904656527196</v>
      </c>
      <c r="S49" t="s">
        <v>5600</v>
      </c>
      <c r="T49" t="s">
        <v>11100</v>
      </c>
      <c r="U49" t="s">
        <v>11100</v>
      </c>
      <c r="V49" t="s">
        <v>11100</v>
      </c>
      <c r="W49" t="s">
        <v>11149</v>
      </c>
      <c r="X49">
        <v>7</v>
      </c>
      <c r="Y49" t="s">
        <v>16641</v>
      </c>
      <c r="Z49" t="s">
        <v>22054</v>
      </c>
      <c r="AA49">
        <v>0.57620674959610474</v>
      </c>
      <c r="AB49" t="str">
        <f>HYPERLINK("Melting_Curves/meltCurve_A6NML8_DIAPH2.pdf", "Melting_Curves/meltCurve_A6NML8_DIAPH2.pdf")</f>
        <v>Melting_Curves/meltCurve_A6NML8_DIAPH2.pdf</v>
      </c>
    </row>
    <row r="50" spans="1:28" x14ac:dyDescent="0.25">
      <c r="A50" t="s">
        <v>54</v>
      </c>
      <c r="B50">
        <v>0.99299721793515405</v>
      </c>
      <c r="C50">
        <v>0.87878642674309804</v>
      </c>
      <c r="D50">
        <v>0.97990725062159101</v>
      </c>
      <c r="E50">
        <v>0.75999804224857703</v>
      </c>
      <c r="F50">
        <v>0.50174029351891603</v>
      </c>
      <c r="G50">
        <v>0.38266921454557801</v>
      </c>
      <c r="H50">
        <v>0.21564276520828099</v>
      </c>
      <c r="I50">
        <v>0.19930458092748601</v>
      </c>
      <c r="J50">
        <v>0.217027986207524</v>
      </c>
      <c r="K50">
        <v>0.20402265300855699</v>
      </c>
      <c r="L50">
        <v>809.30325527984496</v>
      </c>
      <c r="M50">
        <v>16.4730864479987</v>
      </c>
      <c r="N50">
        <v>50.532939345710197</v>
      </c>
      <c r="O50">
        <v>48.4219483977297</v>
      </c>
      <c r="P50">
        <v>-6.9436075667319005E-2</v>
      </c>
      <c r="Q50">
        <v>0.18363948488486001</v>
      </c>
      <c r="R50">
        <v>0.98296816424910305</v>
      </c>
      <c r="S50" t="s">
        <v>5601</v>
      </c>
      <c r="T50" t="s">
        <v>11100</v>
      </c>
      <c r="U50" t="s">
        <v>11100</v>
      </c>
      <c r="V50" t="s">
        <v>11100</v>
      </c>
      <c r="W50" t="s">
        <v>11150</v>
      </c>
      <c r="X50">
        <v>3</v>
      </c>
      <c r="Y50" t="s">
        <v>16642</v>
      </c>
      <c r="Z50" t="s">
        <v>22055</v>
      </c>
      <c r="AA50">
        <v>0.5287532203141847</v>
      </c>
      <c r="AB50" t="str">
        <f>HYPERLINK("Melting_Curves/meltCurve_A6NMN0_PHKA1.pdf", "Melting_Curves/meltCurve_A6NMN0_PHKA1.pdf")</f>
        <v>Melting_Curves/meltCurve_A6NMN0_PHKA1.pdf</v>
      </c>
    </row>
    <row r="51" spans="1:28" x14ac:dyDescent="0.25">
      <c r="A51" t="s">
        <v>55</v>
      </c>
      <c r="B51">
        <v>0.99299721793515405</v>
      </c>
      <c r="C51">
        <v>0.95876503594048201</v>
      </c>
      <c r="D51">
        <v>0.89750553826155199</v>
      </c>
      <c r="E51">
        <v>0.85770713708379198</v>
      </c>
      <c r="F51">
        <v>0.72571661062874104</v>
      </c>
      <c r="G51">
        <v>0.60803364526352899</v>
      </c>
      <c r="H51">
        <v>0.29397214211052503</v>
      </c>
      <c r="I51">
        <v>0.25230366184790898</v>
      </c>
      <c r="J51">
        <v>0.23705966453010799</v>
      </c>
      <c r="K51">
        <v>0.13247754530382999</v>
      </c>
      <c r="L51">
        <v>576.09606527290998</v>
      </c>
      <c r="M51">
        <v>10.5988699899107</v>
      </c>
      <c r="N51">
        <v>54.6503063758501</v>
      </c>
      <c r="O51">
        <v>52.526589825321899</v>
      </c>
      <c r="P51">
        <v>-4.9057983258077399E-2</v>
      </c>
      <c r="Q51">
        <v>2.78788894671647E-2</v>
      </c>
      <c r="R51">
        <v>0.98302870827173605</v>
      </c>
      <c r="S51" t="s">
        <v>5602</v>
      </c>
      <c r="T51" t="s">
        <v>11100</v>
      </c>
      <c r="U51" t="s">
        <v>11100</v>
      </c>
      <c r="V51" t="s">
        <v>11100</v>
      </c>
      <c r="W51" t="s">
        <v>11151</v>
      </c>
      <c r="X51">
        <v>5</v>
      </c>
      <c r="Y51" t="s">
        <v>16643</v>
      </c>
      <c r="Z51" t="s">
        <v>22056</v>
      </c>
      <c r="AA51">
        <v>0.60602720995933046</v>
      </c>
      <c r="AB51" t="str">
        <f>HYPERLINK("Melting_Curves/meltCurve_A6NMQ1_POLA1.pdf", "Melting_Curves/meltCurve_A6NMQ1_POLA1.pdf")</f>
        <v>Melting_Curves/meltCurve_A6NMQ1_POLA1.pdf</v>
      </c>
    </row>
    <row r="52" spans="1:28" x14ac:dyDescent="0.25">
      <c r="A52" t="s">
        <v>56</v>
      </c>
      <c r="B52">
        <v>0.99299721793515405</v>
      </c>
      <c r="C52">
        <v>1.0144565809006501</v>
      </c>
      <c r="D52">
        <v>1.02153929880696</v>
      </c>
      <c r="E52">
        <v>0.74671054964727102</v>
      </c>
      <c r="F52">
        <v>0.75593823678355199</v>
      </c>
      <c r="G52">
        <v>0.38020605500524501</v>
      </c>
      <c r="H52">
        <v>0.26159228517421002</v>
      </c>
      <c r="I52">
        <v>0.16411057875956001</v>
      </c>
      <c r="J52">
        <v>0.21377342487124101</v>
      </c>
      <c r="K52">
        <v>0.209769541937707</v>
      </c>
      <c r="L52">
        <v>879.04999208069</v>
      </c>
      <c r="M52">
        <v>17.166145009107002</v>
      </c>
      <c r="N52">
        <v>52.405726871619301</v>
      </c>
      <c r="O52">
        <v>50.528559213175697</v>
      </c>
      <c r="P52">
        <v>-7.1159255725944198E-2</v>
      </c>
      <c r="Q52">
        <v>0.16222044679084399</v>
      </c>
      <c r="R52">
        <v>0.97096929617383498</v>
      </c>
      <c r="S52" t="s">
        <v>5603</v>
      </c>
      <c r="T52" t="s">
        <v>11100</v>
      </c>
      <c r="U52" t="s">
        <v>11100</v>
      </c>
      <c r="V52" t="s">
        <v>11100</v>
      </c>
      <c r="W52" t="s">
        <v>11152</v>
      </c>
      <c r="X52">
        <v>52</v>
      </c>
      <c r="Y52" t="s">
        <v>16644</v>
      </c>
      <c r="Z52" t="s">
        <v>22057</v>
      </c>
      <c r="AA52">
        <v>0.57288875671404682</v>
      </c>
      <c r="AB52" t="str">
        <f>HYPERLINK("Melting_Curves/meltCurve_A6NN80_ANXA6.pdf", "Melting_Curves/meltCurve_A6NN80_ANXA6.pdf")</f>
        <v>Melting_Curves/meltCurve_A6NN80_ANXA6.pdf</v>
      </c>
    </row>
    <row r="53" spans="1:28" x14ac:dyDescent="0.25">
      <c r="A53" t="s">
        <v>57</v>
      </c>
      <c r="B53">
        <v>0.99299721793515405</v>
      </c>
      <c r="C53">
        <v>1.52864551896741</v>
      </c>
      <c r="D53">
        <v>3.4156854236499599</v>
      </c>
      <c r="E53">
        <v>1.63116549447312</v>
      </c>
      <c r="F53">
        <v>1.01480046117937</v>
      </c>
      <c r="G53">
        <v>1.94255169584642</v>
      </c>
      <c r="H53">
        <v>0.57101741366287795</v>
      </c>
      <c r="I53">
        <v>0.53696098958745597</v>
      </c>
      <c r="J53">
        <v>0.49101779762790698</v>
      </c>
      <c r="K53">
        <v>0.71610605390265802</v>
      </c>
      <c r="L53">
        <v>13206.5934123227</v>
      </c>
      <c r="M53">
        <v>235.462450564194</v>
      </c>
      <c r="O53">
        <v>56.0838498805577</v>
      </c>
      <c r="P53">
        <v>-0.44276201446019198</v>
      </c>
      <c r="Q53">
        <v>0.57816121900030804</v>
      </c>
      <c r="R53">
        <v>-1.3288757865591401E-2</v>
      </c>
      <c r="S53" t="s">
        <v>5604</v>
      </c>
      <c r="T53" t="s">
        <v>11100</v>
      </c>
      <c r="U53" t="s">
        <v>11100</v>
      </c>
      <c r="V53" t="s">
        <v>11100</v>
      </c>
      <c r="W53" t="s">
        <v>11153</v>
      </c>
      <c r="X53">
        <v>2</v>
      </c>
      <c r="Y53" t="s">
        <v>16645</v>
      </c>
      <c r="Z53" t="s">
        <v>22058</v>
      </c>
      <c r="AA53">
        <v>0.84660851999603737</v>
      </c>
      <c r="AB53" t="str">
        <f>HYPERLINK("Melting_Curves/meltCurve_A6NNI4_CD9.pdf", "Melting_Curves/meltCurve_A6NNI4_CD9.pdf")</f>
        <v>Melting_Curves/meltCurve_A6NNI4_CD9.pdf</v>
      </c>
    </row>
    <row r="54" spans="1:28" x14ac:dyDescent="0.25">
      <c r="A54" t="s">
        <v>58</v>
      </c>
      <c r="B54">
        <v>0.99299721793515405</v>
      </c>
      <c r="C54">
        <v>1.01108687706455</v>
      </c>
      <c r="D54">
        <v>1.0167586128508601</v>
      </c>
      <c r="E54">
        <v>0.82847432216363803</v>
      </c>
      <c r="F54">
        <v>0.74971116455357201</v>
      </c>
      <c r="G54">
        <v>0.33756307991808399</v>
      </c>
      <c r="H54">
        <v>0.24293726234748</v>
      </c>
      <c r="I54">
        <v>0.23481754994845599</v>
      </c>
      <c r="J54">
        <v>0.24816224654646801</v>
      </c>
      <c r="K54">
        <v>0.24276255469915001</v>
      </c>
      <c r="L54">
        <v>1293.56336351854</v>
      </c>
      <c r="M54">
        <v>25.4007238833352</v>
      </c>
      <c r="N54">
        <v>52.141445533839402</v>
      </c>
      <c r="O54">
        <v>50.6137298767378</v>
      </c>
      <c r="P54">
        <v>-9.7437891168306603E-2</v>
      </c>
      <c r="Q54">
        <v>0.223386902680481</v>
      </c>
      <c r="R54">
        <v>0.983111628083572</v>
      </c>
      <c r="S54" t="s">
        <v>5605</v>
      </c>
      <c r="T54" t="s">
        <v>11100</v>
      </c>
      <c r="U54" t="s">
        <v>11100</v>
      </c>
      <c r="V54" t="s">
        <v>11100</v>
      </c>
      <c r="W54" t="s">
        <v>11154</v>
      </c>
      <c r="X54">
        <v>3</v>
      </c>
      <c r="Y54" t="s">
        <v>16646</v>
      </c>
      <c r="Z54" t="s">
        <v>22059</v>
      </c>
      <c r="AA54">
        <v>0.59054489061525917</v>
      </c>
      <c r="AB54" t="str">
        <f>HYPERLINK("Melting_Curves/meltCurve_A6ZKI3_FAM127A.pdf", "Melting_Curves/meltCurve_A6ZKI3_FAM127A.pdf")</f>
        <v>Melting_Curves/meltCurve_A6ZKI3_FAM127A.pdf</v>
      </c>
    </row>
    <row r="55" spans="1:28" x14ac:dyDescent="0.25">
      <c r="A55" t="s">
        <v>59</v>
      </c>
      <c r="B55">
        <v>0.99299721793515405</v>
      </c>
      <c r="C55">
        <v>1.1514642447291601</v>
      </c>
      <c r="D55">
        <v>0.95049629805411795</v>
      </c>
      <c r="E55">
        <v>1.01070339952231</v>
      </c>
      <c r="F55">
        <v>0.86886551767525499</v>
      </c>
      <c r="G55">
        <v>0.72821059927568799</v>
      </c>
      <c r="H55">
        <v>0.39176026130490998</v>
      </c>
      <c r="I55">
        <v>0.25526978198926698</v>
      </c>
      <c r="J55">
        <v>0.215657693760234</v>
      </c>
      <c r="K55">
        <v>0.14682734088632099</v>
      </c>
      <c r="L55">
        <v>1144.5906476909799</v>
      </c>
      <c r="M55">
        <v>20.684385197957798</v>
      </c>
      <c r="N55">
        <v>56.245297482400403</v>
      </c>
      <c r="O55">
        <v>54.826548057833698</v>
      </c>
      <c r="P55">
        <v>-8.0915378008157401E-2</v>
      </c>
      <c r="Q55">
        <v>0.14211915722423701</v>
      </c>
      <c r="R55">
        <v>0.97661218172931596</v>
      </c>
      <c r="S55" t="s">
        <v>5606</v>
      </c>
      <c r="T55" t="s">
        <v>11100</v>
      </c>
      <c r="U55" t="s">
        <v>11100</v>
      </c>
      <c r="V55" t="s">
        <v>11100</v>
      </c>
      <c r="W55" t="s">
        <v>11155</v>
      </c>
      <c r="X55">
        <v>2</v>
      </c>
      <c r="Y55" t="s">
        <v>16647</v>
      </c>
      <c r="Z55" t="s">
        <v>22060</v>
      </c>
      <c r="AA55">
        <v>0.67558964993025639</v>
      </c>
      <c r="AB55" t="str">
        <f>HYPERLINK("Melting_Curves/meltCurve_A8K0B5_ZBTB8OS.pdf", "Melting_Curves/meltCurve_A8K0B5_ZBTB8OS.pdf")</f>
        <v>Melting_Curves/meltCurve_A8K0B5_ZBTB8OS.pdf</v>
      </c>
    </row>
    <row r="56" spans="1:28" x14ac:dyDescent="0.25">
      <c r="A56" t="s">
        <v>60</v>
      </c>
      <c r="B56">
        <v>0.99299721793515405</v>
      </c>
      <c r="C56">
        <v>0.73513048202254505</v>
      </c>
      <c r="D56">
        <v>0.92819025456895699</v>
      </c>
      <c r="E56">
        <v>0.81170099327397804</v>
      </c>
      <c r="F56">
        <v>0.74972397771355204</v>
      </c>
      <c r="G56">
        <v>0.22864654843776799</v>
      </c>
      <c r="H56">
        <v>0.273430937443218</v>
      </c>
      <c r="I56">
        <v>0.232179022320503</v>
      </c>
      <c r="J56">
        <v>0.45874270788124299</v>
      </c>
      <c r="K56">
        <v>0</v>
      </c>
      <c r="L56">
        <v>964.44749063509005</v>
      </c>
      <c r="M56">
        <v>19.128599390767999</v>
      </c>
      <c r="N56">
        <v>51.750381557723301</v>
      </c>
      <c r="O56">
        <v>49.877787728287799</v>
      </c>
      <c r="P56">
        <v>-7.7249409154117293E-2</v>
      </c>
      <c r="Q56">
        <v>0.19432031206706399</v>
      </c>
      <c r="R56">
        <v>0.79772021779542801</v>
      </c>
      <c r="S56" t="s">
        <v>5607</v>
      </c>
      <c r="T56" t="s">
        <v>11100</v>
      </c>
      <c r="U56" t="s">
        <v>11100</v>
      </c>
      <c r="V56" t="s">
        <v>11100</v>
      </c>
      <c r="W56" t="s">
        <v>11156</v>
      </c>
      <c r="X56">
        <v>2</v>
      </c>
      <c r="Y56" t="s">
        <v>16648</v>
      </c>
      <c r="Z56" t="s">
        <v>22061</v>
      </c>
      <c r="AA56">
        <v>0.56612776850436231</v>
      </c>
      <c r="AB56" t="str">
        <f>HYPERLINK("Melting_Curves/meltCurve_A8K0M9_SELK.pdf", "Melting_Curves/meltCurve_A8K0M9_SELK.pdf")</f>
        <v>Melting_Curves/meltCurve_A8K0M9_SELK.pdf</v>
      </c>
    </row>
    <row r="57" spans="1:28" x14ac:dyDescent="0.25">
      <c r="A57" t="s">
        <v>61</v>
      </c>
      <c r="B57">
        <v>0.99299721793515405</v>
      </c>
      <c r="C57">
        <v>1.00312246909751</v>
      </c>
      <c r="D57">
        <v>0.85165608423401196</v>
      </c>
      <c r="E57">
        <v>0.85950176720604499</v>
      </c>
      <c r="F57">
        <v>0.67363474353556996</v>
      </c>
      <c r="G57">
        <v>0.50652968702693002</v>
      </c>
      <c r="H57">
        <v>0.32086179586998997</v>
      </c>
      <c r="I57">
        <v>0.23644267976091901</v>
      </c>
      <c r="J57">
        <v>0.102127629100932</v>
      </c>
      <c r="K57">
        <v>9.47188975750822E-2</v>
      </c>
      <c r="L57">
        <v>581.01429965991497</v>
      </c>
      <c r="M57">
        <v>10.8439038531929</v>
      </c>
      <c r="N57">
        <v>53.579811956204303</v>
      </c>
      <c r="O57">
        <v>51.854249868717098</v>
      </c>
      <c r="P57">
        <v>-5.2299339789018302E-2</v>
      </c>
      <c r="Q57">
        <v>0</v>
      </c>
      <c r="R57">
        <v>0.99044442503952301</v>
      </c>
      <c r="S57" t="s">
        <v>5608</v>
      </c>
      <c r="T57" t="s">
        <v>11100</v>
      </c>
      <c r="U57" t="s">
        <v>11100</v>
      </c>
      <c r="V57" t="s">
        <v>11100</v>
      </c>
      <c r="W57" t="s">
        <v>11157</v>
      </c>
      <c r="X57">
        <v>6</v>
      </c>
      <c r="Y57" t="s">
        <v>16649</v>
      </c>
      <c r="Z57" t="s">
        <v>22062</v>
      </c>
      <c r="AA57">
        <v>0.57238075509275843</v>
      </c>
      <c r="AB57" t="str">
        <f>HYPERLINK("Melting_Curves/meltCurve_A8MPS7_YDJC.pdf", "Melting_Curves/meltCurve_A8MPS7_YDJC.pdf")</f>
        <v>Melting_Curves/meltCurve_A8MPS7_YDJC.pdf</v>
      </c>
    </row>
    <row r="58" spans="1:28" x14ac:dyDescent="0.25">
      <c r="A58" t="s">
        <v>62</v>
      </c>
      <c r="B58">
        <v>0.99299721793515405</v>
      </c>
      <c r="C58">
        <v>0.944972442285817</v>
      </c>
      <c r="D58">
        <v>1.0231270043343901</v>
      </c>
      <c r="E58">
        <v>0.87880808936774601</v>
      </c>
      <c r="F58">
        <v>0.751973057016187</v>
      </c>
      <c r="G58">
        <v>0.40002088541693398</v>
      </c>
      <c r="H58">
        <v>0.24726680485904401</v>
      </c>
      <c r="I58">
        <v>0.234206606709951</v>
      </c>
      <c r="J58">
        <v>0.21449015247855699</v>
      </c>
      <c r="K58">
        <v>0.184623986004361</v>
      </c>
      <c r="L58">
        <v>1180.5000297596</v>
      </c>
      <c r="M58">
        <v>22.8994410778024</v>
      </c>
      <c r="N58">
        <v>52.670319413912203</v>
      </c>
      <c r="O58">
        <v>51.163172853437203</v>
      </c>
      <c r="P58">
        <v>-9.0345898104086594E-2</v>
      </c>
      <c r="Q58">
        <v>0.19259259395675901</v>
      </c>
      <c r="R58">
        <v>0.99183928226493501</v>
      </c>
      <c r="S58" t="s">
        <v>5609</v>
      </c>
      <c r="T58" t="s">
        <v>11100</v>
      </c>
      <c r="U58" t="s">
        <v>11100</v>
      </c>
      <c r="V58" t="s">
        <v>11100</v>
      </c>
      <c r="W58" t="s">
        <v>11158</v>
      </c>
      <c r="X58">
        <v>41</v>
      </c>
      <c r="Y58" t="s">
        <v>16650</v>
      </c>
      <c r="Z58" t="s">
        <v>22063</v>
      </c>
      <c r="AA58">
        <v>0.5925855559636598</v>
      </c>
      <c r="AB58" t="str">
        <f>HYPERLINK("Melting_Curves/meltCurve_A8MQ02_MLLT4.pdf", "Melting_Curves/meltCurve_A8MQ02_MLLT4.pdf")</f>
        <v>Melting_Curves/meltCurve_A8MQ02_MLLT4.pdf</v>
      </c>
    </row>
    <row r="59" spans="1:28" x14ac:dyDescent="0.25">
      <c r="A59" t="s">
        <v>63</v>
      </c>
      <c r="B59">
        <v>0.99299721793515405</v>
      </c>
      <c r="C59">
        <v>0.96226505248982197</v>
      </c>
      <c r="D59">
        <v>1.00466345592152</v>
      </c>
      <c r="E59">
        <v>0.93356421796276901</v>
      </c>
      <c r="F59">
        <v>0.79278342246804101</v>
      </c>
      <c r="G59">
        <v>1.1752987782817199</v>
      </c>
      <c r="H59">
        <v>0.68207320561170004</v>
      </c>
      <c r="I59">
        <v>0.75452456280221103</v>
      </c>
      <c r="J59">
        <v>0.60456188889076401</v>
      </c>
      <c r="K59">
        <v>0.58842028851407602</v>
      </c>
      <c r="L59">
        <v>14219.807660508201</v>
      </c>
      <c r="M59">
        <v>250</v>
      </c>
      <c r="O59">
        <v>56.875609030344101</v>
      </c>
      <c r="P59">
        <v>-0.38552509389237</v>
      </c>
      <c r="Q59">
        <v>0.64916852042919504</v>
      </c>
      <c r="R59">
        <v>0.71577772031417997</v>
      </c>
      <c r="S59" t="s">
        <v>5610</v>
      </c>
      <c r="T59" t="s">
        <v>11100</v>
      </c>
      <c r="U59" t="s">
        <v>11100</v>
      </c>
      <c r="V59" t="s">
        <v>11100</v>
      </c>
      <c r="W59" t="s">
        <v>11159</v>
      </c>
      <c r="X59">
        <v>1</v>
      </c>
      <c r="Y59" t="s">
        <v>16651</v>
      </c>
      <c r="Z59" t="s">
        <v>22064</v>
      </c>
      <c r="AA59">
        <v>0.88167887114932475</v>
      </c>
      <c r="AB59" t="str">
        <f>HYPERLINK("Melting_Curves/meltCurve_A8MRB1_S100B.pdf", "Melting_Curves/meltCurve_A8MRB1_S100B.pdf")</f>
        <v>Melting_Curves/meltCurve_A8MRB1_S100B.pdf</v>
      </c>
    </row>
    <row r="60" spans="1:28" x14ac:dyDescent="0.25">
      <c r="A60" t="s">
        <v>64</v>
      </c>
      <c r="B60">
        <v>0.99299721793515405</v>
      </c>
      <c r="C60">
        <v>0.84985299930091895</v>
      </c>
      <c r="D60">
        <v>0.93093358167906104</v>
      </c>
      <c r="E60">
        <v>0.75710131216620602</v>
      </c>
      <c r="F60">
        <v>0.58976289767738799</v>
      </c>
      <c r="G60">
        <v>0.16248573618583001</v>
      </c>
      <c r="H60">
        <v>0.100417638934008</v>
      </c>
      <c r="I60">
        <v>9.5326321326062294E-2</v>
      </c>
      <c r="J60">
        <v>8.8405518289449703E-2</v>
      </c>
      <c r="K60">
        <v>9.3881441520914599E-2</v>
      </c>
      <c r="L60">
        <v>923.18154352260103</v>
      </c>
      <c r="M60">
        <v>18.533909635886399</v>
      </c>
      <c r="N60">
        <v>50.132732594980801</v>
      </c>
      <c r="O60">
        <v>49.241392019746201</v>
      </c>
      <c r="P60">
        <v>-8.8815928304265906E-2</v>
      </c>
      <c r="Q60">
        <v>5.61672640660991E-2</v>
      </c>
      <c r="R60">
        <v>0.97104915145497495</v>
      </c>
      <c r="S60" t="s">
        <v>5611</v>
      </c>
      <c r="T60" t="s">
        <v>11100</v>
      </c>
      <c r="U60" t="s">
        <v>11100</v>
      </c>
      <c r="V60" t="s">
        <v>11100</v>
      </c>
      <c r="W60" t="s">
        <v>11160</v>
      </c>
      <c r="X60">
        <v>9</v>
      </c>
      <c r="Y60" t="s">
        <v>16652</v>
      </c>
      <c r="Z60" t="s">
        <v>22065</v>
      </c>
      <c r="AA60">
        <v>0.47338313281001448</v>
      </c>
      <c r="AB60" t="str">
        <f>HYPERLINK("Melting_Curves/meltCurve_A8MSH5_RTFDC1.pdf", "Melting_Curves/meltCurve_A8MSH5_RTFDC1.pdf")</f>
        <v>Melting_Curves/meltCurve_A8MSH5_RTFDC1.pdf</v>
      </c>
    </row>
    <row r="61" spans="1:28" x14ac:dyDescent="0.25">
      <c r="A61" t="s">
        <v>65</v>
      </c>
      <c r="B61">
        <v>0.99299721793515405</v>
      </c>
      <c r="C61">
        <v>0.85952790276228797</v>
      </c>
      <c r="D61">
        <v>0.80615110277055801</v>
      </c>
      <c r="E61">
        <v>0.70185125301560902</v>
      </c>
      <c r="F61">
        <v>0.45770894989682298</v>
      </c>
      <c r="G61">
        <v>0.348957209938908</v>
      </c>
      <c r="H61">
        <v>0.27662127826510402</v>
      </c>
      <c r="I61">
        <v>0.212691715369662</v>
      </c>
      <c r="J61">
        <v>0.220241983580206</v>
      </c>
      <c r="K61">
        <v>0.18822809908934701</v>
      </c>
      <c r="L61">
        <v>505.73212550507202</v>
      </c>
      <c r="M61">
        <v>10.4879910442172</v>
      </c>
      <c r="N61">
        <v>49.807365108237903</v>
      </c>
      <c r="O61">
        <v>46.565997476126299</v>
      </c>
      <c r="P61">
        <v>-4.8328019779290701E-2</v>
      </c>
      <c r="Q61">
        <v>0.14205474691025799</v>
      </c>
      <c r="R61">
        <v>0.99059474947862403</v>
      </c>
      <c r="S61" t="s">
        <v>5612</v>
      </c>
      <c r="T61" t="s">
        <v>11100</v>
      </c>
      <c r="U61" t="s">
        <v>11100</v>
      </c>
      <c r="V61" t="s">
        <v>11100</v>
      </c>
      <c r="W61" t="s">
        <v>11161</v>
      </c>
      <c r="X61">
        <v>2</v>
      </c>
      <c r="Y61" t="s">
        <v>16653</v>
      </c>
      <c r="Z61" t="s">
        <v>22066</v>
      </c>
      <c r="AA61">
        <v>0.49484164686541882</v>
      </c>
      <c r="AB61" t="str">
        <f>HYPERLINK("Melting_Curves/meltCurve_A8MTE9_TTC12.pdf", "Melting_Curves/meltCurve_A8MTE9_TTC12.pdf")</f>
        <v>Melting_Curves/meltCurve_A8MTE9_TTC12.pdf</v>
      </c>
    </row>
    <row r="62" spans="1:28" x14ac:dyDescent="0.25">
      <c r="A62" t="s">
        <v>66</v>
      </c>
      <c r="B62">
        <v>0.99299721793515405</v>
      </c>
      <c r="C62">
        <v>1.2927993391981001</v>
      </c>
      <c r="D62">
        <v>0.93769182933239603</v>
      </c>
      <c r="E62">
        <v>0.89537984706805995</v>
      </c>
      <c r="F62">
        <v>0.85659497187106703</v>
      </c>
      <c r="G62">
        <v>0.83841263070345096</v>
      </c>
      <c r="H62">
        <v>0.36017444547084998</v>
      </c>
      <c r="I62">
        <v>0.206906588425817</v>
      </c>
      <c r="J62">
        <v>0.14066741157101301</v>
      </c>
      <c r="K62">
        <v>0.14480126730162701</v>
      </c>
      <c r="L62">
        <v>1709.5358333123099</v>
      </c>
      <c r="M62">
        <v>30.645752948817702</v>
      </c>
      <c r="N62">
        <v>56.351994573438297</v>
      </c>
      <c r="O62">
        <v>55.547859289148697</v>
      </c>
      <c r="P62">
        <v>-0.11959352680332699</v>
      </c>
      <c r="Q62">
        <v>0.13291414801551699</v>
      </c>
      <c r="R62">
        <v>0.92403712714427799</v>
      </c>
      <c r="S62" t="s">
        <v>5613</v>
      </c>
      <c r="T62" t="s">
        <v>11100</v>
      </c>
      <c r="U62" t="s">
        <v>11100</v>
      </c>
      <c r="V62" t="s">
        <v>11100</v>
      </c>
      <c r="W62" t="s">
        <v>11162</v>
      </c>
      <c r="X62">
        <v>3</v>
      </c>
      <c r="Y62" t="s">
        <v>16654</v>
      </c>
      <c r="Z62" t="s">
        <v>22067</v>
      </c>
      <c r="AA62">
        <v>0.68106531573179785</v>
      </c>
      <c r="AB62" t="str">
        <f>HYPERLINK("Melting_Curves/meltCurve_A8MTY9_DSCR3.pdf", "Melting_Curves/meltCurve_A8MTY9_DSCR3.pdf")</f>
        <v>Melting_Curves/meltCurve_A8MTY9_DSCR3.pdf</v>
      </c>
    </row>
    <row r="63" spans="1:28" x14ac:dyDescent="0.25">
      <c r="A63" t="s">
        <v>67</v>
      </c>
      <c r="B63">
        <v>0.99299721793515405</v>
      </c>
      <c r="C63">
        <v>0.98072160445159395</v>
      </c>
      <c r="D63">
        <v>0.85180499458956505</v>
      </c>
      <c r="E63">
        <v>0.83849148401111295</v>
      </c>
      <c r="F63">
        <v>0.66338329220578496</v>
      </c>
      <c r="G63">
        <v>0.61821568230949298</v>
      </c>
      <c r="H63">
        <v>0.87231933384573601</v>
      </c>
      <c r="I63">
        <v>0.41604208362066603</v>
      </c>
      <c r="J63">
        <v>0.22514773085978099</v>
      </c>
      <c r="K63">
        <v>0.17111223513715401</v>
      </c>
      <c r="L63">
        <v>440.57015034548402</v>
      </c>
      <c r="M63">
        <v>7.5402588031021596</v>
      </c>
      <c r="N63">
        <v>58.429048116432803</v>
      </c>
      <c r="O63">
        <v>54.743413829519199</v>
      </c>
      <c r="P63">
        <v>-3.44830816732484E-2</v>
      </c>
      <c r="Q63">
        <v>0</v>
      </c>
      <c r="R63">
        <v>0.80275832744999498</v>
      </c>
      <c r="S63" t="s">
        <v>5614</v>
      </c>
      <c r="T63" t="s">
        <v>11100</v>
      </c>
      <c r="U63" t="s">
        <v>11100</v>
      </c>
      <c r="V63" t="s">
        <v>11100</v>
      </c>
      <c r="W63" t="s">
        <v>11163</v>
      </c>
      <c r="X63">
        <v>5</v>
      </c>
      <c r="Y63" t="s">
        <v>16655</v>
      </c>
      <c r="Z63" t="s">
        <v>22068</v>
      </c>
      <c r="AA63">
        <v>0.68473843018656133</v>
      </c>
      <c r="AB63" t="str">
        <f>HYPERLINK("Melting_Curves/meltCurve_A8MUM1_TSSC1.pdf", "Melting_Curves/meltCurve_A8MUM1_TSSC1.pdf")</f>
        <v>Melting_Curves/meltCurve_A8MUM1_TSSC1.pdf</v>
      </c>
    </row>
    <row r="64" spans="1:28" x14ac:dyDescent="0.25">
      <c r="A64" t="s">
        <v>68</v>
      </c>
      <c r="B64">
        <v>0.99299721793515405</v>
      </c>
      <c r="C64">
        <v>0.996720249830094</v>
      </c>
      <c r="D64">
        <v>0.95357200869502401</v>
      </c>
      <c r="E64">
        <v>0.82941368613839395</v>
      </c>
      <c r="F64">
        <v>0.80300822994686905</v>
      </c>
      <c r="G64">
        <v>0.96507361922158597</v>
      </c>
      <c r="H64">
        <v>0.92106440468728501</v>
      </c>
      <c r="I64">
        <v>0.58159569135540101</v>
      </c>
      <c r="J64">
        <v>0.204741282250963</v>
      </c>
      <c r="K64">
        <v>9.8543190052314503E-2</v>
      </c>
      <c r="L64">
        <v>2183.0891673004999</v>
      </c>
      <c r="M64">
        <v>35.575150715058797</v>
      </c>
      <c r="N64">
        <v>61.530571457106802</v>
      </c>
      <c r="O64">
        <v>61.1726281746705</v>
      </c>
      <c r="P64">
        <v>-0.13877413319055901</v>
      </c>
      <c r="Q64">
        <v>4.5496618892098301E-2</v>
      </c>
      <c r="R64">
        <v>0.92846694148339703</v>
      </c>
      <c r="S64" t="s">
        <v>5615</v>
      </c>
      <c r="T64" t="s">
        <v>11100</v>
      </c>
      <c r="U64" t="s">
        <v>11100</v>
      </c>
      <c r="V64" t="s">
        <v>11100</v>
      </c>
      <c r="W64" t="s">
        <v>11164</v>
      </c>
      <c r="X64">
        <v>2</v>
      </c>
      <c r="Y64" t="s">
        <v>16656</v>
      </c>
      <c r="Z64" t="s">
        <v>22069</v>
      </c>
      <c r="AA64">
        <v>0.82243778136723122</v>
      </c>
      <c r="AB64" t="str">
        <f>HYPERLINK("Melting_Curves/meltCurve_A8MVQ8_GGPS1.pdf", "Melting_Curves/meltCurve_A8MVQ8_GGPS1.pdf")</f>
        <v>Melting_Curves/meltCurve_A8MVQ8_GGPS1.pdf</v>
      </c>
    </row>
    <row r="65" spans="1:28" x14ac:dyDescent="0.25">
      <c r="A65" t="s">
        <v>69</v>
      </c>
      <c r="B65">
        <v>0.99299721793515405</v>
      </c>
      <c r="C65">
        <v>0.951930401233687</v>
      </c>
      <c r="D65">
        <v>0.92636809712631396</v>
      </c>
      <c r="E65">
        <v>1.09864501631131</v>
      </c>
      <c r="F65">
        <v>0.79610393495335297</v>
      </c>
      <c r="G65">
        <v>0.59555880353308099</v>
      </c>
      <c r="H65">
        <v>0.65778871594560895</v>
      </c>
      <c r="I65">
        <v>0.59440004110476896</v>
      </c>
      <c r="J65">
        <v>0.84705090344544198</v>
      </c>
      <c r="K65">
        <v>0.70198858594020297</v>
      </c>
      <c r="L65">
        <v>12522.008211692601</v>
      </c>
      <c r="M65">
        <v>250</v>
      </c>
      <c r="O65">
        <v>50.084838922535802</v>
      </c>
      <c r="P65">
        <v>-0.40012440667871202</v>
      </c>
      <c r="Q65">
        <v>0.67935740963759295</v>
      </c>
      <c r="R65">
        <v>0.78186900933020398</v>
      </c>
      <c r="S65" t="s">
        <v>5616</v>
      </c>
      <c r="T65" t="s">
        <v>11100</v>
      </c>
      <c r="U65" t="s">
        <v>11100</v>
      </c>
      <c r="V65" t="s">
        <v>11100</v>
      </c>
      <c r="W65" t="s">
        <v>11165</v>
      </c>
      <c r="X65">
        <v>7</v>
      </c>
      <c r="Y65" t="s">
        <v>16657</v>
      </c>
      <c r="Z65" t="s">
        <v>22070</v>
      </c>
      <c r="AA65">
        <v>0.81927162047135915</v>
      </c>
      <c r="AB65" t="str">
        <f>HYPERLINK("Melting_Curves/meltCurve_A8MVW0_FAM171A2.pdf", "Melting_Curves/meltCurve_A8MVW0_FAM171A2.pdf")</f>
        <v>Melting_Curves/meltCurve_A8MVW0_FAM171A2.pdf</v>
      </c>
    </row>
    <row r="66" spans="1:28" x14ac:dyDescent="0.25">
      <c r="A66" t="s">
        <v>70</v>
      </c>
      <c r="B66">
        <v>0.99299721793515405</v>
      </c>
      <c r="C66">
        <v>1.12902705828272</v>
      </c>
      <c r="D66">
        <v>0.66126342767984803</v>
      </c>
      <c r="E66">
        <v>1.0980059215786599</v>
      </c>
      <c r="F66">
        <v>0.961554218775451</v>
      </c>
      <c r="G66">
        <v>1.03606361900156</v>
      </c>
      <c r="H66">
        <v>0.84530559058851495</v>
      </c>
      <c r="I66">
        <v>0.65288053510571298</v>
      </c>
      <c r="J66">
        <v>0.29739019119776799</v>
      </c>
      <c r="K66">
        <v>0.414112471313068</v>
      </c>
      <c r="L66">
        <v>2083.0155160642698</v>
      </c>
      <c r="M66">
        <v>34.582694417299599</v>
      </c>
      <c r="N66">
        <v>62.154662479000798</v>
      </c>
      <c r="O66">
        <v>60.032551989551898</v>
      </c>
      <c r="P66">
        <v>-9.67259981373879E-2</v>
      </c>
      <c r="Q66">
        <v>0.32837081757674902</v>
      </c>
      <c r="R66">
        <v>0.78102683496956704</v>
      </c>
      <c r="S66" t="s">
        <v>5617</v>
      </c>
      <c r="T66" t="s">
        <v>11100</v>
      </c>
      <c r="U66" t="s">
        <v>11100</v>
      </c>
      <c r="V66" t="s">
        <v>11100</v>
      </c>
      <c r="W66" t="s">
        <v>11166</v>
      </c>
      <c r="X66">
        <v>3</v>
      </c>
      <c r="Y66" t="s">
        <v>16658</v>
      </c>
      <c r="Z66" t="s">
        <v>22071</v>
      </c>
      <c r="AA66">
        <v>0.85070415972812818</v>
      </c>
      <c r="AB66" t="str">
        <f>HYPERLINK("Melting_Curves/meltCurve_A8MWY0_KIAA1324L.pdf", "Melting_Curves/meltCurve_A8MWY0_KIAA1324L.pdf")</f>
        <v>Melting_Curves/meltCurve_A8MWY0_KIAA1324L.pdf</v>
      </c>
    </row>
    <row r="67" spans="1:28" x14ac:dyDescent="0.25">
      <c r="A67" t="s">
        <v>71</v>
      </c>
      <c r="B67">
        <v>0.99299721793515405</v>
      </c>
      <c r="C67">
        <v>1.02290783849736</v>
      </c>
      <c r="D67">
        <v>0.79419154459753405</v>
      </c>
      <c r="E67">
        <v>0.78099424033456999</v>
      </c>
      <c r="F67">
        <v>0.672070901804948</v>
      </c>
      <c r="G67">
        <v>0.368605060576424</v>
      </c>
      <c r="H67">
        <v>0.46382357389944801</v>
      </c>
      <c r="I67">
        <v>0.312688218607104</v>
      </c>
      <c r="J67">
        <v>0.17769968455152599</v>
      </c>
      <c r="K67">
        <v>0.129089080658843</v>
      </c>
      <c r="L67">
        <v>432.32187244628</v>
      </c>
      <c r="M67">
        <v>8.0820831365894605</v>
      </c>
      <c r="N67">
        <v>53.491391406636097</v>
      </c>
      <c r="O67">
        <v>50.515124725515101</v>
      </c>
      <c r="P67">
        <v>-4.0041876586537503E-2</v>
      </c>
      <c r="Q67">
        <v>0</v>
      </c>
      <c r="R67">
        <v>0.95380511574146698</v>
      </c>
      <c r="S67" t="s">
        <v>5618</v>
      </c>
      <c r="T67" t="s">
        <v>11100</v>
      </c>
      <c r="U67" t="s">
        <v>11100</v>
      </c>
      <c r="V67" t="s">
        <v>11100</v>
      </c>
      <c r="W67" t="s">
        <v>11167</v>
      </c>
      <c r="X67">
        <v>1</v>
      </c>
      <c r="Y67" t="s">
        <v>16659</v>
      </c>
      <c r="Z67" t="s">
        <v>22072</v>
      </c>
      <c r="AA67">
        <v>0.56820367542671335</v>
      </c>
      <c r="AB67" t="str">
        <f>HYPERLINK("Melting_Curves/meltCurve_A8MX75_ERCC2.pdf", "Melting_Curves/meltCurve_A8MX75_ERCC2.pdf")</f>
        <v>Melting_Curves/meltCurve_A8MX75_ERCC2.pdf</v>
      </c>
    </row>
    <row r="68" spans="1:28" x14ac:dyDescent="0.25">
      <c r="A68" t="s">
        <v>72</v>
      </c>
      <c r="B68">
        <v>0.99299721793515405</v>
      </c>
      <c r="C68">
        <v>1.3470730226976599</v>
      </c>
      <c r="D68">
        <v>1.0928419008449901</v>
      </c>
      <c r="E68">
        <v>1.1927654967722101</v>
      </c>
      <c r="F68">
        <v>0.81056124433036603</v>
      </c>
      <c r="G68">
        <v>0.69422924195080005</v>
      </c>
      <c r="H68">
        <v>0.362286341412343</v>
      </c>
      <c r="I68">
        <v>0.45545800217238702</v>
      </c>
      <c r="J68">
        <v>0.52061180360556003</v>
      </c>
      <c r="K68">
        <v>0.19539879435816099</v>
      </c>
      <c r="L68">
        <v>1448.5024530493899</v>
      </c>
      <c r="M68">
        <v>27.1876885533107</v>
      </c>
      <c r="N68">
        <v>55.949100539431903</v>
      </c>
      <c r="O68">
        <v>52.992143508818998</v>
      </c>
      <c r="P68">
        <v>-8.1644152764177302E-2</v>
      </c>
      <c r="Q68">
        <v>0.36346821703464</v>
      </c>
      <c r="R68">
        <v>0.81528081962357601</v>
      </c>
      <c r="S68" t="s">
        <v>5619</v>
      </c>
      <c r="T68" t="s">
        <v>11100</v>
      </c>
      <c r="U68" t="s">
        <v>11100</v>
      </c>
      <c r="V68" t="s">
        <v>11100</v>
      </c>
      <c r="W68" t="s">
        <v>11168</v>
      </c>
      <c r="X68">
        <v>2</v>
      </c>
      <c r="Y68" t="s">
        <v>16660</v>
      </c>
      <c r="Z68" t="s">
        <v>22073</v>
      </c>
      <c r="AA68">
        <v>0.71369991065776195</v>
      </c>
      <c r="AB68" t="str">
        <f>HYPERLINK("Melting_Curves/meltCurve_A8MXE8_RAI1.pdf", "Melting_Curves/meltCurve_A8MXE8_RAI1.pdf")</f>
        <v>Melting_Curves/meltCurve_A8MXE8_RAI1.pdf</v>
      </c>
    </row>
    <row r="69" spans="1:28" x14ac:dyDescent="0.25">
      <c r="A69" t="s">
        <v>73</v>
      </c>
      <c r="B69">
        <v>0.99299721793515405</v>
      </c>
      <c r="C69">
        <v>1.1949842934936299</v>
      </c>
      <c r="D69">
        <v>1.0790847189259101</v>
      </c>
      <c r="E69">
        <v>0.93612442196228596</v>
      </c>
      <c r="F69">
        <v>0.44473717415118202</v>
      </c>
      <c r="G69">
        <v>0.190830501146945</v>
      </c>
      <c r="H69">
        <v>0.35637841910455098</v>
      </c>
      <c r="I69">
        <v>0.30422900350933901</v>
      </c>
      <c r="J69">
        <v>0.39285997880001899</v>
      </c>
      <c r="K69">
        <v>0.24944657381900301</v>
      </c>
      <c r="L69">
        <v>2578.6678103352001</v>
      </c>
      <c r="M69">
        <v>52.800620794080103</v>
      </c>
      <c r="N69">
        <v>49.697004529149602</v>
      </c>
      <c r="O69">
        <v>48.767927446138103</v>
      </c>
      <c r="P69">
        <v>-0.189658859868752</v>
      </c>
      <c r="Q69">
        <v>0.299306482154236</v>
      </c>
      <c r="R69">
        <v>0.946703569413756</v>
      </c>
      <c r="S69" t="s">
        <v>5620</v>
      </c>
      <c r="T69" t="s">
        <v>11100</v>
      </c>
      <c r="U69" t="s">
        <v>11100</v>
      </c>
      <c r="V69" t="s">
        <v>11100</v>
      </c>
      <c r="W69" t="s">
        <v>11169</v>
      </c>
      <c r="X69">
        <v>6</v>
      </c>
      <c r="Y69" t="s">
        <v>16661</v>
      </c>
      <c r="Z69" t="s">
        <v>22074</v>
      </c>
      <c r="AA69">
        <v>0.57714898349470523</v>
      </c>
      <c r="AB69" t="str">
        <f>HYPERLINK("Melting_Curves/meltCurve_A8MXP9_MATR3.pdf", "Melting_Curves/meltCurve_A8MXP9_MATR3.pdf")</f>
        <v>Melting_Curves/meltCurve_A8MXP9_MATR3.pdf</v>
      </c>
    </row>
    <row r="70" spans="1:28" x14ac:dyDescent="0.25">
      <c r="A70" t="s">
        <v>74</v>
      </c>
      <c r="B70">
        <v>0.99299721793515405</v>
      </c>
      <c r="C70">
        <v>1.0593960240635201</v>
      </c>
      <c r="D70">
        <v>1.2457696917955901</v>
      </c>
      <c r="E70">
        <v>1.08820568641705</v>
      </c>
      <c r="F70">
        <v>0.97483673262186699</v>
      </c>
      <c r="G70">
        <v>0.32019128562591198</v>
      </c>
      <c r="H70">
        <v>0.70232267157668304</v>
      </c>
      <c r="I70">
        <v>0.70284195902357605</v>
      </c>
      <c r="J70">
        <v>0.86507089071522902</v>
      </c>
      <c r="K70">
        <v>0.50164306730998898</v>
      </c>
      <c r="L70">
        <v>12683.060542412801</v>
      </c>
      <c r="M70">
        <v>250</v>
      </c>
      <c r="O70">
        <v>50.728971978444001</v>
      </c>
      <c r="P70">
        <v>-0.470128069071722</v>
      </c>
      <c r="Q70">
        <v>0.61841400286975701</v>
      </c>
      <c r="R70">
        <v>0.66249555834015506</v>
      </c>
      <c r="S70" t="s">
        <v>5621</v>
      </c>
      <c r="T70" t="s">
        <v>11100</v>
      </c>
      <c r="U70" t="s">
        <v>11100</v>
      </c>
      <c r="V70" t="s">
        <v>11100</v>
      </c>
      <c r="W70" t="s">
        <v>11170</v>
      </c>
      <c r="X70">
        <v>1</v>
      </c>
      <c r="Y70" t="s">
        <v>16662</v>
      </c>
      <c r="Z70" t="s">
        <v>22075</v>
      </c>
      <c r="AA70">
        <v>0.79311568781483677</v>
      </c>
      <c r="AB70" t="str">
        <f>HYPERLINK("Melting_Curves/meltCurve_A8MXQ1_PTTG1IP.pdf", "Melting_Curves/meltCurve_A8MXQ1_PTTG1IP.pdf")</f>
        <v>Melting_Curves/meltCurve_A8MXQ1_PTTG1IP.pdf</v>
      </c>
    </row>
    <row r="71" spans="1:28" x14ac:dyDescent="0.25">
      <c r="A71" t="s">
        <v>75</v>
      </c>
      <c r="B71">
        <v>0.99299721793515405</v>
      </c>
      <c r="C71">
        <v>0.99217672595779904</v>
      </c>
      <c r="D71">
        <v>0.91704109855095095</v>
      </c>
      <c r="E71">
        <v>0.83888881976180496</v>
      </c>
      <c r="F71">
        <v>0.69894061475495195</v>
      </c>
      <c r="G71">
        <v>0.52990071988162901</v>
      </c>
      <c r="H71">
        <v>0.33125067598638303</v>
      </c>
      <c r="I71">
        <v>0.164216885869855</v>
      </c>
      <c r="J71">
        <v>0.13329279847568801</v>
      </c>
      <c r="K71">
        <v>0.12401997024608299</v>
      </c>
      <c r="L71">
        <v>610.46807083538999</v>
      </c>
      <c r="M71">
        <v>11.3433965675218</v>
      </c>
      <c r="N71">
        <v>53.817043611610998</v>
      </c>
      <c r="O71">
        <v>52.2258653627215</v>
      </c>
      <c r="P71">
        <v>-5.4315975115424603E-2</v>
      </c>
      <c r="Q71">
        <v>0</v>
      </c>
      <c r="R71">
        <v>0.99601148039002196</v>
      </c>
      <c r="S71" t="s">
        <v>5622</v>
      </c>
      <c r="T71" t="s">
        <v>11100</v>
      </c>
      <c r="U71" t="s">
        <v>11100</v>
      </c>
      <c r="V71" t="s">
        <v>11100</v>
      </c>
      <c r="W71" t="s">
        <v>11171</v>
      </c>
      <c r="X71">
        <v>10</v>
      </c>
      <c r="Y71" t="s">
        <v>16663</v>
      </c>
      <c r="Z71" t="s">
        <v>22076</v>
      </c>
      <c r="AA71">
        <v>0.57927951515459553</v>
      </c>
      <c r="AB71" t="str">
        <f>HYPERLINK("Melting_Curves/meltCurve_A8MXV4_NUDT19.pdf", "Melting_Curves/meltCurve_A8MXV4_NUDT19.pdf")</f>
        <v>Melting_Curves/meltCurve_A8MXV4_NUDT19.pdf</v>
      </c>
    </row>
    <row r="72" spans="1:28" x14ac:dyDescent="0.25">
      <c r="A72" t="s">
        <v>76</v>
      </c>
      <c r="B72">
        <v>0.99299721793515405</v>
      </c>
      <c r="C72">
        <v>0.99744539064684401</v>
      </c>
      <c r="D72">
        <v>0.99627786902326998</v>
      </c>
      <c r="E72">
        <v>0.97687140713225196</v>
      </c>
      <c r="F72">
        <v>0.760229796041068</v>
      </c>
      <c r="G72">
        <v>0.57482031676295198</v>
      </c>
      <c r="H72">
        <v>0.28525455682508599</v>
      </c>
      <c r="I72">
        <v>0.12626798174756801</v>
      </c>
      <c r="J72">
        <v>9.7771040406795504E-2</v>
      </c>
      <c r="K72">
        <v>9.0315775293187406E-2</v>
      </c>
      <c r="L72">
        <v>966.74093902590198</v>
      </c>
      <c r="M72">
        <v>17.8954127943631</v>
      </c>
      <c r="N72">
        <v>54.2965839451631</v>
      </c>
      <c r="O72">
        <v>53.360676151560099</v>
      </c>
      <c r="P72">
        <v>-8.0215039321431994E-2</v>
      </c>
      <c r="Q72">
        <v>4.3304959054403097E-2</v>
      </c>
      <c r="R72">
        <v>0.99643330749145098</v>
      </c>
      <c r="S72" t="s">
        <v>5623</v>
      </c>
      <c r="T72" t="s">
        <v>11100</v>
      </c>
      <c r="U72" t="s">
        <v>11100</v>
      </c>
      <c r="V72" t="s">
        <v>11100</v>
      </c>
      <c r="W72" t="s">
        <v>11172</v>
      </c>
      <c r="X72">
        <v>7</v>
      </c>
      <c r="Y72" t="s">
        <v>16664</v>
      </c>
      <c r="Z72" t="s">
        <v>22077</v>
      </c>
      <c r="AA72">
        <v>0.59930754655796192</v>
      </c>
      <c r="AB72" t="str">
        <f>HYPERLINK("Melting_Curves/meltCurve_A8MYQ9_RAB34.pdf", "Melting_Curves/meltCurve_A8MYQ9_RAB34.pdf")</f>
        <v>Melting_Curves/meltCurve_A8MYQ9_RAB34.pdf</v>
      </c>
    </row>
    <row r="73" spans="1:28" x14ac:dyDescent="0.25">
      <c r="A73" t="s">
        <v>77</v>
      </c>
      <c r="B73">
        <v>0.99299721793515405</v>
      </c>
      <c r="C73">
        <v>0.97818149709245095</v>
      </c>
      <c r="D73">
        <v>0.90949468686385404</v>
      </c>
      <c r="E73">
        <v>0.87053467445005595</v>
      </c>
      <c r="F73">
        <v>0.76407644173191602</v>
      </c>
      <c r="G73">
        <v>0.42405450777104398</v>
      </c>
      <c r="H73">
        <v>0.33597751702790901</v>
      </c>
      <c r="I73">
        <v>0.241035299026748</v>
      </c>
      <c r="J73">
        <v>0.210319981307794</v>
      </c>
      <c r="K73">
        <v>0.13802022846381601</v>
      </c>
      <c r="L73">
        <v>751.187970747848</v>
      </c>
      <c r="M73">
        <v>14.3125242891564</v>
      </c>
      <c r="N73">
        <v>53.563470784881098</v>
      </c>
      <c r="O73">
        <v>51.491966414584802</v>
      </c>
      <c r="P73">
        <v>-6.0795174474002303E-2</v>
      </c>
      <c r="Q73">
        <v>0.125218511079359</v>
      </c>
      <c r="R73">
        <v>0.988288825289524</v>
      </c>
      <c r="S73" t="s">
        <v>5624</v>
      </c>
      <c r="T73" t="s">
        <v>11100</v>
      </c>
      <c r="U73" t="s">
        <v>11100</v>
      </c>
      <c r="V73" t="s">
        <v>11100</v>
      </c>
      <c r="W73" t="s">
        <v>11173</v>
      </c>
      <c r="X73">
        <v>4</v>
      </c>
      <c r="Y73" t="s">
        <v>16665</v>
      </c>
      <c r="Z73" t="s">
        <v>22078</v>
      </c>
      <c r="AA73">
        <v>0.59376916768321386</v>
      </c>
      <c r="AB73" t="str">
        <f>HYPERLINK("Melting_Curves/meltCurve_A8MYT4_PIK3C3.pdf", "Melting_Curves/meltCurve_A8MYT4_PIK3C3.pdf")</f>
        <v>Melting_Curves/meltCurve_A8MYT4_PIK3C3.pdf</v>
      </c>
    </row>
    <row r="74" spans="1:28" x14ac:dyDescent="0.25">
      <c r="A74" t="s">
        <v>78</v>
      </c>
      <c r="B74">
        <v>0.99299721793515405</v>
      </c>
      <c r="C74">
        <v>0.93490589434142102</v>
      </c>
      <c r="D74">
        <v>0.881942435232418</v>
      </c>
      <c r="E74">
        <v>0.82058066055565504</v>
      </c>
      <c r="F74">
        <v>0.71013923517129596</v>
      </c>
      <c r="G74">
        <v>0.45396426130184198</v>
      </c>
      <c r="H74">
        <v>0.33534518985801198</v>
      </c>
      <c r="I74">
        <v>0.22381866455287</v>
      </c>
      <c r="J74">
        <v>0.20636856277962701</v>
      </c>
      <c r="K74">
        <v>0.146208031430415</v>
      </c>
      <c r="L74">
        <v>544.27675797162203</v>
      </c>
      <c r="M74">
        <v>10.269480737088699</v>
      </c>
      <c r="N74">
        <v>53.492750530358101</v>
      </c>
      <c r="O74">
        <v>51.1077495912443</v>
      </c>
      <c r="P74">
        <v>-4.7985977231106099E-2</v>
      </c>
      <c r="Q74">
        <v>4.5179229738017398E-2</v>
      </c>
      <c r="R74">
        <v>0.99236219485265098</v>
      </c>
      <c r="S74" t="s">
        <v>5625</v>
      </c>
      <c r="T74" t="s">
        <v>11100</v>
      </c>
      <c r="U74" t="s">
        <v>11100</v>
      </c>
      <c r="V74" t="s">
        <v>11100</v>
      </c>
      <c r="W74" t="s">
        <v>11174</v>
      </c>
      <c r="X74">
        <v>6</v>
      </c>
      <c r="Y74" t="s">
        <v>16666</v>
      </c>
      <c r="Z74" t="s">
        <v>22079</v>
      </c>
      <c r="AA74">
        <v>0.57568850407861849</v>
      </c>
      <c r="AB74" t="str">
        <f>HYPERLINK("Melting_Curves/meltCurve_A9UHW6_MIF4GD.pdf", "Melting_Curves/meltCurve_A9UHW6_MIF4GD.pdf")</f>
        <v>Melting_Curves/meltCurve_A9UHW6_MIF4GD.pdf</v>
      </c>
    </row>
    <row r="75" spans="1:28" x14ac:dyDescent="0.25">
      <c r="A75" t="s">
        <v>79</v>
      </c>
      <c r="B75">
        <v>0.99299721793515405</v>
      </c>
      <c r="C75">
        <v>0.99501243147491203</v>
      </c>
      <c r="D75">
        <v>0.96414048777324801</v>
      </c>
      <c r="E75">
        <v>0.91045513898919095</v>
      </c>
      <c r="F75">
        <v>0.80256791906365899</v>
      </c>
      <c r="G75">
        <v>0.65008957148853896</v>
      </c>
      <c r="H75">
        <v>0.513718491391564</v>
      </c>
      <c r="I75">
        <v>0.41625762473730399</v>
      </c>
      <c r="J75">
        <v>0.17172347804003599</v>
      </c>
      <c r="K75">
        <v>0.120775811204572</v>
      </c>
      <c r="L75">
        <v>630.05235535267298</v>
      </c>
      <c r="M75">
        <v>11.021417111398399</v>
      </c>
      <c r="N75">
        <v>57.166183756251499</v>
      </c>
      <c r="O75">
        <v>55.380924382051802</v>
      </c>
      <c r="P75">
        <v>-4.9769428456666202E-2</v>
      </c>
      <c r="Q75">
        <v>0</v>
      </c>
      <c r="R75">
        <v>0.98595215847300799</v>
      </c>
      <c r="S75" t="s">
        <v>5626</v>
      </c>
      <c r="T75" t="s">
        <v>11100</v>
      </c>
      <c r="U75" t="s">
        <v>11100</v>
      </c>
      <c r="V75" t="s">
        <v>11100</v>
      </c>
      <c r="W75" t="s">
        <v>11175</v>
      </c>
      <c r="X75">
        <v>9</v>
      </c>
      <c r="Y75" t="s">
        <v>16667</v>
      </c>
      <c r="Z75" t="s">
        <v>22080</v>
      </c>
      <c r="AA75">
        <v>0.67353579988991019</v>
      </c>
      <c r="AB75" t="str">
        <f>HYPERLINK("Melting_Curves/meltCurve_B0AZU2_KIAA0930.pdf", "Melting_Curves/meltCurve_B0AZU2_KIAA0930.pdf")</f>
        <v>Melting_Curves/meltCurve_B0AZU2_KIAA0930.pdf</v>
      </c>
    </row>
    <row r="76" spans="1:28" x14ac:dyDescent="0.25">
      <c r="A76" t="s">
        <v>80</v>
      </c>
      <c r="B76">
        <v>0.99299721793515405</v>
      </c>
      <c r="C76">
        <v>0.94771992317140397</v>
      </c>
      <c r="D76">
        <v>1.0378259413264199</v>
      </c>
      <c r="E76">
        <v>0.85852443584828397</v>
      </c>
      <c r="F76">
        <v>0.745252397969286</v>
      </c>
      <c r="G76">
        <v>0.629062358015402</v>
      </c>
      <c r="H76">
        <v>0.37713176556126499</v>
      </c>
      <c r="I76">
        <v>0.20720068995943999</v>
      </c>
      <c r="J76">
        <v>0.22769262104926299</v>
      </c>
      <c r="K76">
        <v>0.20135610254462299</v>
      </c>
      <c r="L76">
        <v>732.16429262044096</v>
      </c>
      <c r="M76">
        <v>13.568214388209</v>
      </c>
      <c r="N76">
        <v>55.050141990763898</v>
      </c>
      <c r="O76">
        <v>52.830024286882797</v>
      </c>
      <c r="P76">
        <v>-5.66617196130388E-2</v>
      </c>
      <c r="Q76">
        <v>0.117645891600746</v>
      </c>
      <c r="R76">
        <v>0.98305709859858204</v>
      </c>
      <c r="S76" t="s">
        <v>5627</v>
      </c>
      <c r="T76" t="s">
        <v>11100</v>
      </c>
      <c r="U76" t="s">
        <v>11100</v>
      </c>
      <c r="V76" t="s">
        <v>11100</v>
      </c>
      <c r="W76" t="s">
        <v>11176</v>
      </c>
      <c r="X76">
        <v>6</v>
      </c>
      <c r="Y76" t="s">
        <v>16668</v>
      </c>
      <c r="Z76" t="s">
        <v>22081</v>
      </c>
      <c r="AA76">
        <v>0.631788163619589</v>
      </c>
      <c r="AB76" t="str">
        <f>HYPERLINK("Melting_Curves/meltCurve_B0FLL2_PFKFB2.pdf", "Melting_Curves/meltCurve_B0FLL2_PFKFB2.pdf")</f>
        <v>Melting_Curves/meltCurve_B0FLL2_PFKFB2.pdf</v>
      </c>
    </row>
    <row r="77" spans="1:28" x14ac:dyDescent="0.25">
      <c r="A77" t="s">
        <v>81</v>
      </c>
      <c r="B77">
        <v>0.99299721793515405</v>
      </c>
      <c r="C77">
        <v>0.93559063278338805</v>
      </c>
      <c r="D77">
        <v>0.82656000281020403</v>
      </c>
      <c r="E77">
        <v>0.93466698491066302</v>
      </c>
      <c r="F77">
        <v>1.08883367984948</v>
      </c>
      <c r="G77">
        <v>4.19692538655009</v>
      </c>
      <c r="H77">
        <v>1.5716477409087599</v>
      </c>
      <c r="I77">
        <v>0.39001816882331303</v>
      </c>
      <c r="J77">
        <v>0.304909238519665</v>
      </c>
      <c r="K77">
        <v>0.26957873678605598</v>
      </c>
      <c r="L77">
        <v>15000</v>
      </c>
      <c r="M77">
        <v>247.682445389973</v>
      </c>
      <c r="N77">
        <v>60.771068039160703</v>
      </c>
      <c r="O77">
        <v>60.5574692149616</v>
      </c>
      <c r="P77">
        <v>-0.72880264082988899</v>
      </c>
      <c r="Q77">
        <v>0.28724147826770202</v>
      </c>
      <c r="R77">
        <v>9.8656656942682899E-2</v>
      </c>
      <c r="S77" t="s">
        <v>5628</v>
      </c>
      <c r="T77" t="s">
        <v>11100</v>
      </c>
      <c r="U77" t="s">
        <v>11100</v>
      </c>
      <c r="V77" t="s">
        <v>11100</v>
      </c>
      <c r="W77" t="s">
        <v>11177</v>
      </c>
      <c r="X77">
        <v>12</v>
      </c>
      <c r="Y77" t="s">
        <v>16669</v>
      </c>
      <c r="Z77" t="s">
        <v>22082</v>
      </c>
      <c r="AA77">
        <v>0.84710536320313712</v>
      </c>
      <c r="AB77" t="str">
        <f>HYPERLINK("Melting_Curves/meltCurve_B0QY89_EIF3L.pdf", "Melting_Curves/meltCurve_B0QY89_EIF3L.pdf")</f>
        <v>Melting_Curves/meltCurve_B0QY89_EIF3L.pdf</v>
      </c>
    </row>
    <row r="78" spans="1:28" x14ac:dyDescent="0.25">
      <c r="A78" t="s">
        <v>82</v>
      </c>
      <c r="B78">
        <v>0.99299721793515405</v>
      </c>
      <c r="C78">
        <v>0.88521219790472006</v>
      </c>
      <c r="D78">
        <v>1.1104229060911901</v>
      </c>
      <c r="E78">
        <v>0.76001549895999898</v>
      </c>
      <c r="F78">
        <v>0.64164444850086699</v>
      </c>
      <c r="G78">
        <v>0.44209304383564202</v>
      </c>
      <c r="H78">
        <v>0.18540224389021401</v>
      </c>
      <c r="I78">
        <v>0.12816429204579599</v>
      </c>
      <c r="J78">
        <v>0.14327376222924099</v>
      </c>
      <c r="K78">
        <v>0.14654547833460399</v>
      </c>
      <c r="L78">
        <v>817.115264967808</v>
      </c>
      <c r="M78">
        <v>15.9187364363768</v>
      </c>
      <c r="N78">
        <v>52.015037943463</v>
      </c>
      <c r="O78">
        <v>50.540852945699498</v>
      </c>
      <c r="P78">
        <v>-7.1305173012007006E-2</v>
      </c>
      <c r="Q78">
        <v>9.4517096049909502E-2</v>
      </c>
      <c r="R78">
        <v>0.962589403885309</v>
      </c>
      <c r="S78" t="s">
        <v>5629</v>
      </c>
      <c r="T78" t="s">
        <v>11100</v>
      </c>
      <c r="U78" t="s">
        <v>11100</v>
      </c>
      <c r="V78" t="s">
        <v>11100</v>
      </c>
      <c r="W78" t="s">
        <v>11178</v>
      </c>
      <c r="X78">
        <v>11</v>
      </c>
      <c r="Y78" t="s">
        <v>16670</v>
      </c>
      <c r="Z78" t="s">
        <v>22083</v>
      </c>
      <c r="AA78">
        <v>0.54366674085456113</v>
      </c>
      <c r="AB78" t="str">
        <f>HYPERLINK("Melting_Curves/meltCurve_B0QY95_SMCR7L.pdf", "Melting_Curves/meltCurve_B0QY95_SMCR7L.pdf")</f>
        <v>Melting_Curves/meltCurve_B0QY95_SMCR7L.pdf</v>
      </c>
    </row>
    <row r="79" spans="1:28" x14ac:dyDescent="0.25">
      <c r="A79" t="s">
        <v>83</v>
      </c>
      <c r="B79">
        <v>0.99299721793515405</v>
      </c>
      <c r="C79">
        <v>1.01341484680436</v>
      </c>
      <c r="D79">
        <v>0.96847788005109803</v>
      </c>
      <c r="E79">
        <v>0.85036254384050403</v>
      </c>
      <c r="F79">
        <v>0.89455955645167395</v>
      </c>
      <c r="G79">
        <v>0.79926676575643896</v>
      </c>
      <c r="H79">
        <v>0.60662305101732605</v>
      </c>
      <c r="I79">
        <v>0.57785840240174902</v>
      </c>
      <c r="J79">
        <v>0.42324858593144599</v>
      </c>
      <c r="K79">
        <v>0.27070902950708398</v>
      </c>
      <c r="L79">
        <v>530.742606983933</v>
      </c>
      <c r="M79">
        <v>8.6446947125122904</v>
      </c>
      <c r="N79">
        <v>61.395174951680502</v>
      </c>
      <c r="O79">
        <v>58.3749785151143</v>
      </c>
      <c r="P79">
        <v>-3.7053565555340298E-2</v>
      </c>
      <c r="Q79">
        <v>0</v>
      </c>
      <c r="R79">
        <v>0.96857951528415998</v>
      </c>
      <c r="S79" t="s">
        <v>5630</v>
      </c>
      <c r="T79" t="s">
        <v>11100</v>
      </c>
      <c r="U79" t="s">
        <v>11100</v>
      </c>
      <c r="V79" t="s">
        <v>11100</v>
      </c>
      <c r="W79" t="s">
        <v>11179</v>
      </c>
      <c r="X79">
        <v>5</v>
      </c>
      <c r="Y79" t="s">
        <v>16671</v>
      </c>
      <c r="Z79" t="s">
        <v>22084</v>
      </c>
      <c r="AA79">
        <v>0.75900491286874527</v>
      </c>
      <c r="AB79" t="str">
        <f>HYPERLINK("Melting_Curves/meltCurve_B0QYI3_TBC1D22A.pdf", "Melting_Curves/meltCurve_B0QYI3_TBC1D22A.pdf")</f>
        <v>Melting_Curves/meltCurve_B0QYI3_TBC1D22A.pdf</v>
      </c>
    </row>
    <row r="80" spans="1:28" x14ac:dyDescent="0.25">
      <c r="A80" t="s">
        <v>84</v>
      </c>
      <c r="B80">
        <v>0.99299721793515405</v>
      </c>
      <c r="C80">
        <v>1.18021024990614</v>
      </c>
      <c r="D80">
        <v>1.0191142867118499</v>
      </c>
      <c r="E80">
        <v>1.01833992404556</v>
      </c>
      <c r="F80">
        <v>0.84844858439752602</v>
      </c>
      <c r="G80">
        <v>0.58224991385344504</v>
      </c>
      <c r="H80">
        <v>0.55700754824078802</v>
      </c>
      <c r="I80">
        <v>0.500608444771664</v>
      </c>
      <c r="J80">
        <v>0.610941567217402</v>
      </c>
      <c r="K80">
        <v>0.45222856266349098</v>
      </c>
      <c r="L80">
        <v>2149.0886719156701</v>
      </c>
      <c r="M80">
        <v>42.029789362983401</v>
      </c>
      <c r="O80">
        <v>51.0171637490037</v>
      </c>
      <c r="P80">
        <v>-9.70278716665878E-2</v>
      </c>
      <c r="Q80">
        <v>0.52889810039053498</v>
      </c>
      <c r="R80">
        <v>0.92413099044779601</v>
      </c>
      <c r="S80" t="s">
        <v>5631</v>
      </c>
      <c r="T80" t="s">
        <v>11100</v>
      </c>
      <c r="U80" t="s">
        <v>11100</v>
      </c>
      <c r="V80" t="s">
        <v>11100</v>
      </c>
      <c r="W80" t="s">
        <v>11180</v>
      </c>
      <c r="X80">
        <v>4</v>
      </c>
      <c r="Y80" t="s">
        <v>16672</v>
      </c>
      <c r="Z80" t="s">
        <v>22085</v>
      </c>
      <c r="AA80">
        <v>0.75233216368233247</v>
      </c>
      <c r="AB80" t="str">
        <f>HYPERLINK("Melting_Curves/meltCurve_B0QYK0_EWSR1.pdf", "Melting_Curves/meltCurve_B0QYK0_EWSR1.pdf")</f>
        <v>Melting_Curves/meltCurve_B0QYK0_EWSR1.pdf</v>
      </c>
    </row>
    <row r="81" spans="1:28" x14ac:dyDescent="0.25">
      <c r="A81" t="s">
        <v>85</v>
      </c>
      <c r="B81">
        <v>0.99299721793515405</v>
      </c>
      <c r="C81">
        <v>1.07273306079368</v>
      </c>
      <c r="D81">
        <v>1.12140188023316</v>
      </c>
      <c r="E81">
        <v>0.97038094325249302</v>
      </c>
      <c r="F81">
        <v>0.77228675924850698</v>
      </c>
      <c r="G81">
        <v>0.57995665039175004</v>
      </c>
      <c r="H81">
        <v>0.23715604311833599</v>
      </c>
      <c r="I81">
        <v>0.175079135004579</v>
      </c>
      <c r="J81">
        <v>0.159794653043802</v>
      </c>
      <c r="K81">
        <v>0.118890985374293</v>
      </c>
      <c r="L81">
        <v>1134.8321380304801</v>
      </c>
      <c r="M81">
        <v>21.2234726163205</v>
      </c>
      <c r="N81">
        <v>54.123246348668197</v>
      </c>
      <c r="O81">
        <v>53.002714354586097</v>
      </c>
      <c r="P81">
        <v>-8.8806649880861899E-2</v>
      </c>
      <c r="Q81">
        <v>0.112893474448793</v>
      </c>
      <c r="R81">
        <v>0.98122437639912097</v>
      </c>
      <c r="S81" t="s">
        <v>5632</v>
      </c>
      <c r="T81" t="s">
        <v>11100</v>
      </c>
      <c r="U81" t="s">
        <v>11100</v>
      </c>
      <c r="V81" t="s">
        <v>11100</v>
      </c>
      <c r="W81" t="s">
        <v>11181</v>
      </c>
      <c r="X81">
        <v>22</v>
      </c>
      <c r="Y81" t="s">
        <v>16673</v>
      </c>
      <c r="Z81" t="s">
        <v>22086</v>
      </c>
      <c r="AA81">
        <v>0.61003289957116447</v>
      </c>
      <c r="AB81" t="str">
        <f>HYPERLINK("Melting_Curves/meltCurve_B0QZ18_CPNE1.pdf", "Melting_Curves/meltCurve_B0QZ18_CPNE1.pdf")</f>
        <v>Melting_Curves/meltCurve_B0QZ18_CPNE1.pdf</v>
      </c>
    </row>
    <row r="82" spans="1:28" x14ac:dyDescent="0.25">
      <c r="A82" t="s">
        <v>86</v>
      </c>
      <c r="B82">
        <v>0.99299721793515405</v>
      </c>
      <c r="C82">
        <v>0.94663209405886395</v>
      </c>
      <c r="D82">
        <v>0.83279819121958099</v>
      </c>
      <c r="E82">
        <v>0.74688861582409105</v>
      </c>
      <c r="F82">
        <v>0.65081317139747596</v>
      </c>
      <c r="G82">
        <v>0.57824391100815398</v>
      </c>
      <c r="H82">
        <v>0.497623242019196</v>
      </c>
      <c r="I82">
        <v>0.65978218919633103</v>
      </c>
      <c r="J82">
        <v>0.51728933665598598</v>
      </c>
      <c r="K82">
        <v>0.45299622563043102</v>
      </c>
      <c r="L82">
        <v>541.36607902287994</v>
      </c>
      <c r="M82">
        <v>11.7140909970978</v>
      </c>
      <c r="O82">
        <v>44.929759944105903</v>
      </c>
      <c r="P82">
        <v>-3.2248605475057597E-2</v>
      </c>
      <c r="Q82">
        <v>0.50536878200743396</v>
      </c>
      <c r="R82">
        <v>0.92354351808498303</v>
      </c>
      <c r="S82" t="s">
        <v>5633</v>
      </c>
      <c r="T82" t="s">
        <v>11100</v>
      </c>
      <c r="U82" t="s">
        <v>11100</v>
      </c>
      <c r="V82" t="s">
        <v>11100</v>
      </c>
      <c r="W82" t="s">
        <v>11182</v>
      </c>
      <c r="X82">
        <v>2</v>
      </c>
      <c r="Y82" t="s">
        <v>16674</v>
      </c>
      <c r="Z82" t="s">
        <v>22087</v>
      </c>
      <c r="AA82">
        <v>0.67487719314335648</v>
      </c>
      <c r="AB82" t="str">
        <f>HYPERLINK("Melting_Curves/meltCurve_B0QZ40_COMMD6.pdf", "Melting_Curves/meltCurve_B0QZ40_COMMD6.pdf")</f>
        <v>Melting_Curves/meltCurve_B0QZ40_COMMD6.pdf</v>
      </c>
    </row>
    <row r="83" spans="1:28" x14ac:dyDescent="0.25">
      <c r="A83" t="s">
        <v>87</v>
      </c>
      <c r="B83">
        <v>0.99299721793515405</v>
      </c>
      <c r="C83">
        <v>0.99256761511403102</v>
      </c>
      <c r="D83">
        <v>0.936027182234067</v>
      </c>
      <c r="E83">
        <v>0.82824558886742505</v>
      </c>
      <c r="F83">
        <v>0.74929194619248096</v>
      </c>
      <c r="G83">
        <v>0.55100379368055097</v>
      </c>
      <c r="H83">
        <v>0.362551061736748</v>
      </c>
      <c r="I83">
        <v>0.29238816423040997</v>
      </c>
      <c r="J83">
        <v>0.23276726532550801</v>
      </c>
      <c r="K83">
        <v>0.257336185820909</v>
      </c>
      <c r="L83">
        <v>655.18400803083296</v>
      </c>
      <c r="M83">
        <v>12.4172537276198</v>
      </c>
      <c r="N83">
        <v>54.578222844298502</v>
      </c>
      <c r="O83">
        <v>51.451566906786297</v>
      </c>
      <c r="P83">
        <v>-5.0143310568189797E-2</v>
      </c>
      <c r="Q83">
        <v>0.16908929503010001</v>
      </c>
      <c r="R83">
        <v>0.99358409587292196</v>
      </c>
      <c r="S83" t="s">
        <v>5634</v>
      </c>
      <c r="T83" t="s">
        <v>11100</v>
      </c>
      <c r="U83" t="s">
        <v>11100</v>
      </c>
      <c r="V83" t="s">
        <v>11100</v>
      </c>
      <c r="W83" t="s">
        <v>11183</v>
      </c>
      <c r="X83">
        <v>21</v>
      </c>
      <c r="Y83" t="s">
        <v>16675</v>
      </c>
      <c r="Z83" t="s">
        <v>22088</v>
      </c>
      <c r="AA83">
        <v>0.62339675175540232</v>
      </c>
      <c r="AB83" t="str">
        <f>HYPERLINK("Melting_Curves/meltCurve_B0UX83_BAG6.pdf", "Melting_Curves/meltCurve_B0UX83_BAG6.pdf")</f>
        <v>Melting_Curves/meltCurve_B0UX83_BAG6.pdf</v>
      </c>
    </row>
    <row r="84" spans="1:28" x14ac:dyDescent="0.25">
      <c r="A84" t="s">
        <v>88</v>
      </c>
      <c r="B84">
        <v>0.99299721793515405</v>
      </c>
      <c r="C84">
        <v>0.92698096549430398</v>
      </c>
      <c r="D84">
        <v>0.86622734046169503</v>
      </c>
      <c r="E84">
        <v>0.77372299662941402</v>
      </c>
      <c r="F84">
        <v>0.67819103217461096</v>
      </c>
      <c r="G84">
        <v>0.35284968083309698</v>
      </c>
      <c r="H84">
        <v>0.25065403156426402</v>
      </c>
      <c r="I84">
        <v>0.243913545010635</v>
      </c>
      <c r="J84">
        <v>0.217145097165092</v>
      </c>
      <c r="K84">
        <v>0.16856109924187199</v>
      </c>
      <c r="L84">
        <v>617.34793169443697</v>
      </c>
      <c r="M84">
        <v>12.188855126289001</v>
      </c>
      <c r="N84">
        <v>51.899564988921497</v>
      </c>
      <c r="O84">
        <v>49.343122732576397</v>
      </c>
      <c r="P84">
        <v>-5.3907032466347198E-2</v>
      </c>
      <c r="Q84">
        <v>0.127289007611319</v>
      </c>
      <c r="R84">
        <v>0.980911952262145</v>
      </c>
      <c r="S84" t="s">
        <v>5635</v>
      </c>
      <c r="T84" t="s">
        <v>11100</v>
      </c>
      <c r="U84" t="s">
        <v>11100</v>
      </c>
      <c r="V84" t="s">
        <v>11100</v>
      </c>
      <c r="W84" t="s">
        <v>11184</v>
      </c>
      <c r="X84">
        <v>6</v>
      </c>
      <c r="Y84" t="s">
        <v>16676</v>
      </c>
      <c r="Z84" t="s">
        <v>22089</v>
      </c>
      <c r="AA84">
        <v>0.54729226637430961</v>
      </c>
      <c r="AB84" t="str">
        <f>HYPERLINK("Melting_Curves/meltCurve_B0UXB6_ABHD16A.pdf", "Melting_Curves/meltCurve_B0UXB6_ABHD16A.pdf")</f>
        <v>Melting_Curves/meltCurve_B0UXB6_ABHD16A.pdf</v>
      </c>
    </row>
    <row r="85" spans="1:28" x14ac:dyDescent="0.25">
      <c r="A85" t="s">
        <v>89</v>
      </c>
      <c r="B85">
        <v>0.99299721793515405</v>
      </c>
      <c r="C85">
        <v>0.98179188543749196</v>
      </c>
      <c r="D85">
        <v>0.91291508712718406</v>
      </c>
      <c r="E85">
        <v>0.79144365080958001</v>
      </c>
      <c r="F85">
        <v>0.66245953823204695</v>
      </c>
      <c r="G85">
        <v>0.50699387235747195</v>
      </c>
      <c r="H85">
        <v>0.244945780861198</v>
      </c>
      <c r="I85">
        <v>0.22393326849886699</v>
      </c>
      <c r="J85">
        <v>0.199324220112918</v>
      </c>
      <c r="K85">
        <v>0.19672931910758501</v>
      </c>
      <c r="L85">
        <v>638.47516990025804</v>
      </c>
      <c r="M85">
        <v>12.353858962608101</v>
      </c>
      <c r="N85">
        <v>52.850654744825498</v>
      </c>
      <c r="O85">
        <v>50.384037263649297</v>
      </c>
      <c r="P85">
        <v>-5.3985155985289301E-2</v>
      </c>
      <c r="Q85">
        <v>0.119496393750138</v>
      </c>
      <c r="R85">
        <v>0.98953649356992901</v>
      </c>
      <c r="S85" t="s">
        <v>5636</v>
      </c>
      <c r="T85" t="s">
        <v>11100</v>
      </c>
      <c r="U85" t="s">
        <v>11100</v>
      </c>
      <c r="V85" t="s">
        <v>11100</v>
      </c>
      <c r="W85" t="s">
        <v>11185</v>
      </c>
      <c r="X85">
        <v>24</v>
      </c>
      <c r="Y85" t="s">
        <v>16677</v>
      </c>
      <c r="Z85" t="s">
        <v>22090</v>
      </c>
      <c r="AA85">
        <v>0.5714672736513684</v>
      </c>
      <c r="AB85" t="str">
        <f>HYPERLINK("Melting_Curves/meltCurve_B0V043_VARS.pdf", "Melting_Curves/meltCurve_B0V043_VARS.pdf")</f>
        <v>Melting_Curves/meltCurve_B0V043_VARS.pdf</v>
      </c>
    </row>
    <row r="86" spans="1:28" x14ac:dyDescent="0.25">
      <c r="A86" t="s">
        <v>90</v>
      </c>
      <c r="B86">
        <v>0.99299721793515405</v>
      </c>
      <c r="C86">
        <v>1.0044784575399901</v>
      </c>
      <c r="D86">
        <v>1.03586850071772</v>
      </c>
      <c r="E86">
        <v>0.98920951470014695</v>
      </c>
      <c r="F86">
        <v>0.82981171896956296</v>
      </c>
      <c r="G86">
        <v>0.69116018122744105</v>
      </c>
      <c r="H86">
        <v>0.49449874022502399</v>
      </c>
      <c r="I86">
        <v>0.40548303680351799</v>
      </c>
      <c r="J86">
        <v>0.32378006694029399</v>
      </c>
      <c r="K86">
        <v>0.352605249728765</v>
      </c>
      <c r="L86">
        <v>956.12776537360003</v>
      </c>
      <c r="M86">
        <v>17.657789188227401</v>
      </c>
      <c r="N86">
        <v>57.319486121795599</v>
      </c>
      <c r="O86">
        <v>53.4674933583848</v>
      </c>
      <c r="P86">
        <v>-5.6822810197473803E-2</v>
      </c>
      <c r="Q86">
        <v>0.31180250961911199</v>
      </c>
      <c r="R86">
        <v>0.99325676364658699</v>
      </c>
      <c r="S86" t="s">
        <v>5637</v>
      </c>
      <c r="T86" t="s">
        <v>11100</v>
      </c>
      <c r="U86" t="s">
        <v>11100</v>
      </c>
      <c r="V86" t="s">
        <v>11100</v>
      </c>
      <c r="W86" t="s">
        <v>11186</v>
      </c>
      <c r="X86">
        <v>4</v>
      </c>
      <c r="Y86" t="s">
        <v>16678</v>
      </c>
      <c r="Z86" t="s">
        <v>22091</v>
      </c>
      <c r="AA86">
        <v>0.71469413118234681</v>
      </c>
      <c r="AB86" t="str">
        <f>HYPERLINK("Melting_Curves/meltCurve_B0V109_FLOT1.pdf", "Melting_Curves/meltCurve_B0V109_FLOT1.pdf")</f>
        <v>Melting_Curves/meltCurve_B0V109_FLOT1.pdf</v>
      </c>
    </row>
    <row r="87" spans="1:28" x14ac:dyDescent="0.25">
      <c r="A87" t="s">
        <v>91</v>
      </c>
      <c r="B87">
        <v>0.99299721793515405</v>
      </c>
      <c r="C87">
        <v>1.0246280823326599</v>
      </c>
      <c r="D87">
        <v>0.98257534634256904</v>
      </c>
      <c r="E87">
        <v>0.99362872538298197</v>
      </c>
      <c r="F87">
        <v>0.75975831172838904</v>
      </c>
      <c r="G87">
        <v>0.38502709032059201</v>
      </c>
      <c r="H87">
        <v>0.65937245569456404</v>
      </c>
      <c r="I87">
        <v>0.74371320650628503</v>
      </c>
      <c r="J87">
        <v>1.0482140656740899</v>
      </c>
      <c r="K87">
        <v>0.67917623189494003</v>
      </c>
      <c r="L87">
        <v>12477.4801654979</v>
      </c>
      <c r="M87">
        <v>250</v>
      </c>
      <c r="O87">
        <v>49.9067309505241</v>
      </c>
      <c r="P87">
        <v>-0.37181784473823498</v>
      </c>
      <c r="Q87">
        <v>0.70310061501714305</v>
      </c>
      <c r="R87">
        <v>0.46871044399153799</v>
      </c>
      <c r="S87" t="s">
        <v>5638</v>
      </c>
      <c r="T87" t="s">
        <v>11100</v>
      </c>
      <c r="U87" t="s">
        <v>11100</v>
      </c>
      <c r="V87" t="s">
        <v>11100</v>
      </c>
      <c r="W87" t="s">
        <v>11187</v>
      </c>
      <c r="X87">
        <v>2</v>
      </c>
      <c r="Y87" t="s">
        <v>16679</v>
      </c>
      <c r="Z87" t="s">
        <v>22092</v>
      </c>
      <c r="AA87">
        <v>0.83089153759505008</v>
      </c>
      <c r="AB87" t="str">
        <f>HYPERLINK("Melting_Curves/meltCurve_B0YIW2_APOC3.pdf", "Melting_Curves/meltCurve_B0YIW2_APOC3.pdf")</f>
        <v>Melting_Curves/meltCurve_B0YIW2_APOC3.pdf</v>
      </c>
    </row>
    <row r="88" spans="1:28" x14ac:dyDescent="0.25">
      <c r="A88" t="s">
        <v>92</v>
      </c>
      <c r="B88">
        <v>0.99299721793515405</v>
      </c>
      <c r="C88">
        <v>1.07327871952886</v>
      </c>
      <c r="D88">
        <v>1.5666414561105799</v>
      </c>
      <c r="E88">
        <v>0.95903610684098095</v>
      </c>
      <c r="F88">
        <v>0.89626298173793495</v>
      </c>
      <c r="G88">
        <v>1.0350293545296501</v>
      </c>
      <c r="H88">
        <v>0.56092536346356103</v>
      </c>
      <c r="I88">
        <v>0.63279308590862104</v>
      </c>
      <c r="J88">
        <v>0.64059413317483305</v>
      </c>
      <c r="K88">
        <v>0.75434786573443502</v>
      </c>
      <c r="L88">
        <v>13862.2704699148</v>
      </c>
      <c r="M88">
        <v>250</v>
      </c>
      <c r="O88">
        <v>55.4455335020264</v>
      </c>
      <c r="P88">
        <v>-0.39773757362623402</v>
      </c>
      <c r="Q88">
        <v>0.64715564897086397</v>
      </c>
      <c r="R88">
        <v>0.53835077204021697</v>
      </c>
      <c r="S88" t="s">
        <v>5639</v>
      </c>
      <c r="T88" t="s">
        <v>11100</v>
      </c>
      <c r="U88" t="s">
        <v>11100</v>
      </c>
      <c r="V88" t="s">
        <v>11100</v>
      </c>
      <c r="W88" t="s">
        <v>11188</v>
      </c>
      <c r="X88">
        <v>2</v>
      </c>
      <c r="Y88" t="s">
        <v>16680</v>
      </c>
      <c r="Z88" t="s">
        <v>22093</v>
      </c>
      <c r="AA88">
        <v>0.8641784624880281</v>
      </c>
      <c r="AB88" t="str">
        <f>HYPERLINK("Melting_Curves/meltCurve_B1AH87_TSPO.pdf", "Melting_Curves/meltCurve_B1AH87_TSPO.pdf")</f>
        <v>Melting_Curves/meltCurve_B1AH87_TSPO.pdf</v>
      </c>
    </row>
    <row r="89" spans="1:28" x14ac:dyDescent="0.25">
      <c r="A89" t="s">
        <v>93</v>
      </c>
      <c r="B89">
        <v>0.99299721793515405</v>
      </c>
      <c r="C89">
        <v>0.91690668271704401</v>
      </c>
      <c r="D89">
        <v>1.0748854360418201</v>
      </c>
      <c r="E89">
        <v>0.89628919222229297</v>
      </c>
      <c r="F89">
        <v>0.78783387077104705</v>
      </c>
      <c r="G89">
        <v>0.69639459349902599</v>
      </c>
      <c r="H89">
        <v>0.53725362589190195</v>
      </c>
      <c r="I89">
        <v>0.54325100935251303</v>
      </c>
      <c r="J89">
        <v>0.42688689870868501</v>
      </c>
      <c r="K89">
        <v>0.28433705657434299</v>
      </c>
      <c r="L89">
        <v>471.59030365468902</v>
      </c>
      <c r="M89">
        <v>8.0051254137678107</v>
      </c>
      <c r="N89">
        <v>60.158659839508999</v>
      </c>
      <c r="O89">
        <v>55.5757278366546</v>
      </c>
      <c r="P89">
        <v>-3.3293340630543101E-2</v>
      </c>
      <c r="Q89">
        <v>7.6483792335477696E-2</v>
      </c>
      <c r="R89">
        <v>0.95178287703814202</v>
      </c>
      <c r="S89" t="s">
        <v>5640</v>
      </c>
      <c r="T89" t="s">
        <v>11100</v>
      </c>
      <c r="U89" t="s">
        <v>11100</v>
      </c>
      <c r="V89" t="s">
        <v>11100</v>
      </c>
      <c r="W89" t="s">
        <v>11189</v>
      </c>
      <c r="X89">
        <v>9</v>
      </c>
      <c r="Y89" t="s">
        <v>16681</v>
      </c>
      <c r="Z89" t="s">
        <v>22094</v>
      </c>
      <c r="AA89">
        <v>0.72266755065376387</v>
      </c>
      <c r="AB89" t="str">
        <f>HYPERLINK("Melting_Curves/meltCurve_B1AHD1_NHP2L1.pdf", "Melting_Curves/meltCurve_B1AHD1_NHP2L1.pdf")</f>
        <v>Melting_Curves/meltCurve_B1AHD1_NHP2L1.pdf</v>
      </c>
    </row>
    <row r="90" spans="1:28" x14ac:dyDescent="0.25">
      <c r="A90" t="s">
        <v>94</v>
      </c>
      <c r="B90">
        <v>0.99299721793515405</v>
      </c>
      <c r="C90">
        <v>1.1783004295770101</v>
      </c>
      <c r="D90">
        <v>1.0840503924596101</v>
      </c>
      <c r="E90">
        <v>0.99510527031559903</v>
      </c>
      <c r="F90">
        <v>0.85587710118863203</v>
      </c>
      <c r="G90">
        <v>0.436535610101631</v>
      </c>
      <c r="H90">
        <v>0.36056372478626197</v>
      </c>
      <c r="I90">
        <v>0.27781689234913798</v>
      </c>
      <c r="J90">
        <v>0.25576518584626801</v>
      </c>
      <c r="K90">
        <v>0.157855031674837</v>
      </c>
      <c r="L90">
        <v>1581.2472644956099</v>
      </c>
      <c r="M90">
        <v>30.196980418656601</v>
      </c>
      <c r="N90">
        <v>53.524081488242302</v>
      </c>
      <c r="O90">
        <v>52.136359690845701</v>
      </c>
      <c r="P90">
        <v>-0.11003485464995399</v>
      </c>
      <c r="Q90">
        <v>0.24008530036989501</v>
      </c>
      <c r="R90">
        <v>0.961843762856465</v>
      </c>
      <c r="S90" t="s">
        <v>5641</v>
      </c>
      <c r="T90" t="s">
        <v>11100</v>
      </c>
      <c r="U90" t="s">
        <v>11100</v>
      </c>
      <c r="V90" t="s">
        <v>11100</v>
      </c>
      <c r="W90" t="s">
        <v>11190</v>
      </c>
      <c r="X90">
        <v>2</v>
      </c>
      <c r="Y90" t="s">
        <v>16682</v>
      </c>
      <c r="Z90" t="s">
        <v>22095</v>
      </c>
      <c r="AA90">
        <v>0.63402656244937172</v>
      </c>
      <c r="AB90" t="str">
        <f>HYPERLINK("Melting_Curves/meltCurve_B1AHQ6_CENPM.pdf", "Melting_Curves/meltCurve_B1AHQ6_CENPM.pdf")</f>
        <v>Melting_Curves/meltCurve_B1AHQ6_CENPM.pdf</v>
      </c>
    </row>
    <row r="91" spans="1:28" x14ac:dyDescent="0.25">
      <c r="A91" t="s">
        <v>95</v>
      </c>
      <c r="B91">
        <v>0.99299721793515405</v>
      </c>
      <c r="C91">
        <v>1.22394082751926</v>
      </c>
      <c r="D91">
        <v>1.0200561378995801</v>
      </c>
      <c r="E91">
        <v>1.0062917707586501</v>
      </c>
      <c r="F91">
        <v>1.0583541397146501</v>
      </c>
      <c r="G91">
        <v>0.702912939243858</v>
      </c>
      <c r="H91">
        <v>0.81023681653789703</v>
      </c>
      <c r="I91">
        <v>0.59135872979104398</v>
      </c>
      <c r="J91">
        <v>0.46674657908241302</v>
      </c>
      <c r="K91">
        <v>0.28297627322747199</v>
      </c>
      <c r="L91">
        <v>738.99170409450505</v>
      </c>
      <c r="M91">
        <v>11.781809636530699</v>
      </c>
      <c r="N91">
        <v>62.723092245007201</v>
      </c>
      <c r="O91">
        <v>60.997923124075001</v>
      </c>
      <c r="P91">
        <v>-4.8300234469734797E-2</v>
      </c>
      <c r="Q91">
        <v>0</v>
      </c>
      <c r="R91">
        <v>0.87595349734170802</v>
      </c>
      <c r="S91" t="s">
        <v>5642</v>
      </c>
      <c r="T91" t="s">
        <v>11100</v>
      </c>
      <c r="U91" t="s">
        <v>11100</v>
      </c>
      <c r="V91" t="s">
        <v>11100</v>
      </c>
      <c r="W91" t="s">
        <v>11191</v>
      </c>
      <c r="X91">
        <v>5</v>
      </c>
      <c r="Y91" t="s">
        <v>16683</v>
      </c>
      <c r="Z91" t="s">
        <v>22096</v>
      </c>
      <c r="AA91">
        <v>0.81195547388648992</v>
      </c>
      <c r="AB91" t="str">
        <f>HYPERLINK("Melting_Curves/meltCurve_B1AK13_HMGCL.pdf", "Melting_Curves/meltCurve_B1AK13_HMGCL.pdf")</f>
        <v>Melting_Curves/meltCurve_B1AK13_HMGCL.pdf</v>
      </c>
    </row>
    <row r="92" spans="1:28" x14ac:dyDescent="0.25">
      <c r="A92" t="s">
        <v>96</v>
      </c>
      <c r="B92">
        <v>0.99299721793515405</v>
      </c>
      <c r="C92">
        <v>0.65149306176516197</v>
      </c>
      <c r="D92">
        <v>1.29341913559633</v>
      </c>
      <c r="E92">
        <v>0.52992037413573601</v>
      </c>
      <c r="F92">
        <v>0.72033549935895202</v>
      </c>
      <c r="G92">
        <v>0.80656308644542096</v>
      </c>
      <c r="H92">
        <v>0.30911480219499998</v>
      </c>
      <c r="I92">
        <v>0.351505156134093</v>
      </c>
      <c r="J92">
        <v>0.16967431431132099</v>
      </c>
      <c r="K92">
        <v>0</v>
      </c>
      <c r="L92">
        <v>551.99584681653403</v>
      </c>
      <c r="M92">
        <v>10.007899209398699</v>
      </c>
      <c r="N92">
        <v>55.156012680575202</v>
      </c>
      <c r="O92">
        <v>53.0894775792706</v>
      </c>
      <c r="P92">
        <v>-4.7150357178537501E-2</v>
      </c>
      <c r="Q92">
        <v>0</v>
      </c>
      <c r="R92">
        <v>0.68621502961358005</v>
      </c>
      <c r="S92" t="s">
        <v>5643</v>
      </c>
      <c r="T92" t="s">
        <v>11100</v>
      </c>
      <c r="U92" t="s">
        <v>11100</v>
      </c>
      <c r="V92" t="s">
        <v>11100</v>
      </c>
      <c r="W92" t="s">
        <v>11192</v>
      </c>
      <c r="X92">
        <v>3</v>
      </c>
      <c r="Y92" t="s">
        <v>16684</v>
      </c>
      <c r="Z92" t="s">
        <v>22097</v>
      </c>
      <c r="AA92">
        <v>0.61647875525077578</v>
      </c>
      <c r="AB92" t="str">
        <f>HYPERLINK("Melting_Curves/meltCurve_B1AKC9_EPHB2.pdf", "Melting_Curves/meltCurve_B1AKC9_EPHB2.pdf")</f>
        <v>Melting_Curves/meltCurve_B1AKC9_EPHB2.pdf</v>
      </c>
    </row>
    <row r="93" spans="1:28" x14ac:dyDescent="0.25">
      <c r="A93" t="s">
        <v>97</v>
      </c>
      <c r="B93">
        <v>0.99299721793515405</v>
      </c>
      <c r="C93">
        <v>1.0149544888576201</v>
      </c>
      <c r="D93">
        <v>0.950349087309034</v>
      </c>
      <c r="E93">
        <v>0.89602386035564296</v>
      </c>
      <c r="F93">
        <v>0.75828834621964003</v>
      </c>
      <c r="G93">
        <v>0.43765999395516503</v>
      </c>
      <c r="H93">
        <v>0.20908471720227401</v>
      </c>
      <c r="I93">
        <v>0.142970743661995</v>
      </c>
      <c r="J93">
        <v>0.118240916212964</v>
      </c>
      <c r="K93">
        <v>9.5309789085216201E-2</v>
      </c>
      <c r="L93">
        <v>1016.426683135</v>
      </c>
      <c r="M93">
        <v>19.350216818878401</v>
      </c>
      <c r="N93">
        <v>53.012712193723502</v>
      </c>
      <c r="O93">
        <v>51.976568754509302</v>
      </c>
      <c r="P93">
        <v>-8.5527750454293394E-2</v>
      </c>
      <c r="Q93">
        <v>8.1090675129544598E-2</v>
      </c>
      <c r="R93">
        <v>0.99727652571926795</v>
      </c>
      <c r="S93" t="s">
        <v>5644</v>
      </c>
      <c r="T93" t="s">
        <v>11100</v>
      </c>
      <c r="U93" t="s">
        <v>11100</v>
      </c>
      <c r="V93" t="s">
        <v>11100</v>
      </c>
      <c r="W93" t="s">
        <v>11193</v>
      </c>
      <c r="X93">
        <v>19</v>
      </c>
      <c r="Y93" t="s">
        <v>16685</v>
      </c>
      <c r="Z93" t="s">
        <v>22098</v>
      </c>
      <c r="AA93">
        <v>0.56903518323349966</v>
      </c>
      <c r="AB93" t="str">
        <f>HYPERLINK("Melting_Curves/meltCurve_B1AKJ5_NRD1.pdf", "Melting_Curves/meltCurve_B1AKJ5_NRD1.pdf")</f>
        <v>Melting_Curves/meltCurve_B1AKJ5_NRD1.pdf</v>
      </c>
    </row>
    <row r="94" spans="1:28" x14ac:dyDescent="0.25">
      <c r="A94" t="s">
        <v>98</v>
      </c>
      <c r="B94">
        <v>0.99299721793515405</v>
      </c>
      <c r="C94">
        <v>1.03929932469189</v>
      </c>
      <c r="D94">
        <v>0.90482328483822405</v>
      </c>
      <c r="E94">
        <v>1.0554711041115299</v>
      </c>
      <c r="F94">
        <v>0.84255727125805302</v>
      </c>
      <c r="G94">
        <v>0.78851879372773703</v>
      </c>
      <c r="H94">
        <v>1.23354432648824</v>
      </c>
      <c r="I94">
        <v>1.5377166244188301</v>
      </c>
      <c r="J94">
        <v>1.8452424500672899</v>
      </c>
      <c r="K94">
        <v>1.27051407603671</v>
      </c>
      <c r="L94">
        <v>14357.5673774517</v>
      </c>
      <c r="M94">
        <v>250</v>
      </c>
      <c r="O94">
        <v>57.426594595539001</v>
      </c>
      <c r="P94">
        <v>0.544172963562222</v>
      </c>
      <c r="Q94">
        <v>1.5</v>
      </c>
      <c r="R94">
        <v>0.73992169335040403</v>
      </c>
      <c r="S94" t="s">
        <v>5645</v>
      </c>
      <c r="T94" t="s">
        <v>11100</v>
      </c>
      <c r="U94" t="s">
        <v>11100</v>
      </c>
      <c r="V94" t="s">
        <v>11100</v>
      </c>
      <c r="W94" t="s">
        <v>11194</v>
      </c>
      <c r="X94">
        <v>6</v>
      </c>
      <c r="Y94" t="s">
        <v>16686</v>
      </c>
      <c r="Z94" t="s">
        <v>22099</v>
      </c>
      <c r="AA94">
        <v>1.1594451135552979</v>
      </c>
      <c r="AB94" t="str">
        <f>HYPERLINK("Melting_Curves/meltCurve_B1AKR6_DYNLRB1.pdf", "Melting_Curves/meltCurve_B1AKR6_DYNLRB1.pdf")</f>
        <v>Melting_Curves/meltCurve_B1AKR6_DYNLRB1.pdf</v>
      </c>
    </row>
    <row r="95" spans="1:28" x14ac:dyDescent="0.25">
      <c r="A95" t="s">
        <v>99</v>
      </c>
      <c r="B95">
        <v>0.99299721793515405</v>
      </c>
      <c r="C95">
        <v>0.999485776634084</v>
      </c>
      <c r="D95">
        <v>0.87905153559954197</v>
      </c>
      <c r="E95">
        <v>0.88290371138425705</v>
      </c>
      <c r="F95">
        <v>0.855284237309477</v>
      </c>
      <c r="G95">
        <v>0.55774730487469903</v>
      </c>
      <c r="H95">
        <v>0.34314968641397697</v>
      </c>
      <c r="I95">
        <v>0.33939922937810801</v>
      </c>
      <c r="J95">
        <v>0.321255370463432</v>
      </c>
      <c r="K95">
        <v>0.24998119550810299</v>
      </c>
      <c r="L95">
        <v>980.961774669124</v>
      </c>
      <c r="M95">
        <v>18.5907201659473</v>
      </c>
      <c r="N95">
        <v>54.922955189629</v>
      </c>
      <c r="O95">
        <v>52.167036703811597</v>
      </c>
      <c r="P95">
        <v>-6.6015397456969993E-2</v>
      </c>
      <c r="Q95">
        <v>0.25905440207695302</v>
      </c>
      <c r="R95">
        <v>0.97132796894862905</v>
      </c>
      <c r="S95" t="s">
        <v>5646</v>
      </c>
      <c r="T95" t="s">
        <v>11100</v>
      </c>
      <c r="U95" t="s">
        <v>11100</v>
      </c>
      <c r="V95" t="s">
        <v>11100</v>
      </c>
      <c r="W95" t="s">
        <v>11195</v>
      </c>
      <c r="X95">
        <v>7</v>
      </c>
      <c r="Y95" t="s">
        <v>16687</v>
      </c>
      <c r="Z95" t="s">
        <v>22100</v>
      </c>
      <c r="AA95">
        <v>0.65887863166677929</v>
      </c>
      <c r="AB95" t="str">
        <f>HYPERLINK("Melting_Curves/meltCurve_B1AKZ5_PEA15.pdf", "Melting_Curves/meltCurve_B1AKZ5_PEA15.pdf")</f>
        <v>Melting_Curves/meltCurve_B1AKZ5_PEA15.pdf</v>
      </c>
    </row>
    <row r="96" spans="1:28" x14ac:dyDescent="0.25">
      <c r="A96" t="s">
        <v>100</v>
      </c>
      <c r="B96">
        <v>0.99299721793515405</v>
      </c>
      <c r="C96">
        <v>0.96991084215772605</v>
      </c>
      <c r="D96">
        <v>0.86453497892412101</v>
      </c>
      <c r="E96">
        <v>0.78839048749145801</v>
      </c>
      <c r="F96">
        <v>0.56738218044282096</v>
      </c>
      <c r="G96">
        <v>0.26640395546344298</v>
      </c>
      <c r="H96">
        <v>0.20885599036660699</v>
      </c>
      <c r="I96">
        <v>0.19254231676793099</v>
      </c>
      <c r="J96">
        <v>0.198515674831058</v>
      </c>
      <c r="K96">
        <v>0.168793535028261</v>
      </c>
      <c r="L96">
        <v>823.640935553036</v>
      </c>
      <c r="M96">
        <v>16.681902536434599</v>
      </c>
      <c r="N96">
        <v>50.480435065515699</v>
      </c>
      <c r="O96">
        <v>48.680188677517897</v>
      </c>
      <c r="P96">
        <v>-7.2550949083045393E-2</v>
      </c>
      <c r="Q96">
        <v>0.15319998377860899</v>
      </c>
      <c r="R96">
        <v>0.98899398832276697</v>
      </c>
      <c r="S96" t="s">
        <v>5647</v>
      </c>
      <c r="T96" t="s">
        <v>11100</v>
      </c>
      <c r="U96" t="s">
        <v>11100</v>
      </c>
      <c r="V96" t="s">
        <v>11100</v>
      </c>
      <c r="W96" t="s">
        <v>11196</v>
      </c>
      <c r="X96">
        <v>4</v>
      </c>
      <c r="Y96" t="s">
        <v>16688</v>
      </c>
      <c r="Z96" t="s">
        <v>22101</v>
      </c>
      <c r="AA96">
        <v>0.5177045298941293</v>
      </c>
      <c r="AB96" t="str">
        <f>HYPERLINK("Melting_Curves/meltCurve_B1ALH6_PHYH.pdf", "Melting_Curves/meltCurve_B1ALH6_PHYH.pdf")</f>
        <v>Melting_Curves/meltCurve_B1ALH6_PHYH.pdf</v>
      </c>
    </row>
    <row r="97" spans="1:28" x14ac:dyDescent="0.25">
      <c r="A97" t="s">
        <v>101</v>
      </c>
      <c r="B97">
        <v>0.99299721793515405</v>
      </c>
      <c r="C97">
        <v>0.87934809826695404</v>
      </c>
      <c r="D97">
        <v>0.88142181878979098</v>
      </c>
      <c r="E97">
        <v>0.77835055602449799</v>
      </c>
      <c r="F97">
        <v>0.73112725777954801</v>
      </c>
      <c r="G97">
        <v>0.60969523382992097</v>
      </c>
      <c r="H97">
        <v>0.54309297277429702</v>
      </c>
      <c r="I97">
        <v>0.43109223507426397</v>
      </c>
      <c r="J97">
        <v>0.39336650565034598</v>
      </c>
      <c r="K97">
        <v>0.35476513090205702</v>
      </c>
      <c r="L97">
        <v>307.578817481035</v>
      </c>
      <c r="M97">
        <v>5.2630380928999898</v>
      </c>
      <c r="N97">
        <v>58.739592126757501</v>
      </c>
      <c r="O97">
        <v>51.597810720022601</v>
      </c>
      <c r="P97">
        <v>-2.5293291213956699E-2</v>
      </c>
      <c r="Q97">
        <v>1.31860604109139E-2</v>
      </c>
      <c r="R97">
        <v>0.98942813980516597</v>
      </c>
      <c r="S97" t="s">
        <v>5648</v>
      </c>
      <c r="T97" t="s">
        <v>11100</v>
      </c>
      <c r="U97" t="s">
        <v>11100</v>
      </c>
      <c r="V97" t="s">
        <v>11100</v>
      </c>
      <c r="W97" t="s">
        <v>11197</v>
      </c>
      <c r="X97">
        <v>2</v>
      </c>
      <c r="Y97" t="s">
        <v>16689</v>
      </c>
      <c r="Z97" t="s">
        <v>22102</v>
      </c>
      <c r="AA97">
        <v>0.66022096544698072</v>
      </c>
      <c r="AB97" t="str">
        <f>HYPERLINK("Melting_Curves/meltCurve_B1ALM5_TMEM9.pdf", "Melting_Curves/meltCurve_B1ALM5_TMEM9.pdf")</f>
        <v>Melting_Curves/meltCurve_B1ALM5_TMEM9.pdf</v>
      </c>
    </row>
    <row r="98" spans="1:28" x14ac:dyDescent="0.25">
      <c r="A98" t="s">
        <v>102</v>
      </c>
      <c r="B98">
        <v>0.99299721793515405</v>
      </c>
      <c r="C98">
        <v>1.1014369326453499</v>
      </c>
      <c r="D98">
        <v>0.92215977293391105</v>
      </c>
      <c r="E98">
        <v>0.90438221887121595</v>
      </c>
      <c r="F98">
        <v>0.77948177386069395</v>
      </c>
      <c r="G98">
        <v>0.54632606823432095</v>
      </c>
      <c r="H98">
        <v>1.0768358871718899</v>
      </c>
      <c r="I98">
        <v>1.25250051732235</v>
      </c>
      <c r="J98">
        <v>0.87022556316282196</v>
      </c>
      <c r="K98">
        <v>0.86063778783519795</v>
      </c>
      <c r="L98">
        <v>15000</v>
      </c>
      <c r="M98">
        <v>236.55109920897101</v>
      </c>
      <c r="O98">
        <v>63.406733485279602</v>
      </c>
      <c r="P98">
        <v>-0.13023994510923301</v>
      </c>
      <c r="Q98">
        <v>0.86035851096092797</v>
      </c>
      <c r="R98">
        <v>-3.48350310767431E-2</v>
      </c>
      <c r="S98" t="s">
        <v>5649</v>
      </c>
      <c r="T98" t="s">
        <v>11100</v>
      </c>
      <c r="U98" t="s">
        <v>11100</v>
      </c>
      <c r="V98" t="s">
        <v>11100</v>
      </c>
      <c r="W98" t="s">
        <v>11198</v>
      </c>
      <c r="X98">
        <v>9</v>
      </c>
      <c r="Y98" t="s">
        <v>16690</v>
      </c>
      <c r="Z98" t="s">
        <v>22103</v>
      </c>
      <c r="AA98">
        <v>0.98331272277579729</v>
      </c>
      <c r="AB98" t="str">
        <f>HYPERLINK("Melting_Curves/meltCurve_B1AMS2_SEPT6.pdf", "Melting_Curves/meltCurve_B1AMS2_SEPT6.pdf")</f>
        <v>Melting_Curves/meltCurve_B1AMS2_SEPT6.pdf</v>
      </c>
    </row>
    <row r="99" spans="1:28" x14ac:dyDescent="0.25">
      <c r="A99" t="s">
        <v>103</v>
      </c>
      <c r="B99">
        <v>0.99299721793515405</v>
      </c>
      <c r="C99">
        <v>1.0580505313164199</v>
      </c>
      <c r="D99">
        <v>0.89146306783012097</v>
      </c>
      <c r="E99">
        <v>0.91111838153653701</v>
      </c>
      <c r="F99">
        <v>0.49230901695294199</v>
      </c>
      <c r="G99">
        <v>0.14418246003892099</v>
      </c>
      <c r="H99">
        <v>0.160967634536024</v>
      </c>
      <c r="I99">
        <v>8.3986170494301696E-2</v>
      </c>
      <c r="J99">
        <v>8.8845227500651505E-2</v>
      </c>
      <c r="K99">
        <v>6.4301455466491506E-2</v>
      </c>
      <c r="L99">
        <v>1531.2301618325901</v>
      </c>
      <c r="M99">
        <v>30.754285782463601</v>
      </c>
      <c r="N99">
        <v>50.107633711265301</v>
      </c>
      <c r="O99">
        <v>49.580072096072598</v>
      </c>
      <c r="P99">
        <v>-0.14130876683830201</v>
      </c>
      <c r="Q99">
        <v>8.8769932227086304E-2</v>
      </c>
      <c r="R99">
        <v>0.988706574151484</v>
      </c>
      <c r="S99" t="s">
        <v>5650</v>
      </c>
      <c r="T99" t="s">
        <v>11100</v>
      </c>
      <c r="U99" t="s">
        <v>11100</v>
      </c>
      <c r="V99" t="s">
        <v>11100</v>
      </c>
      <c r="W99" t="s">
        <v>11199</v>
      </c>
      <c r="X99">
        <v>2</v>
      </c>
      <c r="Y99" t="s">
        <v>16691</v>
      </c>
      <c r="Z99" t="s">
        <v>22104</v>
      </c>
      <c r="AA99">
        <v>0.48253637540034361</v>
      </c>
      <c r="AB99" t="str">
        <f>HYPERLINK("Melting_Curves/meltCurve_B1AMU7_EXOSC1.pdf", "Melting_Curves/meltCurve_B1AMU7_EXOSC1.pdf")</f>
        <v>Melting_Curves/meltCurve_B1AMU7_EXOSC1.pdf</v>
      </c>
    </row>
    <row r="100" spans="1:28" x14ac:dyDescent="0.25">
      <c r="A100" t="s">
        <v>104</v>
      </c>
      <c r="B100">
        <v>0.99299721793515405</v>
      </c>
      <c r="C100">
        <v>0.99488274785988695</v>
      </c>
      <c r="D100">
        <v>0.89901523919193405</v>
      </c>
      <c r="E100">
        <v>0.92017642674446998</v>
      </c>
      <c r="F100">
        <v>0.89177702342124798</v>
      </c>
      <c r="G100">
        <v>0.60913604712593605</v>
      </c>
      <c r="H100">
        <v>2.2137896019737799</v>
      </c>
      <c r="I100">
        <v>2.0823744881275901</v>
      </c>
      <c r="J100">
        <v>2.8679082728927998</v>
      </c>
      <c r="K100">
        <v>2.5029292641701302</v>
      </c>
      <c r="L100">
        <v>1853.7674804731801</v>
      </c>
      <c r="M100">
        <v>33.875300580680197</v>
      </c>
      <c r="O100">
        <v>54.533636073811998</v>
      </c>
      <c r="P100">
        <v>7.7648044674794803E-2</v>
      </c>
      <c r="Q100">
        <v>1.5</v>
      </c>
      <c r="R100">
        <v>0.30426366458977699</v>
      </c>
      <c r="S100" t="s">
        <v>5651</v>
      </c>
      <c r="T100" t="s">
        <v>11100</v>
      </c>
      <c r="U100" t="s">
        <v>11100</v>
      </c>
      <c r="V100" t="s">
        <v>11100</v>
      </c>
      <c r="W100" t="s">
        <v>11200</v>
      </c>
      <c r="X100">
        <v>1</v>
      </c>
      <c r="Y100" t="s">
        <v>16692</v>
      </c>
      <c r="Z100" t="s">
        <v>22105</v>
      </c>
      <c r="AA100">
        <v>1.202052752496559</v>
      </c>
      <c r="AB100" t="str">
        <f>HYPERLINK("Melting_Curves/meltCurve_B1AN99_PRSS3.pdf", "Melting_Curves/meltCurve_B1AN99_PRSS3.pdf")</f>
        <v>Melting_Curves/meltCurve_B1AN99_PRSS3.pdf</v>
      </c>
    </row>
    <row r="101" spans="1:28" x14ac:dyDescent="0.25">
      <c r="A101" t="s">
        <v>105</v>
      </c>
      <c r="B101">
        <v>0.99299721793515405</v>
      </c>
      <c r="C101">
        <v>0.97142972210614997</v>
      </c>
      <c r="D101">
        <v>0.98010993229995502</v>
      </c>
      <c r="E101">
        <v>0.90910530621441099</v>
      </c>
      <c r="F101">
        <v>0.64777266129283295</v>
      </c>
      <c r="G101">
        <v>0.24871012410985499</v>
      </c>
      <c r="H101">
        <v>0.18121295263508599</v>
      </c>
      <c r="I101">
        <v>0.15547955273081501</v>
      </c>
      <c r="J101">
        <v>0.146007157262902</v>
      </c>
      <c r="K101">
        <v>0.12831518711420301</v>
      </c>
      <c r="L101">
        <v>1466.1713914995501</v>
      </c>
      <c r="M101">
        <v>28.934509446410701</v>
      </c>
      <c r="N101">
        <v>51.251638054739402</v>
      </c>
      <c r="O101">
        <v>50.431876135834202</v>
      </c>
      <c r="P101">
        <v>-0.12342116687485399</v>
      </c>
      <c r="Q101">
        <v>0.13953071355160701</v>
      </c>
      <c r="R101">
        <v>0.99766476020580097</v>
      </c>
      <c r="S101" t="s">
        <v>5652</v>
      </c>
      <c r="T101" t="s">
        <v>11100</v>
      </c>
      <c r="U101" t="s">
        <v>11100</v>
      </c>
      <c r="V101" t="s">
        <v>11100</v>
      </c>
      <c r="W101" t="s">
        <v>11201</v>
      </c>
      <c r="X101">
        <v>10</v>
      </c>
      <c r="Y101" t="s">
        <v>16693</v>
      </c>
      <c r="Z101" t="s">
        <v>22106</v>
      </c>
      <c r="AA101">
        <v>0.5374028341128031</v>
      </c>
      <c r="AB101" t="str">
        <f>HYPERLINK("Melting_Curves/meltCurve_B1ANH0_GUK1.pdf", "Melting_Curves/meltCurve_B1ANH0_GUK1.pdf")</f>
        <v>Melting_Curves/meltCurve_B1ANH0_GUK1.pdf</v>
      </c>
    </row>
    <row r="102" spans="1:28" x14ac:dyDescent="0.25">
      <c r="A102" t="s">
        <v>106</v>
      </c>
      <c r="B102">
        <v>0.99299721793515405</v>
      </c>
      <c r="C102">
        <v>0.879224371650141</v>
      </c>
      <c r="D102">
        <v>0.80842272005473104</v>
      </c>
      <c r="E102">
        <v>0.80160741734877805</v>
      </c>
      <c r="F102">
        <v>0.73226385878453304</v>
      </c>
      <c r="G102">
        <v>0.48629004686647298</v>
      </c>
      <c r="H102">
        <v>0.54195712144310504</v>
      </c>
      <c r="I102">
        <v>0.42755934353272101</v>
      </c>
      <c r="J102">
        <v>0.532640198844198</v>
      </c>
      <c r="K102">
        <v>0.44593072746478801</v>
      </c>
      <c r="L102">
        <v>412.11303553330998</v>
      </c>
      <c r="M102">
        <v>8.4612296492640997</v>
      </c>
      <c r="N102">
        <v>59.660383663731203</v>
      </c>
      <c r="O102">
        <v>46.213760611439298</v>
      </c>
      <c r="P102">
        <v>-2.77517133508162E-2</v>
      </c>
      <c r="Q102">
        <v>0.39425524385143601</v>
      </c>
      <c r="R102">
        <v>0.91903004542003497</v>
      </c>
      <c r="S102" t="s">
        <v>5653</v>
      </c>
      <c r="T102" t="s">
        <v>11100</v>
      </c>
      <c r="U102" t="s">
        <v>11100</v>
      </c>
      <c r="V102" t="s">
        <v>11100</v>
      </c>
      <c r="W102" t="s">
        <v>11202</v>
      </c>
      <c r="X102">
        <v>1</v>
      </c>
      <c r="Y102" t="s">
        <v>16694</v>
      </c>
      <c r="Z102" t="s">
        <v>22107</v>
      </c>
      <c r="AA102">
        <v>0.65818894953546703</v>
      </c>
      <c r="AB102" t="str">
        <f>HYPERLINK("Melting_Curves/meltCurve_B1AQP1_USF1.pdf", "Melting_Curves/meltCurve_B1AQP1_USF1.pdf")</f>
        <v>Melting_Curves/meltCurve_B1AQP1_USF1.pdf</v>
      </c>
    </row>
    <row r="103" spans="1:28" x14ac:dyDescent="0.25">
      <c r="A103" t="s">
        <v>107</v>
      </c>
      <c r="B103">
        <v>0.99299721793515405</v>
      </c>
      <c r="C103">
        <v>1.00991247422063</v>
      </c>
      <c r="D103">
        <v>0.98795007431669601</v>
      </c>
      <c r="E103">
        <v>0.88220139551856502</v>
      </c>
      <c r="F103">
        <v>0.82629121331157296</v>
      </c>
      <c r="G103">
        <v>0.41175066550520201</v>
      </c>
      <c r="H103">
        <v>0.39121069593181101</v>
      </c>
      <c r="I103">
        <v>0.33267748478799097</v>
      </c>
      <c r="J103">
        <v>0.35821706010049298</v>
      </c>
      <c r="K103">
        <v>0.19911505688779901</v>
      </c>
      <c r="L103">
        <v>1323.6868131900701</v>
      </c>
      <c r="M103">
        <v>25.6565620511887</v>
      </c>
      <c r="N103">
        <v>53.437250989076603</v>
      </c>
      <c r="O103">
        <v>51.282155051696499</v>
      </c>
      <c r="P103">
        <v>-8.83310920224466E-2</v>
      </c>
      <c r="Q103">
        <v>0.29378632401028498</v>
      </c>
      <c r="R103">
        <v>0.96927580892680198</v>
      </c>
      <c r="S103" t="s">
        <v>5654</v>
      </c>
      <c r="T103" t="s">
        <v>11100</v>
      </c>
      <c r="U103" t="s">
        <v>11100</v>
      </c>
      <c r="V103" t="s">
        <v>11100</v>
      </c>
      <c r="W103" t="s">
        <v>11203</v>
      </c>
      <c r="X103">
        <v>7</v>
      </c>
      <c r="Y103" t="s">
        <v>16695</v>
      </c>
      <c r="Z103" t="s">
        <v>22108</v>
      </c>
      <c r="AA103">
        <v>0.64326112099595123</v>
      </c>
      <c r="AB103" t="str">
        <f>HYPERLINK("Melting_Curves/meltCurve_B1AUU8_EPS15.pdf", "Melting_Curves/meltCurve_B1AUU8_EPS15.pdf")</f>
        <v>Melting_Curves/meltCurve_B1AUU8_EPS15.pdf</v>
      </c>
    </row>
    <row r="104" spans="1:28" x14ac:dyDescent="0.25">
      <c r="A104" t="s">
        <v>108</v>
      </c>
      <c r="B104">
        <v>0.99299721793515405</v>
      </c>
      <c r="C104">
        <v>0.73091689060054299</v>
      </c>
      <c r="D104">
        <v>0.70175350996442698</v>
      </c>
      <c r="E104">
        <v>0.66015059889975303</v>
      </c>
      <c r="F104">
        <v>0.51754677470614696</v>
      </c>
      <c r="G104">
        <v>0.30250135626934899</v>
      </c>
      <c r="H104">
        <v>0.29297756305907502</v>
      </c>
      <c r="I104">
        <v>0.224023000957462</v>
      </c>
      <c r="J104">
        <v>0.183961476596157</v>
      </c>
      <c r="K104">
        <v>0.34932480531608601</v>
      </c>
      <c r="L104">
        <v>395.13748524497998</v>
      </c>
      <c r="M104">
        <v>8.4982372794669896</v>
      </c>
      <c r="N104">
        <v>48.952749803069203</v>
      </c>
      <c r="O104">
        <v>44.136175553783303</v>
      </c>
      <c r="P104">
        <v>-3.9816824869716202E-2</v>
      </c>
      <c r="Q104">
        <v>0.17357999025271501</v>
      </c>
      <c r="R104">
        <v>0.91905763010623298</v>
      </c>
      <c r="S104" t="s">
        <v>5655</v>
      </c>
      <c r="T104" t="s">
        <v>11100</v>
      </c>
      <c r="U104" t="s">
        <v>11100</v>
      </c>
      <c r="V104" t="s">
        <v>11100</v>
      </c>
      <c r="W104" t="s">
        <v>11204</v>
      </c>
      <c r="X104">
        <v>1</v>
      </c>
      <c r="Y104" t="s">
        <v>16696</v>
      </c>
      <c r="Z104" t="s">
        <v>22109</v>
      </c>
      <c r="AA104">
        <v>0.48129475282147871</v>
      </c>
      <c r="AB104" t="str">
        <f>HYPERLINK("Melting_Curves/meltCurve_B3KP81_MEIS2.pdf", "Melting_Curves/meltCurve_B3KP81_MEIS2.pdf")</f>
        <v>Melting_Curves/meltCurve_B3KP81_MEIS2.pdf</v>
      </c>
    </row>
    <row r="105" spans="1:28" x14ac:dyDescent="0.25">
      <c r="A105" t="s">
        <v>109</v>
      </c>
      <c r="B105">
        <v>0.99299721793515405</v>
      </c>
      <c r="C105">
        <v>0.95958415932877605</v>
      </c>
      <c r="D105">
        <v>0.92239843147794698</v>
      </c>
      <c r="E105">
        <v>0.89264593127913605</v>
      </c>
      <c r="F105">
        <v>0.96572321178211595</v>
      </c>
      <c r="G105">
        <v>1.8194061663247101</v>
      </c>
      <c r="H105">
        <v>1.14711495766629</v>
      </c>
      <c r="I105">
        <v>0.95074720825041903</v>
      </c>
      <c r="J105">
        <v>0.58483845701401804</v>
      </c>
      <c r="K105">
        <v>0.33007268453778499</v>
      </c>
      <c r="L105">
        <v>3955.9975330439302</v>
      </c>
      <c r="M105">
        <v>62.094905631496701</v>
      </c>
      <c r="N105">
        <v>64.656562386672505</v>
      </c>
      <c r="O105">
        <v>63.642912516910101</v>
      </c>
      <c r="P105">
        <v>-0.17104507007168801</v>
      </c>
      <c r="Q105">
        <v>0.298763567021193</v>
      </c>
      <c r="R105">
        <v>0.45852289137270202</v>
      </c>
      <c r="S105" t="s">
        <v>5656</v>
      </c>
      <c r="T105" t="s">
        <v>11100</v>
      </c>
      <c r="U105" t="s">
        <v>11100</v>
      </c>
      <c r="V105" t="s">
        <v>11100</v>
      </c>
      <c r="W105" t="s">
        <v>11205</v>
      </c>
      <c r="X105">
        <v>6</v>
      </c>
      <c r="Y105" t="s">
        <v>16697</v>
      </c>
      <c r="Z105" t="s">
        <v>22110</v>
      </c>
      <c r="AA105">
        <v>0.92307553174304213</v>
      </c>
      <c r="AB105" t="str">
        <f>HYPERLINK("Melting_Curves/meltCurve_B3KS98_EIF3S3.pdf", "Melting_Curves/meltCurve_B3KS98_EIF3S3.pdf")</f>
        <v>Melting_Curves/meltCurve_B3KS98_EIF3S3.pdf</v>
      </c>
    </row>
    <row r="106" spans="1:28" x14ac:dyDescent="0.25">
      <c r="A106" t="s">
        <v>110</v>
      </c>
      <c r="B106">
        <v>0.99299721793515405</v>
      </c>
      <c r="C106">
        <v>1.0018110793447299</v>
      </c>
      <c r="D106">
        <v>0.82899800835330095</v>
      </c>
      <c r="E106">
        <v>0.78845895868634497</v>
      </c>
      <c r="F106">
        <v>0.83300631187626095</v>
      </c>
      <c r="G106">
        <v>0.62280498101516402</v>
      </c>
      <c r="H106">
        <v>0.30418370221924301</v>
      </c>
      <c r="I106">
        <v>0.29985074399386102</v>
      </c>
      <c r="J106">
        <v>0.34641434428425499</v>
      </c>
      <c r="K106">
        <v>0.23784126106689599</v>
      </c>
      <c r="L106">
        <v>533.11450930809701</v>
      </c>
      <c r="M106">
        <v>9.8992130436255401</v>
      </c>
      <c r="N106">
        <v>55.489122736643601</v>
      </c>
      <c r="O106">
        <v>51.7947071589765</v>
      </c>
      <c r="P106">
        <v>-4.1758289976652901E-2</v>
      </c>
      <c r="Q106">
        <v>0.12648997688667599</v>
      </c>
      <c r="R106">
        <v>0.93267377353780001</v>
      </c>
      <c r="S106" t="s">
        <v>5657</v>
      </c>
      <c r="T106" t="s">
        <v>11100</v>
      </c>
      <c r="U106" t="s">
        <v>11100</v>
      </c>
      <c r="V106" t="s">
        <v>11100</v>
      </c>
      <c r="W106" t="s">
        <v>11206</v>
      </c>
      <c r="X106">
        <v>8</v>
      </c>
      <c r="Y106" t="s">
        <v>16698</v>
      </c>
      <c r="Z106" t="s">
        <v>22111</v>
      </c>
      <c r="AA106">
        <v>0.63319258677379142</v>
      </c>
      <c r="AB106" t="str">
        <f>HYPERLINK("Melting_Curves/meltCurve_B3KSH1_EIF3F.pdf", "Melting_Curves/meltCurve_B3KSH1_EIF3F.pdf")</f>
        <v>Melting_Curves/meltCurve_B3KSH1_EIF3F.pdf</v>
      </c>
    </row>
    <row r="107" spans="1:28" x14ac:dyDescent="0.25">
      <c r="A107" t="s">
        <v>111</v>
      </c>
      <c r="B107">
        <v>0.99299721793515405</v>
      </c>
      <c r="C107">
        <v>0.93299497620821603</v>
      </c>
      <c r="D107">
        <v>0.90169900975327699</v>
      </c>
      <c r="E107">
        <v>0.81399702466599699</v>
      </c>
      <c r="F107">
        <v>0.64968469942607499</v>
      </c>
      <c r="G107">
        <v>0.51580179176575203</v>
      </c>
      <c r="H107">
        <v>0.32517936900162597</v>
      </c>
      <c r="I107">
        <v>0.31079724544432102</v>
      </c>
      <c r="J107">
        <v>0.30724243436567999</v>
      </c>
      <c r="K107">
        <v>0.158810082910252</v>
      </c>
      <c r="L107">
        <v>506.66442043606799</v>
      </c>
      <c r="M107">
        <v>9.6550221754123804</v>
      </c>
      <c r="N107">
        <v>53.849456232025901</v>
      </c>
      <c r="O107">
        <v>50.373861773271202</v>
      </c>
      <c r="P107">
        <v>-4.2713573821847699E-2</v>
      </c>
      <c r="Q107">
        <v>0.109084704278892</v>
      </c>
      <c r="R107">
        <v>0.98668059470121705</v>
      </c>
      <c r="S107" t="s">
        <v>5658</v>
      </c>
      <c r="T107" t="s">
        <v>11100</v>
      </c>
      <c r="U107" t="s">
        <v>11100</v>
      </c>
      <c r="V107" t="s">
        <v>11100</v>
      </c>
      <c r="W107" t="s">
        <v>11207</v>
      </c>
      <c r="X107">
        <v>7</v>
      </c>
      <c r="Y107" t="s">
        <v>16699</v>
      </c>
      <c r="Z107" t="s">
        <v>22112</v>
      </c>
      <c r="AA107">
        <v>0.59092898104727787</v>
      </c>
      <c r="AB107" t="str">
        <f>HYPERLINK("Melting_Curves/meltCurve_B3KSI3_BCAT2.pdf", "Melting_Curves/meltCurve_B3KSI3_BCAT2.pdf")</f>
        <v>Melting_Curves/meltCurve_B3KSI3_BCAT2.pdf</v>
      </c>
    </row>
    <row r="108" spans="1:28" x14ac:dyDescent="0.25">
      <c r="A108" t="s">
        <v>112</v>
      </c>
      <c r="B108">
        <v>0.99299721793515405</v>
      </c>
      <c r="C108">
        <v>0.96854962609234996</v>
      </c>
      <c r="D108">
        <v>1.16253742699749</v>
      </c>
      <c r="E108">
        <v>0.92970015980099596</v>
      </c>
      <c r="F108">
        <v>0.82853638350693304</v>
      </c>
      <c r="G108">
        <v>0.69410532467019104</v>
      </c>
      <c r="H108">
        <v>0.38689189172824601</v>
      </c>
      <c r="I108">
        <v>0.209536007695488</v>
      </c>
      <c r="J108">
        <v>0.16227631183201199</v>
      </c>
      <c r="K108">
        <v>0.13384918205693699</v>
      </c>
      <c r="L108">
        <v>985.58557047118302</v>
      </c>
      <c r="M108">
        <v>17.826302029091</v>
      </c>
      <c r="N108">
        <v>55.869128554492001</v>
      </c>
      <c r="O108">
        <v>54.606598566414903</v>
      </c>
      <c r="P108">
        <v>-7.4713006868408899E-2</v>
      </c>
      <c r="Q108">
        <v>8.4585468947251094E-2</v>
      </c>
      <c r="R108">
        <v>0.97438966760016499</v>
      </c>
      <c r="S108" t="s">
        <v>5659</v>
      </c>
      <c r="T108" t="s">
        <v>11100</v>
      </c>
      <c r="U108" t="s">
        <v>11100</v>
      </c>
      <c r="V108" t="s">
        <v>11100</v>
      </c>
      <c r="W108" t="s">
        <v>11208</v>
      </c>
      <c r="X108">
        <v>21</v>
      </c>
      <c r="Y108" t="s">
        <v>16700</v>
      </c>
      <c r="Z108" t="s">
        <v>22113</v>
      </c>
      <c r="AA108">
        <v>0.65385318226002165</v>
      </c>
      <c r="AB108" t="str">
        <f>HYPERLINK("Melting_Curves/meltCurve_B3KSI9_LZTFL1.pdf", "Melting_Curves/meltCurve_B3KSI9_LZTFL1.pdf")</f>
        <v>Melting_Curves/meltCurve_B3KSI9_LZTFL1.pdf</v>
      </c>
    </row>
    <row r="109" spans="1:28" x14ac:dyDescent="0.25">
      <c r="A109" t="s">
        <v>113</v>
      </c>
      <c r="B109">
        <v>0.99299721793515405</v>
      </c>
      <c r="C109">
        <v>1.00160092103266</v>
      </c>
      <c r="D109">
        <v>0.92983534941687696</v>
      </c>
      <c r="E109">
        <v>0.84514583729843196</v>
      </c>
      <c r="F109">
        <v>0.85592351040158798</v>
      </c>
      <c r="G109">
        <v>0.52815164156511496</v>
      </c>
      <c r="H109">
        <v>0.57154385616036096</v>
      </c>
      <c r="I109">
        <v>0.79937592180563899</v>
      </c>
      <c r="J109">
        <v>0.93124914324240304</v>
      </c>
      <c r="K109">
        <v>0.73069159249992799</v>
      </c>
      <c r="L109">
        <v>1087.5311542680199</v>
      </c>
      <c r="M109">
        <v>23.638915582325701</v>
      </c>
      <c r="O109">
        <v>45.680511801722197</v>
      </c>
      <c r="P109">
        <v>-3.52702406671919E-2</v>
      </c>
      <c r="Q109">
        <v>0.72737566208557003</v>
      </c>
      <c r="R109">
        <v>0.490305108243135</v>
      </c>
      <c r="S109" t="s">
        <v>5660</v>
      </c>
      <c r="T109" t="s">
        <v>11100</v>
      </c>
      <c r="U109" t="s">
        <v>11100</v>
      </c>
      <c r="V109" t="s">
        <v>11100</v>
      </c>
      <c r="W109" t="s">
        <v>11209</v>
      </c>
      <c r="X109">
        <v>1</v>
      </c>
      <c r="Y109" t="s">
        <v>16701</v>
      </c>
      <c r="Z109" t="s">
        <v>22114</v>
      </c>
      <c r="AA109">
        <v>0.8117509513565383</v>
      </c>
      <c r="AB109" t="str">
        <f>HYPERLINK("Melting_Curves/meltCurve_B3KSJ7_DCLRE1C.pdf", "Melting_Curves/meltCurve_B3KSJ7_DCLRE1C.pdf")</f>
        <v>Melting_Curves/meltCurve_B3KSJ7_DCLRE1C.pdf</v>
      </c>
    </row>
    <row r="110" spans="1:28" x14ac:dyDescent="0.25">
      <c r="A110" t="s">
        <v>114</v>
      </c>
      <c r="B110">
        <v>0.99299721793515405</v>
      </c>
      <c r="C110">
        <v>0.93969512596874305</v>
      </c>
      <c r="D110">
        <v>1.1019743862082301</v>
      </c>
      <c r="E110">
        <v>0.94608020544488902</v>
      </c>
      <c r="F110">
        <v>0.77889840418316503</v>
      </c>
      <c r="G110">
        <v>0.60938462033099805</v>
      </c>
      <c r="H110">
        <v>0.41358705372997001</v>
      </c>
      <c r="I110">
        <v>0.40309009930614798</v>
      </c>
      <c r="J110">
        <v>0.43724046656700499</v>
      </c>
      <c r="K110">
        <v>0.421315538926953</v>
      </c>
      <c r="L110">
        <v>1221.07106046476</v>
      </c>
      <c r="M110">
        <v>23.659621362214398</v>
      </c>
      <c r="N110">
        <v>55.553137867470703</v>
      </c>
      <c r="O110">
        <v>51.245440334802304</v>
      </c>
      <c r="P110">
        <v>-6.84752504315983E-2</v>
      </c>
      <c r="Q110">
        <v>0.40675517854958598</v>
      </c>
      <c r="R110">
        <v>0.97120976786864699</v>
      </c>
      <c r="S110" t="s">
        <v>5661</v>
      </c>
      <c r="T110" t="s">
        <v>11100</v>
      </c>
      <c r="U110" t="s">
        <v>11100</v>
      </c>
      <c r="V110" t="s">
        <v>11100</v>
      </c>
      <c r="W110" t="s">
        <v>11210</v>
      </c>
      <c r="X110">
        <v>8</v>
      </c>
      <c r="Y110" t="s">
        <v>16702</v>
      </c>
      <c r="Z110" t="s">
        <v>22115</v>
      </c>
      <c r="AA110">
        <v>0.70146217662753474</v>
      </c>
      <c r="AB110" t="str">
        <f>HYPERLINK("Melting_Curves/meltCurve_B3KVH8_PHF23.pdf", "Melting_Curves/meltCurve_B3KVH8_PHF23.pdf")</f>
        <v>Melting_Curves/meltCurve_B3KVH8_PHF23.pdf</v>
      </c>
    </row>
    <row r="111" spans="1:28" x14ac:dyDescent="0.25">
      <c r="A111" t="s">
        <v>115</v>
      </c>
      <c r="B111">
        <v>0.99299721793515405</v>
      </c>
      <c r="C111">
        <v>1.01694192936404</v>
      </c>
      <c r="D111">
        <v>0.89539185213256001</v>
      </c>
      <c r="E111">
        <v>0.87416825183715996</v>
      </c>
      <c r="F111">
        <v>0.58256099148304596</v>
      </c>
      <c r="G111">
        <v>0.25723041846106498</v>
      </c>
      <c r="H111">
        <v>0.201172015576083</v>
      </c>
      <c r="I111">
        <v>0.166775542540928</v>
      </c>
      <c r="J111">
        <v>0.16299676053243201</v>
      </c>
      <c r="K111">
        <v>0.14140423022823601</v>
      </c>
      <c r="L111">
        <v>1140.3109401067099</v>
      </c>
      <c r="M111">
        <v>22.772406673751</v>
      </c>
      <c r="N111">
        <v>50.847723607362703</v>
      </c>
      <c r="O111">
        <v>49.692884418548303</v>
      </c>
      <c r="P111">
        <v>-9.7796412954902698E-2</v>
      </c>
      <c r="Q111">
        <v>0.14638937948903299</v>
      </c>
      <c r="R111">
        <v>0.99256503084379799</v>
      </c>
      <c r="S111" t="s">
        <v>5662</v>
      </c>
      <c r="T111" t="s">
        <v>11100</v>
      </c>
      <c r="U111" t="s">
        <v>11100</v>
      </c>
      <c r="V111" t="s">
        <v>11100</v>
      </c>
      <c r="W111" t="s">
        <v>11211</v>
      </c>
      <c r="X111">
        <v>11</v>
      </c>
      <c r="Y111" t="s">
        <v>16703</v>
      </c>
      <c r="Z111" t="s">
        <v>22116</v>
      </c>
      <c r="AA111">
        <v>0.52729953555012055</v>
      </c>
      <c r="AB111" t="str">
        <f>HYPERLINK("Melting_Curves/meltCurve_B3KVZ3_CENPH.pdf", "Melting_Curves/meltCurve_B3KVZ3_CENPH.pdf")</f>
        <v>Melting_Curves/meltCurve_B3KVZ3_CENPH.pdf</v>
      </c>
    </row>
    <row r="112" spans="1:28" x14ac:dyDescent="0.25">
      <c r="A112" t="s">
        <v>116</v>
      </c>
      <c r="B112">
        <v>0.99299721793515405</v>
      </c>
      <c r="C112">
        <v>1.0546636654005299</v>
      </c>
      <c r="D112">
        <v>1.1570667396807399</v>
      </c>
      <c r="E112">
        <v>0.93073801038512805</v>
      </c>
      <c r="F112">
        <v>0.74212179003854495</v>
      </c>
      <c r="G112">
        <v>0.59609661298084604</v>
      </c>
      <c r="H112">
        <v>0.22242604979921199</v>
      </c>
      <c r="I112">
        <v>0.179830966604174</v>
      </c>
      <c r="J112">
        <v>0.15892417174464599</v>
      </c>
      <c r="K112">
        <v>0.10127906587174799</v>
      </c>
      <c r="L112">
        <v>1029.66516755681</v>
      </c>
      <c r="M112">
        <v>19.252642905065098</v>
      </c>
      <c r="N112">
        <v>54.071121412207397</v>
      </c>
      <c r="O112">
        <v>52.914759204502701</v>
      </c>
      <c r="P112">
        <v>-8.2354692236639104E-2</v>
      </c>
      <c r="Q112">
        <v>9.4645713587005395E-2</v>
      </c>
      <c r="R112">
        <v>0.97128374148161201</v>
      </c>
      <c r="S112" t="s">
        <v>5663</v>
      </c>
      <c r="T112" t="s">
        <v>11100</v>
      </c>
      <c r="U112" t="s">
        <v>11100</v>
      </c>
      <c r="V112" t="s">
        <v>11100</v>
      </c>
      <c r="W112" t="s">
        <v>11212</v>
      </c>
      <c r="X112">
        <v>4</v>
      </c>
      <c r="Y112" t="s">
        <v>16704</v>
      </c>
      <c r="Z112" t="s">
        <v>22117</v>
      </c>
      <c r="AA112">
        <v>0.6038364309824279</v>
      </c>
      <c r="AB112" t="str">
        <f>HYPERLINK("Melting_Curves/meltCurve_B3KWN8_PYROXD1.pdf", "Melting_Curves/meltCurve_B3KWN8_PYROXD1.pdf")</f>
        <v>Melting_Curves/meltCurve_B3KWN8_PYROXD1.pdf</v>
      </c>
    </row>
    <row r="113" spans="1:28" x14ac:dyDescent="0.25">
      <c r="A113" t="s">
        <v>117</v>
      </c>
      <c r="B113">
        <v>0.99299721793515405</v>
      </c>
      <c r="C113">
        <v>1.11336019332295</v>
      </c>
      <c r="D113">
        <v>0.86369932011662498</v>
      </c>
      <c r="E113">
        <v>0.88886016012527602</v>
      </c>
      <c r="F113">
        <v>0.73462943417020399</v>
      </c>
      <c r="G113">
        <v>0.33321940140133499</v>
      </c>
      <c r="H113">
        <v>0.243241225681568</v>
      </c>
      <c r="I113">
        <v>0.26720777915942501</v>
      </c>
      <c r="J113">
        <v>0.28014107560663998</v>
      </c>
      <c r="K113">
        <v>0.24898029922186801</v>
      </c>
      <c r="L113">
        <v>1557.65925215217</v>
      </c>
      <c r="M113">
        <v>30.639529087983501</v>
      </c>
      <c r="N113">
        <v>52.006514723142203</v>
      </c>
      <c r="O113">
        <v>50.623136277062002</v>
      </c>
      <c r="P113">
        <v>-0.11366864238769001</v>
      </c>
      <c r="Q113">
        <v>0.248783663103086</v>
      </c>
      <c r="R113">
        <v>0.96467370334298996</v>
      </c>
      <c r="S113" t="s">
        <v>5664</v>
      </c>
      <c r="T113" t="s">
        <v>11100</v>
      </c>
      <c r="U113" t="s">
        <v>11100</v>
      </c>
      <c r="V113" t="s">
        <v>11100</v>
      </c>
      <c r="W113" t="s">
        <v>11213</v>
      </c>
      <c r="X113">
        <v>4</v>
      </c>
      <c r="Y113" t="s">
        <v>16705</v>
      </c>
      <c r="Z113" t="s">
        <v>22118</v>
      </c>
      <c r="AA113">
        <v>0.59978078195407714</v>
      </c>
      <c r="AB113" t="str">
        <f>HYPERLINK("Melting_Curves/meltCurve_B3KY83_RXRA.pdf", "Melting_Curves/meltCurve_B3KY83_RXRA.pdf")</f>
        <v>Melting_Curves/meltCurve_B3KY83_RXRA.pdf</v>
      </c>
    </row>
    <row r="114" spans="1:28" x14ac:dyDescent="0.25">
      <c r="A114" t="s">
        <v>118</v>
      </c>
      <c r="B114">
        <v>0.99299721793515405</v>
      </c>
      <c r="C114">
        <v>1.14911717868097</v>
      </c>
      <c r="D114">
        <v>0.91698631745141101</v>
      </c>
      <c r="E114">
        <v>0.91875143454548702</v>
      </c>
      <c r="F114">
        <v>0.83907665563075595</v>
      </c>
      <c r="G114">
        <v>0.82533719824183505</v>
      </c>
      <c r="H114">
        <v>0.66409244853097404</v>
      </c>
      <c r="I114">
        <v>0.61746931066099797</v>
      </c>
      <c r="J114">
        <v>0.35572871726399902</v>
      </c>
      <c r="K114">
        <v>0.19358264452674501</v>
      </c>
      <c r="L114">
        <v>669.40181601093605</v>
      </c>
      <c r="M114">
        <v>10.956094932400999</v>
      </c>
      <c r="N114">
        <v>61.098581983407499</v>
      </c>
      <c r="O114">
        <v>59.168853571900698</v>
      </c>
      <c r="P114">
        <v>-4.6307492106825901E-2</v>
      </c>
      <c r="Q114">
        <v>0</v>
      </c>
      <c r="R114">
        <v>0.927062919963063</v>
      </c>
      <c r="S114" t="s">
        <v>5665</v>
      </c>
      <c r="T114" t="s">
        <v>11100</v>
      </c>
      <c r="U114" t="s">
        <v>11100</v>
      </c>
      <c r="V114" t="s">
        <v>11100</v>
      </c>
      <c r="W114" t="s">
        <v>11214</v>
      </c>
      <c r="X114">
        <v>1</v>
      </c>
      <c r="Y114" t="s">
        <v>16706</v>
      </c>
      <c r="Z114" t="s">
        <v>22119</v>
      </c>
      <c r="AA114">
        <v>0.77105939310076466</v>
      </c>
      <c r="AB114" t="str">
        <f>HYPERLINK("Melting_Curves/meltCurve_B3KY94_CDIPT.pdf", "Melting_Curves/meltCurve_B3KY94_CDIPT.pdf")</f>
        <v>Melting_Curves/meltCurve_B3KY94_CDIPT.pdf</v>
      </c>
    </row>
    <row r="115" spans="1:28" x14ac:dyDescent="0.25">
      <c r="A115" t="s">
        <v>119</v>
      </c>
      <c r="B115">
        <v>0.99299721793515405</v>
      </c>
      <c r="C115">
        <v>1.20507110818513</v>
      </c>
      <c r="D115">
        <v>1.11086658643617</v>
      </c>
      <c r="E115">
        <v>0.79942651013364097</v>
      </c>
      <c r="F115">
        <v>0.752444634510822</v>
      </c>
      <c r="G115">
        <v>0.85511418885635004</v>
      </c>
      <c r="H115">
        <v>0.231797050431646</v>
      </c>
      <c r="I115">
        <v>0.265383918784037</v>
      </c>
      <c r="J115">
        <v>0.24786041091861699</v>
      </c>
      <c r="K115">
        <v>0.64551286224746396</v>
      </c>
      <c r="L115">
        <v>1235.23690756305</v>
      </c>
      <c r="M115">
        <v>23.247959719305001</v>
      </c>
      <c r="N115">
        <v>55.960603193651004</v>
      </c>
      <c r="O115">
        <v>52.7446691054677</v>
      </c>
      <c r="P115">
        <v>-7.2117525948295499E-2</v>
      </c>
      <c r="Q115">
        <v>0.34553442644903998</v>
      </c>
      <c r="R115">
        <v>0.73461061047749499</v>
      </c>
      <c r="S115" t="s">
        <v>5666</v>
      </c>
      <c r="T115" t="s">
        <v>11100</v>
      </c>
      <c r="U115" t="s">
        <v>11100</v>
      </c>
      <c r="V115" t="s">
        <v>11100</v>
      </c>
      <c r="W115" t="s">
        <v>11215</v>
      </c>
      <c r="X115">
        <v>7</v>
      </c>
      <c r="Y115" t="s">
        <v>16707</v>
      </c>
      <c r="Z115" t="s">
        <v>22120</v>
      </c>
      <c r="AA115">
        <v>0.7040087763570021</v>
      </c>
      <c r="AB115" t="str">
        <f>HYPERLINK("Melting_Curves/meltCurve_B3V0L1_ARL6IP4.pdf", "Melting_Curves/meltCurve_B3V0L1_ARL6IP4.pdf")</f>
        <v>Melting_Curves/meltCurve_B3V0L1_ARL6IP4.pdf</v>
      </c>
    </row>
    <row r="116" spans="1:28" x14ac:dyDescent="0.25">
      <c r="A116" t="s">
        <v>120</v>
      </c>
      <c r="B116">
        <v>0.99299721793515405</v>
      </c>
      <c r="C116">
        <v>0.89630693975821596</v>
      </c>
      <c r="D116">
        <v>0.97831161260964405</v>
      </c>
      <c r="E116">
        <v>0.78266221729833196</v>
      </c>
      <c r="F116">
        <v>0.74988424416144805</v>
      </c>
      <c r="G116">
        <v>0.30040268918997598</v>
      </c>
      <c r="H116">
        <v>0.19690238184659001</v>
      </c>
      <c r="I116">
        <v>0.191984775615134</v>
      </c>
      <c r="J116">
        <v>0.20423634208342401</v>
      </c>
      <c r="K116">
        <v>0.14046435439212601</v>
      </c>
      <c r="L116">
        <v>1003.71241116944</v>
      </c>
      <c r="M116">
        <v>19.686368137735201</v>
      </c>
      <c r="N116">
        <v>51.883401766792602</v>
      </c>
      <c r="O116">
        <v>50.4677991467046</v>
      </c>
      <c r="P116">
        <v>-8.3439608978077798E-2</v>
      </c>
      <c r="Q116">
        <v>0.144409472730437</v>
      </c>
      <c r="R116">
        <v>0.96556049132849298</v>
      </c>
      <c r="S116" t="s">
        <v>5667</v>
      </c>
      <c r="T116" t="s">
        <v>11100</v>
      </c>
      <c r="U116" t="s">
        <v>11100</v>
      </c>
      <c r="V116" t="s">
        <v>11100</v>
      </c>
      <c r="W116" t="s">
        <v>11216</v>
      </c>
      <c r="X116">
        <v>9</v>
      </c>
      <c r="Y116" t="s">
        <v>16708</v>
      </c>
      <c r="Z116" t="s">
        <v>22121</v>
      </c>
      <c r="AA116">
        <v>0.55476262739382565</v>
      </c>
      <c r="AB116" t="str">
        <f>HYPERLINK("Melting_Curves/meltCurve_B4DDF4_CNN2.pdf", "Melting_Curves/meltCurve_B4DDF4_CNN2.pdf")</f>
        <v>Melting_Curves/meltCurve_B4DDF4_CNN2.pdf</v>
      </c>
    </row>
    <row r="117" spans="1:28" x14ac:dyDescent="0.25">
      <c r="A117" t="s">
        <v>121</v>
      </c>
      <c r="B117">
        <v>0.99299721793515405</v>
      </c>
      <c r="C117">
        <v>0.94255934458336599</v>
      </c>
      <c r="D117">
        <v>0.92985124617791604</v>
      </c>
      <c r="E117">
        <v>0.78215536214263903</v>
      </c>
      <c r="F117">
        <v>0.80773801138638002</v>
      </c>
      <c r="G117">
        <v>0.63593100372276301</v>
      </c>
      <c r="H117">
        <v>0.41216123327583598</v>
      </c>
      <c r="I117">
        <v>0.85291576682642101</v>
      </c>
      <c r="J117">
        <v>0.90046416901702797</v>
      </c>
      <c r="K117">
        <v>0.23875044409719401</v>
      </c>
      <c r="L117">
        <v>450.50319363375002</v>
      </c>
      <c r="M117">
        <v>9.2098138053282899</v>
      </c>
      <c r="O117">
        <v>46.775118312391299</v>
      </c>
      <c r="P117">
        <v>-2.25752756897519E-2</v>
      </c>
      <c r="Q117">
        <v>0.54168067255230801</v>
      </c>
      <c r="R117">
        <v>0.40174861490539998</v>
      </c>
      <c r="S117" t="s">
        <v>5668</v>
      </c>
      <c r="T117" t="s">
        <v>11100</v>
      </c>
      <c r="U117" t="s">
        <v>11100</v>
      </c>
      <c r="V117" t="s">
        <v>11100</v>
      </c>
      <c r="W117" t="s">
        <v>11217</v>
      </c>
      <c r="X117">
        <v>14</v>
      </c>
      <c r="Y117" t="s">
        <v>16709</v>
      </c>
      <c r="Z117" t="s">
        <v>22122</v>
      </c>
      <c r="AA117">
        <v>0.74245890458789832</v>
      </c>
      <c r="AB117" t="str">
        <f>HYPERLINK("Melting_Curves/meltCurve_B4DDY8_HARS2.pdf", "Melting_Curves/meltCurve_B4DDY8_HARS2.pdf")</f>
        <v>Melting_Curves/meltCurve_B4DDY8_HARS2.pdf</v>
      </c>
    </row>
    <row r="118" spans="1:28" x14ac:dyDescent="0.25">
      <c r="A118" t="s">
        <v>122</v>
      </c>
      <c r="B118">
        <v>0.99299721793515405</v>
      </c>
      <c r="C118">
        <v>0.784508024448478</v>
      </c>
      <c r="D118">
        <v>0.796484516225205</v>
      </c>
      <c r="E118">
        <v>0.73529871472299602</v>
      </c>
      <c r="F118">
        <v>0.63499403651151898</v>
      </c>
      <c r="G118">
        <v>0.34884873197350003</v>
      </c>
      <c r="H118">
        <v>0.47381764898270801</v>
      </c>
      <c r="I118">
        <v>0.50590115730764995</v>
      </c>
      <c r="J118">
        <v>0.48125843978379601</v>
      </c>
      <c r="K118">
        <v>0.22004926611275599</v>
      </c>
      <c r="L118">
        <v>334.51842163750803</v>
      </c>
      <c r="M118">
        <v>6.8453947276665499</v>
      </c>
      <c r="N118">
        <v>54.465729984477797</v>
      </c>
      <c r="O118">
        <v>45.206860447111801</v>
      </c>
      <c r="P118">
        <v>-2.83506715182416E-2</v>
      </c>
      <c r="Q118">
        <v>0.25259441391125498</v>
      </c>
      <c r="R118">
        <v>0.832942907338723</v>
      </c>
      <c r="S118" t="s">
        <v>5669</v>
      </c>
      <c r="T118" t="s">
        <v>11100</v>
      </c>
      <c r="U118" t="s">
        <v>11100</v>
      </c>
      <c r="V118" t="s">
        <v>11100</v>
      </c>
      <c r="W118" t="s">
        <v>11218</v>
      </c>
      <c r="X118">
        <v>3</v>
      </c>
      <c r="Y118" t="s">
        <v>16710</v>
      </c>
      <c r="Z118" t="s">
        <v>22123</v>
      </c>
      <c r="AA118">
        <v>0.58837110312275276</v>
      </c>
      <c r="AB118" t="str">
        <f>HYPERLINK("Melting_Curves/meltCurve_B4DE60_REEP2.pdf", "Melting_Curves/meltCurve_B4DE60_REEP2.pdf")</f>
        <v>Melting_Curves/meltCurve_B4DE60_REEP2.pdf</v>
      </c>
    </row>
    <row r="119" spans="1:28" x14ac:dyDescent="0.25">
      <c r="A119" t="s">
        <v>123</v>
      </c>
      <c r="B119">
        <v>0.99299721793515405</v>
      </c>
      <c r="C119">
        <v>0.96280515086267504</v>
      </c>
      <c r="D119">
        <v>1.19071260680721</v>
      </c>
      <c r="E119">
        <v>1.10611318986284</v>
      </c>
      <c r="F119">
        <v>0.75357641844816703</v>
      </c>
      <c r="G119">
        <v>0.60894320472378505</v>
      </c>
      <c r="H119">
        <v>0.14634784522005201</v>
      </c>
      <c r="I119">
        <v>8.6125973888878493E-2</v>
      </c>
      <c r="J119">
        <v>6.2236246518152898E-2</v>
      </c>
      <c r="K119">
        <v>6.01274627606024E-2</v>
      </c>
      <c r="L119">
        <v>1348.8644422954501</v>
      </c>
      <c r="M119">
        <v>25.0216210854467</v>
      </c>
      <c r="N119">
        <v>54.069138251539101</v>
      </c>
      <c r="O119">
        <v>53.567163975876099</v>
      </c>
      <c r="P119">
        <v>-0.112581558018319</v>
      </c>
      <c r="Q119">
        <v>3.5938730153415102E-2</v>
      </c>
      <c r="R119">
        <v>0.96043613319325605</v>
      </c>
      <c r="S119" t="s">
        <v>5670</v>
      </c>
      <c r="T119" t="s">
        <v>11100</v>
      </c>
      <c r="U119" t="s">
        <v>11100</v>
      </c>
      <c r="V119" t="s">
        <v>11100</v>
      </c>
      <c r="W119" t="s">
        <v>11219</v>
      </c>
      <c r="X119">
        <v>25</v>
      </c>
      <c r="Y119" t="s">
        <v>16711</v>
      </c>
      <c r="Z119" t="s">
        <v>22124</v>
      </c>
      <c r="AA119">
        <v>0.58770067569276896</v>
      </c>
      <c r="AB119" t="str">
        <f>HYPERLINK("Melting_Curves/meltCurve_B4DEK4_SNX2.pdf", "Melting_Curves/meltCurve_B4DEK4_SNX2.pdf")</f>
        <v>Melting_Curves/meltCurve_B4DEK4_SNX2.pdf</v>
      </c>
    </row>
    <row r="120" spans="1:28" x14ac:dyDescent="0.25">
      <c r="A120" t="s">
        <v>124</v>
      </c>
      <c r="B120">
        <v>0.99299721793515405</v>
      </c>
      <c r="C120">
        <v>0.89508490753896597</v>
      </c>
      <c r="D120">
        <v>0.84266297228110298</v>
      </c>
      <c r="E120">
        <v>0.81544191630073204</v>
      </c>
      <c r="F120">
        <v>0.72838688899339199</v>
      </c>
      <c r="G120">
        <v>0.61838255501075601</v>
      </c>
      <c r="H120">
        <v>0.79303449548052996</v>
      </c>
      <c r="I120">
        <v>0.84690516325285103</v>
      </c>
      <c r="J120">
        <v>0.52226662255780998</v>
      </c>
      <c r="K120">
        <v>0.214628121253677</v>
      </c>
      <c r="L120">
        <v>271.17776638657301</v>
      </c>
      <c r="M120">
        <v>4.1464852509607502</v>
      </c>
      <c r="N120">
        <v>65.399430373265602</v>
      </c>
      <c r="O120">
        <v>54.292247285768397</v>
      </c>
      <c r="P120">
        <v>-1.9311885403939699E-2</v>
      </c>
      <c r="Q120">
        <v>0</v>
      </c>
      <c r="R120">
        <v>0.59892119600946803</v>
      </c>
      <c r="S120" t="s">
        <v>5671</v>
      </c>
      <c r="T120" t="s">
        <v>11100</v>
      </c>
      <c r="U120" t="s">
        <v>11100</v>
      </c>
      <c r="V120" t="s">
        <v>11100</v>
      </c>
      <c r="W120" t="s">
        <v>11220</v>
      </c>
      <c r="X120">
        <v>5</v>
      </c>
      <c r="Y120" t="s">
        <v>16712</v>
      </c>
      <c r="Z120" t="s">
        <v>22125</v>
      </c>
      <c r="AA120">
        <v>0.73581230293811262</v>
      </c>
      <c r="AB120" t="str">
        <f>HYPERLINK("Melting_Curves/meltCurve_B4DEZ3_NDUFA13.pdf", "Melting_Curves/meltCurve_B4DEZ3_NDUFA13.pdf")</f>
        <v>Melting_Curves/meltCurve_B4DEZ3_NDUFA13.pdf</v>
      </c>
    </row>
    <row r="121" spans="1:28" x14ac:dyDescent="0.25">
      <c r="A121" t="s">
        <v>125</v>
      </c>
      <c r="B121">
        <v>0.99299721793515405</v>
      </c>
      <c r="C121">
        <v>0.82449761509033703</v>
      </c>
      <c r="D121">
        <v>0.85275329597498795</v>
      </c>
      <c r="E121">
        <v>0.67476208775680802</v>
      </c>
      <c r="F121">
        <v>0.58960195893189904</v>
      </c>
      <c r="G121">
        <v>0.397075693138567</v>
      </c>
      <c r="H121">
        <v>0.399167410386294</v>
      </c>
      <c r="I121">
        <v>0.35392951418937502</v>
      </c>
      <c r="J121">
        <v>0.45994868528941502</v>
      </c>
      <c r="K121">
        <v>0.35770536474038001</v>
      </c>
      <c r="L121">
        <v>519.84871716243799</v>
      </c>
      <c r="M121">
        <v>11.188154884994701</v>
      </c>
      <c r="N121">
        <v>51.991099554037099</v>
      </c>
      <c r="O121">
        <v>45.0539532594983</v>
      </c>
      <c r="P121">
        <v>-4.0503236472324802E-2</v>
      </c>
      <c r="Q121">
        <v>0.347790841643287</v>
      </c>
      <c r="R121">
        <v>0.94912566762732198</v>
      </c>
      <c r="S121" t="s">
        <v>5672</v>
      </c>
      <c r="T121" t="s">
        <v>11100</v>
      </c>
      <c r="U121" t="s">
        <v>11100</v>
      </c>
      <c r="V121" t="s">
        <v>11100</v>
      </c>
      <c r="W121" t="s">
        <v>11221</v>
      </c>
      <c r="X121">
        <v>1</v>
      </c>
      <c r="Y121" t="s">
        <v>16713</v>
      </c>
      <c r="Z121" t="s">
        <v>22126</v>
      </c>
      <c r="AA121">
        <v>0.57817348880278108</v>
      </c>
      <c r="AB121" t="str">
        <f>HYPERLINK("Melting_Curves/meltCurve_B4DFF2_SLC17A5.pdf", "Melting_Curves/meltCurve_B4DFF2_SLC17A5.pdf")</f>
        <v>Melting_Curves/meltCurve_B4DFF2_SLC17A5.pdf</v>
      </c>
    </row>
    <row r="122" spans="1:28" x14ac:dyDescent="0.25">
      <c r="A122" t="s">
        <v>126</v>
      </c>
      <c r="B122">
        <v>0.99299721793515405</v>
      </c>
      <c r="C122">
        <v>0.89189938483203302</v>
      </c>
      <c r="D122">
        <v>0.93524815471967804</v>
      </c>
      <c r="E122">
        <v>0.82098486966044204</v>
      </c>
      <c r="F122">
        <v>0.69252445918874295</v>
      </c>
      <c r="G122">
        <v>0.49370143705242697</v>
      </c>
      <c r="H122">
        <v>0.44374431532930397</v>
      </c>
      <c r="I122">
        <v>0.33797982557141898</v>
      </c>
      <c r="J122">
        <v>0.23808438646364899</v>
      </c>
      <c r="K122">
        <v>0.152419596417249</v>
      </c>
      <c r="L122">
        <v>447.44880986931702</v>
      </c>
      <c r="M122">
        <v>8.1454661801722708</v>
      </c>
      <c r="N122">
        <v>54.932253993041002</v>
      </c>
      <c r="O122">
        <v>51.918986440555301</v>
      </c>
      <c r="P122">
        <v>-3.92634697171175E-2</v>
      </c>
      <c r="Q122">
        <v>0</v>
      </c>
      <c r="R122">
        <v>0.98730105913777599</v>
      </c>
      <c r="S122" t="s">
        <v>5673</v>
      </c>
      <c r="T122" t="s">
        <v>11100</v>
      </c>
      <c r="U122" t="s">
        <v>11100</v>
      </c>
      <c r="V122" t="s">
        <v>11100</v>
      </c>
      <c r="W122" t="s">
        <v>11222</v>
      </c>
      <c r="X122">
        <v>1</v>
      </c>
      <c r="Y122" t="s">
        <v>16714</v>
      </c>
      <c r="Z122" t="s">
        <v>22127</v>
      </c>
      <c r="AA122">
        <v>0.60560497074613173</v>
      </c>
      <c r="AB122" t="str">
        <f>HYPERLINK("Melting_Curves/meltCurve_B4DFI9_HUS1.pdf", "Melting_Curves/meltCurve_B4DFI9_HUS1.pdf")</f>
        <v>Melting_Curves/meltCurve_B4DFI9_HUS1.pdf</v>
      </c>
    </row>
    <row r="123" spans="1:28" x14ac:dyDescent="0.25">
      <c r="A123" t="s">
        <v>127</v>
      </c>
      <c r="B123">
        <v>0.99299721793515405</v>
      </c>
      <c r="C123">
        <v>0.97061982435744099</v>
      </c>
      <c r="D123">
        <v>0.90516468096366898</v>
      </c>
      <c r="E123">
        <v>0.80048900472842099</v>
      </c>
      <c r="F123">
        <v>0.64815002276355005</v>
      </c>
      <c r="G123">
        <v>0.66079899703199396</v>
      </c>
      <c r="H123">
        <v>0.725762538903719</v>
      </c>
      <c r="I123">
        <v>0.83722809005830301</v>
      </c>
      <c r="J123">
        <v>0.59901521721291595</v>
      </c>
      <c r="K123">
        <v>0.37730190627358101</v>
      </c>
      <c r="L123">
        <v>228.89169848738001</v>
      </c>
      <c r="M123">
        <v>3.2819289149505302</v>
      </c>
      <c r="O123">
        <v>53.3319678536648</v>
      </c>
      <c r="P123">
        <v>-1.5749595295786002E-2</v>
      </c>
      <c r="Q123">
        <v>0</v>
      </c>
      <c r="R123">
        <v>0.67198232171928396</v>
      </c>
      <c r="S123" t="s">
        <v>5674</v>
      </c>
      <c r="T123" t="s">
        <v>11100</v>
      </c>
      <c r="U123" t="s">
        <v>11100</v>
      </c>
      <c r="V123" t="s">
        <v>11100</v>
      </c>
      <c r="W123" t="s">
        <v>11223</v>
      </c>
      <c r="X123">
        <v>5</v>
      </c>
      <c r="Y123" t="s">
        <v>16715</v>
      </c>
      <c r="Z123" t="s">
        <v>22128</v>
      </c>
      <c r="AA123">
        <v>0.75016165908806565</v>
      </c>
      <c r="AB123" t="str">
        <f>HYPERLINK("Melting_Curves/meltCurve_B4DGU4_CTNNB1.pdf", "Melting_Curves/meltCurve_B4DGU4_CTNNB1.pdf")</f>
        <v>Melting_Curves/meltCurve_B4DGU4_CTNNB1.pdf</v>
      </c>
    </row>
    <row r="124" spans="1:28" x14ac:dyDescent="0.25">
      <c r="A124" t="s">
        <v>128</v>
      </c>
      <c r="B124">
        <v>0.99299721793515405</v>
      </c>
      <c r="C124">
        <v>0.98037995795522404</v>
      </c>
      <c r="D124">
        <v>0.91333120363387499</v>
      </c>
      <c r="E124">
        <v>0.85009608006164294</v>
      </c>
      <c r="F124">
        <v>0.73049674839018297</v>
      </c>
      <c r="G124">
        <v>0.27551039342144601</v>
      </c>
      <c r="H124">
        <v>0.17474135064583199</v>
      </c>
      <c r="I124">
        <v>0.134728785264976</v>
      </c>
      <c r="J124">
        <v>0.110521118071621</v>
      </c>
      <c r="K124">
        <v>9.3652248761991796E-2</v>
      </c>
      <c r="L124">
        <v>1159.5615257085001</v>
      </c>
      <c r="M124">
        <v>22.5882222926776</v>
      </c>
      <c r="N124">
        <v>51.811632532836903</v>
      </c>
      <c r="O124">
        <v>50.937501437583499</v>
      </c>
      <c r="P124">
        <v>-0.100459865111499</v>
      </c>
      <c r="Q124">
        <v>9.3851063679816202E-2</v>
      </c>
      <c r="R124">
        <v>0.986638105463717</v>
      </c>
      <c r="S124" t="s">
        <v>5675</v>
      </c>
      <c r="T124" t="s">
        <v>11100</v>
      </c>
      <c r="U124" t="s">
        <v>11100</v>
      </c>
      <c r="V124" t="s">
        <v>11100</v>
      </c>
      <c r="W124" t="s">
        <v>11224</v>
      </c>
      <c r="X124">
        <v>4</v>
      </c>
      <c r="Y124" t="s">
        <v>16716</v>
      </c>
      <c r="Z124" t="s">
        <v>22129</v>
      </c>
      <c r="AA124">
        <v>0.53644769445511664</v>
      </c>
      <c r="AB124" t="str">
        <f>HYPERLINK("Melting_Curves/meltCurve_B4DGX2_PIP4K2A.pdf", "Melting_Curves/meltCurve_B4DGX2_PIP4K2A.pdf")</f>
        <v>Melting_Curves/meltCurve_B4DGX2_PIP4K2A.pdf</v>
      </c>
    </row>
    <row r="125" spans="1:28" x14ac:dyDescent="0.25">
      <c r="A125" t="s">
        <v>129</v>
      </c>
      <c r="B125">
        <v>0.99299721793515405</v>
      </c>
      <c r="C125">
        <v>1.0916131314127799</v>
      </c>
      <c r="D125">
        <v>0.98124067431170503</v>
      </c>
      <c r="E125">
        <v>0.84663787776204302</v>
      </c>
      <c r="F125">
        <v>0.68613320730032501</v>
      </c>
      <c r="G125">
        <v>0.39924945326573102</v>
      </c>
      <c r="H125">
        <v>0.21819993802088999</v>
      </c>
      <c r="I125">
        <v>0.146150447117881</v>
      </c>
      <c r="J125">
        <v>0.141313822271395</v>
      </c>
      <c r="K125">
        <v>0.114476355803978</v>
      </c>
      <c r="L125">
        <v>914.11837570789999</v>
      </c>
      <c r="M125">
        <v>17.687053564909501</v>
      </c>
      <c r="N125">
        <v>52.331503178301702</v>
      </c>
      <c r="O125">
        <v>51.035823906588703</v>
      </c>
      <c r="P125">
        <v>-7.8117207904865496E-2</v>
      </c>
      <c r="Q125">
        <v>9.8421993911979005E-2</v>
      </c>
      <c r="R125">
        <v>0.99175637808580397</v>
      </c>
      <c r="S125" t="s">
        <v>5676</v>
      </c>
      <c r="T125" t="s">
        <v>11100</v>
      </c>
      <c r="U125" t="s">
        <v>11100</v>
      </c>
      <c r="V125" t="s">
        <v>11100</v>
      </c>
      <c r="W125" t="s">
        <v>11225</v>
      </c>
      <c r="X125">
        <v>10</v>
      </c>
      <c r="Y125" t="s">
        <v>16717</v>
      </c>
      <c r="Z125" t="s">
        <v>22130</v>
      </c>
      <c r="AA125">
        <v>0.5537970998256192</v>
      </c>
      <c r="AB125" t="str">
        <f>HYPERLINK("Melting_Curves/meltCurve_B4DH53_MAP1S.pdf", "Melting_Curves/meltCurve_B4DH53_MAP1S.pdf")</f>
        <v>Melting_Curves/meltCurve_B4DH53_MAP1S.pdf</v>
      </c>
    </row>
    <row r="126" spans="1:28" x14ac:dyDescent="0.25">
      <c r="A126" t="s">
        <v>130</v>
      </c>
      <c r="B126">
        <v>0.99299721793515405</v>
      </c>
      <c r="C126">
        <v>1.0037854189367601</v>
      </c>
      <c r="D126">
        <v>0.79329169191903304</v>
      </c>
      <c r="E126">
        <v>0.94676812224362605</v>
      </c>
      <c r="F126">
        <v>0.81207773848540199</v>
      </c>
      <c r="G126">
        <v>0.50702841472559701</v>
      </c>
      <c r="H126">
        <v>0.68670678542113395</v>
      </c>
      <c r="I126">
        <v>0.87395373487669903</v>
      </c>
      <c r="J126">
        <v>1.13710844418436</v>
      </c>
      <c r="K126">
        <v>1.1918156621737499</v>
      </c>
      <c r="L126">
        <v>10287.7947584751</v>
      </c>
      <c r="M126">
        <v>250</v>
      </c>
      <c r="O126">
        <v>41.148544785596698</v>
      </c>
      <c r="P126">
        <v>-0.19959110235736399</v>
      </c>
      <c r="Q126">
        <v>0.86859386282559303</v>
      </c>
      <c r="R126">
        <v>7.0474876319304006E-2</v>
      </c>
      <c r="S126" t="s">
        <v>5677</v>
      </c>
      <c r="T126" t="s">
        <v>11100</v>
      </c>
      <c r="U126" t="s">
        <v>11100</v>
      </c>
      <c r="V126" t="s">
        <v>11100</v>
      </c>
      <c r="W126" t="s">
        <v>11226</v>
      </c>
      <c r="X126">
        <v>1</v>
      </c>
      <c r="Y126" t="s">
        <v>16718</v>
      </c>
      <c r="Z126" t="s">
        <v>22131</v>
      </c>
      <c r="AA126">
        <v>0.88678636632008312</v>
      </c>
      <c r="AB126" t="str">
        <f>HYPERLINK("Melting_Curves/meltCurve_B4DIG7_PIP5K1B.pdf", "Melting_Curves/meltCurve_B4DIG7_PIP5K1B.pdf")</f>
        <v>Melting_Curves/meltCurve_B4DIG7_PIP5K1B.pdf</v>
      </c>
    </row>
    <row r="127" spans="1:28" x14ac:dyDescent="0.25">
      <c r="A127" t="s">
        <v>131</v>
      </c>
      <c r="B127">
        <v>0.99299721793515405</v>
      </c>
      <c r="C127">
        <v>0.98591771599349898</v>
      </c>
      <c r="D127">
        <v>0.96198916986038896</v>
      </c>
      <c r="E127">
        <v>0.99295679744838705</v>
      </c>
      <c r="F127">
        <v>0.84764714584245904</v>
      </c>
      <c r="G127">
        <v>0.623876666543703</v>
      </c>
      <c r="H127">
        <v>0.49343216956841102</v>
      </c>
      <c r="I127">
        <v>0.46771228377712298</v>
      </c>
      <c r="J127">
        <v>0.31348499824855702</v>
      </c>
      <c r="K127">
        <v>0.12579227458401199</v>
      </c>
      <c r="L127">
        <v>595.68990707110697</v>
      </c>
      <c r="M127">
        <v>10.264852514257001</v>
      </c>
      <c r="N127">
        <v>58.031998654479203</v>
      </c>
      <c r="O127">
        <v>55.958920959407898</v>
      </c>
      <c r="P127">
        <v>-4.5879055944264002E-2</v>
      </c>
      <c r="Q127">
        <v>0</v>
      </c>
      <c r="R127">
        <v>0.97158817614828796</v>
      </c>
      <c r="S127" t="s">
        <v>5678</v>
      </c>
      <c r="T127" t="s">
        <v>11100</v>
      </c>
      <c r="U127" t="s">
        <v>11100</v>
      </c>
      <c r="V127" t="s">
        <v>11100</v>
      </c>
      <c r="W127" t="s">
        <v>11227</v>
      </c>
      <c r="X127">
        <v>7</v>
      </c>
      <c r="Y127" t="s">
        <v>16719</v>
      </c>
      <c r="Z127" t="s">
        <v>22132</v>
      </c>
      <c r="AA127">
        <v>0.69343096639265367</v>
      </c>
      <c r="AB127" t="str">
        <f>HYPERLINK("Melting_Curves/meltCurve_B4DJA5_RAB5A.pdf", "Melting_Curves/meltCurve_B4DJA5_RAB5A.pdf")</f>
        <v>Melting_Curves/meltCurve_B4DJA5_RAB5A.pdf</v>
      </c>
    </row>
    <row r="128" spans="1:28" x14ac:dyDescent="0.25">
      <c r="A128" t="s">
        <v>132</v>
      </c>
      <c r="B128">
        <v>0.99299721793515405</v>
      </c>
      <c r="C128">
        <v>1.0584930312430101</v>
      </c>
      <c r="D128">
        <v>0.95872238785192598</v>
      </c>
      <c r="E128">
        <v>0.82539312403509202</v>
      </c>
      <c r="F128">
        <v>0.74087658819440505</v>
      </c>
      <c r="G128">
        <v>0.58117191476755203</v>
      </c>
      <c r="H128">
        <v>0.64697292831911701</v>
      </c>
      <c r="I128">
        <v>0.72545596326968098</v>
      </c>
      <c r="J128">
        <v>0.66844258623488395</v>
      </c>
      <c r="K128">
        <v>0.55256623521135795</v>
      </c>
      <c r="L128">
        <v>1133.5801917432</v>
      </c>
      <c r="M128">
        <v>24.097677575421699</v>
      </c>
      <c r="O128">
        <v>46.720695231479503</v>
      </c>
      <c r="P128">
        <v>-4.6931000172344799E-2</v>
      </c>
      <c r="Q128">
        <v>0.63604544474338398</v>
      </c>
      <c r="R128">
        <v>0.90529805989960899</v>
      </c>
      <c r="S128" t="s">
        <v>5679</v>
      </c>
      <c r="T128" t="s">
        <v>11100</v>
      </c>
      <c r="U128" t="s">
        <v>11100</v>
      </c>
      <c r="V128" t="s">
        <v>11100</v>
      </c>
      <c r="W128" t="s">
        <v>11228</v>
      </c>
      <c r="X128">
        <v>1</v>
      </c>
      <c r="Y128" t="s">
        <v>16720</v>
      </c>
      <c r="Z128" t="s">
        <v>22133</v>
      </c>
      <c r="AA128">
        <v>0.76115434905753665</v>
      </c>
      <c r="AB128" t="str">
        <f>HYPERLINK("Melting_Curves/meltCurve_B4DJN2_SLC25A14.pdf", "Melting_Curves/meltCurve_B4DJN2_SLC25A14.pdf")</f>
        <v>Melting_Curves/meltCurve_B4DJN2_SLC25A14.pdf</v>
      </c>
    </row>
    <row r="129" spans="1:28" x14ac:dyDescent="0.25">
      <c r="A129" t="s">
        <v>133</v>
      </c>
      <c r="B129">
        <v>0.99299721793515405</v>
      </c>
      <c r="C129">
        <v>0.93969989326516001</v>
      </c>
      <c r="D129">
        <v>1.0183489931913201</v>
      </c>
      <c r="E129">
        <v>0.84481067252203601</v>
      </c>
      <c r="F129">
        <v>0.67162936042085097</v>
      </c>
      <c r="G129">
        <v>0.75458533736935396</v>
      </c>
      <c r="H129">
        <v>0.83732485957545699</v>
      </c>
      <c r="I129">
        <v>1.0966976236664701</v>
      </c>
      <c r="J129">
        <v>1.0334291369334001</v>
      </c>
      <c r="K129">
        <v>1.0262108934279901</v>
      </c>
      <c r="L129">
        <v>2220.4383977900302</v>
      </c>
      <c r="M129">
        <v>36.503666975094099</v>
      </c>
      <c r="O129">
        <v>60.646130925729999</v>
      </c>
      <c r="P129">
        <v>6.6006834403623104E-3</v>
      </c>
      <c r="Q129">
        <v>1.0438646032682399</v>
      </c>
      <c r="R129">
        <v>-0.33505727948712799</v>
      </c>
      <c r="S129" t="s">
        <v>5680</v>
      </c>
      <c r="T129" t="s">
        <v>11100</v>
      </c>
      <c r="U129" t="s">
        <v>11100</v>
      </c>
      <c r="V129" t="s">
        <v>11100</v>
      </c>
      <c r="W129" t="s">
        <v>11229</v>
      </c>
      <c r="X129">
        <v>10</v>
      </c>
      <c r="Y129" t="s">
        <v>16721</v>
      </c>
      <c r="Z129" t="s">
        <v>22134</v>
      </c>
      <c r="AA129">
        <v>1.008910181479066</v>
      </c>
      <c r="AB129" t="str">
        <f>HYPERLINK("Melting_Curves/meltCurve_B4DJP7_SNRPD3.pdf", "Melting_Curves/meltCurve_B4DJP7_SNRPD3.pdf")</f>
        <v>Melting_Curves/meltCurve_B4DJP7_SNRPD3.pdf</v>
      </c>
    </row>
    <row r="130" spans="1:28" x14ac:dyDescent="0.25">
      <c r="A130" t="s">
        <v>134</v>
      </c>
      <c r="B130">
        <v>0.99299721793515405</v>
      </c>
      <c r="C130">
        <v>1.0702114355044501</v>
      </c>
      <c r="D130">
        <v>0.95302729937085295</v>
      </c>
      <c r="E130">
        <v>0.89570164754378701</v>
      </c>
      <c r="F130">
        <v>0.776300964524679</v>
      </c>
      <c r="G130">
        <v>0.57001172729583205</v>
      </c>
      <c r="H130">
        <v>0.38912168513108503</v>
      </c>
      <c r="I130">
        <v>0.20065060677530899</v>
      </c>
      <c r="J130">
        <v>0.122818498024361</v>
      </c>
      <c r="K130">
        <v>0.102191134290612</v>
      </c>
      <c r="L130">
        <v>711.75486808767005</v>
      </c>
      <c r="M130">
        <v>12.9425599814595</v>
      </c>
      <c r="N130">
        <v>54.9933606598821</v>
      </c>
      <c r="O130">
        <v>53.730142647182099</v>
      </c>
      <c r="P130">
        <v>-6.0231024896204098E-2</v>
      </c>
      <c r="Q130">
        <v>0</v>
      </c>
      <c r="R130">
        <v>0.99393154882630297</v>
      </c>
      <c r="S130" t="s">
        <v>5681</v>
      </c>
      <c r="T130" t="s">
        <v>11100</v>
      </c>
      <c r="U130" t="s">
        <v>11100</v>
      </c>
      <c r="V130" t="s">
        <v>11100</v>
      </c>
      <c r="W130" t="s">
        <v>11230</v>
      </c>
      <c r="X130">
        <v>27</v>
      </c>
      <c r="Y130" t="s">
        <v>16722</v>
      </c>
      <c r="Z130" t="s">
        <v>22135</v>
      </c>
      <c r="AA130">
        <v>0.61423693567098914</v>
      </c>
      <c r="AB130" t="str">
        <f>HYPERLINK("Melting_Curves/meltCurve_B4DJV2_CS.pdf", "Melting_Curves/meltCurve_B4DJV2_CS.pdf")</f>
        <v>Melting_Curves/meltCurve_B4DJV2_CS.pdf</v>
      </c>
    </row>
    <row r="131" spans="1:28" x14ac:dyDescent="0.25">
      <c r="A131" t="s">
        <v>135</v>
      </c>
      <c r="B131">
        <v>0.99299721793515405</v>
      </c>
      <c r="C131">
        <v>0.84847117766832203</v>
      </c>
      <c r="D131">
        <v>0.83550846932059397</v>
      </c>
      <c r="E131">
        <v>0.77768750596323599</v>
      </c>
      <c r="F131">
        <v>0.67075853315545297</v>
      </c>
      <c r="G131">
        <v>0.34596705440078501</v>
      </c>
      <c r="H131">
        <v>0.19802373398449599</v>
      </c>
      <c r="I131">
        <v>0.17526444898256099</v>
      </c>
      <c r="J131">
        <v>0.198924232580555</v>
      </c>
      <c r="K131">
        <v>7.5895699906874503E-2</v>
      </c>
      <c r="L131">
        <v>510.29435070066802</v>
      </c>
      <c r="M131">
        <v>9.8837318486881696</v>
      </c>
      <c r="N131">
        <v>51.629724250510499</v>
      </c>
      <c r="O131">
        <v>49.649468887346998</v>
      </c>
      <c r="P131">
        <v>-4.97928731156232E-2</v>
      </c>
      <c r="Q131">
        <v>0</v>
      </c>
      <c r="R131">
        <v>0.96547361821490696</v>
      </c>
      <c r="S131" t="s">
        <v>5682</v>
      </c>
      <c r="T131" t="s">
        <v>11100</v>
      </c>
      <c r="U131" t="s">
        <v>11100</v>
      </c>
      <c r="V131" t="s">
        <v>11100</v>
      </c>
      <c r="W131" t="s">
        <v>11231</v>
      </c>
      <c r="X131">
        <v>3</v>
      </c>
      <c r="Y131" t="s">
        <v>16723</v>
      </c>
      <c r="Z131" t="s">
        <v>22136</v>
      </c>
      <c r="AA131">
        <v>0.51597035774261313</v>
      </c>
      <c r="AB131" t="str">
        <f>HYPERLINK("Melting_Curves/meltCurve_B4DK44_NAPB.pdf", "Melting_Curves/meltCurve_B4DK44_NAPB.pdf")</f>
        <v>Melting_Curves/meltCurve_B4DK44_NAPB.pdf</v>
      </c>
    </row>
    <row r="132" spans="1:28" x14ac:dyDescent="0.25">
      <c r="A132" t="s">
        <v>136</v>
      </c>
      <c r="B132">
        <v>0.99299721793515405</v>
      </c>
      <c r="C132">
        <v>0.95504279123658697</v>
      </c>
      <c r="D132">
        <v>0.81014196405528005</v>
      </c>
      <c r="E132">
        <v>0.80212735702319704</v>
      </c>
      <c r="F132">
        <v>0.68883923302231898</v>
      </c>
      <c r="G132">
        <v>0.58252151157543797</v>
      </c>
      <c r="H132">
        <v>0.57128462857677997</v>
      </c>
      <c r="I132">
        <v>0.53684574776726601</v>
      </c>
      <c r="J132">
        <v>0.46351622911385099</v>
      </c>
      <c r="K132">
        <v>0.37213343394026599</v>
      </c>
      <c r="L132">
        <v>331.07348158940999</v>
      </c>
      <c r="M132">
        <v>6.1894660444439502</v>
      </c>
      <c r="N132">
        <v>60.273130562658899</v>
      </c>
      <c r="O132">
        <v>48.716059627879297</v>
      </c>
      <c r="P132">
        <v>-2.3863962173529599E-2</v>
      </c>
      <c r="Q132">
        <v>0.25085654810227698</v>
      </c>
      <c r="R132">
        <v>0.96778099531707595</v>
      </c>
      <c r="S132" t="s">
        <v>5683</v>
      </c>
      <c r="T132" t="s">
        <v>11100</v>
      </c>
      <c r="U132" t="s">
        <v>11100</v>
      </c>
      <c r="V132" t="s">
        <v>11100</v>
      </c>
      <c r="W132" t="s">
        <v>11232</v>
      </c>
      <c r="X132">
        <v>7</v>
      </c>
      <c r="Y132" t="s">
        <v>16724</v>
      </c>
      <c r="Z132" t="s">
        <v>22137</v>
      </c>
      <c r="AA132">
        <v>0.67252165049453061</v>
      </c>
      <c r="AB132" t="str">
        <f>HYPERLINK("Melting_Curves/meltCurve_B4DKB2_ECE1.pdf", "Melting_Curves/meltCurve_B4DKB2_ECE1.pdf")</f>
        <v>Melting_Curves/meltCurve_B4DKB2_ECE1.pdf</v>
      </c>
    </row>
    <row r="133" spans="1:28" x14ac:dyDescent="0.25">
      <c r="A133" t="s">
        <v>137</v>
      </c>
      <c r="B133">
        <v>0.99299721793515405</v>
      </c>
      <c r="C133">
        <v>1.0823111365299101</v>
      </c>
      <c r="D133">
        <v>0.97638971069477598</v>
      </c>
      <c r="E133">
        <v>0.89476627486486704</v>
      </c>
      <c r="F133">
        <v>0.83122726316576401</v>
      </c>
      <c r="G133">
        <v>0.45895623824016402</v>
      </c>
      <c r="H133">
        <v>0.51988179759292796</v>
      </c>
      <c r="I133">
        <v>0.66687891922875397</v>
      </c>
      <c r="J133">
        <v>0.71234979331121395</v>
      </c>
      <c r="K133">
        <v>0.63435921671299</v>
      </c>
      <c r="L133">
        <v>12566.133144318101</v>
      </c>
      <c r="M133">
        <v>250</v>
      </c>
      <c r="O133">
        <v>50.261315992433701</v>
      </c>
      <c r="P133">
        <v>-0.49928409190066397</v>
      </c>
      <c r="Q133">
        <v>0.598485192357053</v>
      </c>
      <c r="R133">
        <v>0.84255673241037299</v>
      </c>
      <c r="S133" t="s">
        <v>5684</v>
      </c>
      <c r="T133" t="s">
        <v>11100</v>
      </c>
      <c r="U133" t="s">
        <v>11100</v>
      </c>
      <c r="V133" t="s">
        <v>11100</v>
      </c>
      <c r="W133" t="s">
        <v>11233</v>
      </c>
      <c r="X133">
        <v>2</v>
      </c>
      <c r="Y133" t="s">
        <v>16725</v>
      </c>
      <c r="Z133" t="s">
        <v>22138</v>
      </c>
      <c r="AA133">
        <v>0.7760508195803536</v>
      </c>
      <c r="AB133" t="str">
        <f>HYPERLINK("Melting_Curves/meltCurve_B4DKF9_ZNF286A.pdf", "Melting_Curves/meltCurve_B4DKF9_ZNF286A.pdf")</f>
        <v>Melting_Curves/meltCurve_B4DKF9_ZNF286A.pdf</v>
      </c>
    </row>
    <row r="134" spans="1:28" x14ac:dyDescent="0.25">
      <c r="A134" t="s">
        <v>138</v>
      </c>
      <c r="B134">
        <v>0.99299721793515405</v>
      </c>
      <c r="C134">
        <v>0.93868263429628196</v>
      </c>
      <c r="D134">
        <v>0.89802229860865901</v>
      </c>
      <c r="E134">
        <v>0.751068137412639</v>
      </c>
      <c r="F134">
        <v>0.73529409569629001</v>
      </c>
      <c r="G134">
        <v>0.43689422269923101</v>
      </c>
      <c r="H134">
        <v>0.44910054054605397</v>
      </c>
      <c r="I134">
        <v>0.47286547676026403</v>
      </c>
      <c r="J134">
        <v>0.53573571008839005</v>
      </c>
      <c r="K134">
        <v>0.42482461855012699</v>
      </c>
      <c r="L134">
        <v>669.93665566353297</v>
      </c>
      <c r="M134">
        <v>13.993152370049</v>
      </c>
      <c r="N134">
        <v>56.328236894247297</v>
      </c>
      <c r="O134">
        <v>46.930061765259303</v>
      </c>
      <c r="P134">
        <v>-4.18422739751666E-2</v>
      </c>
      <c r="Q134">
        <v>0.43875400421424299</v>
      </c>
      <c r="R134">
        <v>0.93223582678956496</v>
      </c>
      <c r="S134" t="s">
        <v>5685</v>
      </c>
      <c r="T134" t="s">
        <v>11100</v>
      </c>
      <c r="U134" t="s">
        <v>11100</v>
      </c>
      <c r="V134" t="s">
        <v>11100</v>
      </c>
      <c r="W134" t="s">
        <v>11234</v>
      </c>
      <c r="X134">
        <v>11</v>
      </c>
      <c r="Y134" t="s">
        <v>16726</v>
      </c>
      <c r="Z134" t="s">
        <v>22139</v>
      </c>
      <c r="AA134">
        <v>0.65614057707656059</v>
      </c>
      <c r="AB134" t="str">
        <f>HYPERLINK("Melting_Curves/meltCurve_B4DKL4_LSR.pdf", "Melting_Curves/meltCurve_B4DKL4_LSR.pdf")</f>
        <v>Melting_Curves/meltCurve_B4DKL4_LSR.pdf</v>
      </c>
    </row>
    <row r="135" spans="1:28" x14ac:dyDescent="0.25">
      <c r="A135" t="s">
        <v>139</v>
      </c>
      <c r="B135">
        <v>0.99299721793515405</v>
      </c>
      <c r="C135">
        <v>0.9622083858528</v>
      </c>
      <c r="D135">
        <v>0.88671508551077305</v>
      </c>
      <c r="E135">
        <v>0.87887170887687605</v>
      </c>
      <c r="F135">
        <v>0.65436145863495598</v>
      </c>
      <c r="G135">
        <v>0.37269949730787599</v>
      </c>
      <c r="H135">
        <v>0.272334382589556</v>
      </c>
      <c r="I135">
        <v>0.22278151813296301</v>
      </c>
      <c r="J135">
        <v>0.13440876083571801</v>
      </c>
      <c r="K135">
        <v>8.5276213523218694E-2</v>
      </c>
      <c r="L135">
        <v>702.01850892142102</v>
      </c>
      <c r="M135">
        <v>13.540480049035001</v>
      </c>
      <c r="N135">
        <v>52.424942961940701</v>
      </c>
      <c r="O135">
        <v>50.7542851532341</v>
      </c>
      <c r="P135">
        <v>-6.20732796548122E-2</v>
      </c>
      <c r="Q135">
        <v>6.9454110078535206E-2</v>
      </c>
      <c r="R135">
        <v>0.99034196766869997</v>
      </c>
      <c r="S135" t="s">
        <v>5686</v>
      </c>
      <c r="T135" t="s">
        <v>11100</v>
      </c>
      <c r="U135" t="s">
        <v>11100</v>
      </c>
      <c r="V135" t="s">
        <v>11100</v>
      </c>
      <c r="W135" t="s">
        <v>11235</v>
      </c>
      <c r="X135">
        <v>4</v>
      </c>
      <c r="Y135" t="s">
        <v>16727</v>
      </c>
      <c r="Z135" t="s">
        <v>22140</v>
      </c>
      <c r="AA135">
        <v>0.55004750291224036</v>
      </c>
      <c r="AB135" t="str">
        <f>HYPERLINK("Melting_Curves/meltCurve_B4DL54_CHURC1_FNTB.pdf", "Melting_Curves/meltCurve_B4DL54_CHURC1_FNTB.pdf")</f>
        <v>Melting_Curves/meltCurve_B4DL54_CHURC1_FNTB.pdf</v>
      </c>
    </row>
    <row r="136" spans="1:28" x14ac:dyDescent="0.25">
      <c r="A136" t="s">
        <v>140</v>
      </c>
      <c r="B136">
        <v>0.99299721793515405</v>
      </c>
      <c r="C136">
        <v>1.03270825024415</v>
      </c>
      <c r="D136">
        <v>0.995141421853449</v>
      </c>
      <c r="E136">
        <v>0.86348155776709801</v>
      </c>
      <c r="F136">
        <v>0.67927840375732895</v>
      </c>
      <c r="G136">
        <v>0.437059793435911</v>
      </c>
      <c r="H136">
        <v>0.22886480095453701</v>
      </c>
      <c r="I136">
        <v>0.27652515829039997</v>
      </c>
      <c r="J136">
        <v>0.216787729386202</v>
      </c>
      <c r="K136">
        <v>0.170565375623486</v>
      </c>
      <c r="L136">
        <v>953.19737983937205</v>
      </c>
      <c r="M136">
        <v>18.6121087389512</v>
      </c>
      <c r="N136">
        <v>52.527363541858001</v>
      </c>
      <c r="O136">
        <v>50.633597563511898</v>
      </c>
      <c r="P136">
        <v>-7.4800623193873095E-2</v>
      </c>
      <c r="Q136">
        <v>0.186065148828751</v>
      </c>
      <c r="R136">
        <v>0.99232742035656796</v>
      </c>
      <c r="S136" t="s">
        <v>5687</v>
      </c>
      <c r="T136" t="s">
        <v>11100</v>
      </c>
      <c r="U136" t="s">
        <v>11100</v>
      </c>
      <c r="V136" t="s">
        <v>11100</v>
      </c>
      <c r="W136" t="s">
        <v>11236</v>
      </c>
      <c r="X136">
        <v>1</v>
      </c>
      <c r="Y136" t="s">
        <v>16728</v>
      </c>
      <c r="Z136" t="s">
        <v>22141</v>
      </c>
      <c r="AA136">
        <v>0.58363765459016115</v>
      </c>
      <c r="AB136" t="str">
        <f>HYPERLINK("Melting_Curves/meltCurve_B4DL79_KIF20A.pdf", "Melting_Curves/meltCurve_B4DL79_KIF20A.pdf")</f>
        <v>Melting_Curves/meltCurve_B4DL79_KIF20A.pdf</v>
      </c>
    </row>
    <row r="137" spans="1:28" x14ac:dyDescent="0.25">
      <c r="A137" t="s">
        <v>141</v>
      </c>
      <c r="B137">
        <v>0.99299721793515405</v>
      </c>
      <c r="C137">
        <v>0.91385702922496403</v>
      </c>
      <c r="D137">
        <v>0.99501429843098199</v>
      </c>
      <c r="E137">
        <v>0.79508186004784498</v>
      </c>
      <c r="F137">
        <v>0.80945722200183701</v>
      </c>
      <c r="G137">
        <v>0.51377082230369797</v>
      </c>
      <c r="H137">
        <v>0.59187353177611102</v>
      </c>
      <c r="I137">
        <v>0.65983327719862905</v>
      </c>
      <c r="J137">
        <v>0.84249510792899596</v>
      </c>
      <c r="K137">
        <v>0.70771384353764</v>
      </c>
      <c r="L137">
        <v>1228.21292304491</v>
      </c>
      <c r="M137">
        <v>26.521597231273098</v>
      </c>
      <c r="O137">
        <v>46.049034484497597</v>
      </c>
      <c r="P137">
        <v>-4.6607261060453098E-2</v>
      </c>
      <c r="Q137">
        <v>0.67630961439330095</v>
      </c>
      <c r="R137">
        <v>0.65375696340177702</v>
      </c>
      <c r="S137" t="s">
        <v>5688</v>
      </c>
      <c r="T137" t="s">
        <v>11100</v>
      </c>
      <c r="U137" t="s">
        <v>11100</v>
      </c>
      <c r="V137" t="s">
        <v>11100</v>
      </c>
      <c r="W137" t="s">
        <v>11237</v>
      </c>
      <c r="X137">
        <v>3</v>
      </c>
      <c r="Y137" t="s">
        <v>16729</v>
      </c>
      <c r="Z137" t="s">
        <v>22142</v>
      </c>
      <c r="AA137">
        <v>0.77914773474018595</v>
      </c>
      <c r="AB137" t="str">
        <f>HYPERLINK("Melting_Curves/meltCurve_B4DLH2_C2orf18.pdf", "Melting_Curves/meltCurve_B4DLH2_C2orf18.pdf")</f>
        <v>Melting_Curves/meltCurve_B4DLH2_C2orf18.pdf</v>
      </c>
    </row>
    <row r="138" spans="1:28" x14ac:dyDescent="0.25">
      <c r="A138" t="s">
        <v>142</v>
      </c>
      <c r="B138">
        <v>0.99299721793515405</v>
      </c>
      <c r="C138">
        <v>0.94084348920332606</v>
      </c>
      <c r="D138">
        <v>1.0045765231224999</v>
      </c>
      <c r="E138">
        <v>0.86250322273119995</v>
      </c>
      <c r="F138">
        <v>0.74018882109190798</v>
      </c>
      <c r="G138">
        <v>0.59971574473844802</v>
      </c>
      <c r="H138">
        <v>0.58325581284021499</v>
      </c>
      <c r="I138">
        <v>0.63010180183545805</v>
      </c>
      <c r="J138">
        <v>0.79313563847995605</v>
      </c>
      <c r="K138">
        <v>0.73475331491265194</v>
      </c>
      <c r="L138">
        <v>1602.1592003651999</v>
      </c>
      <c r="M138">
        <v>33.941712556403402</v>
      </c>
      <c r="O138">
        <v>47.040299779638097</v>
      </c>
      <c r="P138">
        <v>-5.9174304187831303E-2</v>
      </c>
      <c r="Q138">
        <v>0.67195928802536697</v>
      </c>
      <c r="R138">
        <v>0.82658357396654902</v>
      </c>
      <c r="S138" t="s">
        <v>5689</v>
      </c>
      <c r="T138" t="s">
        <v>11100</v>
      </c>
      <c r="U138" t="s">
        <v>11100</v>
      </c>
      <c r="V138" t="s">
        <v>11100</v>
      </c>
      <c r="W138" t="s">
        <v>11238</v>
      </c>
      <c r="X138">
        <v>19</v>
      </c>
      <c r="Y138" t="s">
        <v>16730</v>
      </c>
      <c r="Z138" t="s">
        <v>22143</v>
      </c>
      <c r="AA138">
        <v>0.78502013038486784</v>
      </c>
      <c r="AB138" t="str">
        <f>HYPERLINK("Melting_Curves/meltCurve_B4DLN1_SLC25A10.pdf", "Melting_Curves/meltCurve_B4DLN1_SLC25A10.pdf")</f>
        <v>Melting_Curves/meltCurve_B4DLN1_SLC25A10.pdf</v>
      </c>
    </row>
    <row r="139" spans="1:28" x14ac:dyDescent="0.25">
      <c r="A139" t="s">
        <v>143</v>
      </c>
      <c r="B139">
        <v>0.99299721793515405</v>
      </c>
      <c r="C139">
        <v>1.0148184892629999</v>
      </c>
      <c r="D139">
        <v>0.913623992022353</v>
      </c>
      <c r="E139">
        <v>0.90914158280508806</v>
      </c>
      <c r="F139">
        <v>0.71400022014694997</v>
      </c>
      <c r="G139">
        <v>0.49495400766891801</v>
      </c>
      <c r="H139">
        <v>0.22875397708713999</v>
      </c>
      <c r="I139">
        <v>0.18667246981557001</v>
      </c>
      <c r="J139">
        <v>0.158196126895781</v>
      </c>
      <c r="K139">
        <v>0.103333979356384</v>
      </c>
      <c r="L139">
        <v>850.92328664816205</v>
      </c>
      <c r="M139">
        <v>16.156181551459401</v>
      </c>
      <c r="N139">
        <v>53.288649601500502</v>
      </c>
      <c r="O139">
        <v>51.881482178452003</v>
      </c>
      <c r="P139">
        <v>-7.1185718350580504E-2</v>
      </c>
      <c r="Q139">
        <v>8.5689102998643393E-2</v>
      </c>
      <c r="R139">
        <v>0.993486116777345</v>
      </c>
      <c r="S139" t="s">
        <v>5690</v>
      </c>
      <c r="T139" t="s">
        <v>11100</v>
      </c>
      <c r="U139" t="s">
        <v>11100</v>
      </c>
      <c r="V139" t="s">
        <v>11100</v>
      </c>
      <c r="W139" t="s">
        <v>11239</v>
      </c>
      <c r="X139">
        <v>7</v>
      </c>
      <c r="Y139" t="s">
        <v>16731</v>
      </c>
      <c r="Z139" t="s">
        <v>22144</v>
      </c>
      <c r="AA139">
        <v>0.57865813844843472</v>
      </c>
      <c r="AB139" t="str">
        <f>HYPERLINK("Melting_Curves/meltCurve_B4DLT4_RPS6KB1.pdf", "Melting_Curves/meltCurve_B4DLT4_RPS6KB1.pdf")</f>
        <v>Melting_Curves/meltCurve_B4DLT4_RPS6KB1.pdf</v>
      </c>
    </row>
    <row r="140" spans="1:28" x14ac:dyDescent="0.25">
      <c r="A140" t="s">
        <v>144</v>
      </c>
      <c r="B140">
        <v>0.99299721793515405</v>
      </c>
      <c r="C140">
        <v>1.0072692740881</v>
      </c>
      <c r="D140">
        <v>1.25140879429514</v>
      </c>
      <c r="E140">
        <v>1.0013305532088099</v>
      </c>
      <c r="F140">
        <v>0.86433999456745003</v>
      </c>
      <c r="G140">
        <v>0.36079686523537902</v>
      </c>
      <c r="H140">
        <v>0.257871480140766</v>
      </c>
      <c r="I140">
        <v>0.25070769486168398</v>
      </c>
      <c r="J140">
        <v>0.22022050781567801</v>
      </c>
      <c r="K140">
        <v>0.29423806072599801</v>
      </c>
      <c r="L140">
        <v>2485.9629227676901</v>
      </c>
      <c r="M140">
        <v>48.009446635426499</v>
      </c>
      <c r="N140">
        <v>52.557719310052804</v>
      </c>
      <c r="O140">
        <v>51.691091399240399</v>
      </c>
      <c r="P140">
        <v>-0.17318745777166999</v>
      </c>
      <c r="Q140">
        <v>0.254126674507062</v>
      </c>
      <c r="R140">
        <v>0.95544419991221496</v>
      </c>
      <c r="S140" t="s">
        <v>5691</v>
      </c>
      <c r="T140" t="s">
        <v>11100</v>
      </c>
      <c r="U140" t="s">
        <v>11100</v>
      </c>
      <c r="V140" t="s">
        <v>11100</v>
      </c>
      <c r="W140" t="s">
        <v>11240</v>
      </c>
      <c r="X140">
        <v>22</v>
      </c>
      <c r="Y140" t="s">
        <v>16732</v>
      </c>
      <c r="Z140" t="s">
        <v>22145</v>
      </c>
      <c r="AA140">
        <v>0.62345892738443776</v>
      </c>
      <c r="AB140" t="str">
        <f>HYPERLINK("Melting_Curves/meltCurve_B4DLW8_DDX5.pdf", "Melting_Curves/meltCurve_B4DLW8_DDX5.pdf")</f>
        <v>Melting_Curves/meltCurve_B4DLW8_DDX5.pdf</v>
      </c>
    </row>
    <row r="141" spans="1:28" x14ac:dyDescent="0.25">
      <c r="A141" t="s">
        <v>145</v>
      </c>
      <c r="B141">
        <v>0.99299721793515405</v>
      </c>
      <c r="C141">
        <v>1.0685001977595501</v>
      </c>
      <c r="D141">
        <v>0.90598920823849305</v>
      </c>
      <c r="E141">
        <v>0.96056355996690601</v>
      </c>
      <c r="F141">
        <v>0.81504131650189005</v>
      </c>
      <c r="G141">
        <v>0.55320255815025199</v>
      </c>
      <c r="H141">
        <v>0.30553992253616202</v>
      </c>
      <c r="I141">
        <v>0.27359082324240303</v>
      </c>
      <c r="J141">
        <v>0.19756228248035199</v>
      </c>
      <c r="K141">
        <v>0.17852995832315</v>
      </c>
      <c r="L141">
        <v>1055.9171298199899</v>
      </c>
      <c r="M141">
        <v>19.827555103297101</v>
      </c>
      <c r="N141">
        <v>54.439218191754698</v>
      </c>
      <c r="O141">
        <v>52.722193293336403</v>
      </c>
      <c r="P141">
        <v>-7.7552725488096205E-2</v>
      </c>
      <c r="Q141">
        <v>0.17516566546019599</v>
      </c>
      <c r="R141">
        <v>0.98733081750874796</v>
      </c>
      <c r="S141" t="s">
        <v>5692</v>
      </c>
      <c r="T141" t="s">
        <v>11100</v>
      </c>
      <c r="U141" t="s">
        <v>11100</v>
      </c>
      <c r="V141" t="s">
        <v>11100</v>
      </c>
      <c r="W141" t="s">
        <v>11241</v>
      </c>
      <c r="X141">
        <v>7</v>
      </c>
      <c r="Y141" t="s">
        <v>16733</v>
      </c>
      <c r="Z141" t="s">
        <v>22146</v>
      </c>
      <c r="AA141">
        <v>0.63251535690947047</v>
      </c>
      <c r="AB141" t="str">
        <f>HYPERLINK("Melting_Curves/meltCurve_B4DLZ9_RNF220.pdf", "Melting_Curves/meltCurve_B4DLZ9_RNF220.pdf")</f>
        <v>Melting_Curves/meltCurve_B4DLZ9_RNF220.pdf</v>
      </c>
    </row>
    <row r="142" spans="1:28" x14ac:dyDescent="0.25">
      <c r="A142" t="s">
        <v>146</v>
      </c>
      <c r="B142">
        <v>0.99299721793515405</v>
      </c>
      <c r="C142">
        <v>1.01138831926825</v>
      </c>
      <c r="D142">
        <v>1.2846738569501299</v>
      </c>
      <c r="E142">
        <v>0.91559475035450899</v>
      </c>
      <c r="F142">
        <v>0.87350329099680502</v>
      </c>
      <c r="G142">
        <v>0.660280746679761</v>
      </c>
      <c r="H142">
        <v>0.47331480318073599</v>
      </c>
      <c r="I142">
        <v>0.44119211632267102</v>
      </c>
      <c r="J142">
        <v>0.43475046303833298</v>
      </c>
      <c r="K142">
        <v>0.367179382888072</v>
      </c>
      <c r="L142">
        <v>1210.2429277502199</v>
      </c>
      <c r="M142">
        <v>22.789723456790899</v>
      </c>
      <c r="N142">
        <v>57.012116646213798</v>
      </c>
      <c r="O142">
        <v>52.700946625804399</v>
      </c>
      <c r="P142">
        <v>-6.5392718951449005E-2</v>
      </c>
      <c r="Q142">
        <v>0.39513240602182997</v>
      </c>
      <c r="R142">
        <v>0.89917997864541999</v>
      </c>
      <c r="S142" t="s">
        <v>5693</v>
      </c>
      <c r="T142" t="s">
        <v>11100</v>
      </c>
      <c r="U142" t="s">
        <v>11100</v>
      </c>
      <c r="V142" t="s">
        <v>11100</v>
      </c>
      <c r="W142" t="s">
        <v>11242</v>
      </c>
      <c r="X142">
        <v>6</v>
      </c>
      <c r="Y142" t="s">
        <v>16734</v>
      </c>
      <c r="Z142" t="s">
        <v>22147</v>
      </c>
      <c r="AA142">
        <v>0.7260680272106661</v>
      </c>
      <c r="AB142" t="str">
        <f>HYPERLINK("Melting_Curves/meltCurve_B4DM89_BSDC1.pdf", "Melting_Curves/meltCurve_B4DM89_BSDC1.pdf")</f>
        <v>Melting_Curves/meltCurve_B4DM89_BSDC1.pdf</v>
      </c>
    </row>
    <row r="143" spans="1:28" x14ac:dyDescent="0.25">
      <c r="A143" t="s">
        <v>147</v>
      </c>
      <c r="B143">
        <v>0.99299721793515405</v>
      </c>
      <c r="C143">
        <v>0.86548000160588401</v>
      </c>
      <c r="D143">
        <v>0.85389727747033894</v>
      </c>
      <c r="E143">
        <v>0.813032736040884</v>
      </c>
      <c r="F143">
        <v>0.76196484460023495</v>
      </c>
      <c r="G143">
        <v>0.23320487773190299</v>
      </c>
      <c r="H143">
        <v>0.175786344324461</v>
      </c>
      <c r="I143">
        <v>0.12754264787264799</v>
      </c>
      <c r="J143">
        <v>9.0746870790376799E-2</v>
      </c>
      <c r="K143">
        <v>4.1514327658950398E-2</v>
      </c>
      <c r="L143">
        <v>875.94224640997197</v>
      </c>
      <c r="M143">
        <v>17.016884246660499</v>
      </c>
      <c r="N143">
        <v>51.701350568339997</v>
      </c>
      <c r="O143">
        <v>50.779795233014397</v>
      </c>
      <c r="P143">
        <v>-8.07740702122096E-2</v>
      </c>
      <c r="Q143">
        <v>3.5913217133555102E-2</v>
      </c>
      <c r="R143">
        <v>0.95133970118438005</v>
      </c>
      <c r="S143" t="s">
        <v>5694</v>
      </c>
      <c r="T143" t="s">
        <v>11100</v>
      </c>
      <c r="U143" t="s">
        <v>11100</v>
      </c>
      <c r="V143" t="s">
        <v>11100</v>
      </c>
      <c r="W143" t="s">
        <v>11243</v>
      </c>
      <c r="X143">
        <v>14</v>
      </c>
      <c r="Y143" t="s">
        <v>16735</v>
      </c>
      <c r="Z143" t="s">
        <v>22148</v>
      </c>
      <c r="AA143">
        <v>0.51713541454869527</v>
      </c>
      <c r="AB143" t="str">
        <f>HYPERLINK("Melting_Curves/meltCurve_B4DME9_KLC4.pdf", "Melting_Curves/meltCurve_B4DME9_KLC4.pdf")</f>
        <v>Melting_Curves/meltCurve_B4DME9_KLC4.pdf</v>
      </c>
    </row>
    <row r="144" spans="1:28" x14ac:dyDescent="0.25">
      <c r="A144" t="s">
        <v>148</v>
      </c>
      <c r="B144">
        <v>0.99299721793515405</v>
      </c>
      <c r="C144">
        <v>0.93222372656306096</v>
      </c>
      <c r="D144">
        <v>0.75439684324837197</v>
      </c>
      <c r="E144">
        <v>0.82452441743127403</v>
      </c>
      <c r="F144">
        <v>0.51860716785983596</v>
      </c>
      <c r="G144">
        <v>0.41050339150440801</v>
      </c>
      <c r="H144">
        <v>0.29468897451685999</v>
      </c>
      <c r="I144">
        <v>0.27508715019652502</v>
      </c>
      <c r="J144">
        <v>0.19967247146240599</v>
      </c>
      <c r="K144">
        <v>0.147661084768237</v>
      </c>
      <c r="L144">
        <v>453.69201485658903</v>
      </c>
      <c r="M144">
        <v>8.9188589949068398</v>
      </c>
      <c r="N144">
        <v>51.684767379961897</v>
      </c>
      <c r="O144">
        <v>48.506494664910001</v>
      </c>
      <c r="P144">
        <v>-4.2981037310371999E-2</v>
      </c>
      <c r="Q144">
        <v>6.5668023398556194E-2</v>
      </c>
      <c r="R144">
        <v>0.97185539506187801</v>
      </c>
      <c r="S144" t="s">
        <v>5695</v>
      </c>
      <c r="T144" t="s">
        <v>11100</v>
      </c>
      <c r="U144" t="s">
        <v>11100</v>
      </c>
      <c r="V144" t="s">
        <v>11100</v>
      </c>
      <c r="W144" t="s">
        <v>11244</v>
      </c>
      <c r="X144">
        <v>1</v>
      </c>
      <c r="Y144" t="s">
        <v>16736</v>
      </c>
      <c r="Z144" t="s">
        <v>22149</v>
      </c>
      <c r="AA144">
        <v>0.52891916299287289</v>
      </c>
      <c r="AB144" t="str">
        <f>HYPERLINK("Melting_Curves/meltCurve_B4DMU4_FAM45A.pdf", "Melting_Curves/meltCurve_B4DMU4_FAM45A.pdf")</f>
        <v>Melting_Curves/meltCurve_B4DMU4_FAM45A.pdf</v>
      </c>
    </row>
    <row r="145" spans="1:28" x14ac:dyDescent="0.25">
      <c r="A145" t="s">
        <v>149</v>
      </c>
      <c r="B145">
        <v>0.99299721793515405</v>
      </c>
      <c r="C145">
        <v>0.98280670223894195</v>
      </c>
      <c r="D145">
        <v>0.91930529981153597</v>
      </c>
      <c r="E145">
        <v>0.90997563409397397</v>
      </c>
      <c r="F145">
        <v>0.81479045627754099</v>
      </c>
      <c r="G145">
        <v>0.57587597360715803</v>
      </c>
      <c r="H145">
        <v>0.80742039904735896</v>
      </c>
      <c r="I145">
        <v>1.00107836249133</v>
      </c>
      <c r="J145">
        <v>0.95065769356101004</v>
      </c>
      <c r="K145">
        <v>0.53909987947776905</v>
      </c>
      <c r="L145">
        <v>1033.46850842806</v>
      </c>
      <c r="M145">
        <v>22.630113720743999</v>
      </c>
      <c r="O145">
        <v>45.315709437421397</v>
      </c>
      <c r="P145">
        <v>-2.7521663119054601E-2</v>
      </c>
      <c r="Q145">
        <v>0.779561125868518</v>
      </c>
      <c r="R145">
        <v>0.27467337618757798</v>
      </c>
      <c r="S145" t="s">
        <v>5696</v>
      </c>
      <c r="T145" t="s">
        <v>11100</v>
      </c>
      <c r="U145" t="s">
        <v>11100</v>
      </c>
      <c r="V145" t="s">
        <v>11100</v>
      </c>
      <c r="W145" t="s">
        <v>11245</v>
      </c>
      <c r="X145">
        <v>2</v>
      </c>
      <c r="Y145" t="s">
        <v>16737</v>
      </c>
      <c r="Z145" t="s">
        <v>22150</v>
      </c>
      <c r="AA145">
        <v>0.84548762890090956</v>
      </c>
      <c r="AB145" t="str">
        <f>HYPERLINK("Melting_Curves/meltCurve_B4DMX0_KDSR.pdf", "Melting_Curves/meltCurve_B4DMX0_KDSR.pdf")</f>
        <v>Melting_Curves/meltCurve_B4DMX0_KDSR.pdf</v>
      </c>
    </row>
    <row r="146" spans="1:28" x14ac:dyDescent="0.25">
      <c r="A146" t="s">
        <v>150</v>
      </c>
      <c r="B146">
        <v>0.99299721793515405</v>
      </c>
      <c r="C146">
        <v>0.94831919456011005</v>
      </c>
      <c r="D146">
        <v>1.2266405735064001</v>
      </c>
      <c r="E146">
        <v>1.1457841244848901</v>
      </c>
      <c r="F146">
        <v>0.972646415662069</v>
      </c>
      <c r="G146">
        <v>0.46105242995078</v>
      </c>
      <c r="H146">
        <v>0.24979020588268999</v>
      </c>
      <c r="I146">
        <v>0.22191618535962601</v>
      </c>
      <c r="J146">
        <v>0.200881697685109</v>
      </c>
      <c r="K146">
        <v>0.19364001839966599</v>
      </c>
      <c r="L146">
        <v>2938.81922122484</v>
      </c>
      <c r="M146">
        <v>55.383590034436097</v>
      </c>
      <c r="N146">
        <v>53.599987069523003</v>
      </c>
      <c r="O146">
        <v>52.993973042428898</v>
      </c>
      <c r="P146">
        <v>-0.20564270714227101</v>
      </c>
      <c r="Q146">
        <v>0.21292116179076501</v>
      </c>
      <c r="R146">
        <v>0.95426358851403204</v>
      </c>
      <c r="S146" t="s">
        <v>5697</v>
      </c>
      <c r="T146" t="s">
        <v>11100</v>
      </c>
      <c r="U146" t="s">
        <v>11100</v>
      </c>
      <c r="V146" t="s">
        <v>11100</v>
      </c>
      <c r="W146" t="s">
        <v>11246</v>
      </c>
      <c r="X146">
        <v>15</v>
      </c>
      <c r="Y146" t="s">
        <v>16738</v>
      </c>
      <c r="Z146" t="s">
        <v>22151</v>
      </c>
      <c r="AA146">
        <v>0.63584883931724223</v>
      </c>
      <c r="AB146" t="str">
        <f>HYPERLINK("Melting_Curves/meltCurve_B4DP21_PTGES3.pdf", "Melting_Curves/meltCurve_B4DP21_PTGES3.pdf")</f>
        <v>Melting_Curves/meltCurve_B4DP21_PTGES3.pdf</v>
      </c>
    </row>
    <row r="147" spans="1:28" x14ac:dyDescent="0.25">
      <c r="A147" t="s">
        <v>151</v>
      </c>
      <c r="B147">
        <v>0.99299721793515405</v>
      </c>
      <c r="C147">
        <v>1.0656952369552899</v>
      </c>
      <c r="D147">
        <v>0.84965543988470205</v>
      </c>
      <c r="E147">
        <v>0.75946265933137402</v>
      </c>
      <c r="F147">
        <v>0.77894270421171596</v>
      </c>
      <c r="G147">
        <v>1.2952150129156099</v>
      </c>
      <c r="H147">
        <v>2.7397807070151798</v>
      </c>
      <c r="I147">
        <v>0.48620492164968998</v>
      </c>
      <c r="J147">
        <v>0.265263169566122</v>
      </c>
      <c r="K147">
        <v>0.22063866322084599</v>
      </c>
      <c r="L147">
        <v>15000</v>
      </c>
      <c r="M147">
        <v>246.649326471807</v>
      </c>
      <c r="N147">
        <v>60.979578101520197</v>
      </c>
      <c r="O147">
        <v>60.8110879014015</v>
      </c>
      <c r="P147">
        <v>-0.767648535848098</v>
      </c>
      <c r="Q147">
        <v>0.242948795128517</v>
      </c>
      <c r="R147">
        <v>0.298202457583011</v>
      </c>
      <c r="S147" t="s">
        <v>5698</v>
      </c>
      <c r="T147" t="s">
        <v>11100</v>
      </c>
      <c r="U147" t="s">
        <v>11100</v>
      </c>
      <c r="V147" t="s">
        <v>11100</v>
      </c>
      <c r="W147" t="s">
        <v>11247</v>
      </c>
      <c r="X147">
        <v>3</v>
      </c>
      <c r="Y147" t="s">
        <v>16739</v>
      </c>
      <c r="Z147" t="s">
        <v>22152</v>
      </c>
      <c r="AA147">
        <v>0.8440064571059378</v>
      </c>
      <c r="AB147" t="str">
        <f>HYPERLINK("Melting_Curves/meltCurve_B4DP38_WDR77.pdf", "Melting_Curves/meltCurve_B4DP38_WDR77.pdf")</f>
        <v>Melting_Curves/meltCurve_B4DP38_WDR77.pdf</v>
      </c>
    </row>
    <row r="148" spans="1:28" x14ac:dyDescent="0.25">
      <c r="A148" t="s">
        <v>152</v>
      </c>
      <c r="B148">
        <v>0.99299721793515405</v>
      </c>
      <c r="C148">
        <v>1.0014631692435101</v>
      </c>
      <c r="D148">
        <v>1.1687192459367699</v>
      </c>
      <c r="E148">
        <v>0.78600731955695402</v>
      </c>
      <c r="F148">
        <v>0.78266208723235298</v>
      </c>
      <c r="G148">
        <v>0.57153023009120496</v>
      </c>
      <c r="H148">
        <v>0.329097347260291</v>
      </c>
      <c r="I148">
        <v>9.9972538449868698E-2</v>
      </c>
      <c r="J148">
        <v>0.102502133689563</v>
      </c>
      <c r="K148">
        <v>0.115136273938911</v>
      </c>
      <c r="L148">
        <v>822.64853574146798</v>
      </c>
      <c r="M148">
        <v>15.1884227158426</v>
      </c>
      <c r="N148">
        <v>54.318401727411199</v>
      </c>
      <c r="O148">
        <v>53.249984052310602</v>
      </c>
      <c r="P148">
        <v>-6.9796543495254798E-2</v>
      </c>
      <c r="Q148">
        <v>2.1278953410566799E-2</v>
      </c>
      <c r="R148">
        <v>0.95854231180724203</v>
      </c>
      <c r="S148" t="s">
        <v>5699</v>
      </c>
      <c r="T148" t="s">
        <v>11100</v>
      </c>
      <c r="U148" t="s">
        <v>11100</v>
      </c>
      <c r="V148" t="s">
        <v>11100</v>
      </c>
      <c r="W148" t="s">
        <v>11248</v>
      </c>
      <c r="X148">
        <v>1</v>
      </c>
      <c r="Y148" t="s">
        <v>16740</v>
      </c>
      <c r="Z148" t="s">
        <v>22153</v>
      </c>
      <c r="AA148">
        <v>0.59661864698333222</v>
      </c>
      <c r="AB148" t="str">
        <f>HYPERLINK("Melting_Curves/meltCurve_B4DP61_SMN1.pdf", "Melting_Curves/meltCurve_B4DP61_SMN1.pdf")</f>
        <v>Melting_Curves/meltCurve_B4DP61_SMN1.pdf</v>
      </c>
    </row>
    <row r="149" spans="1:28" x14ac:dyDescent="0.25">
      <c r="A149" t="s">
        <v>153</v>
      </c>
      <c r="B149">
        <v>0.99299721793515405</v>
      </c>
      <c r="C149">
        <v>0.85283790847508301</v>
      </c>
      <c r="D149">
        <v>0.81760974149155996</v>
      </c>
      <c r="E149">
        <v>0.85500420894623896</v>
      </c>
      <c r="F149">
        <v>0.74549717881820998</v>
      </c>
      <c r="G149">
        <v>0.49848076460185797</v>
      </c>
      <c r="H149">
        <v>0.37558156931462799</v>
      </c>
      <c r="I149">
        <v>0.32577647744358201</v>
      </c>
      <c r="J149">
        <v>0.23750494771605399</v>
      </c>
      <c r="K149">
        <v>0.20716923392053399</v>
      </c>
      <c r="L149">
        <v>417.10531687524502</v>
      </c>
      <c r="M149">
        <v>7.6155128529528104</v>
      </c>
      <c r="N149">
        <v>54.770492834277903</v>
      </c>
      <c r="O149">
        <v>51.376776780882899</v>
      </c>
      <c r="P149">
        <v>-3.7107521120219401E-2</v>
      </c>
      <c r="Q149">
        <v>0</v>
      </c>
      <c r="R149">
        <v>0.96484586988189303</v>
      </c>
      <c r="S149" t="s">
        <v>5700</v>
      </c>
      <c r="T149" t="s">
        <v>11100</v>
      </c>
      <c r="U149" t="s">
        <v>11100</v>
      </c>
      <c r="V149" t="s">
        <v>11100</v>
      </c>
      <c r="W149" t="s">
        <v>11249</v>
      </c>
      <c r="X149">
        <v>4</v>
      </c>
      <c r="Y149" t="s">
        <v>16741</v>
      </c>
      <c r="Z149" t="s">
        <v>22154</v>
      </c>
      <c r="AA149">
        <v>0.59948577247202861</v>
      </c>
      <c r="AB149" t="str">
        <f>HYPERLINK("Melting_Curves/meltCurve_B4DPY5_SNX11.pdf", "Melting_Curves/meltCurve_B4DPY5_SNX11.pdf")</f>
        <v>Melting_Curves/meltCurve_B4DPY5_SNX11.pdf</v>
      </c>
    </row>
    <row r="150" spans="1:28" x14ac:dyDescent="0.25">
      <c r="A150" t="s">
        <v>154</v>
      </c>
      <c r="B150">
        <v>0.99299721793515405</v>
      </c>
      <c r="C150">
        <v>1.00902321478473</v>
      </c>
      <c r="D150">
        <v>0.91995520682880305</v>
      </c>
      <c r="E150">
        <v>0.88178504914485201</v>
      </c>
      <c r="F150">
        <v>0.77808954611654602</v>
      </c>
      <c r="G150">
        <v>0.648067237480902</v>
      </c>
      <c r="H150">
        <v>0.50596588995983804</v>
      </c>
      <c r="I150">
        <v>0.172495174740394</v>
      </c>
      <c r="J150">
        <v>0.14655497893665501</v>
      </c>
      <c r="K150">
        <v>0.11068541270167501</v>
      </c>
      <c r="L150">
        <v>702.78678409718998</v>
      </c>
      <c r="M150">
        <v>12.5732715060826</v>
      </c>
      <c r="N150">
        <v>55.895300221305</v>
      </c>
      <c r="O150">
        <v>54.537920031103198</v>
      </c>
      <c r="P150">
        <v>-5.7647073846633999E-2</v>
      </c>
      <c r="Q150">
        <v>0</v>
      </c>
      <c r="R150">
        <v>0.98076175586096104</v>
      </c>
      <c r="S150" t="s">
        <v>5701</v>
      </c>
      <c r="T150" t="s">
        <v>11100</v>
      </c>
      <c r="U150" t="s">
        <v>11100</v>
      </c>
      <c r="V150" t="s">
        <v>11100</v>
      </c>
      <c r="W150" t="s">
        <v>11250</v>
      </c>
      <c r="X150">
        <v>26</v>
      </c>
      <c r="Y150" t="s">
        <v>16742</v>
      </c>
      <c r="Z150" t="s">
        <v>22155</v>
      </c>
      <c r="AA150">
        <v>0.6406816003742084</v>
      </c>
      <c r="AB150" t="str">
        <f>HYPERLINK("Melting_Curves/meltCurve_B4DQJ8_PGD.pdf", "Melting_Curves/meltCurve_B4DQJ8_PGD.pdf")</f>
        <v>Melting_Curves/meltCurve_B4DQJ8_PGD.pdf</v>
      </c>
    </row>
    <row r="151" spans="1:28" x14ac:dyDescent="0.25">
      <c r="A151" t="s">
        <v>155</v>
      </c>
      <c r="B151">
        <v>0.99299721793515405</v>
      </c>
      <c r="C151">
        <v>1.1954027433830099</v>
      </c>
      <c r="D151">
        <v>0.98038490919462595</v>
      </c>
      <c r="E151">
        <v>0.87864381768821398</v>
      </c>
      <c r="F151">
        <v>0.397080046018913</v>
      </c>
      <c r="G151">
        <v>0.24351318777318101</v>
      </c>
      <c r="H151">
        <v>0.18435905343869399</v>
      </c>
      <c r="I151">
        <v>0.179325602287426</v>
      </c>
      <c r="J151">
        <v>0.1781590052099</v>
      </c>
      <c r="K151">
        <v>9.5482645914189701E-2</v>
      </c>
      <c r="L151">
        <v>1634.8685670283901</v>
      </c>
      <c r="M151">
        <v>33.4227947248297</v>
      </c>
      <c r="N151">
        <v>49.506464636297302</v>
      </c>
      <c r="O151">
        <v>48.740660377693203</v>
      </c>
      <c r="P151">
        <v>-0.14320462788456301</v>
      </c>
      <c r="Q151">
        <v>0.16465883686942101</v>
      </c>
      <c r="R151">
        <v>0.97192052417827302</v>
      </c>
      <c r="S151" t="s">
        <v>5702</v>
      </c>
      <c r="T151" t="s">
        <v>11100</v>
      </c>
      <c r="U151" t="s">
        <v>11100</v>
      </c>
      <c r="V151" t="s">
        <v>11100</v>
      </c>
      <c r="W151" t="s">
        <v>11251</v>
      </c>
      <c r="X151">
        <v>2</v>
      </c>
      <c r="Y151" t="s">
        <v>16743</v>
      </c>
      <c r="Z151" t="s">
        <v>22156</v>
      </c>
      <c r="AA151">
        <v>0.50047496983835016</v>
      </c>
      <c r="AB151" t="str">
        <f>HYPERLINK("Melting_Curves/meltCurve_B4DR03_NAA40.pdf", "Melting_Curves/meltCurve_B4DR03_NAA40.pdf")</f>
        <v>Melting_Curves/meltCurve_B4DR03_NAA40.pdf</v>
      </c>
    </row>
    <row r="152" spans="1:28" x14ac:dyDescent="0.25">
      <c r="A152" t="s">
        <v>156</v>
      </c>
      <c r="B152">
        <v>0.99299721793515405</v>
      </c>
      <c r="C152">
        <v>0.830946177231491</v>
      </c>
      <c r="D152">
        <v>0.679324479008935</v>
      </c>
      <c r="E152">
        <v>0.68494711567116795</v>
      </c>
      <c r="F152">
        <v>0.57369699617870495</v>
      </c>
      <c r="G152">
        <v>0.33598797884847298</v>
      </c>
      <c r="H152">
        <v>0.27457857833187899</v>
      </c>
      <c r="I152">
        <v>0.29340073704735697</v>
      </c>
      <c r="J152">
        <v>0.180440964205349</v>
      </c>
      <c r="K152">
        <v>0.101643498694521</v>
      </c>
      <c r="L152">
        <v>351.70493829926397</v>
      </c>
      <c r="M152">
        <v>6.9826740099312898</v>
      </c>
      <c r="N152">
        <v>50.3682306589738</v>
      </c>
      <c r="O152">
        <v>46.724863365375803</v>
      </c>
      <c r="P152">
        <v>-3.74304877647606E-2</v>
      </c>
      <c r="Q152">
        <v>0</v>
      </c>
      <c r="R152">
        <v>0.96238127590237998</v>
      </c>
      <c r="S152" t="s">
        <v>5703</v>
      </c>
      <c r="T152" t="s">
        <v>11100</v>
      </c>
      <c r="U152" t="s">
        <v>11100</v>
      </c>
      <c r="V152" t="s">
        <v>11100</v>
      </c>
      <c r="W152" t="s">
        <v>11252</v>
      </c>
      <c r="X152">
        <v>1</v>
      </c>
      <c r="Y152" t="s">
        <v>16744</v>
      </c>
      <c r="Z152" t="s">
        <v>22157</v>
      </c>
      <c r="AA152">
        <v>0.48723518438193519</v>
      </c>
      <c r="AB152" t="str">
        <f>HYPERLINK("Melting_Curves/meltCurve_B4DR12_MGRN1.pdf", "Melting_Curves/meltCurve_B4DR12_MGRN1.pdf")</f>
        <v>Melting_Curves/meltCurve_B4DR12_MGRN1.pdf</v>
      </c>
    </row>
    <row r="153" spans="1:28" x14ac:dyDescent="0.25">
      <c r="A153" t="s">
        <v>157</v>
      </c>
      <c r="B153">
        <v>0.99299721793515405</v>
      </c>
      <c r="C153">
        <v>1.09662304757003</v>
      </c>
      <c r="D153">
        <v>1.15661463917509</v>
      </c>
      <c r="E153">
        <v>0.96279640594526406</v>
      </c>
      <c r="F153">
        <v>0.91967747680666101</v>
      </c>
      <c r="G153">
        <v>0.73489705981512399</v>
      </c>
      <c r="H153">
        <v>0.86539486846909996</v>
      </c>
      <c r="I153">
        <v>0.89894081160300698</v>
      </c>
      <c r="J153">
        <v>0.84196172135416303</v>
      </c>
      <c r="K153">
        <v>0.54900209350917595</v>
      </c>
      <c r="L153">
        <v>457.52081336950602</v>
      </c>
      <c r="M153">
        <v>6.1429356968495101</v>
      </c>
      <c r="Q153">
        <v>0</v>
      </c>
      <c r="R153">
        <v>0.60243167985983703</v>
      </c>
      <c r="S153" t="s">
        <v>5704</v>
      </c>
      <c r="T153" t="s">
        <v>11100</v>
      </c>
      <c r="U153" t="s">
        <v>11100</v>
      </c>
      <c r="V153" t="s">
        <v>11100</v>
      </c>
      <c r="W153" t="s">
        <v>11253</v>
      </c>
      <c r="X153">
        <v>6</v>
      </c>
      <c r="Y153" t="s">
        <v>16745</v>
      </c>
      <c r="Z153" t="s">
        <v>22158</v>
      </c>
      <c r="AA153">
        <v>0.89711253907505495</v>
      </c>
      <c r="AB153" t="str">
        <f>HYPERLINK("Melting_Curves/meltCurve_B4DR61_SEC61A1.pdf", "Melting_Curves/meltCurve_B4DR61_SEC61A1.pdf")</f>
        <v>Melting_Curves/meltCurve_B4DR61_SEC61A1.pdf</v>
      </c>
    </row>
    <row r="154" spans="1:28" x14ac:dyDescent="0.25">
      <c r="A154" t="s">
        <v>158</v>
      </c>
      <c r="B154">
        <v>0.99299721793515405</v>
      </c>
      <c r="C154">
        <v>1.0633529326936999</v>
      </c>
      <c r="D154">
        <v>0.94266652960279396</v>
      </c>
      <c r="E154">
        <v>0.90380559749235201</v>
      </c>
      <c r="F154">
        <v>0.897785142598856</v>
      </c>
      <c r="G154">
        <v>0.50438051616319901</v>
      </c>
      <c r="H154">
        <v>0.306594679731859</v>
      </c>
      <c r="I154">
        <v>0.20946287513373299</v>
      </c>
      <c r="J154">
        <v>0.19231976232358</v>
      </c>
      <c r="K154">
        <v>0.19651547390361601</v>
      </c>
      <c r="L154">
        <v>1426.73488837114</v>
      </c>
      <c r="M154">
        <v>26.859869284437899</v>
      </c>
      <c r="N154">
        <v>54.084484897619497</v>
      </c>
      <c r="O154">
        <v>52.825903781494802</v>
      </c>
      <c r="P154">
        <v>-0.10288198321874301</v>
      </c>
      <c r="Q154">
        <v>0.19064702386458801</v>
      </c>
      <c r="R154">
        <v>0.98735040478154901</v>
      </c>
      <c r="S154" t="s">
        <v>5705</v>
      </c>
      <c r="T154" t="s">
        <v>11100</v>
      </c>
      <c r="U154" t="s">
        <v>11100</v>
      </c>
      <c r="V154" t="s">
        <v>11100</v>
      </c>
      <c r="W154" t="s">
        <v>11254</v>
      </c>
      <c r="X154">
        <v>14</v>
      </c>
      <c r="Y154" t="s">
        <v>16746</v>
      </c>
      <c r="Z154" t="s">
        <v>22159</v>
      </c>
      <c r="AA154">
        <v>0.63178348726107536</v>
      </c>
      <c r="AB154" t="str">
        <f>HYPERLINK("Melting_Curves/meltCurve_B4DR80_STK24.pdf", "Melting_Curves/meltCurve_B4DR80_STK24.pdf")</f>
        <v>Melting_Curves/meltCurve_B4DR80_STK24.pdf</v>
      </c>
    </row>
    <row r="155" spans="1:28" x14ac:dyDescent="0.25">
      <c r="A155" t="s">
        <v>159</v>
      </c>
      <c r="B155">
        <v>0.99299721793515405</v>
      </c>
      <c r="C155">
        <v>1.11350597319879</v>
      </c>
      <c r="D155">
        <v>1.0948624802856699</v>
      </c>
      <c r="E155">
        <v>1.0087519200483599</v>
      </c>
      <c r="F155">
        <v>0.901133833194807</v>
      </c>
      <c r="G155">
        <v>0.77138903369865297</v>
      </c>
      <c r="H155">
        <v>0.57845939812880098</v>
      </c>
      <c r="I155">
        <v>0.53134326781132901</v>
      </c>
      <c r="J155">
        <v>0.28115731859721299</v>
      </c>
      <c r="K155">
        <v>0.16707532344002901</v>
      </c>
      <c r="L155">
        <v>747.39693187684395</v>
      </c>
      <c r="M155">
        <v>12.514705838159401</v>
      </c>
      <c r="N155">
        <v>59.721494202528902</v>
      </c>
      <c r="O155">
        <v>58.258135579854702</v>
      </c>
      <c r="P155">
        <v>-5.3714702097803699E-2</v>
      </c>
      <c r="Q155">
        <v>0</v>
      </c>
      <c r="R155">
        <v>0.96211256799605904</v>
      </c>
      <c r="S155" t="s">
        <v>5706</v>
      </c>
      <c r="T155" t="s">
        <v>11100</v>
      </c>
      <c r="U155" t="s">
        <v>11100</v>
      </c>
      <c r="V155" t="s">
        <v>11100</v>
      </c>
      <c r="W155" t="s">
        <v>11255</v>
      </c>
      <c r="X155">
        <v>5</v>
      </c>
      <c r="Y155" t="s">
        <v>16747</v>
      </c>
      <c r="Z155" t="s">
        <v>22160</v>
      </c>
      <c r="AA155">
        <v>0.74541573163868757</v>
      </c>
      <c r="AB155" t="str">
        <f>HYPERLINK("Melting_Curves/meltCurve_B4DR94_YKT6.pdf", "Melting_Curves/meltCurve_B4DR94_YKT6.pdf")</f>
        <v>Melting_Curves/meltCurve_B4DR94_YKT6.pdf</v>
      </c>
    </row>
    <row r="156" spans="1:28" x14ac:dyDescent="0.25">
      <c r="A156" t="s">
        <v>160</v>
      </c>
      <c r="B156">
        <v>0.99299721793515405</v>
      </c>
      <c r="C156">
        <v>0.782672643106476</v>
      </c>
      <c r="D156">
        <v>1.18874463773988</v>
      </c>
      <c r="E156">
        <v>0.889673680957909</v>
      </c>
      <c r="F156">
        <v>0.59990661724984895</v>
      </c>
      <c r="G156">
        <v>1.04274205130154</v>
      </c>
      <c r="H156">
        <v>0.48121630473894</v>
      </c>
      <c r="I156">
        <v>0.37797945295225699</v>
      </c>
      <c r="J156">
        <v>0.33470806508361201</v>
      </c>
      <c r="K156">
        <v>0.52079371573269095</v>
      </c>
      <c r="L156">
        <v>681.48203998237796</v>
      </c>
      <c r="M156">
        <v>12.3673156027919</v>
      </c>
      <c r="N156">
        <v>60.002153349624201</v>
      </c>
      <c r="O156">
        <v>53.722211817632001</v>
      </c>
      <c r="P156">
        <v>-3.9268545451854001E-2</v>
      </c>
      <c r="Q156">
        <v>0.31783393038063001</v>
      </c>
      <c r="R156">
        <v>0.62278498362672496</v>
      </c>
      <c r="S156" t="s">
        <v>5707</v>
      </c>
      <c r="T156" t="s">
        <v>11100</v>
      </c>
      <c r="U156" t="s">
        <v>11100</v>
      </c>
      <c r="V156" t="s">
        <v>11100</v>
      </c>
      <c r="W156" t="s">
        <v>11256</v>
      </c>
      <c r="X156">
        <v>1</v>
      </c>
      <c r="Y156" t="s">
        <v>16748</v>
      </c>
      <c r="Z156" t="s">
        <v>22161</v>
      </c>
      <c r="AA156">
        <v>0.73898674273000275</v>
      </c>
      <c r="AB156" t="str">
        <f>HYPERLINK("Melting_Curves/meltCurve_B4DRN7_C2CD5.pdf", "Melting_Curves/meltCurve_B4DRN7_C2CD5.pdf")</f>
        <v>Melting_Curves/meltCurve_B4DRN7_C2CD5.pdf</v>
      </c>
    </row>
    <row r="157" spans="1:28" x14ac:dyDescent="0.25">
      <c r="A157" t="s">
        <v>161</v>
      </c>
      <c r="B157">
        <v>0.99299721793515405</v>
      </c>
      <c r="C157">
        <v>1.07876254810227</v>
      </c>
      <c r="D157">
        <v>0.99995904163606397</v>
      </c>
      <c r="E157">
        <v>0.83065644168701303</v>
      </c>
      <c r="F157">
        <v>0.73976360022409904</v>
      </c>
      <c r="G157">
        <v>0.60695927942141303</v>
      </c>
      <c r="H157">
        <v>0.35061362242337701</v>
      </c>
      <c r="I157">
        <v>0.16069897980183101</v>
      </c>
      <c r="J157">
        <v>0.13204641233447301</v>
      </c>
      <c r="K157">
        <v>0.12927363462848401</v>
      </c>
      <c r="L157">
        <v>696.41502317659297</v>
      </c>
      <c r="M157">
        <v>12.767690476175201</v>
      </c>
      <c r="N157">
        <v>54.633664759442297</v>
      </c>
      <c r="O157">
        <v>53.258971065628302</v>
      </c>
      <c r="P157">
        <v>-5.9329549993813901E-2</v>
      </c>
      <c r="Q157">
        <v>1.0241649404110599E-2</v>
      </c>
      <c r="R157">
        <v>0.98395451492298402</v>
      </c>
      <c r="S157" t="s">
        <v>5708</v>
      </c>
      <c r="T157" t="s">
        <v>11100</v>
      </c>
      <c r="U157" t="s">
        <v>11100</v>
      </c>
      <c r="V157" t="s">
        <v>11100</v>
      </c>
      <c r="W157" t="s">
        <v>11257</v>
      </c>
      <c r="X157">
        <v>4</v>
      </c>
      <c r="Y157" t="s">
        <v>16749</v>
      </c>
      <c r="Z157" t="s">
        <v>22162</v>
      </c>
      <c r="AA157">
        <v>0.60487959428277049</v>
      </c>
      <c r="AB157" t="str">
        <f>HYPERLINK("Melting_Curves/meltCurve_B4DSD4_C9orf41.pdf", "Melting_Curves/meltCurve_B4DSD4_C9orf41.pdf")</f>
        <v>Melting_Curves/meltCurve_B4DSD4_C9orf41.pdf</v>
      </c>
    </row>
    <row r="158" spans="1:28" x14ac:dyDescent="0.25">
      <c r="A158" t="s">
        <v>162</v>
      </c>
      <c r="B158">
        <v>0.99299721793515405</v>
      </c>
      <c r="C158">
        <v>1.04389603064976</v>
      </c>
      <c r="D158">
        <v>1.07565216732376</v>
      </c>
      <c r="E158">
        <v>0.90745743968154902</v>
      </c>
      <c r="F158">
        <v>0.76855280090029199</v>
      </c>
      <c r="G158">
        <v>0.59289142405539697</v>
      </c>
      <c r="H158">
        <v>0.197150366690554</v>
      </c>
      <c r="I158">
        <v>0.16245672082940299</v>
      </c>
      <c r="J158">
        <v>0.14499174419875699</v>
      </c>
      <c r="K158">
        <v>0.119742223991729</v>
      </c>
      <c r="L158">
        <v>1078.49222907027</v>
      </c>
      <c r="M158">
        <v>20.185967717313101</v>
      </c>
      <c r="N158">
        <v>53.986676986492398</v>
      </c>
      <c r="O158">
        <v>52.911761727292102</v>
      </c>
      <c r="P158">
        <v>-8.6385818435067901E-2</v>
      </c>
      <c r="Q158">
        <v>9.42851959989566E-2</v>
      </c>
      <c r="R158">
        <v>0.98330865150676305</v>
      </c>
      <c r="S158" t="s">
        <v>5709</v>
      </c>
      <c r="T158" t="s">
        <v>11100</v>
      </c>
      <c r="U158" t="s">
        <v>11100</v>
      </c>
      <c r="V158" t="s">
        <v>11100</v>
      </c>
      <c r="W158" t="s">
        <v>11152</v>
      </c>
      <c r="X158">
        <v>26</v>
      </c>
      <c r="Y158" t="s">
        <v>16750</v>
      </c>
      <c r="Z158" t="s">
        <v>22163</v>
      </c>
      <c r="AA158">
        <v>0.60134294557706758</v>
      </c>
      <c r="AB158" t="str">
        <f>HYPERLINK("Melting_Curves/meltCurve_B4DT77_ANXA7.pdf", "Melting_Curves/meltCurve_B4DT77_ANXA7.pdf")</f>
        <v>Melting_Curves/meltCurve_B4DT77_ANXA7.pdf</v>
      </c>
    </row>
    <row r="159" spans="1:28" x14ac:dyDescent="0.25">
      <c r="A159" t="s">
        <v>163</v>
      </c>
      <c r="B159">
        <v>0.99299721793515405</v>
      </c>
      <c r="C159">
        <v>0.97180548572143</v>
      </c>
      <c r="D159">
        <v>0.92107904499244697</v>
      </c>
      <c r="E159">
        <v>0.87743183896285704</v>
      </c>
      <c r="F159">
        <v>0.72586957701487698</v>
      </c>
      <c r="G159">
        <v>0.56263375607598998</v>
      </c>
      <c r="H159">
        <v>0.46767062636884998</v>
      </c>
      <c r="I159">
        <v>0.46760228061582298</v>
      </c>
      <c r="J159">
        <v>0.29202047546343701</v>
      </c>
      <c r="K159">
        <v>0.113543639517361</v>
      </c>
      <c r="L159">
        <v>468.17532247888403</v>
      </c>
      <c r="M159">
        <v>8.2733382933061606</v>
      </c>
      <c r="N159">
        <v>56.588441246491399</v>
      </c>
      <c r="O159">
        <v>53.571317109478102</v>
      </c>
      <c r="P159">
        <v>-3.8647505993648301E-2</v>
      </c>
      <c r="Q159">
        <v>0</v>
      </c>
      <c r="R159">
        <v>0.96861069602836802</v>
      </c>
      <c r="S159" t="s">
        <v>5710</v>
      </c>
      <c r="T159" t="s">
        <v>11100</v>
      </c>
      <c r="U159" t="s">
        <v>11100</v>
      </c>
      <c r="V159" t="s">
        <v>11100</v>
      </c>
      <c r="W159" t="s">
        <v>11258</v>
      </c>
      <c r="X159">
        <v>23</v>
      </c>
      <c r="Y159" t="s">
        <v>16751</v>
      </c>
      <c r="Z159" t="s">
        <v>22164</v>
      </c>
      <c r="AA159">
        <v>0.64750745858293213</v>
      </c>
      <c r="AB159" t="str">
        <f>HYPERLINK("Melting_Curves/meltCurve_B4DUS9_BPNT1.pdf", "Melting_Curves/meltCurve_B4DUS9_BPNT1.pdf")</f>
        <v>Melting_Curves/meltCurve_B4DUS9_BPNT1.pdf</v>
      </c>
    </row>
    <row r="160" spans="1:28" x14ac:dyDescent="0.25">
      <c r="A160" t="s">
        <v>164</v>
      </c>
      <c r="B160">
        <v>0.99299721793515405</v>
      </c>
      <c r="C160">
        <v>1.05330185668459</v>
      </c>
      <c r="D160">
        <v>1.0334652798242101</v>
      </c>
      <c r="E160">
        <v>0.95088745990852197</v>
      </c>
      <c r="F160">
        <v>0.75488695992793797</v>
      </c>
      <c r="G160">
        <v>0.35833750038092399</v>
      </c>
      <c r="H160">
        <v>0.162894783596579</v>
      </c>
      <c r="I160">
        <v>0.145587425993596</v>
      </c>
      <c r="J160">
        <v>0.134618229839715</v>
      </c>
      <c r="K160">
        <v>9.8968069360922201E-2</v>
      </c>
      <c r="L160">
        <v>1446.22371418342</v>
      </c>
      <c r="M160">
        <v>27.8667806474351</v>
      </c>
      <c r="N160">
        <v>52.397933713582198</v>
      </c>
      <c r="O160">
        <v>51.632718100675397</v>
      </c>
      <c r="P160">
        <v>-0.119171827354202</v>
      </c>
      <c r="Q160">
        <v>0.116781849002939</v>
      </c>
      <c r="R160">
        <v>0.99668907203428403</v>
      </c>
      <c r="S160" t="s">
        <v>5711</v>
      </c>
      <c r="T160" t="s">
        <v>11100</v>
      </c>
      <c r="U160" t="s">
        <v>11100</v>
      </c>
      <c r="V160" t="s">
        <v>11100</v>
      </c>
      <c r="W160" t="s">
        <v>11152</v>
      </c>
      <c r="X160">
        <v>34</v>
      </c>
      <c r="Y160" t="s">
        <v>16752</v>
      </c>
      <c r="Z160" t="s">
        <v>22165</v>
      </c>
      <c r="AA160">
        <v>0.56178523490719556</v>
      </c>
      <c r="AB160" t="str">
        <f>HYPERLINK("Melting_Curves/meltCurve_B4DVE7_ANXA11.pdf", "Melting_Curves/meltCurve_B4DVE7_ANXA11.pdf")</f>
        <v>Melting_Curves/meltCurve_B4DVE7_ANXA11.pdf</v>
      </c>
    </row>
    <row r="161" spans="1:28" x14ac:dyDescent="0.25">
      <c r="A161" t="s">
        <v>165</v>
      </c>
      <c r="B161">
        <v>0.99299721793515405</v>
      </c>
      <c r="C161">
        <v>0.96187657913012403</v>
      </c>
      <c r="D161">
        <v>0.929006852546712</v>
      </c>
      <c r="E161">
        <v>0.86333943768894394</v>
      </c>
      <c r="F161">
        <v>0.465768831395029</v>
      </c>
      <c r="G161">
        <v>0.26954078278113502</v>
      </c>
      <c r="H161">
        <v>0.18164173553174201</v>
      </c>
      <c r="I161">
        <v>0.168098858228625</v>
      </c>
      <c r="J161">
        <v>0.14757011045256499</v>
      </c>
      <c r="K161">
        <v>0.110818506500129</v>
      </c>
      <c r="L161">
        <v>1135.8509605609599</v>
      </c>
      <c r="M161">
        <v>22.990905531627501</v>
      </c>
      <c r="N161">
        <v>50.120737436577102</v>
      </c>
      <c r="O161">
        <v>49.035143516444499</v>
      </c>
      <c r="P161">
        <v>-0.10080357964053401</v>
      </c>
      <c r="Q161">
        <v>0.140038161079166</v>
      </c>
      <c r="R161">
        <v>0.99486403166061499</v>
      </c>
      <c r="S161" t="s">
        <v>5712</v>
      </c>
      <c r="T161" t="s">
        <v>11100</v>
      </c>
      <c r="U161" t="s">
        <v>11100</v>
      </c>
      <c r="V161" t="s">
        <v>11100</v>
      </c>
      <c r="W161" t="s">
        <v>11259</v>
      </c>
      <c r="X161">
        <v>10</v>
      </c>
      <c r="Y161" t="s">
        <v>16753</v>
      </c>
      <c r="Z161" t="s">
        <v>22166</v>
      </c>
      <c r="AA161">
        <v>0.50437922738033025</v>
      </c>
      <c r="AB161" t="str">
        <f>HYPERLINK("Melting_Curves/meltCurve_B4DVY1_EIF3D.pdf", "Melting_Curves/meltCurve_B4DVY1_EIF3D.pdf")</f>
        <v>Melting_Curves/meltCurve_B4DVY1_EIF3D.pdf</v>
      </c>
    </row>
    <row r="162" spans="1:28" x14ac:dyDescent="0.25">
      <c r="A162" t="s">
        <v>166</v>
      </c>
      <c r="B162">
        <v>0.99299721793515405</v>
      </c>
      <c r="C162">
        <v>0.64343000952544205</v>
      </c>
      <c r="D162">
        <v>0.99969765531558097</v>
      </c>
      <c r="E162">
        <v>0.56158976460080101</v>
      </c>
      <c r="F162">
        <v>0.59119638695832799</v>
      </c>
      <c r="G162">
        <v>0.31800250938932201</v>
      </c>
      <c r="H162">
        <v>0.21443389306246499</v>
      </c>
      <c r="I162">
        <v>0.16757797960772799</v>
      </c>
      <c r="J162">
        <v>0.140705463088143</v>
      </c>
      <c r="K162">
        <v>0.13391209434078699</v>
      </c>
      <c r="L162">
        <v>415.17803542894899</v>
      </c>
      <c r="M162">
        <v>8.3014803764000398</v>
      </c>
      <c r="N162">
        <v>50.012528400150202</v>
      </c>
      <c r="O162">
        <v>47.362502176329301</v>
      </c>
      <c r="P162">
        <v>-4.38619943067457E-2</v>
      </c>
      <c r="Q162">
        <v>0</v>
      </c>
      <c r="R162">
        <v>0.87428603605024802</v>
      </c>
      <c r="S162" t="s">
        <v>5713</v>
      </c>
      <c r="T162" t="s">
        <v>11100</v>
      </c>
      <c r="U162" t="s">
        <v>11100</v>
      </c>
      <c r="V162" t="s">
        <v>11100</v>
      </c>
      <c r="W162" t="s">
        <v>11260</v>
      </c>
      <c r="X162">
        <v>3</v>
      </c>
      <c r="Y162" t="s">
        <v>16754</v>
      </c>
      <c r="Z162" t="s">
        <v>22167</v>
      </c>
      <c r="AA162">
        <v>0.473360175530537</v>
      </c>
      <c r="AB162" t="str">
        <f>HYPERLINK("Melting_Curves/meltCurve_B4DWA1_BAIAP2.pdf", "Melting_Curves/meltCurve_B4DWA1_BAIAP2.pdf")</f>
        <v>Melting_Curves/meltCurve_B4DWA1_BAIAP2.pdf</v>
      </c>
    </row>
    <row r="163" spans="1:28" x14ac:dyDescent="0.25">
      <c r="A163" t="s">
        <v>167</v>
      </c>
      <c r="B163">
        <v>0.99299721793515405</v>
      </c>
      <c r="C163">
        <v>1.0053862460624901</v>
      </c>
      <c r="D163">
        <v>0.92760100117231603</v>
      </c>
      <c r="E163">
        <v>0.89994146458888502</v>
      </c>
      <c r="F163">
        <v>0.73990815472413296</v>
      </c>
      <c r="G163">
        <v>0.73608444863185996</v>
      </c>
      <c r="H163">
        <v>0.90807725221602198</v>
      </c>
      <c r="I163">
        <v>1.0321988813658101</v>
      </c>
      <c r="J163">
        <v>0.87472353468216701</v>
      </c>
      <c r="K163">
        <v>0.51770803335660398</v>
      </c>
      <c r="L163">
        <v>189.619457297145</v>
      </c>
      <c r="M163">
        <v>1.76246496449653</v>
      </c>
      <c r="O163">
        <v>58.931721811587401</v>
      </c>
      <c r="P163">
        <v>-8.37602838616224E-3</v>
      </c>
      <c r="Q163">
        <v>0</v>
      </c>
      <c r="R163">
        <v>0.26527155383596202</v>
      </c>
      <c r="S163" t="s">
        <v>5714</v>
      </c>
      <c r="T163" t="s">
        <v>11100</v>
      </c>
      <c r="U163" t="s">
        <v>11100</v>
      </c>
      <c r="V163" t="s">
        <v>11100</v>
      </c>
      <c r="W163" t="s">
        <v>11261</v>
      </c>
      <c r="X163">
        <v>7</v>
      </c>
      <c r="Y163" t="s">
        <v>16755</v>
      </c>
      <c r="Z163" t="s">
        <v>22168</v>
      </c>
      <c r="AA163">
        <v>0.86392747190695995</v>
      </c>
      <c r="AB163" t="str">
        <f>HYPERLINK("Melting_Curves/meltCurve_B4DWI1_HACL1.pdf", "Melting_Curves/meltCurve_B4DWI1_HACL1.pdf")</f>
        <v>Melting_Curves/meltCurve_B4DWI1_HACL1.pdf</v>
      </c>
    </row>
    <row r="164" spans="1:28" x14ac:dyDescent="0.25">
      <c r="A164" t="s">
        <v>168</v>
      </c>
      <c r="B164">
        <v>0.99299721793515405</v>
      </c>
      <c r="C164">
        <v>0.98064456182862203</v>
      </c>
      <c r="D164">
        <v>0.90689423048458195</v>
      </c>
      <c r="E164">
        <v>0.83886528900170698</v>
      </c>
      <c r="F164">
        <v>0.64739375837421498</v>
      </c>
      <c r="G164">
        <v>0.35508744648656798</v>
      </c>
      <c r="H164">
        <v>0.26627893219854598</v>
      </c>
      <c r="I164">
        <v>0.21932575106975399</v>
      </c>
      <c r="J164">
        <v>0.217861775134465</v>
      </c>
      <c r="K164">
        <v>0.20933785909751801</v>
      </c>
      <c r="L164">
        <v>877.84766783900602</v>
      </c>
      <c r="M164">
        <v>17.421060036646299</v>
      </c>
      <c r="N164">
        <v>51.787078501217998</v>
      </c>
      <c r="O164">
        <v>49.740139246248397</v>
      </c>
      <c r="P164">
        <v>-7.11478645945402E-2</v>
      </c>
      <c r="Q164">
        <v>0.18748805800246801</v>
      </c>
      <c r="R164">
        <v>0.99404352512395699</v>
      </c>
      <c r="S164" t="s">
        <v>5715</v>
      </c>
      <c r="T164" t="s">
        <v>11100</v>
      </c>
      <c r="U164" t="s">
        <v>11100</v>
      </c>
      <c r="V164" t="s">
        <v>11100</v>
      </c>
      <c r="W164" t="s">
        <v>11262</v>
      </c>
      <c r="X164">
        <v>7</v>
      </c>
      <c r="Y164" t="s">
        <v>16756</v>
      </c>
      <c r="Z164" t="s">
        <v>22169</v>
      </c>
      <c r="AA164">
        <v>0.56355545368034332</v>
      </c>
      <c r="AB164" t="str">
        <f>HYPERLINK("Melting_Curves/meltCurve_B4DXZ6_FXR1.pdf", "Melting_Curves/meltCurve_B4DXZ6_FXR1.pdf")</f>
        <v>Melting_Curves/meltCurve_B4DXZ6_FXR1.pdf</v>
      </c>
    </row>
    <row r="165" spans="1:28" x14ac:dyDescent="0.25">
      <c r="A165" t="s">
        <v>169</v>
      </c>
      <c r="B165">
        <v>0.99299721793515405</v>
      </c>
      <c r="C165">
        <v>0.969447084493266</v>
      </c>
      <c r="D165">
        <v>0.85869794388384302</v>
      </c>
      <c r="E165">
        <v>0.81455047673702696</v>
      </c>
      <c r="F165">
        <v>0.61068752108246704</v>
      </c>
      <c r="G165">
        <v>0.56347435350700403</v>
      </c>
      <c r="H165">
        <v>0.48636089145454098</v>
      </c>
      <c r="I165">
        <v>0.31816307601138299</v>
      </c>
      <c r="J165">
        <v>0.23139861682871901</v>
      </c>
      <c r="K165">
        <v>0.21464616566671399</v>
      </c>
      <c r="L165">
        <v>403.99817206086999</v>
      </c>
      <c r="M165">
        <v>7.3317717199926999</v>
      </c>
      <c r="N165">
        <v>55.102401647725202</v>
      </c>
      <c r="O165">
        <v>51.447566970737903</v>
      </c>
      <c r="P165">
        <v>-3.5683104854146497E-2</v>
      </c>
      <c r="Q165">
        <v>0</v>
      </c>
      <c r="R165">
        <v>0.98566284559779005</v>
      </c>
      <c r="S165" t="s">
        <v>5716</v>
      </c>
      <c r="T165" t="s">
        <v>11100</v>
      </c>
      <c r="U165" t="s">
        <v>11100</v>
      </c>
      <c r="V165" t="s">
        <v>11100</v>
      </c>
      <c r="W165" t="s">
        <v>11263</v>
      </c>
      <c r="X165">
        <v>8</v>
      </c>
      <c r="Y165" t="s">
        <v>16757</v>
      </c>
      <c r="Z165" t="s">
        <v>22170</v>
      </c>
      <c r="AA165">
        <v>0.60628129150792665</v>
      </c>
      <c r="AB165" t="str">
        <f>HYPERLINK("Melting_Curves/meltCurve_B4DYB4_NUP35.pdf", "Melting_Curves/meltCurve_B4DYB4_NUP35.pdf")</f>
        <v>Melting_Curves/meltCurve_B4DYB4_NUP35.pdf</v>
      </c>
    </row>
    <row r="166" spans="1:28" x14ac:dyDescent="0.25">
      <c r="A166" t="s">
        <v>170</v>
      </c>
      <c r="B166">
        <v>0.99299721793515405</v>
      </c>
      <c r="C166">
        <v>0.98868205759840999</v>
      </c>
      <c r="D166">
        <v>1.0007517179255001</v>
      </c>
      <c r="E166">
        <v>0.97581871382984697</v>
      </c>
      <c r="F166">
        <v>0.80523758957346503</v>
      </c>
      <c r="G166">
        <v>0.47159408570584599</v>
      </c>
      <c r="H166">
        <v>0.28615556348501298</v>
      </c>
      <c r="I166">
        <v>0.26349143629382099</v>
      </c>
      <c r="J166">
        <v>0.251905646928195</v>
      </c>
      <c r="K166">
        <v>0.20906715074783999</v>
      </c>
      <c r="L166">
        <v>1414.3531640369999</v>
      </c>
      <c r="M166">
        <v>27.086792275108301</v>
      </c>
      <c r="N166">
        <v>53.446185828948103</v>
      </c>
      <c r="O166">
        <v>51.9334895479046</v>
      </c>
      <c r="P166">
        <v>-0.10014026684645</v>
      </c>
      <c r="Q166">
        <v>0.23201203080827301</v>
      </c>
      <c r="R166">
        <v>0.99881636391172302</v>
      </c>
      <c r="S166" t="s">
        <v>5717</v>
      </c>
      <c r="T166" t="s">
        <v>11100</v>
      </c>
      <c r="U166" t="s">
        <v>11100</v>
      </c>
      <c r="V166" t="s">
        <v>11100</v>
      </c>
      <c r="W166" t="s">
        <v>11264</v>
      </c>
      <c r="X166">
        <v>3</v>
      </c>
      <c r="Y166" t="s">
        <v>16758</v>
      </c>
      <c r="Z166" t="s">
        <v>22171</v>
      </c>
      <c r="AA166">
        <v>0.62740870864918752</v>
      </c>
      <c r="AB166" t="str">
        <f>HYPERLINK("Melting_Curves/meltCurve_B4DZG7_ARL1.pdf", "Melting_Curves/meltCurve_B4DZG7_ARL1.pdf")</f>
        <v>Melting_Curves/meltCurve_B4DZG7_ARL1.pdf</v>
      </c>
    </row>
    <row r="167" spans="1:28" x14ac:dyDescent="0.25">
      <c r="A167" t="s">
        <v>171</v>
      </c>
      <c r="B167">
        <v>0.99299721793515405</v>
      </c>
      <c r="C167">
        <v>1.1465860872637099</v>
      </c>
      <c r="D167">
        <v>0.98507488425060996</v>
      </c>
      <c r="E167">
        <v>0.97816934041880299</v>
      </c>
      <c r="F167">
        <v>0.680112653651888</v>
      </c>
      <c r="G167">
        <v>0.31884397168545697</v>
      </c>
      <c r="H167">
        <v>0.20414404644035</v>
      </c>
      <c r="I167">
        <v>0.208231577487479</v>
      </c>
      <c r="J167">
        <v>0.196237407061082</v>
      </c>
      <c r="K167">
        <v>6.4409880293639102E-2</v>
      </c>
      <c r="L167">
        <v>1461.5822920815699</v>
      </c>
      <c r="M167">
        <v>28.574604313153898</v>
      </c>
      <c r="N167">
        <v>51.823279279156203</v>
      </c>
      <c r="O167">
        <v>50.901150027493799</v>
      </c>
      <c r="P167">
        <v>-0.118574826404581</v>
      </c>
      <c r="Q167">
        <v>0.155117387200816</v>
      </c>
      <c r="R167">
        <v>0.97815407743082405</v>
      </c>
      <c r="S167" t="s">
        <v>5718</v>
      </c>
      <c r="T167" t="s">
        <v>11100</v>
      </c>
      <c r="U167" t="s">
        <v>11100</v>
      </c>
      <c r="V167" t="s">
        <v>11100</v>
      </c>
      <c r="W167" t="s">
        <v>11265</v>
      </c>
      <c r="X167">
        <v>4</v>
      </c>
      <c r="Y167" t="s">
        <v>16759</v>
      </c>
      <c r="Z167" t="s">
        <v>22172</v>
      </c>
      <c r="AA167">
        <v>0.55940762091838547</v>
      </c>
      <c r="AB167" t="str">
        <f>HYPERLINK("Melting_Curves/meltCurve_B4DZH6_HDAC6.pdf", "Melting_Curves/meltCurve_B4DZH6_HDAC6.pdf")</f>
        <v>Melting_Curves/meltCurve_B4DZH6_HDAC6.pdf</v>
      </c>
    </row>
    <row r="168" spans="1:28" x14ac:dyDescent="0.25">
      <c r="A168" t="s">
        <v>172</v>
      </c>
      <c r="B168">
        <v>0.99299721793515405</v>
      </c>
      <c r="C168">
        <v>0.89986757190052502</v>
      </c>
      <c r="D168">
        <v>1.0410904091364801</v>
      </c>
      <c r="E168">
        <v>0.70150430005471498</v>
      </c>
      <c r="F168">
        <v>0.64596773677611297</v>
      </c>
      <c r="G168">
        <v>0.96926814642102199</v>
      </c>
      <c r="H168">
        <v>0.76153332839714705</v>
      </c>
      <c r="I168">
        <v>0.51572064762936998</v>
      </c>
      <c r="J168">
        <v>0.48459361789633798</v>
      </c>
      <c r="K168">
        <v>0.33530468364129701</v>
      </c>
      <c r="L168">
        <v>361.151063388247</v>
      </c>
      <c r="M168">
        <v>5.6931829534132996</v>
      </c>
      <c r="N168">
        <v>63.435703072849499</v>
      </c>
      <c r="O168">
        <v>56.912379005075302</v>
      </c>
      <c r="P168">
        <v>-2.5106111002097999E-2</v>
      </c>
      <c r="Q168">
        <v>0</v>
      </c>
      <c r="R168">
        <v>0.69925825151352905</v>
      </c>
      <c r="S168" t="s">
        <v>5719</v>
      </c>
      <c r="T168" t="s">
        <v>11100</v>
      </c>
      <c r="U168" t="s">
        <v>11100</v>
      </c>
      <c r="V168" t="s">
        <v>11100</v>
      </c>
      <c r="W168" t="s">
        <v>11266</v>
      </c>
      <c r="X168">
        <v>4</v>
      </c>
      <c r="Y168" t="s">
        <v>16760</v>
      </c>
      <c r="Z168" t="s">
        <v>22173</v>
      </c>
      <c r="AA168">
        <v>0.75071957043797588</v>
      </c>
      <c r="AB168" t="str">
        <f>HYPERLINK("Melting_Curves/meltCurve_B4DZP4_DYNC1LI2.pdf", "Melting_Curves/meltCurve_B4DZP4_DYNC1LI2.pdf")</f>
        <v>Melting_Curves/meltCurve_B4DZP4_DYNC1LI2.pdf</v>
      </c>
    </row>
    <row r="169" spans="1:28" x14ac:dyDescent="0.25">
      <c r="A169" t="s">
        <v>173</v>
      </c>
      <c r="B169">
        <v>0.99299721793515405</v>
      </c>
      <c r="C169">
        <v>0.91907181896597701</v>
      </c>
      <c r="D169">
        <v>0.98925932868647004</v>
      </c>
      <c r="E169">
        <v>0.87447403083960995</v>
      </c>
      <c r="F169">
        <v>0.72906271777737097</v>
      </c>
      <c r="G169">
        <v>0.57199784823436195</v>
      </c>
      <c r="H169">
        <v>0.25944756327232299</v>
      </c>
      <c r="I169">
        <v>0.18815512355471301</v>
      </c>
      <c r="J169">
        <v>0.17760757964638799</v>
      </c>
      <c r="K169">
        <v>0.13894661412155901</v>
      </c>
      <c r="L169">
        <v>792.82599382323895</v>
      </c>
      <c r="M169">
        <v>14.888686637656701</v>
      </c>
      <c r="N169">
        <v>53.941199144817404</v>
      </c>
      <c r="O169">
        <v>52.317283752191898</v>
      </c>
      <c r="P169">
        <v>-6.4976129396854404E-2</v>
      </c>
      <c r="Q169">
        <v>8.6817766106403002E-2</v>
      </c>
      <c r="R169">
        <v>0.98705901136976004</v>
      </c>
      <c r="S169" t="s">
        <v>5720</v>
      </c>
      <c r="T169" t="s">
        <v>11100</v>
      </c>
      <c r="U169" t="s">
        <v>11100</v>
      </c>
      <c r="V169" t="s">
        <v>11100</v>
      </c>
      <c r="W169" t="s">
        <v>11267</v>
      </c>
      <c r="X169">
        <v>6</v>
      </c>
      <c r="Y169" t="s">
        <v>16761</v>
      </c>
      <c r="Z169" t="s">
        <v>22174</v>
      </c>
      <c r="AA169">
        <v>0.59752760828821516</v>
      </c>
      <c r="AB169" t="str">
        <f>HYPERLINK("Melting_Curves/meltCurve_B4DZW6_RMDN1.pdf", "Melting_Curves/meltCurve_B4DZW6_RMDN1.pdf")</f>
        <v>Melting_Curves/meltCurve_B4DZW6_RMDN1.pdf</v>
      </c>
    </row>
    <row r="170" spans="1:28" x14ac:dyDescent="0.25">
      <c r="A170" t="s">
        <v>174</v>
      </c>
      <c r="B170">
        <v>0.99299721793515405</v>
      </c>
      <c r="C170">
        <v>0.846787802864709</v>
      </c>
      <c r="D170">
        <v>1.0954328550815799</v>
      </c>
      <c r="E170">
        <v>1.1483283873957699</v>
      </c>
      <c r="F170">
        <v>0.79363793948793704</v>
      </c>
      <c r="G170">
        <v>0.52909349172780895</v>
      </c>
      <c r="H170">
        <v>0.47156955073363499</v>
      </c>
      <c r="I170">
        <v>0.68252481405247201</v>
      </c>
      <c r="J170">
        <v>0.81716406860551105</v>
      </c>
      <c r="K170">
        <v>0.86091583652232795</v>
      </c>
      <c r="L170">
        <v>12523.3603597278</v>
      </c>
      <c r="M170">
        <v>250</v>
      </c>
      <c r="O170">
        <v>50.090242799552001</v>
      </c>
      <c r="P170">
        <v>-0.40894502970221802</v>
      </c>
      <c r="Q170">
        <v>0.67225355287121702</v>
      </c>
      <c r="R170">
        <v>0.61016686381445895</v>
      </c>
      <c r="S170" t="s">
        <v>5721</v>
      </c>
      <c r="T170" t="s">
        <v>11100</v>
      </c>
      <c r="U170" t="s">
        <v>11100</v>
      </c>
      <c r="V170" t="s">
        <v>11100</v>
      </c>
      <c r="W170" t="s">
        <v>11268</v>
      </c>
      <c r="X170">
        <v>3</v>
      </c>
      <c r="Y170" t="s">
        <v>16762</v>
      </c>
      <c r="Z170" t="s">
        <v>22175</v>
      </c>
      <c r="AA170">
        <v>0.81532666318988023</v>
      </c>
      <c r="AB170" t="str">
        <f>HYPERLINK("Melting_Curves/meltCurve_B4E0E3_TMEM134.pdf", "Melting_Curves/meltCurve_B4E0E3_TMEM134.pdf")</f>
        <v>Melting_Curves/meltCurve_B4E0E3_TMEM134.pdf</v>
      </c>
    </row>
    <row r="171" spans="1:28" x14ac:dyDescent="0.25">
      <c r="A171" t="s">
        <v>175</v>
      </c>
      <c r="B171">
        <v>0.99299721793515405</v>
      </c>
      <c r="C171">
        <v>1.0043227171926901</v>
      </c>
      <c r="D171">
        <v>1.05122416584793</v>
      </c>
      <c r="E171">
        <v>0.99707932246796904</v>
      </c>
      <c r="F171">
        <v>0.63303060903312902</v>
      </c>
      <c r="G171">
        <v>0.28961829873666101</v>
      </c>
      <c r="H171">
        <v>0.15666581774364299</v>
      </c>
      <c r="I171">
        <v>0.142824974130629</v>
      </c>
      <c r="J171">
        <v>0.113454512612454</v>
      </c>
      <c r="K171">
        <v>0.10379207717486599</v>
      </c>
      <c r="L171">
        <v>1542.26299281037</v>
      </c>
      <c r="M171">
        <v>30.277072612597799</v>
      </c>
      <c r="N171">
        <v>51.416438719881299</v>
      </c>
      <c r="O171">
        <v>50.717635478642698</v>
      </c>
      <c r="P171">
        <v>-0.13093295791432599</v>
      </c>
      <c r="Q171">
        <v>0.122693263948914</v>
      </c>
      <c r="R171">
        <v>0.99574772600746297</v>
      </c>
      <c r="S171" t="s">
        <v>5722</v>
      </c>
      <c r="T171" t="s">
        <v>11100</v>
      </c>
      <c r="U171" t="s">
        <v>11100</v>
      </c>
      <c r="V171" t="s">
        <v>11100</v>
      </c>
      <c r="W171" t="s">
        <v>11269</v>
      </c>
      <c r="X171">
        <v>5</v>
      </c>
      <c r="Y171" t="s">
        <v>16763</v>
      </c>
      <c r="Z171" t="s">
        <v>22176</v>
      </c>
      <c r="AA171">
        <v>0.53566289188479932</v>
      </c>
      <c r="AB171" t="str">
        <f>HYPERLINK("Melting_Curves/meltCurve_B4E0G4_PHF6.pdf", "Melting_Curves/meltCurve_B4E0G4_PHF6.pdf")</f>
        <v>Melting_Curves/meltCurve_B4E0G4_PHF6.pdf</v>
      </c>
    </row>
    <row r="172" spans="1:28" x14ac:dyDescent="0.25">
      <c r="A172" t="s">
        <v>176</v>
      </c>
      <c r="B172">
        <v>0.99299721793515405</v>
      </c>
      <c r="C172">
        <v>1.05804895124048</v>
      </c>
      <c r="D172">
        <v>0.89956057065641404</v>
      </c>
      <c r="E172">
        <v>0.81462040032123595</v>
      </c>
      <c r="F172">
        <v>0.55409743623993002</v>
      </c>
      <c r="G172">
        <v>0.25422824698910301</v>
      </c>
      <c r="H172">
        <v>0.19669265188406501</v>
      </c>
      <c r="I172">
        <v>0.217490112867993</v>
      </c>
      <c r="J172">
        <v>0.206302743501033</v>
      </c>
      <c r="K172">
        <v>0.16208612581037099</v>
      </c>
      <c r="L172">
        <v>1041.13471309697</v>
      </c>
      <c r="M172">
        <v>21.078734434447099</v>
      </c>
      <c r="N172">
        <v>50.417761516586097</v>
      </c>
      <c r="O172">
        <v>48.954550977673001</v>
      </c>
      <c r="P172">
        <v>-8.8886242374842703E-2</v>
      </c>
      <c r="Q172">
        <v>0.17428230219040899</v>
      </c>
      <c r="R172">
        <v>0.98882127238956097</v>
      </c>
      <c r="S172" t="s">
        <v>5723</v>
      </c>
      <c r="T172" t="s">
        <v>11100</v>
      </c>
      <c r="U172" t="s">
        <v>11100</v>
      </c>
      <c r="V172" t="s">
        <v>11100</v>
      </c>
      <c r="W172" t="s">
        <v>11270</v>
      </c>
      <c r="X172">
        <v>5</v>
      </c>
      <c r="Y172" t="s">
        <v>16764</v>
      </c>
      <c r="Z172" t="s">
        <v>22177</v>
      </c>
      <c r="AA172">
        <v>0.52526918803076417</v>
      </c>
      <c r="AB172" t="str">
        <f>HYPERLINK("Melting_Curves/meltCurve_B4E0T2_PEX5.pdf", "Melting_Curves/meltCurve_B4E0T2_PEX5.pdf")</f>
        <v>Melting_Curves/meltCurve_B4E0T2_PEX5.pdf</v>
      </c>
    </row>
    <row r="173" spans="1:28" x14ac:dyDescent="0.25">
      <c r="A173" t="s">
        <v>177</v>
      </c>
      <c r="B173">
        <v>0.99299721793515405</v>
      </c>
      <c r="C173">
        <v>0.93071039779377795</v>
      </c>
      <c r="D173">
        <v>0.94536216694351105</v>
      </c>
      <c r="E173">
        <v>0.84141906236042796</v>
      </c>
      <c r="F173">
        <v>0.73896746376446298</v>
      </c>
      <c r="G173">
        <v>0.472507109570655</v>
      </c>
      <c r="H173">
        <v>0.33038242003219898</v>
      </c>
      <c r="I173">
        <v>0.26391994222332898</v>
      </c>
      <c r="J173">
        <v>0.23447852691118501</v>
      </c>
      <c r="K173">
        <v>0.183807027926468</v>
      </c>
      <c r="L173">
        <v>691.49780113566896</v>
      </c>
      <c r="M173">
        <v>13.2145866485263</v>
      </c>
      <c r="N173">
        <v>53.734206098658802</v>
      </c>
      <c r="O173">
        <v>51.173567349586399</v>
      </c>
      <c r="P173">
        <v>-5.51318841736856E-2</v>
      </c>
      <c r="Q173">
        <v>0.14614731788521301</v>
      </c>
      <c r="R173">
        <v>0.99247053324819401</v>
      </c>
      <c r="S173" t="s">
        <v>5724</v>
      </c>
      <c r="T173" t="s">
        <v>11100</v>
      </c>
      <c r="U173" t="s">
        <v>11100</v>
      </c>
      <c r="V173" t="s">
        <v>11100</v>
      </c>
      <c r="W173" t="s">
        <v>11271</v>
      </c>
      <c r="X173">
        <v>10</v>
      </c>
      <c r="Y173" t="s">
        <v>16765</v>
      </c>
      <c r="Z173" t="s">
        <v>22178</v>
      </c>
      <c r="AA173">
        <v>0.60055703503683067</v>
      </c>
      <c r="AB173" t="str">
        <f>HYPERLINK("Melting_Curves/meltCurve_B4E0V0_PNPO.pdf", "Melting_Curves/meltCurve_B4E0V0_PNPO.pdf")</f>
        <v>Melting_Curves/meltCurve_B4E0V0_PNPO.pdf</v>
      </c>
    </row>
    <row r="174" spans="1:28" x14ac:dyDescent="0.25">
      <c r="A174" t="s">
        <v>178</v>
      </c>
      <c r="B174">
        <v>0.99299721793515405</v>
      </c>
      <c r="C174">
        <v>1.07900558148627</v>
      </c>
      <c r="D174">
        <v>0.96149500429345103</v>
      </c>
      <c r="E174">
        <v>0.921554699224438</v>
      </c>
      <c r="F174">
        <v>0.64502795468360496</v>
      </c>
      <c r="G174">
        <v>0.27788429773953599</v>
      </c>
      <c r="H174">
        <v>0.149214926134735</v>
      </c>
      <c r="I174">
        <v>0.10159192908838199</v>
      </c>
      <c r="J174">
        <v>8.8586487475796297E-2</v>
      </c>
      <c r="K174">
        <v>6.2411767495560697E-2</v>
      </c>
      <c r="L174">
        <v>1242.5074804869701</v>
      </c>
      <c r="M174">
        <v>24.303444929289899</v>
      </c>
      <c r="N174">
        <v>51.476959870248997</v>
      </c>
      <c r="O174">
        <v>50.782380078640898</v>
      </c>
      <c r="P174">
        <v>-0.110482066856137</v>
      </c>
      <c r="Q174">
        <v>7.6598700087423893E-2</v>
      </c>
      <c r="R174">
        <v>0.99523850464583696</v>
      </c>
      <c r="S174" t="s">
        <v>5725</v>
      </c>
      <c r="T174" t="s">
        <v>11100</v>
      </c>
      <c r="U174" t="s">
        <v>11100</v>
      </c>
      <c r="V174" t="s">
        <v>11100</v>
      </c>
      <c r="W174" t="s">
        <v>11272</v>
      </c>
      <c r="X174">
        <v>15</v>
      </c>
      <c r="Y174" t="s">
        <v>16766</v>
      </c>
      <c r="Z174" t="s">
        <v>22179</v>
      </c>
      <c r="AA174">
        <v>0.51994780204627311</v>
      </c>
      <c r="AB174" t="str">
        <f>HYPERLINK("Melting_Curves/meltCurve_B4E0Y9_MST4.pdf", "Melting_Curves/meltCurve_B4E0Y9_MST4.pdf")</f>
        <v>Melting_Curves/meltCurve_B4E0Y9_MST4.pdf</v>
      </c>
    </row>
    <row r="175" spans="1:28" x14ac:dyDescent="0.25">
      <c r="A175" t="s">
        <v>179</v>
      </c>
      <c r="B175">
        <v>0.99299721793515405</v>
      </c>
      <c r="C175">
        <v>0.99381173602901496</v>
      </c>
      <c r="D175">
        <v>0.96755901343248196</v>
      </c>
      <c r="E175">
        <v>0.90857011828011403</v>
      </c>
      <c r="F175">
        <v>0.75146377799939701</v>
      </c>
      <c r="G175">
        <v>0.559253313878319</v>
      </c>
      <c r="H175">
        <v>0.46372072592805602</v>
      </c>
      <c r="I175">
        <v>0.35113617325605501</v>
      </c>
      <c r="J175">
        <v>0.30059783590933697</v>
      </c>
      <c r="K175">
        <v>0.38180335968529799</v>
      </c>
      <c r="L175">
        <v>836.72799603845601</v>
      </c>
      <c r="M175">
        <v>16.1102336133346</v>
      </c>
      <c r="N175">
        <v>55.376161224824997</v>
      </c>
      <c r="O175">
        <v>51.157182896840702</v>
      </c>
      <c r="P175">
        <v>-5.38451644734778E-2</v>
      </c>
      <c r="Q175">
        <v>0.31612248454400799</v>
      </c>
      <c r="R175">
        <v>0.99217373205708004</v>
      </c>
      <c r="S175" t="s">
        <v>5726</v>
      </c>
      <c r="T175" t="s">
        <v>11100</v>
      </c>
      <c r="U175" t="s">
        <v>11100</v>
      </c>
      <c r="V175" t="s">
        <v>11100</v>
      </c>
      <c r="W175" t="s">
        <v>11273</v>
      </c>
      <c r="X175">
        <v>6</v>
      </c>
      <c r="Y175" t="s">
        <v>16767</v>
      </c>
      <c r="Z175" t="s">
        <v>22180</v>
      </c>
      <c r="AA175">
        <v>0.66868069106078409</v>
      </c>
      <c r="AB175" t="str">
        <f>HYPERLINK("Melting_Curves/meltCurve_B4E241_SFRS3.pdf", "Melting_Curves/meltCurve_B4E241_SFRS3.pdf")</f>
        <v>Melting_Curves/meltCurve_B4E241_SFRS3.pdf</v>
      </c>
    </row>
    <row r="176" spans="1:28" x14ac:dyDescent="0.25">
      <c r="A176" t="s">
        <v>180</v>
      </c>
      <c r="B176">
        <v>0.99299721793515405</v>
      </c>
      <c r="C176">
        <v>0.96341483519245796</v>
      </c>
      <c r="D176">
        <v>0.83576381457029603</v>
      </c>
      <c r="E176">
        <v>0.80578974981912799</v>
      </c>
      <c r="F176">
        <v>0.76495943323700399</v>
      </c>
      <c r="G176">
        <v>0.89130918858093999</v>
      </c>
      <c r="H176">
        <v>0.174275695918641</v>
      </c>
      <c r="I176">
        <v>0.156224381159215</v>
      </c>
      <c r="J176">
        <v>0.13287664756359699</v>
      </c>
      <c r="K176">
        <v>0.124950132805712</v>
      </c>
      <c r="L176">
        <v>4205.1030269333096</v>
      </c>
      <c r="M176">
        <v>76.250511531346106</v>
      </c>
      <c r="N176">
        <v>55.380495880270601</v>
      </c>
      <c r="O176">
        <v>55.110624801398899</v>
      </c>
      <c r="P176">
        <v>-0.29861377182576498</v>
      </c>
      <c r="Q176">
        <v>0.13669883241556599</v>
      </c>
      <c r="R176">
        <v>0.90757974605298597</v>
      </c>
      <c r="S176" t="s">
        <v>5727</v>
      </c>
      <c r="T176" t="s">
        <v>11100</v>
      </c>
      <c r="U176" t="s">
        <v>11100</v>
      </c>
      <c r="V176" t="s">
        <v>11100</v>
      </c>
      <c r="W176" t="s">
        <v>11274</v>
      </c>
      <c r="X176">
        <v>10</v>
      </c>
      <c r="Y176" t="s">
        <v>16768</v>
      </c>
      <c r="Z176" t="s">
        <v>22181</v>
      </c>
      <c r="AA176">
        <v>0.65985359639253838</v>
      </c>
      <c r="AB176" t="str">
        <f>HYPERLINK("Melting_Curves/meltCurve_B4E2W0_HADHB.pdf", "Melting_Curves/meltCurve_B4E2W0_HADHB.pdf")</f>
        <v>Melting_Curves/meltCurve_B4E2W0_HADHB.pdf</v>
      </c>
    </row>
    <row r="177" spans="1:28" x14ac:dyDescent="0.25">
      <c r="A177" t="s">
        <v>181</v>
      </c>
      <c r="B177">
        <v>0.99299721793515405</v>
      </c>
      <c r="C177">
        <v>0.92131968287741595</v>
      </c>
      <c r="D177">
        <v>0.82040789721614205</v>
      </c>
      <c r="E177">
        <v>0.86455536130543498</v>
      </c>
      <c r="F177">
        <v>0.63759482067879303</v>
      </c>
      <c r="G177">
        <v>0.33116743653970099</v>
      </c>
      <c r="H177">
        <v>0.22507179044175199</v>
      </c>
      <c r="I177">
        <v>0.20971588580491399</v>
      </c>
      <c r="J177">
        <v>0.19734375542662899</v>
      </c>
      <c r="K177">
        <v>0.212426853444801</v>
      </c>
      <c r="L177">
        <v>824.15847335412002</v>
      </c>
      <c r="M177">
        <v>16.392729601083101</v>
      </c>
      <c r="N177">
        <v>51.536345790673998</v>
      </c>
      <c r="O177">
        <v>49.5455325265902</v>
      </c>
      <c r="P177">
        <v>-6.9059730547524206E-2</v>
      </c>
      <c r="Q177">
        <v>0.16515251552815299</v>
      </c>
      <c r="R177">
        <v>0.96989920909940797</v>
      </c>
      <c r="S177" t="s">
        <v>5728</v>
      </c>
      <c r="T177" t="s">
        <v>11100</v>
      </c>
      <c r="U177" t="s">
        <v>11100</v>
      </c>
      <c r="V177" t="s">
        <v>11100</v>
      </c>
      <c r="W177" t="s">
        <v>11275</v>
      </c>
      <c r="X177">
        <v>10</v>
      </c>
      <c r="Y177" t="s">
        <v>16769</v>
      </c>
      <c r="Z177" t="s">
        <v>22182</v>
      </c>
      <c r="AA177">
        <v>0.54977709168286881</v>
      </c>
      <c r="AB177" t="str">
        <f>HYPERLINK("Melting_Curves/meltCurve_B4E2X3_METTL13.pdf", "Melting_Curves/meltCurve_B4E2X3_METTL13.pdf")</f>
        <v>Melting_Curves/meltCurve_B4E2X3_METTL13.pdf</v>
      </c>
    </row>
    <row r="178" spans="1:28" x14ac:dyDescent="0.25">
      <c r="A178" t="s">
        <v>182</v>
      </c>
      <c r="B178">
        <v>0.99299721793515405</v>
      </c>
      <c r="C178">
        <v>0.92405215775986405</v>
      </c>
      <c r="D178">
        <v>0.78803214121759502</v>
      </c>
      <c r="E178">
        <v>0.72273797812499196</v>
      </c>
      <c r="F178">
        <v>0.53680963967587303</v>
      </c>
      <c r="G178">
        <v>0.30351259482942</v>
      </c>
      <c r="H178">
        <v>0.29645192756377697</v>
      </c>
      <c r="I178">
        <v>0.32948431415389401</v>
      </c>
      <c r="J178">
        <v>0.21047393316367</v>
      </c>
      <c r="K178">
        <v>0.21310686622564301</v>
      </c>
      <c r="L178">
        <v>545.22923613531498</v>
      </c>
      <c r="M178">
        <v>11.293133541483</v>
      </c>
      <c r="N178">
        <v>50.366122210091099</v>
      </c>
      <c r="O178">
        <v>46.840145654024099</v>
      </c>
      <c r="P178">
        <v>-4.9029449981512201E-2</v>
      </c>
      <c r="Q178">
        <v>0.186816803997957</v>
      </c>
      <c r="R178">
        <v>0.97828549303319701</v>
      </c>
      <c r="S178" t="s">
        <v>5729</v>
      </c>
      <c r="T178" t="s">
        <v>11100</v>
      </c>
      <c r="U178" t="s">
        <v>11100</v>
      </c>
      <c r="V178" t="s">
        <v>11100</v>
      </c>
      <c r="W178" t="s">
        <v>11276</v>
      </c>
      <c r="X178">
        <v>2</v>
      </c>
      <c r="Y178" t="s">
        <v>16770</v>
      </c>
      <c r="Z178" t="s">
        <v>22183</v>
      </c>
      <c r="AA178">
        <v>0.51988583622457774</v>
      </c>
      <c r="AB178" t="str">
        <f>HYPERLINK("Melting_Curves/meltCurve_B4E3E5_DVL3.pdf", "Melting_Curves/meltCurve_B4E3E5_DVL3.pdf")</f>
        <v>Melting_Curves/meltCurve_B4E3E5_DVL3.pdf</v>
      </c>
    </row>
    <row r="179" spans="1:28" x14ac:dyDescent="0.25">
      <c r="A179" t="s">
        <v>183</v>
      </c>
      <c r="B179">
        <v>0.99299721793515405</v>
      </c>
      <c r="C179">
        <v>1.04895136468547</v>
      </c>
      <c r="D179">
        <v>1.0433781782095599</v>
      </c>
      <c r="E179">
        <v>0.89912872855894199</v>
      </c>
      <c r="F179">
        <v>0.76117275170536702</v>
      </c>
      <c r="G179">
        <v>0.59897004318362201</v>
      </c>
      <c r="H179">
        <v>0.22274958093635699</v>
      </c>
      <c r="I179">
        <v>0.16017928837614101</v>
      </c>
      <c r="J179">
        <v>0.140364081200722</v>
      </c>
      <c r="K179">
        <v>0.111573355464758</v>
      </c>
      <c r="L179">
        <v>983.17000141527205</v>
      </c>
      <c r="M179">
        <v>18.341542254246399</v>
      </c>
      <c r="N179">
        <v>54.102822690857799</v>
      </c>
      <c r="O179">
        <v>52.978444529197198</v>
      </c>
      <c r="P179">
        <v>-7.9815844520885706E-2</v>
      </c>
      <c r="Q179">
        <v>7.7869078716943693E-2</v>
      </c>
      <c r="R179">
        <v>0.98676395273221795</v>
      </c>
      <c r="S179" t="s">
        <v>5730</v>
      </c>
      <c r="T179" t="s">
        <v>11100</v>
      </c>
      <c r="U179" t="s">
        <v>11100</v>
      </c>
      <c r="V179" t="s">
        <v>11100</v>
      </c>
      <c r="W179" t="s">
        <v>11277</v>
      </c>
      <c r="X179">
        <v>11</v>
      </c>
      <c r="Y179" t="s">
        <v>16771</v>
      </c>
      <c r="Z179" t="s">
        <v>22184</v>
      </c>
      <c r="AA179">
        <v>0.60091305449099364</v>
      </c>
      <c r="AB179" t="str">
        <f>HYPERLINK("Melting_Curves/meltCurve_B5AK60_ABCB1.pdf", "Melting_Curves/meltCurve_B5AK60_ABCB1.pdf")</f>
        <v>Melting_Curves/meltCurve_B5AK60_ABCB1.pdf</v>
      </c>
    </row>
    <row r="180" spans="1:28" x14ac:dyDescent="0.25">
      <c r="A180" t="s">
        <v>184</v>
      </c>
      <c r="B180">
        <v>0.99299721793515405</v>
      </c>
      <c r="C180">
        <v>0.89565423500610097</v>
      </c>
      <c r="D180">
        <v>0.90336126073608303</v>
      </c>
      <c r="E180">
        <v>0.93269875470877495</v>
      </c>
      <c r="F180">
        <v>0.76988460189108399</v>
      </c>
      <c r="G180">
        <v>0.55503433929394896</v>
      </c>
      <c r="H180">
        <v>0.60501921468021802</v>
      </c>
      <c r="I180">
        <v>0.72852760588252796</v>
      </c>
      <c r="J180">
        <v>0.78630694020015302</v>
      </c>
      <c r="K180">
        <v>0.71014895512044995</v>
      </c>
      <c r="L180">
        <v>1826.7436825909199</v>
      </c>
      <c r="M180">
        <v>37.809251793528198</v>
      </c>
      <c r="O180">
        <v>48.180165685991199</v>
      </c>
      <c r="P180">
        <v>-6.2747423997389598E-2</v>
      </c>
      <c r="Q180">
        <v>0.68016575475054897</v>
      </c>
      <c r="R180">
        <v>0.68701750539568796</v>
      </c>
      <c r="S180" t="s">
        <v>5731</v>
      </c>
      <c r="T180" t="s">
        <v>11100</v>
      </c>
      <c r="U180" t="s">
        <v>11100</v>
      </c>
      <c r="V180" t="s">
        <v>11100</v>
      </c>
      <c r="W180" t="s">
        <v>11278</v>
      </c>
      <c r="X180">
        <v>1</v>
      </c>
      <c r="Y180" t="s">
        <v>16772</v>
      </c>
      <c r="Z180" t="s">
        <v>22185</v>
      </c>
      <c r="AA180">
        <v>0.80199010774161128</v>
      </c>
      <c r="AB180" t="str">
        <f>HYPERLINK("Melting_Curves/meltCurve_B5MBW9_CHCHD10.pdf", "Melting_Curves/meltCurve_B5MBW9_CHCHD10.pdf")</f>
        <v>Melting_Curves/meltCurve_B5MBW9_CHCHD10.pdf</v>
      </c>
    </row>
    <row r="181" spans="1:28" x14ac:dyDescent="0.25">
      <c r="A181" t="s">
        <v>185</v>
      </c>
      <c r="B181">
        <v>0.99299721793515405</v>
      </c>
      <c r="C181">
        <v>0.87313091417836297</v>
      </c>
      <c r="D181">
        <v>0.74540784961738604</v>
      </c>
      <c r="E181">
        <v>0.86711319720595204</v>
      </c>
      <c r="F181">
        <v>0.71824472787079896</v>
      </c>
      <c r="G181">
        <v>0.45442108884786903</v>
      </c>
      <c r="H181">
        <v>0.343474416163987</v>
      </c>
      <c r="I181">
        <v>0.43955690401436198</v>
      </c>
      <c r="J181">
        <v>0.320136363196455</v>
      </c>
      <c r="K181">
        <v>0.254993711833708</v>
      </c>
      <c r="L181">
        <v>362.74873161962603</v>
      </c>
      <c r="M181">
        <v>6.7809529697819704</v>
      </c>
      <c r="N181">
        <v>54.932677518094899</v>
      </c>
      <c r="O181">
        <v>49.420614062411801</v>
      </c>
      <c r="P181">
        <v>-3.1579328052620502E-2</v>
      </c>
      <c r="Q181">
        <v>8.1293745527966296E-2</v>
      </c>
      <c r="R181">
        <v>0.91490086429111495</v>
      </c>
      <c r="S181" t="s">
        <v>5732</v>
      </c>
      <c r="T181" t="s">
        <v>11100</v>
      </c>
      <c r="U181" t="s">
        <v>11100</v>
      </c>
      <c r="V181" t="s">
        <v>11100</v>
      </c>
      <c r="W181" t="s">
        <v>11279</v>
      </c>
      <c r="X181">
        <v>2</v>
      </c>
      <c r="Y181" t="s">
        <v>16773</v>
      </c>
      <c r="Z181" t="s">
        <v>22186</v>
      </c>
      <c r="AA181">
        <v>0.60052021160598057</v>
      </c>
      <c r="AB181" t="str">
        <f>HYPERLINK("Melting_Curves/meltCurve_B5MBX5_LBH.pdf", "Melting_Curves/meltCurve_B5MBX5_LBH.pdf")</f>
        <v>Melting_Curves/meltCurve_B5MBX5_LBH.pdf</v>
      </c>
    </row>
    <row r="182" spans="1:28" x14ac:dyDescent="0.25">
      <c r="A182" t="s">
        <v>186</v>
      </c>
      <c r="B182">
        <v>0.99299721793515405</v>
      </c>
      <c r="C182">
        <v>0.94680313210338496</v>
      </c>
      <c r="D182">
        <v>0.77776980185843403</v>
      </c>
      <c r="E182">
        <v>0.75140150028788899</v>
      </c>
      <c r="F182">
        <v>0.58134685945414699</v>
      </c>
      <c r="G182">
        <v>0.19285609244092</v>
      </c>
      <c r="H182">
        <v>0.197894721399965</v>
      </c>
      <c r="I182">
        <v>0.16084564557706699</v>
      </c>
      <c r="J182">
        <v>0.170600471195133</v>
      </c>
      <c r="K182">
        <v>0.12851993522676899</v>
      </c>
      <c r="L182">
        <v>643.93952739016697</v>
      </c>
      <c r="M182">
        <v>13.095422650189301</v>
      </c>
      <c r="N182">
        <v>49.946068543187799</v>
      </c>
      <c r="O182">
        <v>48.068597597358</v>
      </c>
      <c r="P182">
        <v>-6.1869789778659701E-2</v>
      </c>
      <c r="Q182">
        <v>9.1748762132573103E-2</v>
      </c>
      <c r="R182">
        <v>0.96607265278743804</v>
      </c>
      <c r="S182" t="s">
        <v>5733</v>
      </c>
      <c r="T182" t="s">
        <v>11100</v>
      </c>
      <c r="U182" t="s">
        <v>11100</v>
      </c>
      <c r="V182" t="s">
        <v>11100</v>
      </c>
      <c r="W182" t="s">
        <v>11280</v>
      </c>
      <c r="X182">
        <v>13</v>
      </c>
      <c r="Y182" t="s">
        <v>16774</v>
      </c>
      <c r="Z182" t="s">
        <v>22187</v>
      </c>
      <c r="AA182">
        <v>0.4840451121315994</v>
      </c>
      <c r="AB182" t="str">
        <f>HYPERLINK("Melting_Curves/meltCurve_B5MBZ0_EML4.pdf", "Melting_Curves/meltCurve_B5MBZ0_EML4.pdf")</f>
        <v>Melting_Curves/meltCurve_B5MBZ0_EML4.pdf</v>
      </c>
    </row>
    <row r="183" spans="1:28" x14ac:dyDescent="0.25">
      <c r="A183" t="s">
        <v>187</v>
      </c>
      <c r="B183">
        <v>0.99299721793515405</v>
      </c>
      <c r="C183">
        <v>1.02528706636079</v>
      </c>
      <c r="D183">
        <v>0.87618061700894301</v>
      </c>
      <c r="E183">
        <v>0.90447103007723195</v>
      </c>
      <c r="F183">
        <v>0.75420520350619502</v>
      </c>
      <c r="G183">
        <v>0.54071747631727096</v>
      </c>
      <c r="H183">
        <v>0.45806138319259498</v>
      </c>
      <c r="I183">
        <v>0.46473510911153598</v>
      </c>
      <c r="J183">
        <v>0.51207523658681098</v>
      </c>
      <c r="K183">
        <v>0.33199058102081702</v>
      </c>
      <c r="L183">
        <v>767.00533919030102</v>
      </c>
      <c r="M183">
        <v>15.1043375901316</v>
      </c>
      <c r="N183">
        <v>56.6506297504434</v>
      </c>
      <c r="O183">
        <v>49.915300337833102</v>
      </c>
      <c r="P183">
        <v>-4.5737243433930298E-2</v>
      </c>
      <c r="Q183">
        <v>0.395467953422865</v>
      </c>
      <c r="R183">
        <v>0.95178720986390897</v>
      </c>
      <c r="S183" t="s">
        <v>5734</v>
      </c>
      <c r="T183" t="s">
        <v>11100</v>
      </c>
      <c r="U183" t="s">
        <v>11100</v>
      </c>
      <c r="V183" t="s">
        <v>11100</v>
      </c>
      <c r="W183" t="s">
        <v>11281</v>
      </c>
      <c r="X183">
        <v>1</v>
      </c>
      <c r="Y183" t="s">
        <v>16775</v>
      </c>
      <c r="Z183" t="s">
        <v>22188</v>
      </c>
      <c r="AA183">
        <v>0.68532800647795045</v>
      </c>
      <c r="AB183" t="str">
        <f>HYPERLINK("Melting_Curves/meltCurve_B5MCD7_SYNGR1.pdf", "Melting_Curves/meltCurve_B5MCD7_SYNGR1.pdf")</f>
        <v>Melting_Curves/meltCurve_B5MCD7_SYNGR1.pdf</v>
      </c>
    </row>
    <row r="184" spans="1:28" x14ac:dyDescent="0.25">
      <c r="A184" t="s">
        <v>188</v>
      </c>
      <c r="B184">
        <v>0.99299721793515405</v>
      </c>
      <c r="C184">
        <v>1.0895761382953699</v>
      </c>
      <c r="D184">
        <v>1.0349900961579701</v>
      </c>
      <c r="E184">
        <v>0.91089294017414901</v>
      </c>
      <c r="F184">
        <v>0.45988732091690698</v>
      </c>
      <c r="G184">
        <v>0.32565850799017798</v>
      </c>
      <c r="H184">
        <v>0.244572366288592</v>
      </c>
      <c r="I184">
        <v>0.241712788408561</v>
      </c>
      <c r="J184">
        <v>0.21242970104471801</v>
      </c>
      <c r="K184">
        <v>0.239129210343836</v>
      </c>
      <c r="L184">
        <v>1762.59129932972</v>
      </c>
      <c r="M184">
        <v>35.925738468014799</v>
      </c>
      <c r="N184">
        <v>49.989694679786197</v>
      </c>
      <c r="O184">
        <v>48.910787831237002</v>
      </c>
      <c r="P184">
        <v>-0.138954956534072</v>
      </c>
      <c r="Q184">
        <v>0.24328603616737801</v>
      </c>
      <c r="R184">
        <v>0.98950183750810095</v>
      </c>
      <c r="S184" t="s">
        <v>5735</v>
      </c>
      <c r="T184" t="s">
        <v>11100</v>
      </c>
      <c r="U184" t="s">
        <v>11100</v>
      </c>
      <c r="V184" t="s">
        <v>11100</v>
      </c>
      <c r="W184" t="s">
        <v>11282</v>
      </c>
      <c r="X184">
        <v>9</v>
      </c>
      <c r="Y184" t="s">
        <v>16776</v>
      </c>
      <c r="Z184" t="s">
        <v>22189</v>
      </c>
      <c r="AA184">
        <v>0.5507219950572716</v>
      </c>
      <c r="AB184" t="str">
        <f>HYPERLINK("Melting_Curves/meltCurve_B5MCF9_PES1.pdf", "Melting_Curves/meltCurve_B5MCF9_PES1.pdf")</f>
        <v>Melting_Curves/meltCurve_B5MCF9_PES1.pdf</v>
      </c>
    </row>
    <row r="185" spans="1:28" x14ac:dyDescent="0.25">
      <c r="A185" t="s">
        <v>189</v>
      </c>
      <c r="B185">
        <v>0.99299721793515405</v>
      </c>
      <c r="C185">
        <v>0.97876909155791902</v>
      </c>
      <c r="D185">
        <v>1.0622014642414199</v>
      </c>
      <c r="E185">
        <v>0.98886087082502705</v>
      </c>
      <c r="F185">
        <v>0.70903266279471799</v>
      </c>
      <c r="G185">
        <v>0.51207414553284503</v>
      </c>
      <c r="H185">
        <v>0.275620979557611</v>
      </c>
      <c r="I185">
        <v>0.28065189541777602</v>
      </c>
      <c r="J185">
        <v>0.27813123183836602</v>
      </c>
      <c r="K185">
        <v>0.20341618723850299</v>
      </c>
      <c r="L185">
        <v>1175.54433169188</v>
      </c>
      <c r="M185">
        <v>22.667337755686301</v>
      </c>
      <c r="N185">
        <v>53.361321515482103</v>
      </c>
      <c r="O185">
        <v>51.4621502077079</v>
      </c>
      <c r="P185">
        <v>-8.4166120355817706E-2</v>
      </c>
      <c r="Q185">
        <v>0.235678611279665</v>
      </c>
      <c r="R185">
        <v>0.98664984262600297</v>
      </c>
      <c r="S185" t="s">
        <v>5736</v>
      </c>
      <c r="T185" t="s">
        <v>11100</v>
      </c>
      <c r="U185" t="s">
        <v>11100</v>
      </c>
      <c r="V185" t="s">
        <v>11100</v>
      </c>
      <c r="W185" t="s">
        <v>11283</v>
      </c>
      <c r="X185">
        <v>2</v>
      </c>
      <c r="Y185" t="s">
        <v>16777</v>
      </c>
      <c r="Z185" t="s">
        <v>22190</v>
      </c>
      <c r="AA185">
        <v>0.62233733099633748</v>
      </c>
      <c r="AB185" t="str">
        <f>HYPERLINK("Melting_Curves/meltCurve_B5MCN7_NCOA1.pdf", "Melting_Curves/meltCurve_B5MCN7_NCOA1.pdf")</f>
        <v>Melting_Curves/meltCurve_B5MCN7_NCOA1.pdf</v>
      </c>
    </row>
    <row r="186" spans="1:28" x14ac:dyDescent="0.25">
      <c r="A186" t="s">
        <v>190</v>
      </c>
      <c r="B186">
        <v>0.99299721793515405</v>
      </c>
      <c r="C186">
        <v>0.90975050640601796</v>
      </c>
      <c r="D186">
        <v>0.87607776699421702</v>
      </c>
      <c r="E186">
        <v>0.74826844220836297</v>
      </c>
      <c r="F186">
        <v>0.64811916142217396</v>
      </c>
      <c r="G186">
        <v>0.87375002789497802</v>
      </c>
      <c r="H186">
        <v>0.69228463052768596</v>
      </c>
      <c r="I186">
        <v>0.57219189505340895</v>
      </c>
      <c r="J186">
        <v>0.38638988842724897</v>
      </c>
      <c r="K186">
        <v>0.47100268060387301</v>
      </c>
      <c r="L186">
        <v>261.25763769280502</v>
      </c>
      <c r="M186">
        <v>4.0518972047551598</v>
      </c>
      <c r="N186">
        <v>64.4778750139225</v>
      </c>
      <c r="O186">
        <v>53.148671424855998</v>
      </c>
      <c r="P186">
        <v>-1.9294301050334899E-2</v>
      </c>
      <c r="Q186">
        <v>0</v>
      </c>
      <c r="R186">
        <v>0.79667246282974502</v>
      </c>
      <c r="S186" t="s">
        <v>5737</v>
      </c>
      <c r="T186" t="s">
        <v>11100</v>
      </c>
      <c r="U186" t="s">
        <v>11100</v>
      </c>
      <c r="V186" t="s">
        <v>11100</v>
      </c>
      <c r="W186" t="s">
        <v>11284</v>
      </c>
      <c r="X186">
        <v>28</v>
      </c>
      <c r="Y186" t="s">
        <v>16778</v>
      </c>
      <c r="Z186" t="s">
        <v>22191</v>
      </c>
      <c r="AA186">
        <v>0.72028700287507719</v>
      </c>
      <c r="AB186" t="str">
        <f>HYPERLINK("Melting_Curves/meltCurve_B5MCX3_SEPT2.pdf", "Melting_Curves/meltCurve_B5MCX3_SEPT2.pdf")</f>
        <v>Melting_Curves/meltCurve_B5MCX3_SEPT2.pdf</v>
      </c>
    </row>
    <row r="187" spans="1:28" x14ac:dyDescent="0.25">
      <c r="A187" t="s">
        <v>191</v>
      </c>
      <c r="B187">
        <v>0.99299721793515405</v>
      </c>
      <c r="C187">
        <v>0.93778150724181797</v>
      </c>
      <c r="D187">
        <v>1.0093877614272699</v>
      </c>
      <c r="E187">
        <v>0.84263512908684701</v>
      </c>
      <c r="F187">
        <v>0.60771427140802803</v>
      </c>
      <c r="G187">
        <v>0.39783867629290298</v>
      </c>
      <c r="H187">
        <v>0.24597484865642</v>
      </c>
      <c r="I187">
        <v>0.21276544133146599</v>
      </c>
      <c r="J187">
        <v>0.27558497844583701</v>
      </c>
      <c r="K187">
        <v>0.13708413647197201</v>
      </c>
      <c r="L187">
        <v>915.85573572042199</v>
      </c>
      <c r="M187">
        <v>18.147440748027201</v>
      </c>
      <c r="N187">
        <v>51.782299581410399</v>
      </c>
      <c r="O187">
        <v>49.866663598557601</v>
      </c>
      <c r="P187">
        <v>-7.4188008074757603E-2</v>
      </c>
      <c r="Q187">
        <v>0.184605681195498</v>
      </c>
      <c r="R187">
        <v>0.987122845692611</v>
      </c>
      <c r="S187" t="s">
        <v>5738</v>
      </c>
      <c r="T187" t="s">
        <v>11100</v>
      </c>
      <c r="U187" t="s">
        <v>11100</v>
      </c>
      <c r="V187" t="s">
        <v>11100</v>
      </c>
      <c r="W187" t="s">
        <v>11285</v>
      </c>
      <c r="X187">
        <v>3</v>
      </c>
      <c r="Y187" t="s">
        <v>16779</v>
      </c>
      <c r="Z187" t="s">
        <v>22192</v>
      </c>
      <c r="AA187">
        <v>0.56324796742389216</v>
      </c>
      <c r="AB187" t="str">
        <f>HYPERLINK("Melting_Curves/meltCurve_B5MD46_TBC1D10A.pdf", "Melting_Curves/meltCurve_B5MD46_TBC1D10A.pdf")</f>
        <v>Melting_Curves/meltCurve_B5MD46_TBC1D10A.pdf</v>
      </c>
    </row>
    <row r="188" spans="1:28" x14ac:dyDescent="0.25">
      <c r="A188" t="s">
        <v>192</v>
      </c>
      <c r="B188">
        <v>0.99299721793515405</v>
      </c>
      <c r="C188">
        <v>1.08691983371657</v>
      </c>
      <c r="D188">
        <v>1.01945235320437</v>
      </c>
      <c r="E188">
        <v>0.90006963138469998</v>
      </c>
      <c r="F188">
        <v>0.83505674238048599</v>
      </c>
      <c r="G188">
        <v>0.66656473441679698</v>
      </c>
      <c r="H188">
        <v>0.70034904654911401</v>
      </c>
      <c r="I188">
        <v>0.79209249523434699</v>
      </c>
      <c r="J188">
        <v>0.83545639682335704</v>
      </c>
      <c r="K188">
        <v>0.58075673255256499</v>
      </c>
      <c r="L188">
        <v>1337.2248459037601</v>
      </c>
      <c r="M188">
        <v>27.598234764754501</v>
      </c>
      <c r="O188">
        <v>48.201018964486302</v>
      </c>
      <c r="P188">
        <v>-4.0657078083038298E-2</v>
      </c>
      <c r="Q188">
        <v>0.71596809472700496</v>
      </c>
      <c r="R188">
        <v>0.77454284317345201</v>
      </c>
      <c r="S188" t="s">
        <v>5739</v>
      </c>
      <c r="T188" t="s">
        <v>11100</v>
      </c>
      <c r="U188" t="s">
        <v>11100</v>
      </c>
      <c r="V188" t="s">
        <v>11100</v>
      </c>
      <c r="W188" t="s">
        <v>11286</v>
      </c>
      <c r="X188">
        <v>3</v>
      </c>
      <c r="Y188" t="s">
        <v>16780</v>
      </c>
      <c r="Z188" t="s">
        <v>22193</v>
      </c>
      <c r="AA188">
        <v>0.82640829402939286</v>
      </c>
      <c r="AB188" t="str">
        <f>HYPERLINK("Melting_Curves/meltCurve_B5MDE0_RFT1.pdf", "Melting_Curves/meltCurve_B5MDE0_RFT1.pdf")</f>
        <v>Melting_Curves/meltCurve_B5MDE0_RFT1.pdf</v>
      </c>
    </row>
    <row r="189" spans="1:28" x14ac:dyDescent="0.25">
      <c r="A189" t="s">
        <v>193</v>
      </c>
      <c r="B189">
        <v>0.99299721793515405</v>
      </c>
      <c r="C189">
        <v>0.810807184401382</v>
      </c>
      <c r="D189">
        <v>0.71990587788166904</v>
      </c>
      <c r="E189">
        <v>0.70436452650294901</v>
      </c>
      <c r="F189">
        <v>0.56680455347243996</v>
      </c>
      <c r="G189">
        <v>0.46245329630896898</v>
      </c>
      <c r="H189">
        <v>0.26020532567018401</v>
      </c>
      <c r="I189">
        <v>0.192866747161513</v>
      </c>
      <c r="J189">
        <v>0.11510672529754699</v>
      </c>
      <c r="K189">
        <v>0.17292481530932799</v>
      </c>
      <c r="L189">
        <v>375.28776081268802</v>
      </c>
      <c r="M189">
        <v>7.3860236143839204</v>
      </c>
      <c r="N189">
        <v>50.810527855865203</v>
      </c>
      <c r="O189">
        <v>47.484496823080299</v>
      </c>
      <c r="P189">
        <v>-3.8945672170757499E-2</v>
      </c>
      <c r="Q189">
        <v>0</v>
      </c>
      <c r="R189">
        <v>0.96605340782044602</v>
      </c>
      <c r="S189" t="s">
        <v>5740</v>
      </c>
      <c r="T189" t="s">
        <v>11100</v>
      </c>
      <c r="U189" t="s">
        <v>11100</v>
      </c>
      <c r="V189" t="s">
        <v>11100</v>
      </c>
      <c r="W189" t="s">
        <v>11287</v>
      </c>
      <c r="X189">
        <v>1</v>
      </c>
      <c r="Y189" t="s">
        <v>16781</v>
      </c>
      <c r="Z189" t="s">
        <v>22194</v>
      </c>
      <c r="AA189">
        <v>0.49770783798979201</v>
      </c>
      <c r="AB189" t="str">
        <f>HYPERLINK("Melting_Curves/meltCurve_B5MDU3_PLEKHA8.pdf", "Melting_Curves/meltCurve_B5MDU3_PLEKHA8.pdf")</f>
        <v>Melting_Curves/meltCurve_B5MDU3_PLEKHA8.pdf</v>
      </c>
    </row>
    <row r="190" spans="1:28" x14ac:dyDescent="0.25">
      <c r="A190" t="s">
        <v>194</v>
      </c>
      <c r="B190">
        <v>0.99299721793515405</v>
      </c>
      <c r="C190">
        <v>0.98387378945530102</v>
      </c>
      <c r="D190">
        <v>0.95028673822709198</v>
      </c>
      <c r="E190">
        <v>0.89450827306515202</v>
      </c>
      <c r="F190">
        <v>0.78754151301410102</v>
      </c>
      <c r="G190">
        <v>0.63801474721833495</v>
      </c>
      <c r="H190">
        <v>0.34557480200026602</v>
      </c>
      <c r="I190">
        <v>0.26118664423367599</v>
      </c>
      <c r="J190">
        <v>0.23346964324993399</v>
      </c>
      <c r="K190">
        <v>0.23157380280390799</v>
      </c>
      <c r="L190">
        <v>828.86001851332003</v>
      </c>
      <c r="M190">
        <v>15.4242995607392</v>
      </c>
      <c r="N190">
        <v>55.195416200852897</v>
      </c>
      <c r="O190">
        <v>52.858331564014499</v>
      </c>
      <c r="P190">
        <v>-6.0749353867963603E-2</v>
      </c>
      <c r="Q190">
        <v>0.16733512538992201</v>
      </c>
      <c r="R190">
        <v>0.99064420625706395</v>
      </c>
      <c r="S190" t="s">
        <v>5741</v>
      </c>
      <c r="T190" t="s">
        <v>11100</v>
      </c>
      <c r="U190" t="s">
        <v>11100</v>
      </c>
      <c r="V190" t="s">
        <v>11100</v>
      </c>
      <c r="W190" t="s">
        <v>11288</v>
      </c>
      <c r="X190">
        <v>5</v>
      </c>
      <c r="Y190" t="s">
        <v>16782</v>
      </c>
      <c r="Z190" t="s">
        <v>22195</v>
      </c>
      <c r="AA190">
        <v>0.64545450052919939</v>
      </c>
      <c r="AB190" t="str">
        <f>HYPERLINK("Melting_Curves/meltCurve_B5MDU6_C2orf43.pdf", "Melting_Curves/meltCurve_B5MDU6_C2orf43.pdf")</f>
        <v>Melting_Curves/meltCurve_B5MDU6_C2orf43.pdf</v>
      </c>
    </row>
    <row r="191" spans="1:28" x14ac:dyDescent="0.25">
      <c r="A191" t="s">
        <v>195</v>
      </c>
      <c r="B191">
        <v>0.99299721793515405</v>
      </c>
      <c r="C191">
        <v>0.85508120502999796</v>
      </c>
      <c r="D191">
        <v>1.2238447358342699</v>
      </c>
      <c r="E191">
        <v>0.72556517180973701</v>
      </c>
      <c r="F191">
        <v>0.35216612035624201</v>
      </c>
      <c r="G191">
        <v>0.165424239862414</v>
      </c>
      <c r="H191">
        <v>9.8376414509202995E-2</v>
      </c>
      <c r="I191">
        <v>0.104352622059471</v>
      </c>
      <c r="J191">
        <v>4.5544093404323499E-2</v>
      </c>
      <c r="K191">
        <v>5.3744915215522798E-2</v>
      </c>
      <c r="L191">
        <v>1377.6289819737699</v>
      </c>
      <c r="M191">
        <v>28.38279706582</v>
      </c>
      <c r="N191">
        <v>48.836133609668501</v>
      </c>
      <c r="O191">
        <v>48.298435231858797</v>
      </c>
      <c r="P191">
        <v>-0.135209254501854</v>
      </c>
      <c r="Q191">
        <v>7.9676016325558097E-2</v>
      </c>
      <c r="R191">
        <v>0.95043617689317605</v>
      </c>
      <c r="S191" t="s">
        <v>5742</v>
      </c>
      <c r="T191" t="s">
        <v>11100</v>
      </c>
      <c r="U191" t="s">
        <v>11100</v>
      </c>
      <c r="V191" t="s">
        <v>11100</v>
      </c>
      <c r="W191" t="s">
        <v>11289</v>
      </c>
      <c r="X191">
        <v>1</v>
      </c>
      <c r="Y191" t="s">
        <v>16783</v>
      </c>
      <c r="Z191" t="s">
        <v>22196</v>
      </c>
      <c r="AA191">
        <v>0.43976512742591678</v>
      </c>
      <c r="AB191" t="str">
        <f>HYPERLINK("Melting_Curves/meltCurve_B7WP27_CWC22.pdf", "Melting_Curves/meltCurve_B7WP27_CWC22.pdf")</f>
        <v>Melting_Curves/meltCurve_B7WP27_CWC22.pdf</v>
      </c>
    </row>
    <row r="192" spans="1:28" x14ac:dyDescent="0.25">
      <c r="A192" t="s">
        <v>196</v>
      </c>
      <c r="B192">
        <v>0.99299721793515405</v>
      </c>
      <c r="C192">
        <v>1.0038702782332201</v>
      </c>
      <c r="D192">
        <v>0.99387550614132403</v>
      </c>
      <c r="E192">
        <v>0.92675061484663301</v>
      </c>
      <c r="F192">
        <v>0.78230092485206304</v>
      </c>
      <c r="G192">
        <v>0.67859392291290699</v>
      </c>
      <c r="H192">
        <v>0.55659427048346</v>
      </c>
      <c r="I192">
        <v>0.30813848472261401</v>
      </c>
      <c r="J192">
        <v>0.19438265506748501</v>
      </c>
      <c r="K192">
        <v>0.17079511520167701</v>
      </c>
      <c r="L192">
        <v>647.95123243672504</v>
      </c>
      <c r="M192">
        <v>11.3179168001794</v>
      </c>
      <c r="N192">
        <v>57.250043853559298</v>
      </c>
      <c r="O192">
        <v>55.550109171691602</v>
      </c>
      <c r="P192">
        <v>-5.0951016368689803E-2</v>
      </c>
      <c r="Q192">
        <v>0</v>
      </c>
      <c r="R192">
        <v>0.99132183182414102</v>
      </c>
      <c r="S192" t="s">
        <v>5743</v>
      </c>
      <c r="T192" t="s">
        <v>11100</v>
      </c>
      <c r="U192" t="s">
        <v>11100</v>
      </c>
      <c r="V192" t="s">
        <v>11100</v>
      </c>
      <c r="W192" t="s">
        <v>11290</v>
      </c>
      <c r="X192">
        <v>25</v>
      </c>
      <c r="Y192" t="s">
        <v>16784</v>
      </c>
      <c r="Z192" t="s">
        <v>22197</v>
      </c>
      <c r="AA192">
        <v>0.67660616289712705</v>
      </c>
      <c r="AB192" t="str">
        <f>HYPERLINK("Melting_Curves/meltCurve_B7Z254_PDIA6.pdf", "Melting_Curves/meltCurve_B7Z254_PDIA6.pdf")</f>
        <v>Melting_Curves/meltCurve_B7Z254_PDIA6.pdf</v>
      </c>
    </row>
    <row r="193" spans="1:28" x14ac:dyDescent="0.25">
      <c r="A193" t="s">
        <v>197</v>
      </c>
      <c r="B193">
        <v>0.99299721793515405</v>
      </c>
      <c r="C193">
        <v>0.89982229029502003</v>
      </c>
      <c r="D193">
        <v>1.0206923147298299</v>
      </c>
      <c r="E193">
        <v>0.77012492825094103</v>
      </c>
      <c r="F193">
        <v>0.77539696465527297</v>
      </c>
      <c r="G193">
        <v>0.46544736537914</v>
      </c>
      <c r="H193">
        <v>0.230753751402727</v>
      </c>
      <c r="I193">
        <v>0.175046074162515</v>
      </c>
      <c r="J193">
        <v>0.17409418906736199</v>
      </c>
      <c r="K193">
        <v>0.12887892145594701</v>
      </c>
      <c r="L193">
        <v>777.36406345697401</v>
      </c>
      <c r="M193">
        <v>14.8112482106784</v>
      </c>
      <c r="N193">
        <v>53.154459511369701</v>
      </c>
      <c r="O193">
        <v>51.555808278292503</v>
      </c>
      <c r="P193">
        <v>-6.5714842304897395E-2</v>
      </c>
      <c r="Q193">
        <v>8.5121618820925199E-2</v>
      </c>
      <c r="R193">
        <v>0.971540824193317</v>
      </c>
      <c r="S193" t="s">
        <v>5744</v>
      </c>
      <c r="T193" t="s">
        <v>11100</v>
      </c>
      <c r="U193" t="s">
        <v>11100</v>
      </c>
      <c r="V193" t="s">
        <v>11100</v>
      </c>
      <c r="W193" t="s">
        <v>11291</v>
      </c>
      <c r="X193">
        <v>4</v>
      </c>
      <c r="Y193" t="s">
        <v>16785</v>
      </c>
      <c r="Z193" t="s">
        <v>22198</v>
      </c>
      <c r="AA193">
        <v>0.57454333746930719</v>
      </c>
      <c r="AB193" t="str">
        <f>HYPERLINK("Melting_Curves/meltCurve_B7Z291_MTMR9.pdf", "Melting_Curves/meltCurve_B7Z291_MTMR9.pdf")</f>
        <v>Melting_Curves/meltCurve_B7Z291_MTMR9.pdf</v>
      </c>
    </row>
    <row r="194" spans="1:28" x14ac:dyDescent="0.25">
      <c r="A194" t="s">
        <v>198</v>
      </c>
      <c r="B194">
        <v>0.99299721793515405</v>
      </c>
      <c r="C194">
        <v>1.03301569473189</v>
      </c>
      <c r="D194">
        <v>0.96687032578878396</v>
      </c>
      <c r="E194">
        <v>0.82852916102540497</v>
      </c>
      <c r="F194">
        <v>0.70300610244793904</v>
      </c>
      <c r="G194">
        <v>0.65023940899996502</v>
      </c>
      <c r="H194">
        <v>0.638888475181289</v>
      </c>
      <c r="I194">
        <v>0.60644733224342795</v>
      </c>
      <c r="J194">
        <v>0.90401711833864096</v>
      </c>
      <c r="K194">
        <v>0.67860489483452902</v>
      </c>
      <c r="L194">
        <v>1744.4139076633901</v>
      </c>
      <c r="M194">
        <v>37.752180723491897</v>
      </c>
      <c r="O194">
        <v>46.077892464701598</v>
      </c>
      <c r="P194">
        <v>-6.2545713532285802E-2</v>
      </c>
      <c r="Q194">
        <v>0.69464364763053899</v>
      </c>
      <c r="R194">
        <v>0.75678359749581303</v>
      </c>
      <c r="S194" t="s">
        <v>5745</v>
      </c>
      <c r="T194" t="s">
        <v>11100</v>
      </c>
      <c r="U194" t="s">
        <v>11100</v>
      </c>
      <c r="V194" t="s">
        <v>11100</v>
      </c>
      <c r="W194" t="s">
        <v>11292</v>
      </c>
      <c r="X194">
        <v>1</v>
      </c>
      <c r="Y194" t="s">
        <v>16786</v>
      </c>
      <c r="Z194" t="s">
        <v>22199</v>
      </c>
      <c r="AA194">
        <v>0.78945402938808529</v>
      </c>
      <c r="AB194" t="str">
        <f>HYPERLINK("Melting_Curves/meltCurve_B7Z2B2_MFSD8.pdf", "Melting_Curves/meltCurve_B7Z2B2_MFSD8.pdf")</f>
        <v>Melting_Curves/meltCurve_B7Z2B2_MFSD8.pdf</v>
      </c>
    </row>
    <row r="195" spans="1:28" x14ac:dyDescent="0.25">
      <c r="A195" t="s">
        <v>199</v>
      </c>
      <c r="B195">
        <v>0.99299721793515405</v>
      </c>
      <c r="C195">
        <v>0.92578788516120503</v>
      </c>
      <c r="D195">
        <v>0.89176995333535403</v>
      </c>
      <c r="E195">
        <v>0.88813766058784405</v>
      </c>
      <c r="F195">
        <v>0.53167970602228898</v>
      </c>
      <c r="G195">
        <v>0.33723140448191902</v>
      </c>
      <c r="H195">
        <v>0.23918357734276699</v>
      </c>
      <c r="I195">
        <v>0.168425879521549</v>
      </c>
      <c r="J195">
        <v>0.16485659427260299</v>
      </c>
      <c r="K195">
        <v>0.124157100551529</v>
      </c>
      <c r="L195">
        <v>865.50993908407202</v>
      </c>
      <c r="M195">
        <v>17.2377897098402</v>
      </c>
      <c r="N195">
        <v>51.1124294644654</v>
      </c>
      <c r="O195">
        <v>49.548903936181397</v>
      </c>
      <c r="P195">
        <v>-7.5567683829585994E-2</v>
      </c>
      <c r="Q195">
        <v>0.13119326006472101</v>
      </c>
      <c r="R195">
        <v>0.98738533327522304</v>
      </c>
      <c r="S195" t="s">
        <v>5746</v>
      </c>
      <c r="T195" t="s">
        <v>11100</v>
      </c>
      <c r="U195" t="s">
        <v>11100</v>
      </c>
      <c r="V195" t="s">
        <v>11100</v>
      </c>
      <c r="W195" t="s">
        <v>11293</v>
      </c>
      <c r="X195">
        <v>3</v>
      </c>
      <c r="Y195" t="s">
        <v>16787</v>
      </c>
      <c r="Z195" t="s">
        <v>22200</v>
      </c>
      <c r="AA195">
        <v>0.5283925545115814</v>
      </c>
      <c r="AB195" t="str">
        <f>HYPERLINK("Melting_Curves/meltCurve_B7Z2V9_CYTH3.pdf", "Melting_Curves/meltCurve_B7Z2V9_CYTH3.pdf")</f>
        <v>Melting_Curves/meltCurve_B7Z2V9_CYTH3.pdf</v>
      </c>
    </row>
    <row r="196" spans="1:28" x14ac:dyDescent="0.25">
      <c r="A196" t="s">
        <v>200</v>
      </c>
      <c r="B196">
        <v>0.99299721793515405</v>
      </c>
      <c r="C196">
        <v>0.93089386131825202</v>
      </c>
      <c r="D196">
        <v>0.88268625031357295</v>
      </c>
      <c r="E196">
        <v>0.88327742608174697</v>
      </c>
      <c r="F196">
        <v>0.72320047525707198</v>
      </c>
      <c r="G196">
        <v>0.72173028664516703</v>
      </c>
      <c r="H196">
        <v>0.86227860327070505</v>
      </c>
      <c r="I196">
        <v>0.98472828777513</v>
      </c>
      <c r="J196">
        <v>0.60577041937614495</v>
      </c>
      <c r="K196">
        <v>0.214035324295932</v>
      </c>
      <c r="L196">
        <v>376.11812986538001</v>
      </c>
      <c r="M196">
        <v>5.5637241116590204</v>
      </c>
      <c r="O196">
        <v>60.3781055990097</v>
      </c>
      <c r="P196">
        <v>-2.3134465931764599E-2</v>
      </c>
      <c r="Q196">
        <v>0</v>
      </c>
      <c r="R196">
        <v>0.47070310852066999</v>
      </c>
      <c r="S196" t="s">
        <v>5747</v>
      </c>
      <c r="T196" t="s">
        <v>11100</v>
      </c>
      <c r="U196" t="s">
        <v>11100</v>
      </c>
      <c r="V196" t="s">
        <v>11100</v>
      </c>
      <c r="W196" t="s">
        <v>11294</v>
      </c>
      <c r="X196">
        <v>6</v>
      </c>
      <c r="Y196" t="s">
        <v>16788</v>
      </c>
      <c r="Z196" t="s">
        <v>22201</v>
      </c>
      <c r="AA196">
        <v>0.80808390671940045</v>
      </c>
      <c r="AB196" t="str">
        <f>HYPERLINK("Melting_Curves/meltCurve_B7Z382_NT5C2.pdf", "Melting_Curves/meltCurve_B7Z382_NT5C2.pdf")</f>
        <v>Melting_Curves/meltCurve_B7Z382_NT5C2.pdf</v>
      </c>
    </row>
    <row r="197" spans="1:28" x14ac:dyDescent="0.25">
      <c r="A197" t="s">
        <v>201</v>
      </c>
      <c r="B197">
        <v>0.99299721793515405</v>
      </c>
      <c r="C197">
        <v>1.0301183879176099</v>
      </c>
      <c r="D197">
        <v>0.83201022396397895</v>
      </c>
      <c r="E197">
        <v>0.62871084318079795</v>
      </c>
      <c r="F197">
        <v>0.47636014143904598</v>
      </c>
      <c r="G197">
        <v>0.23565689530605199</v>
      </c>
      <c r="H197">
        <v>0.21282532623362399</v>
      </c>
      <c r="I197">
        <v>0.16768934151993301</v>
      </c>
      <c r="J197">
        <v>0.13259020697498</v>
      </c>
      <c r="K197">
        <v>0.18404721768755999</v>
      </c>
      <c r="L197">
        <v>720.50822281614398</v>
      </c>
      <c r="M197">
        <v>15.072640427972001</v>
      </c>
      <c r="N197">
        <v>48.8741490618306</v>
      </c>
      <c r="O197">
        <v>46.984632615134899</v>
      </c>
      <c r="P197">
        <v>-6.8920397372136399E-2</v>
      </c>
      <c r="Q197">
        <v>0.14072691703943299</v>
      </c>
      <c r="R197">
        <v>0.98852364434765305</v>
      </c>
      <c r="S197" t="s">
        <v>5748</v>
      </c>
      <c r="T197" t="s">
        <v>11100</v>
      </c>
      <c r="U197" t="s">
        <v>11100</v>
      </c>
      <c r="V197" t="s">
        <v>11100</v>
      </c>
      <c r="W197" t="s">
        <v>11295</v>
      </c>
      <c r="X197">
        <v>1</v>
      </c>
      <c r="Y197" t="s">
        <v>16789</v>
      </c>
      <c r="Z197" t="s">
        <v>22202</v>
      </c>
      <c r="AA197">
        <v>0.46898515572295019</v>
      </c>
      <c r="AB197" t="str">
        <f>HYPERLINK("Melting_Curves/meltCurve_B7Z385_CAP2.pdf", "Melting_Curves/meltCurve_B7Z385_CAP2.pdf")</f>
        <v>Melting_Curves/meltCurve_B7Z385_CAP2.pdf</v>
      </c>
    </row>
    <row r="198" spans="1:28" x14ac:dyDescent="0.25">
      <c r="A198" t="s">
        <v>202</v>
      </c>
      <c r="B198">
        <v>0.99299721793515405</v>
      </c>
      <c r="C198">
        <v>0.95664729162746198</v>
      </c>
      <c r="D198">
        <v>0.81416933727192697</v>
      </c>
      <c r="E198">
        <v>0.93109848927257699</v>
      </c>
      <c r="F198">
        <v>0.75894940242591702</v>
      </c>
      <c r="G198">
        <v>0.39661600762028298</v>
      </c>
      <c r="H198">
        <v>0.37961141910046903</v>
      </c>
      <c r="I198">
        <v>0.42832943144749702</v>
      </c>
      <c r="J198">
        <v>0.47266197968443602</v>
      </c>
      <c r="K198">
        <v>0.30219880536523103</v>
      </c>
      <c r="L198">
        <v>2569.9919441142301</v>
      </c>
      <c r="M198">
        <v>50.821083288025797</v>
      </c>
      <c r="N198">
        <v>52.129081562691901</v>
      </c>
      <c r="O198">
        <v>50.491303510619197</v>
      </c>
      <c r="P198">
        <v>-0.153319743322608</v>
      </c>
      <c r="Q198">
        <v>0.39070127744509497</v>
      </c>
      <c r="R198">
        <v>0.91498802362551301</v>
      </c>
      <c r="S198" t="s">
        <v>5749</v>
      </c>
      <c r="T198" t="s">
        <v>11100</v>
      </c>
      <c r="U198" t="s">
        <v>11100</v>
      </c>
      <c r="V198" t="s">
        <v>11100</v>
      </c>
      <c r="W198" t="s">
        <v>11296</v>
      </c>
      <c r="X198">
        <v>3</v>
      </c>
      <c r="Y198" t="s">
        <v>16790</v>
      </c>
      <c r="Z198" t="s">
        <v>22203</v>
      </c>
      <c r="AA198">
        <v>0.66761049626853619</v>
      </c>
      <c r="AB198" t="str">
        <f>HYPERLINK("Melting_Curves/meltCurve_B7Z3I9_ALAD.pdf", "Melting_Curves/meltCurve_B7Z3I9_ALAD.pdf")</f>
        <v>Melting_Curves/meltCurve_B7Z3I9_ALAD.pdf</v>
      </c>
    </row>
    <row r="199" spans="1:28" x14ac:dyDescent="0.25">
      <c r="A199" t="s">
        <v>203</v>
      </c>
      <c r="B199">
        <v>0.99299721793515405</v>
      </c>
      <c r="C199">
        <v>0.97317674128854503</v>
      </c>
      <c r="D199">
        <v>0.95640392452688106</v>
      </c>
      <c r="E199">
        <v>0.803170998059487</v>
      </c>
      <c r="F199">
        <v>0.59842683406602704</v>
      </c>
      <c r="G199">
        <v>0.25259998229744002</v>
      </c>
      <c r="H199">
        <v>0.16776939367479801</v>
      </c>
      <c r="I199">
        <v>0.151932528215105</v>
      </c>
      <c r="J199">
        <v>0.13758880543066701</v>
      </c>
      <c r="K199">
        <v>0.118177218497088</v>
      </c>
      <c r="L199">
        <v>983.29754442782598</v>
      </c>
      <c r="M199">
        <v>19.624631342081098</v>
      </c>
      <c r="N199">
        <v>50.763314045129398</v>
      </c>
      <c r="O199">
        <v>49.593701874949303</v>
      </c>
      <c r="P199">
        <v>-8.7820020899144202E-2</v>
      </c>
      <c r="Q199">
        <v>0.11230591655607999</v>
      </c>
      <c r="R199">
        <v>0.99517816362244704</v>
      </c>
      <c r="S199" t="s">
        <v>5750</v>
      </c>
      <c r="T199" t="s">
        <v>11100</v>
      </c>
      <c r="U199" t="s">
        <v>11100</v>
      </c>
      <c r="V199" t="s">
        <v>11100</v>
      </c>
      <c r="W199" t="s">
        <v>11297</v>
      </c>
      <c r="X199">
        <v>17</v>
      </c>
      <c r="Y199" t="s">
        <v>16791</v>
      </c>
      <c r="Z199" t="s">
        <v>22204</v>
      </c>
      <c r="AA199">
        <v>0.51216490622732791</v>
      </c>
      <c r="AB199" t="str">
        <f>HYPERLINK("Melting_Curves/meltCurve_B7Z3P1_TBCE.pdf", "Melting_Curves/meltCurve_B7Z3P1_TBCE.pdf")</f>
        <v>Melting_Curves/meltCurve_B7Z3P1_TBCE.pdf</v>
      </c>
    </row>
    <row r="200" spans="1:28" x14ac:dyDescent="0.25">
      <c r="A200" t="s">
        <v>204</v>
      </c>
      <c r="B200">
        <v>0.99299721793515405</v>
      </c>
      <c r="C200">
        <v>0.86240585123772995</v>
      </c>
      <c r="D200">
        <v>0.96112741994279804</v>
      </c>
      <c r="E200">
        <v>0.85329696018205203</v>
      </c>
      <c r="F200">
        <v>0.68407426318897602</v>
      </c>
      <c r="G200">
        <v>0.39771038663203401</v>
      </c>
      <c r="H200">
        <v>0.26128634987761001</v>
      </c>
      <c r="I200">
        <v>0.22240051955687701</v>
      </c>
      <c r="J200">
        <v>0.196576967531324</v>
      </c>
      <c r="K200">
        <v>0.144064487202087</v>
      </c>
      <c r="L200">
        <v>803.25502568074899</v>
      </c>
      <c r="M200">
        <v>15.6265195493274</v>
      </c>
      <c r="N200">
        <v>52.486922602061902</v>
      </c>
      <c r="O200">
        <v>50.583583250385203</v>
      </c>
      <c r="P200">
        <v>-6.6588856360594403E-2</v>
      </c>
      <c r="Q200">
        <v>0.13787247953586801</v>
      </c>
      <c r="R200">
        <v>0.98165978596147396</v>
      </c>
      <c r="S200" t="s">
        <v>5751</v>
      </c>
      <c r="T200" t="s">
        <v>11100</v>
      </c>
      <c r="U200" t="s">
        <v>11100</v>
      </c>
      <c r="V200" t="s">
        <v>11100</v>
      </c>
      <c r="W200" t="s">
        <v>11298</v>
      </c>
      <c r="X200">
        <v>5</v>
      </c>
      <c r="Y200" t="s">
        <v>16792</v>
      </c>
      <c r="Z200" t="s">
        <v>22205</v>
      </c>
      <c r="AA200">
        <v>0.56795699498024921</v>
      </c>
      <c r="AB200" t="str">
        <f>HYPERLINK("Melting_Curves/meltCurve_B7Z456_GGA3.pdf", "Melting_Curves/meltCurve_B7Z456_GGA3.pdf")</f>
        <v>Melting_Curves/meltCurve_B7Z456_GGA3.pdf</v>
      </c>
    </row>
    <row r="201" spans="1:28" x14ac:dyDescent="0.25">
      <c r="A201" t="s">
        <v>205</v>
      </c>
      <c r="B201">
        <v>0.99299721793515405</v>
      </c>
      <c r="C201">
        <v>1.1002446714557299</v>
      </c>
      <c r="D201">
        <v>2.5925868189244499</v>
      </c>
      <c r="E201">
        <v>1.2136064844269101</v>
      </c>
      <c r="F201">
        <v>0.84419534911012495</v>
      </c>
      <c r="G201">
        <v>2.2627425444355702</v>
      </c>
      <c r="H201">
        <v>0.65706044929680896</v>
      </c>
      <c r="I201">
        <v>0.47148627716890801</v>
      </c>
      <c r="J201">
        <v>0.32124058091121099</v>
      </c>
      <c r="K201">
        <v>0.11059789176076799</v>
      </c>
      <c r="L201">
        <v>2569.9646618976999</v>
      </c>
      <c r="M201">
        <v>43.323128279306601</v>
      </c>
      <c r="N201">
        <v>60.0983685192748</v>
      </c>
      <c r="O201">
        <v>59.194870705147601</v>
      </c>
      <c r="P201">
        <v>-0.14371520228996501</v>
      </c>
      <c r="Q201">
        <v>0.214535945083355</v>
      </c>
      <c r="R201">
        <v>0.26301733596471499</v>
      </c>
      <c r="S201" t="s">
        <v>5752</v>
      </c>
      <c r="T201" t="s">
        <v>11100</v>
      </c>
      <c r="U201" t="s">
        <v>11100</v>
      </c>
      <c r="V201" t="s">
        <v>11100</v>
      </c>
      <c r="W201" t="s">
        <v>11299</v>
      </c>
      <c r="X201">
        <v>41</v>
      </c>
      <c r="Y201" t="s">
        <v>16793</v>
      </c>
      <c r="Z201" t="s">
        <v>22206</v>
      </c>
      <c r="AA201">
        <v>0.80135022811881551</v>
      </c>
      <c r="AB201" t="str">
        <f>HYPERLINK("Melting_Curves/meltCurve_B7Z463_NPEPPS.pdf", "Melting_Curves/meltCurve_B7Z463_NPEPPS.pdf")</f>
        <v>Melting_Curves/meltCurve_B7Z463_NPEPPS.pdf</v>
      </c>
    </row>
    <row r="202" spans="1:28" x14ac:dyDescent="0.25">
      <c r="A202" t="s">
        <v>206</v>
      </c>
      <c r="B202">
        <v>0.99299721793515405</v>
      </c>
      <c r="C202">
        <v>0.92222152444468497</v>
      </c>
      <c r="D202">
        <v>0.96952554108696298</v>
      </c>
      <c r="E202">
        <v>0.86706592688253703</v>
      </c>
      <c r="F202">
        <v>0.73379999954992203</v>
      </c>
      <c r="G202">
        <v>0.64912520432647602</v>
      </c>
      <c r="H202">
        <v>0.56873447283819101</v>
      </c>
      <c r="I202">
        <v>0.70880206305933402</v>
      </c>
      <c r="J202">
        <v>0.79451110304739103</v>
      </c>
      <c r="K202">
        <v>0.83866813686556596</v>
      </c>
      <c r="L202">
        <v>1724.6968942916001</v>
      </c>
      <c r="M202">
        <v>36.9370181504733</v>
      </c>
      <c r="O202">
        <v>46.556688655053897</v>
      </c>
      <c r="P202">
        <v>-5.7083183712857498E-2</v>
      </c>
      <c r="Q202">
        <v>0.71220242981640702</v>
      </c>
      <c r="R202">
        <v>0.69202130922112703</v>
      </c>
      <c r="S202" t="s">
        <v>5753</v>
      </c>
      <c r="T202" t="s">
        <v>11100</v>
      </c>
      <c r="U202" t="s">
        <v>11100</v>
      </c>
      <c r="V202" t="s">
        <v>11100</v>
      </c>
      <c r="W202" t="s">
        <v>11300</v>
      </c>
      <c r="X202">
        <v>6</v>
      </c>
      <c r="Y202" t="s">
        <v>16794</v>
      </c>
      <c r="Z202" t="s">
        <v>22207</v>
      </c>
      <c r="AA202">
        <v>0.80628037376784722</v>
      </c>
      <c r="AB202" t="str">
        <f>HYPERLINK("Melting_Curves/meltCurve_B7Z4K6_DNASE2.pdf", "Melting_Curves/meltCurve_B7Z4K6_DNASE2.pdf")</f>
        <v>Melting_Curves/meltCurve_B7Z4K6_DNASE2.pdf</v>
      </c>
    </row>
    <row r="203" spans="1:28" x14ac:dyDescent="0.25">
      <c r="A203" t="s">
        <v>207</v>
      </c>
      <c r="B203">
        <v>0.99299721793515405</v>
      </c>
      <c r="C203">
        <v>1.14189533768931</v>
      </c>
      <c r="D203">
        <v>2.05491888623615</v>
      </c>
      <c r="E203">
        <v>1.2613732644266999</v>
      </c>
      <c r="F203">
        <v>1.0182883504270801</v>
      </c>
      <c r="G203">
        <v>1.2747341604273399</v>
      </c>
      <c r="H203">
        <v>0.45261039118152302</v>
      </c>
      <c r="I203">
        <v>0.39575487973105999</v>
      </c>
      <c r="J203">
        <v>0.41795812604235999</v>
      </c>
      <c r="K203">
        <v>0.445592865053418</v>
      </c>
      <c r="L203">
        <v>14188.5216164251</v>
      </c>
      <c r="M203">
        <v>250</v>
      </c>
      <c r="N203">
        <v>57.172513222106801</v>
      </c>
      <c r="O203">
        <v>56.750454789272297</v>
      </c>
      <c r="P203">
        <v>-0.63901818830358503</v>
      </c>
      <c r="Q203">
        <v>0.41976683793592301</v>
      </c>
      <c r="R203">
        <v>0.50032178391909998</v>
      </c>
      <c r="S203" t="s">
        <v>5754</v>
      </c>
      <c r="T203" t="s">
        <v>11100</v>
      </c>
      <c r="U203" t="s">
        <v>11100</v>
      </c>
      <c r="V203" t="s">
        <v>11100</v>
      </c>
      <c r="W203" t="s">
        <v>11301</v>
      </c>
      <c r="X203">
        <v>1</v>
      </c>
      <c r="Y203" t="s">
        <v>16795</v>
      </c>
      <c r="Z203" t="s">
        <v>22208</v>
      </c>
      <c r="AA203">
        <v>0.80189049908777998</v>
      </c>
      <c r="AB203" t="str">
        <f>HYPERLINK("Melting_Curves/meltCurve_B7Z4U0_TOMM40L.pdf", "Melting_Curves/meltCurve_B7Z4U0_TOMM40L.pdf")</f>
        <v>Melting_Curves/meltCurve_B7Z4U0_TOMM40L.pdf</v>
      </c>
    </row>
    <row r="204" spans="1:28" x14ac:dyDescent="0.25">
      <c r="A204" t="s">
        <v>208</v>
      </c>
      <c r="B204">
        <v>0.99299721793515405</v>
      </c>
      <c r="C204">
        <v>0.99952151604648898</v>
      </c>
      <c r="D204">
        <v>0.86690958624457903</v>
      </c>
      <c r="E204">
        <v>0.80521028050737198</v>
      </c>
      <c r="F204">
        <v>0.63796887512787204</v>
      </c>
      <c r="G204">
        <v>0.52005414252309501</v>
      </c>
      <c r="H204">
        <v>0.51694424498782299</v>
      </c>
      <c r="I204">
        <v>0.48256584246725998</v>
      </c>
      <c r="J204">
        <v>0.35398900848922099</v>
      </c>
      <c r="K204">
        <v>0.24274818179645699</v>
      </c>
      <c r="L204">
        <v>392.83243210440497</v>
      </c>
      <c r="M204">
        <v>7.2885803583926796</v>
      </c>
      <c r="N204">
        <v>56.468106923520097</v>
      </c>
      <c r="O204">
        <v>50.284195241491801</v>
      </c>
      <c r="P204">
        <v>-3.1169697615835001E-2</v>
      </c>
      <c r="Q204">
        <v>0.14120863373081999</v>
      </c>
      <c r="R204">
        <v>0.96401128252427204</v>
      </c>
      <c r="S204" t="s">
        <v>5755</v>
      </c>
      <c r="T204" t="s">
        <v>11100</v>
      </c>
      <c r="U204" t="s">
        <v>11100</v>
      </c>
      <c r="V204" t="s">
        <v>11100</v>
      </c>
      <c r="W204" t="s">
        <v>11302</v>
      </c>
      <c r="X204">
        <v>5</v>
      </c>
      <c r="Y204" t="s">
        <v>16796</v>
      </c>
      <c r="Z204" t="s">
        <v>22209</v>
      </c>
      <c r="AA204">
        <v>0.63641622412523191</v>
      </c>
      <c r="AB204" t="str">
        <f>HYPERLINK("Melting_Curves/meltCurve_B7Z4W5_CCBL1.pdf", "Melting_Curves/meltCurve_B7Z4W5_CCBL1.pdf")</f>
        <v>Melting_Curves/meltCurve_B7Z4W5_CCBL1.pdf</v>
      </c>
    </row>
    <row r="205" spans="1:28" x14ac:dyDescent="0.25">
      <c r="A205" t="s">
        <v>209</v>
      </c>
      <c r="B205">
        <v>0.99299721793515405</v>
      </c>
      <c r="C205">
        <v>0.86401861028316596</v>
      </c>
      <c r="D205">
        <v>1.2778398895347001</v>
      </c>
      <c r="E205">
        <v>0.85168521681988596</v>
      </c>
      <c r="F205">
        <v>0.74185658340954996</v>
      </c>
      <c r="G205">
        <v>0.79734718702681295</v>
      </c>
      <c r="H205">
        <v>0.68480020167621103</v>
      </c>
      <c r="I205">
        <v>0.69684015101022601</v>
      </c>
      <c r="J205">
        <v>0.740129177976796</v>
      </c>
      <c r="K205">
        <v>0.92917137422526597</v>
      </c>
      <c r="L205">
        <v>11624.9603406234</v>
      </c>
      <c r="M205">
        <v>250</v>
      </c>
      <c r="O205">
        <v>46.496865730087499</v>
      </c>
      <c r="P205">
        <v>-0.31584909639652597</v>
      </c>
      <c r="Q205">
        <v>0.76502411210522003</v>
      </c>
      <c r="R205">
        <v>0.52569466403523202</v>
      </c>
      <c r="S205" t="s">
        <v>5756</v>
      </c>
      <c r="T205" t="s">
        <v>11100</v>
      </c>
      <c r="U205" t="s">
        <v>11100</v>
      </c>
      <c r="V205" t="s">
        <v>11100</v>
      </c>
      <c r="W205" t="s">
        <v>11303</v>
      </c>
      <c r="X205">
        <v>8</v>
      </c>
      <c r="Y205" t="s">
        <v>16797</v>
      </c>
      <c r="Z205" t="s">
        <v>22210</v>
      </c>
      <c r="AA205">
        <v>0.83945107629823801</v>
      </c>
      <c r="AB205" t="str">
        <f>HYPERLINK("Melting_Curves/meltCurve_B7Z5G4_STMN3.pdf", "Melting_Curves/meltCurve_B7Z5G4_STMN3.pdf")</f>
        <v>Melting_Curves/meltCurve_B7Z5G4_STMN3.pdf</v>
      </c>
    </row>
    <row r="206" spans="1:28" x14ac:dyDescent="0.25">
      <c r="A206" t="s">
        <v>210</v>
      </c>
      <c r="B206">
        <v>0.99299721793515405</v>
      </c>
      <c r="C206">
        <v>0.96287325547830305</v>
      </c>
      <c r="D206">
        <v>1.10622379609067</v>
      </c>
      <c r="E206">
        <v>0.83219326731773802</v>
      </c>
      <c r="F206">
        <v>0.71480343582774297</v>
      </c>
      <c r="G206">
        <v>0.34434039824871199</v>
      </c>
      <c r="H206">
        <v>0.16065591891068101</v>
      </c>
      <c r="I206">
        <v>0.16920744165245299</v>
      </c>
      <c r="J206">
        <v>0.101523900098469</v>
      </c>
      <c r="K206">
        <v>0.108280020152383</v>
      </c>
      <c r="L206">
        <v>1114.76202881994</v>
      </c>
      <c r="M206">
        <v>21.644428486049598</v>
      </c>
      <c r="N206">
        <v>52.0474677380749</v>
      </c>
      <c r="O206">
        <v>51.069826213430702</v>
      </c>
      <c r="P206">
        <v>-9.5230612579306304E-2</v>
      </c>
      <c r="Q206">
        <v>0.10123844953813101</v>
      </c>
      <c r="R206">
        <v>0.98241961508295395</v>
      </c>
      <c r="S206" t="s">
        <v>5757</v>
      </c>
      <c r="T206" t="s">
        <v>11100</v>
      </c>
      <c r="U206" t="s">
        <v>11100</v>
      </c>
      <c r="V206" t="s">
        <v>11100</v>
      </c>
      <c r="W206" t="s">
        <v>11304</v>
      </c>
      <c r="X206">
        <v>8</v>
      </c>
      <c r="Y206" t="s">
        <v>16798</v>
      </c>
      <c r="Z206" t="s">
        <v>22211</v>
      </c>
      <c r="AA206">
        <v>0.5460030423698975</v>
      </c>
      <c r="AB206" t="str">
        <f>HYPERLINK("Melting_Curves/meltCurve_B7Z5N5_SMAD2.pdf", "Melting_Curves/meltCurve_B7Z5N5_SMAD2.pdf")</f>
        <v>Melting_Curves/meltCurve_B7Z5N5_SMAD2.pdf</v>
      </c>
    </row>
    <row r="207" spans="1:28" x14ac:dyDescent="0.25">
      <c r="A207" t="s">
        <v>211</v>
      </c>
      <c r="B207">
        <v>0.99299721793515405</v>
      </c>
      <c r="C207">
        <v>0.94619326554980698</v>
      </c>
      <c r="D207">
        <v>0.94087436309518402</v>
      </c>
      <c r="E207">
        <v>0.825710134180342</v>
      </c>
      <c r="F207">
        <v>0.72411652947725902</v>
      </c>
      <c r="G207">
        <v>0.61265282118137898</v>
      </c>
      <c r="H207">
        <v>0.57572384436481405</v>
      </c>
      <c r="I207">
        <v>0.66304803930855105</v>
      </c>
      <c r="J207">
        <v>0.61398325489827599</v>
      </c>
      <c r="K207">
        <v>0.404008518614278</v>
      </c>
      <c r="L207">
        <v>496.40347558257099</v>
      </c>
      <c r="M207">
        <v>9.9903979171326807</v>
      </c>
      <c r="O207">
        <v>47.8202911238659</v>
      </c>
      <c r="P207">
        <v>-2.6625297539315699E-2</v>
      </c>
      <c r="Q207">
        <v>0.49046771722085503</v>
      </c>
      <c r="R207">
        <v>0.89596929150744598</v>
      </c>
      <c r="S207" t="s">
        <v>5758</v>
      </c>
      <c r="T207" t="s">
        <v>11100</v>
      </c>
      <c r="U207" t="s">
        <v>11100</v>
      </c>
      <c r="V207" t="s">
        <v>11100</v>
      </c>
      <c r="W207" t="s">
        <v>11305</v>
      </c>
      <c r="X207">
        <v>4</v>
      </c>
      <c r="Y207" t="s">
        <v>16799</v>
      </c>
      <c r="Z207" t="s">
        <v>22212</v>
      </c>
      <c r="AA207">
        <v>0.72379515375278436</v>
      </c>
      <c r="AB207" t="str">
        <f>HYPERLINK("Melting_Curves/meltCurve_B7Z5W1_F11R.pdf", "Melting_Curves/meltCurve_B7Z5W1_F11R.pdf")</f>
        <v>Melting_Curves/meltCurve_B7Z5W1_F11R.pdf</v>
      </c>
    </row>
    <row r="208" spans="1:28" x14ac:dyDescent="0.25">
      <c r="A208" t="s">
        <v>212</v>
      </c>
      <c r="B208">
        <v>0.99299721793515405</v>
      </c>
      <c r="C208">
        <v>1.06458427611804</v>
      </c>
      <c r="D208">
        <v>0.97822100951126001</v>
      </c>
      <c r="E208">
        <v>0.93643832037020203</v>
      </c>
      <c r="F208">
        <v>0.59912413058757796</v>
      </c>
      <c r="G208">
        <v>0.25180067469182799</v>
      </c>
      <c r="H208">
        <v>0.20065516472622899</v>
      </c>
      <c r="I208">
        <v>0.178839156084699</v>
      </c>
      <c r="J208">
        <v>0.157492641227958</v>
      </c>
      <c r="K208">
        <v>0.127470817004945</v>
      </c>
      <c r="L208">
        <v>1539.8424028561799</v>
      </c>
      <c r="M208">
        <v>30.584404104476</v>
      </c>
      <c r="N208">
        <v>50.979479235828798</v>
      </c>
      <c r="O208">
        <v>50.133533581640002</v>
      </c>
      <c r="P208">
        <v>-0.12844607513700201</v>
      </c>
      <c r="Q208">
        <v>0.15781694048145001</v>
      </c>
      <c r="R208">
        <v>0.99563050603791303</v>
      </c>
      <c r="S208" t="s">
        <v>5759</v>
      </c>
      <c r="T208" t="s">
        <v>11100</v>
      </c>
      <c r="U208" t="s">
        <v>11100</v>
      </c>
      <c r="V208" t="s">
        <v>11100</v>
      </c>
      <c r="W208" t="s">
        <v>11306</v>
      </c>
      <c r="X208">
        <v>5</v>
      </c>
      <c r="Y208" t="s">
        <v>16800</v>
      </c>
      <c r="Z208" t="s">
        <v>22213</v>
      </c>
      <c r="AA208">
        <v>0.53751520222372207</v>
      </c>
      <c r="AB208" t="str">
        <f>HYPERLINK("Melting_Curves/meltCurve_B7Z5X7_WARS2.pdf", "Melting_Curves/meltCurve_B7Z5X7_WARS2.pdf")</f>
        <v>Melting_Curves/meltCurve_B7Z5X7_WARS2.pdf</v>
      </c>
    </row>
    <row r="209" spans="1:28" x14ac:dyDescent="0.25">
      <c r="A209" t="s">
        <v>213</v>
      </c>
      <c r="B209">
        <v>0.99299721793515405</v>
      </c>
      <c r="C209">
        <v>1.2062471021671</v>
      </c>
      <c r="D209">
        <v>1.04753783357677</v>
      </c>
      <c r="E209">
        <v>1.00778239662845</v>
      </c>
      <c r="F209">
        <v>0.79820717854891898</v>
      </c>
      <c r="G209">
        <v>0.50762660384687497</v>
      </c>
      <c r="H209">
        <v>0.394128252179474</v>
      </c>
      <c r="I209">
        <v>0.18830817398435401</v>
      </c>
      <c r="J209">
        <v>0.186888600548895</v>
      </c>
      <c r="K209">
        <v>0.13270534537063</v>
      </c>
      <c r="L209">
        <v>1021.74401256625</v>
      </c>
      <c r="M209">
        <v>19.070223725447899</v>
      </c>
      <c r="N209">
        <v>54.4887573998246</v>
      </c>
      <c r="O209">
        <v>52.999257171167301</v>
      </c>
      <c r="P209">
        <v>-7.7681532471851195E-2</v>
      </c>
      <c r="Q209">
        <v>0.13647537833540599</v>
      </c>
      <c r="R209">
        <v>0.96220864031903897</v>
      </c>
      <c r="S209" t="s">
        <v>5760</v>
      </c>
      <c r="T209" t="s">
        <v>11100</v>
      </c>
      <c r="U209" t="s">
        <v>11100</v>
      </c>
      <c r="V209" t="s">
        <v>11100</v>
      </c>
      <c r="W209" t="s">
        <v>11307</v>
      </c>
      <c r="X209">
        <v>5</v>
      </c>
      <c r="Y209" t="s">
        <v>16801</v>
      </c>
      <c r="Z209" t="s">
        <v>22214</v>
      </c>
      <c r="AA209">
        <v>0.62499696940797567</v>
      </c>
      <c r="AB209" t="str">
        <f>HYPERLINK("Melting_Curves/meltCurve_B7Z683_ABR.pdf", "Melting_Curves/meltCurve_B7Z683_ABR.pdf")</f>
        <v>Melting_Curves/meltCurve_B7Z683_ABR.pdf</v>
      </c>
    </row>
    <row r="210" spans="1:28" x14ac:dyDescent="0.25">
      <c r="A210" t="s">
        <v>214</v>
      </c>
      <c r="B210">
        <v>0.99299721793515405</v>
      </c>
      <c r="C210">
        <v>0.78049769323631901</v>
      </c>
      <c r="D210">
        <v>0.931137005543762</v>
      </c>
      <c r="E210">
        <v>0.73500437652606798</v>
      </c>
      <c r="F210">
        <v>0.59324046307322198</v>
      </c>
      <c r="G210">
        <v>0.38255031807808398</v>
      </c>
      <c r="H210">
        <v>0.45190415334331602</v>
      </c>
      <c r="I210">
        <v>0.280490006869619</v>
      </c>
      <c r="J210">
        <v>0.39973831202383497</v>
      </c>
      <c r="K210">
        <v>0.18465193190173401</v>
      </c>
      <c r="L210">
        <v>415.337512936037</v>
      </c>
      <c r="M210">
        <v>8.2381101992934305</v>
      </c>
      <c r="N210">
        <v>52.941569019023198</v>
      </c>
      <c r="O210">
        <v>47.707501333224101</v>
      </c>
      <c r="P210">
        <v>-3.6193443395315897E-2</v>
      </c>
      <c r="Q210">
        <v>0.16245325371563499</v>
      </c>
      <c r="R210">
        <v>0.91125462607811802</v>
      </c>
      <c r="S210" t="s">
        <v>5761</v>
      </c>
      <c r="T210" t="s">
        <v>11100</v>
      </c>
      <c r="U210" t="s">
        <v>11100</v>
      </c>
      <c r="V210" t="s">
        <v>11100</v>
      </c>
      <c r="W210" t="s">
        <v>11308</v>
      </c>
      <c r="X210">
        <v>1</v>
      </c>
      <c r="Y210" t="s">
        <v>16802</v>
      </c>
      <c r="Z210" t="s">
        <v>22215</v>
      </c>
      <c r="AA210">
        <v>0.56853063510981972</v>
      </c>
      <c r="AB210" t="str">
        <f>HYPERLINK("Melting_Curves/meltCurve_B7Z6M4_TNFAIP1.pdf", "Melting_Curves/meltCurve_B7Z6M4_TNFAIP1.pdf")</f>
        <v>Melting_Curves/meltCurve_B7Z6M4_TNFAIP1.pdf</v>
      </c>
    </row>
    <row r="211" spans="1:28" x14ac:dyDescent="0.25">
      <c r="A211" t="s">
        <v>215</v>
      </c>
      <c r="B211">
        <v>0.99299721793515405</v>
      </c>
      <c r="C211">
        <v>1.00058612916143</v>
      </c>
      <c r="D211">
        <v>0.91206953815297898</v>
      </c>
      <c r="E211">
        <v>0.85264520807625799</v>
      </c>
      <c r="F211">
        <v>0.83703869366259498</v>
      </c>
      <c r="G211">
        <v>0.49421501179563398</v>
      </c>
      <c r="H211">
        <v>0.58226292682813896</v>
      </c>
      <c r="I211">
        <v>0.62861481339490399</v>
      </c>
      <c r="J211">
        <v>0.55308768778198902</v>
      </c>
      <c r="K211">
        <v>0.32376510273131898</v>
      </c>
      <c r="L211">
        <v>477.48515650792802</v>
      </c>
      <c r="M211">
        <v>9.0577372289364195</v>
      </c>
      <c r="N211">
        <v>61.803630279202103</v>
      </c>
      <c r="O211">
        <v>50.336628723420702</v>
      </c>
      <c r="P211">
        <v>-2.8450666880931001E-2</v>
      </c>
      <c r="Q211">
        <v>0.36801159638930098</v>
      </c>
      <c r="R211">
        <v>0.85580842428982296</v>
      </c>
      <c r="S211" t="s">
        <v>5762</v>
      </c>
      <c r="T211" t="s">
        <v>11100</v>
      </c>
      <c r="U211" t="s">
        <v>11100</v>
      </c>
      <c r="V211" t="s">
        <v>11100</v>
      </c>
      <c r="W211" t="s">
        <v>11309</v>
      </c>
      <c r="X211">
        <v>9</v>
      </c>
      <c r="Y211" t="s">
        <v>16803</v>
      </c>
      <c r="Z211" t="s">
        <v>22216</v>
      </c>
      <c r="AA211">
        <v>0.71425811459433353</v>
      </c>
      <c r="AB211" t="str">
        <f>HYPERLINK("Melting_Curves/meltCurve_B7Z7F3_RANBP3.pdf", "Melting_Curves/meltCurve_B7Z7F3_RANBP3.pdf")</f>
        <v>Melting_Curves/meltCurve_B7Z7F3_RANBP3.pdf</v>
      </c>
    </row>
    <row r="212" spans="1:28" x14ac:dyDescent="0.25">
      <c r="A212" t="s">
        <v>216</v>
      </c>
      <c r="B212">
        <v>0.99299721793515405</v>
      </c>
      <c r="C212">
        <v>0.95181720304173301</v>
      </c>
      <c r="D212">
        <v>0.93351853069552304</v>
      </c>
      <c r="E212">
        <v>0.81544907221485796</v>
      </c>
      <c r="F212">
        <v>0.68371479630662002</v>
      </c>
      <c r="G212">
        <v>0.39788165667493902</v>
      </c>
      <c r="H212">
        <v>0.167777633387658</v>
      </c>
      <c r="I212">
        <v>0.144554858176209</v>
      </c>
      <c r="J212">
        <v>0.13386347586394401</v>
      </c>
      <c r="K212">
        <v>0.10659910623399101</v>
      </c>
      <c r="L212">
        <v>806.07953270217899</v>
      </c>
      <c r="M212">
        <v>15.625964000646601</v>
      </c>
      <c r="N212">
        <v>52.0831547929754</v>
      </c>
      <c r="O212">
        <v>50.763200419607202</v>
      </c>
      <c r="P212">
        <v>-7.1628794718960706E-2</v>
      </c>
      <c r="Q212">
        <v>6.9294186940243405E-2</v>
      </c>
      <c r="R212">
        <v>0.99187191344710901</v>
      </c>
      <c r="S212" t="s">
        <v>5763</v>
      </c>
      <c r="T212" t="s">
        <v>11100</v>
      </c>
      <c r="U212" t="s">
        <v>11100</v>
      </c>
      <c r="V212" t="s">
        <v>11100</v>
      </c>
      <c r="W212" t="s">
        <v>11310</v>
      </c>
      <c r="X212">
        <v>10</v>
      </c>
      <c r="Y212" t="s">
        <v>16804</v>
      </c>
      <c r="Z212" t="s">
        <v>22217</v>
      </c>
      <c r="AA212">
        <v>0.53911495566672529</v>
      </c>
      <c r="AB212" t="str">
        <f>HYPERLINK("Melting_Curves/meltCurve_B7Z7X8_ATL2.pdf", "Melting_Curves/meltCurve_B7Z7X8_ATL2.pdf")</f>
        <v>Melting_Curves/meltCurve_B7Z7X8_ATL2.pdf</v>
      </c>
    </row>
    <row r="213" spans="1:28" x14ac:dyDescent="0.25">
      <c r="A213" t="s">
        <v>217</v>
      </c>
      <c r="B213">
        <v>0.99299721793515405</v>
      </c>
      <c r="C213">
        <v>1.0008263236049499</v>
      </c>
      <c r="D213">
        <v>0.83078435497798797</v>
      </c>
      <c r="E213">
        <v>0.77128724989400699</v>
      </c>
      <c r="F213">
        <v>0.72317592929885399</v>
      </c>
      <c r="G213">
        <v>0.37815602010000099</v>
      </c>
      <c r="H213">
        <v>0.274892037394314</v>
      </c>
      <c r="I213">
        <v>0.22483097414386399</v>
      </c>
      <c r="J213">
        <v>0.15529343875493201</v>
      </c>
      <c r="K213">
        <v>0.14039179121183901</v>
      </c>
      <c r="L213">
        <v>566.12643055918204</v>
      </c>
      <c r="M213">
        <v>10.8911813687587</v>
      </c>
      <c r="N213">
        <v>52.500685706796297</v>
      </c>
      <c r="O213">
        <v>50.319943992127698</v>
      </c>
      <c r="P213">
        <v>-5.1358925943129699E-2</v>
      </c>
      <c r="Q213">
        <v>5.1168997889726502E-2</v>
      </c>
      <c r="R213">
        <v>0.97765511054994703</v>
      </c>
      <c r="S213" t="s">
        <v>5764</v>
      </c>
      <c r="T213" t="s">
        <v>11100</v>
      </c>
      <c r="U213" t="s">
        <v>11100</v>
      </c>
      <c r="V213" t="s">
        <v>11100</v>
      </c>
      <c r="W213" t="s">
        <v>11311</v>
      </c>
      <c r="X213">
        <v>10</v>
      </c>
      <c r="Y213" t="s">
        <v>16805</v>
      </c>
      <c r="Z213" t="s">
        <v>22218</v>
      </c>
      <c r="AA213">
        <v>0.54915204993749489</v>
      </c>
      <c r="AB213" t="str">
        <f>HYPERLINK("Melting_Curves/meltCurve_B7Z815_USP7.pdf", "Melting_Curves/meltCurve_B7Z815_USP7.pdf")</f>
        <v>Melting_Curves/meltCurve_B7Z815_USP7.pdf</v>
      </c>
    </row>
    <row r="214" spans="1:28" x14ac:dyDescent="0.25">
      <c r="A214" t="s">
        <v>218</v>
      </c>
      <c r="B214">
        <v>0.99299721793515405</v>
      </c>
      <c r="C214">
        <v>0.97287399347995096</v>
      </c>
      <c r="D214">
        <v>0.918020720717028</v>
      </c>
      <c r="E214">
        <v>0.85264442478072999</v>
      </c>
      <c r="F214">
        <v>0.66200879153108705</v>
      </c>
      <c r="G214">
        <v>0.37440560611222001</v>
      </c>
      <c r="H214">
        <v>0.33314782868339499</v>
      </c>
      <c r="I214">
        <v>0.385023414098905</v>
      </c>
      <c r="J214">
        <v>0.394033936251037</v>
      </c>
      <c r="K214">
        <v>0.35837953807931699</v>
      </c>
      <c r="L214">
        <v>1149.31970590897</v>
      </c>
      <c r="M214">
        <v>23.298568129637498</v>
      </c>
      <c r="N214">
        <v>52.054503277897503</v>
      </c>
      <c r="O214">
        <v>48.970952235869198</v>
      </c>
      <c r="P214">
        <v>-7.7039729556184197E-2</v>
      </c>
      <c r="Q214">
        <v>0.35229636268119702</v>
      </c>
      <c r="R214">
        <v>0.97964767288191701</v>
      </c>
      <c r="S214" t="s">
        <v>5765</v>
      </c>
      <c r="T214" t="s">
        <v>11100</v>
      </c>
      <c r="U214" t="s">
        <v>11100</v>
      </c>
      <c r="V214" t="s">
        <v>11100</v>
      </c>
      <c r="W214" t="s">
        <v>11312</v>
      </c>
      <c r="X214">
        <v>11</v>
      </c>
      <c r="Y214" t="s">
        <v>16806</v>
      </c>
      <c r="Z214" t="s">
        <v>22219</v>
      </c>
      <c r="AA214">
        <v>0.62493716557276524</v>
      </c>
      <c r="AB214" t="str">
        <f>HYPERLINK("Melting_Curves/meltCurve_B7Z817_DHCR24.pdf", "Melting_Curves/meltCurve_B7Z817_DHCR24.pdf")</f>
        <v>Melting_Curves/meltCurve_B7Z817_DHCR24.pdf</v>
      </c>
    </row>
    <row r="215" spans="1:28" x14ac:dyDescent="0.25">
      <c r="A215" t="s">
        <v>219</v>
      </c>
      <c r="B215">
        <v>0.99299721793515405</v>
      </c>
      <c r="C215">
        <v>0.840583455773251</v>
      </c>
      <c r="D215">
        <v>0.86558074172494304</v>
      </c>
      <c r="E215">
        <v>0.785816768831472</v>
      </c>
      <c r="F215">
        <v>0.72180085424690799</v>
      </c>
      <c r="G215">
        <v>0.74648367261319204</v>
      </c>
      <c r="H215">
        <v>0.47696376259233098</v>
      </c>
      <c r="I215">
        <v>0.55930654852564998</v>
      </c>
      <c r="J215">
        <v>1.0776632118818501</v>
      </c>
      <c r="K215">
        <v>1.30954924129753</v>
      </c>
      <c r="L215">
        <v>2482.25686219003</v>
      </c>
      <c r="M215">
        <v>64.087704779200493</v>
      </c>
      <c r="O215">
        <v>38.694524127142003</v>
      </c>
      <c r="P215">
        <v>-7.5479664174448402E-2</v>
      </c>
      <c r="Q215">
        <v>0.81770925435794095</v>
      </c>
      <c r="R215">
        <v>5.07966308457748E-2</v>
      </c>
      <c r="S215" t="s">
        <v>5766</v>
      </c>
      <c r="T215" t="s">
        <v>11100</v>
      </c>
      <c r="U215" t="s">
        <v>11100</v>
      </c>
      <c r="V215" t="s">
        <v>11100</v>
      </c>
      <c r="W215" t="s">
        <v>11313</v>
      </c>
      <c r="X215">
        <v>3</v>
      </c>
      <c r="Y215" t="s">
        <v>16807</v>
      </c>
      <c r="Z215" t="s">
        <v>22220</v>
      </c>
      <c r="AA215">
        <v>0.82858185869136014</v>
      </c>
      <c r="AB215" t="str">
        <f>HYPERLINK("Melting_Curves/meltCurve_B7Z860_CCDC117.pdf", "Melting_Curves/meltCurve_B7Z860_CCDC117.pdf")</f>
        <v>Melting_Curves/meltCurve_B7Z860_CCDC117.pdf</v>
      </c>
    </row>
    <row r="216" spans="1:28" x14ac:dyDescent="0.25">
      <c r="A216" t="s">
        <v>220</v>
      </c>
      <c r="B216">
        <v>0.99299721793515405</v>
      </c>
      <c r="C216">
        <v>0.97994966134962302</v>
      </c>
      <c r="D216">
        <v>1.19268747272791</v>
      </c>
      <c r="E216">
        <v>0.93869002885758301</v>
      </c>
      <c r="F216">
        <v>0.237308062100653</v>
      </c>
      <c r="G216">
        <v>0.134203322766378</v>
      </c>
      <c r="H216">
        <v>0.102602082957107</v>
      </c>
      <c r="I216">
        <v>9.7940298694115094E-2</v>
      </c>
      <c r="J216">
        <v>0.12781906447369801</v>
      </c>
      <c r="K216">
        <v>5.28389781913184E-2</v>
      </c>
      <c r="L216">
        <v>2833.0250058650799</v>
      </c>
      <c r="M216">
        <v>58.157280635033302</v>
      </c>
      <c r="N216">
        <v>48.905323693842803</v>
      </c>
      <c r="O216">
        <v>48.655665269951399</v>
      </c>
      <c r="P216">
        <v>-0.26829838539728001</v>
      </c>
      <c r="Q216">
        <v>0.10214300987804301</v>
      </c>
      <c r="R216">
        <v>0.97922193331137997</v>
      </c>
      <c r="S216" t="s">
        <v>5767</v>
      </c>
      <c r="T216" t="s">
        <v>11100</v>
      </c>
      <c r="U216" t="s">
        <v>11100</v>
      </c>
      <c r="V216" t="s">
        <v>11100</v>
      </c>
      <c r="W216" t="s">
        <v>11314</v>
      </c>
      <c r="X216">
        <v>2</v>
      </c>
      <c r="Y216" t="s">
        <v>16808</v>
      </c>
      <c r="Z216" t="s">
        <v>22221</v>
      </c>
      <c r="AA216">
        <v>0.45412506914077638</v>
      </c>
      <c r="AB216" t="str">
        <f>HYPERLINK("Melting_Curves/meltCurve_B7Z8H2_TRDMT1.pdf", "Melting_Curves/meltCurve_B7Z8H2_TRDMT1.pdf")</f>
        <v>Melting_Curves/meltCurve_B7Z8H2_TRDMT1.pdf</v>
      </c>
    </row>
    <row r="217" spans="1:28" x14ac:dyDescent="0.25">
      <c r="A217" t="s">
        <v>221</v>
      </c>
      <c r="B217">
        <v>0.99299721793515405</v>
      </c>
      <c r="C217">
        <v>0.94568567064321296</v>
      </c>
      <c r="D217">
        <v>0.88378855314848803</v>
      </c>
      <c r="E217">
        <v>0.81583044074799904</v>
      </c>
      <c r="F217">
        <v>0.69287262015283202</v>
      </c>
      <c r="G217">
        <v>0.81889344051510704</v>
      </c>
      <c r="H217">
        <v>0.66049225096223196</v>
      </c>
      <c r="I217">
        <v>0.28795574759689901</v>
      </c>
      <c r="J217">
        <v>0.15314429324335599</v>
      </c>
      <c r="K217">
        <v>0.12521520240388201</v>
      </c>
      <c r="L217">
        <v>645.90384955669094</v>
      </c>
      <c r="M217">
        <v>11.2160193002338</v>
      </c>
      <c r="N217">
        <v>57.587619361671898</v>
      </c>
      <c r="O217">
        <v>55.847997645892796</v>
      </c>
      <c r="P217">
        <v>-5.0223511374607899E-2</v>
      </c>
      <c r="Q217">
        <v>0</v>
      </c>
      <c r="R217">
        <v>0.89660656058687005</v>
      </c>
      <c r="S217" t="s">
        <v>5768</v>
      </c>
      <c r="T217" t="s">
        <v>11100</v>
      </c>
      <c r="U217" t="s">
        <v>11100</v>
      </c>
      <c r="V217" t="s">
        <v>11100</v>
      </c>
      <c r="W217" t="s">
        <v>11315</v>
      </c>
      <c r="X217">
        <v>15</v>
      </c>
      <c r="Y217" t="s">
        <v>16809</v>
      </c>
      <c r="Z217" t="s">
        <v>22222</v>
      </c>
      <c r="AA217">
        <v>0.68537224113762829</v>
      </c>
      <c r="AB217" t="str">
        <f>HYPERLINK("Melting_Curves/meltCurve_B7Z9I1_ACADM.pdf", "Melting_Curves/meltCurve_B7Z9I1_ACADM.pdf")</f>
        <v>Melting_Curves/meltCurve_B7Z9I1_ACADM.pdf</v>
      </c>
    </row>
    <row r="218" spans="1:28" x14ac:dyDescent="0.25">
      <c r="A218" t="s">
        <v>222</v>
      </c>
      <c r="B218">
        <v>0.99299721793515405</v>
      </c>
      <c r="C218">
        <v>1.0112165775005599</v>
      </c>
      <c r="D218">
        <v>1.0643144290934099</v>
      </c>
      <c r="E218">
        <v>0.80588848493898102</v>
      </c>
      <c r="F218">
        <v>0.78415561673621403</v>
      </c>
      <c r="G218">
        <v>0.80839766537208702</v>
      </c>
      <c r="H218">
        <v>0.889163964394592</v>
      </c>
      <c r="I218">
        <v>0.91720805880016298</v>
      </c>
      <c r="J218">
        <v>0.53187444711189102</v>
      </c>
      <c r="K218">
        <v>0.52003476365282297</v>
      </c>
      <c r="L218">
        <v>373.67863573410199</v>
      </c>
      <c r="M218">
        <v>5.2342186684159602</v>
      </c>
      <c r="O218">
        <v>62.9563037119174</v>
      </c>
      <c r="P218">
        <v>-2.08939195185994E-2</v>
      </c>
      <c r="Q218">
        <v>0</v>
      </c>
      <c r="R218">
        <v>0.632797071887373</v>
      </c>
      <c r="S218" t="s">
        <v>5769</v>
      </c>
      <c r="T218" t="s">
        <v>11100</v>
      </c>
      <c r="U218" t="s">
        <v>11100</v>
      </c>
      <c r="V218" t="s">
        <v>11100</v>
      </c>
      <c r="W218" t="s">
        <v>11316</v>
      </c>
      <c r="X218">
        <v>7</v>
      </c>
      <c r="Y218" t="s">
        <v>16810</v>
      </c>
      <c r="Z218" t="s">
        <v>22223</v>
      </c>
      <c r="AA218">
        <v>0.84378853751949845</v>
      </c>
      <c r="AB218" t="str">
        <f>HYPERLINK("Melting_Curves/meltCurve_B7Z9S8_ATP1B1.pdf", "Melting_Curves/meltCurve_B7Z9S8_ATP1B1.pdf")</f>
        <v>Melting_Curves/meltCurve_B7Z9S8_ATP1B1.pdf</v>
      </c>
    </row>
    <row r="219" spans="1:28" x14ac:dyDescent="0.25">
      <c r="A219" t="s">
        <v>223</v>
      </c>
      <c r="B219">
        <v>0.99299721793515405</v>
      </c>
      <c r="C219">
        <v>0.90845535884428397</v>
      </c>
      <c r="D219">
        <v>0.99678734684794801</v>
      </c>
      <c r="E219">
        <v>0.88139573042608499</v>
      </c>
      <c r="F219">
        <v>0.776967457175197</v>
      </c>
      <c r="G219">
        <v>0.35277199025522499</v>
      </c>
      <c r="H219">
        <v>0.19422106308631401</v>
      </c>
      <c r="I219">
        <v>0.18498777256922599</v>
      </c>
      <c r="J219">
        <v>0.16050266154477699</v>
      </c>
      <c r="K219">
        <v>0.14029157714537999</v>
      </c>
      <c r="L219">
        <v>1385.1318642813101</v>
      </c>
      <c r="M219">
        <v>26.772807376356699</v>
      </c>
      <c r="N219">
        <v>52.428237500153699</v>
      </c>
      <c r="O219">
        <v>51.450461300406097</v>
      </c>
      <c r="P219">
        <v>-0.11073492613786901</v>
      </c>
      <c r="Q219">
        <v>0.148792344770212</v>
      </c>
      <c r="R219">
        <v>0.98713278402893501</v>
      </c>
      <c r="S219" t="s">
        <v>5770</v>
      </c>
      <c r="T219" t="s">
        <v>11100</v>
      </c>
      <c r="U219" t="s">
        <v>11100</v>
      </c>
      <c r="V219" t="s">
        <v>11100</v>
      </c>
      <c r="W219" t="s">
        <v>11317</v>
      </c>
      <c r="X219">
        <v>20</v>
      </c>
      <c r="Y219" t="s">
        <v>16811</v>
      </c>
      <c r="Z219" t="s">
        <v>22224</v>
      </c>
      <c r="AA219">
        <v>0.57356471963641953</v>
      </c>
      <c r="AB219" t="str">
        <f>HYPERLINK("Melting_Curves/meltCurve_B7ZC38_SH3GLB2.pdf", "Melting_Curves/meltCurve_B7ZC38_SH3GLB2.pdf")</f>
        <v>Melting_Curves/meltCurve_B7ZC38_SH3GLB2.pdf</v>
      </c>
    </row>
    <row r="220" spans="1:28" x14ac:dyDescent="0.25">
      <c r="A220" t="s">
        <v>224</v>
      </c>
      <c r="B220">
        <v>0.99299721793515405</v>
      </c>
      <c r="C220">
        <v>1.0546078283220099</v>
      </c>
      <c r="D220">
        <v>0.88953018832372299</v>
      </c>
      <c r="E220">
        <v>0.898589033851383</v>
      </c>
      <c r="F220">
        <v>0.65244667633189801</v>
      </c>
      <c r="G220">
        <v>0.34774502035811999</v>
      </c>
      <c r="H220">
        <v>0.137261789383476</v>
      </c>
      <c r="I220">
        <v>0.12461843435844</v>
      </c>
      <c r="J220">
        <v>0.118963841024149</v>
      </c>
      <c r="K220">
        <v>0.10052272435658299</v>
      </c>
      <c r="L220">
        <v>1055.65632354786</v>
      </c>
      <c r="M220">
        <v>20.593970989776398</v>
      </c>
      <c r="N220">
        <v>51.743392706674598</v>
      </c>
      <c r="O220">
        <v>50.784456762911503</v>
      </c>
      <c r="P220">
        <v>-9.2518234788299694E-2</v>
      </c>
      <c r="Q220">
        <v>8.7431528079289902E-2</v>
      </c>
      <c r="R220">
        <v>0.99032382424622201</v>
      </c>
      <c r="S220" t="s">
        <v>5771</v>
      </c>
      <c r="T220" t="s">
        <v>11100</v>
      </c>
      <c r="U220" t="s">
        <v>11100</v>
      </c>
      <c r="V220" t="s">
        <v>11100</v>
      </c>
      <c r="W220" t="s">
        <v>11318</v>
      </c>
      <c r="X220">
        <v>6</v>
      </c>
      <c r="Y220" t="s">
        <v>16812</v>
      </c>
      <c r="Z220" t="s">
        <v>22225</v>
      </c>
      <c r="AA220">
        <v>0.53257123815651086</v>
      </c>
      <c r="AB220" t="str">
        <f>HYPERLINK("Melting_Curves/meltCurve_B7ZKK9_PPP2R5E.pdf", "Melting_Curves/meltCurve_B7ZKK9_PPP2R5E.pdf")</f>
        <v>Melting_Curves/meltCurve_B7ZKK9_PPP2R5E.pdf</v>
      </c>
    </row>
    <row r="221" spans="1:28" x14ac:dyDescent="0.25">
      <c r="A221" t="s">
        <v>225</v>
      </c>
      <c r="B221">
        <v>0.99299721793515405</v>
      </c>
      <c r="C221">
        <v>0.99502888290313396</v>
      </c>
      <c r="D221">
        <v>0.96678342045397403</v>
      </c>
      <c r="E221">
        <v>0.95518685743831799</v>
      </c>
      <c r="F221">
        <v>0.68015999277926598</v>
      </c>
      <c r="G221">
        <v>0.78088108432910697</v>
      </c>
      <c r="H221">
        <v>0.505931635610121</v>
      </c>
      <c r="I221">
        <v>0.57429194526536398</v>
      </c>
      <c r="J221">
        <v>0.616712267383555</v>
      </c>
      <c r="K221">
        <v>0.62877763034878797</v>
      </c>
      <c r="L221">
        <v>1106.8560729030601</v>
      </c>
      <c r="M221">
        <v>22.491590851906398</v>
      </c>
      <c r="O221">
        <v>48.827912939114398</v>
      </c>
      <c r="P221">
        <v>-4.6475316201945199E-2</v>
      </c>
      <c r="Q221">
        <v>0.59642754177114299</v>
      </c>
      <c r="R221">
        <v>0.88351988429165396</v>
      </c>
      <c r="S221" t="s">
        <v>5772</v>
      </c>
      <c r="T221" t="s">
        <v>11100</v>
      </c>
      <c r="U221" t="s">
        <v>11100</v>
      </c>
      <c r="V221" t="s">
        <v>11100</v>
      </c>
      <c r="W221" t="s">
        <v>11319</v>
      </c>
      <c r="X221">
        <v>4</v>
      </c>
      <c r="Y221" t="s">
        <v>16813</v>
      </c>
      <c r="Z221" t="s">
        <v>22226</v>
      </c>
      <c r="AA221">
        <v>0.76498893364310794</v>
      </c>
      <c r="AB221" t="str">
        <f>HYPERLINK("Melting_Curves/meltCurve_B7ZKQ9_SCARB1.pdf", "Melting_Curves/meltCurve_B7ZKQ9_SCARB1.pdf")</f>
        <v>Melting_Curves/meltCurve_B7ZKQ9_SCARB1.pdf</v>
      </c>
    </row>
    <row r="222" spans="1:28" x14ac:dyDescent="0.25">
      <c r="A222" t="s">
        <v>226</v>
      </c>
      <c r="B222">
        <v>0.99299721793515405</v>
      </c>
      <c r="C222">
        <v>0.84257685245483704</v>
      </c>
      <c r="D222">
        <v>1.32435351916363</v>
      </c>
      <c r="E222">
        <v>0.84723507308016199</v>
      </c>
      <c r="F222">
        <v>0.69440994856205995</v>
      </c>
      <c r="G222">
        <v>0.60460565681729705</v>
      </c>
      <c r="H222">
        <v>0.33221044270789601</v>
      </c>
      <c r="I222">
        <v>0.398351009413765</v>
      </c>
      <c r="J222">
        <v>0.32633535543586301</v>
      </c>
      <c r="K222">
        <v>0.29023938785108899</v>
      </c>
      <c r="L222">
        <v>966.10225290800702</v>
      </c>
      <c r="M222">
        <v>18.726171856908199</v>
      </c>
      <c r="N222">
        <v>54.376784453980001</v>
      </c>
      <c r="O222">
        <v>51.013483795260498</v>
      </c>
      <c r="P222">
        <v>-6.3468511082732507E-2</v>
      </c>
      <c r="Q222">
        <v>0.30843037211130397</v>
      </c>
      <c r="R222">
        <v>0.84640998056319605</v>
      </c>
      <c r="S222" t="s">
        <v>5773</v>
      </c>
      <c r="T222" t="s">
        <v>11100</v>
      </c>
      <c r="U222" t="s">
        <v>11100</v>
      </c>
      <c r="V222" t="s">
        <v>11100</v>
      </c>
      <c r="W222" t="s">
        <v>11320</v>
      </c>
      <c r="X222">
        <v>3</v>
      </c>
      <c r="Y222" t="s">
        <v>16814</v>
      </c>
      <c r="Z222" t="s">
        <v>22227</v>
      </c>
      <c r="AA222">
        <v>0.65475711228166666</v>
      </c>
      <c r="AB222" t="str">
        <f>HYPERLINK("Melting_Curves/meltCurve_B7ZL88_COX18.pdf", "Melting_Curves/meltCurve_B7ZL88_COX18.pdf")</f>
        <v>Melting_Curves/meltCurve_B7ZL88_COX18.pdf</v>
      </c>
    </row>
    <row r="223" spans="1:28" x14ac:dyDescent="0.25">
      <c r="A223" t="s">
        <v>227</v>
      </c>
      <c r="B223">
        <v>0.99299721793515405</v>
      </c>
      <c r="C223">
        <v>1.0302900167834299</v>
      </c>
      <c r="D223">
        <v>0.95781195419028797</v>
      </c>
      <c r="E223">
        <v>0.95242592535925497</v>
      </c>
      <c r="F223">
        <v>0.71099278827626899</v>
      </c>
      <c r="G223">
        <v>0.44838301908129502</v>
      </c>
      <c r="H223">
        <v>0.56341291810231298</v>
      </c>
      <c r="I223">
        <v>0.45058101406121198</v>
      </c>
      <c r="J223">
        <v>0.32359075666266301</v>
      </c>
      <c r="K223">
        <v>0.29355781865627401</v>
      </c>
      <c r="L223">
        <v>850.93798854995998</v>
      </c>
      <c r="M223">
        <v>16.6240529033835</v>
      </c>
      <c r="N223">
        <v>55.049302464049703</v>
      </c>
      <c r="O223">
        <v>50.463667161104603</v>
      </c>
      <c r="P223">
        <v>-5.4009554619323101E-2</v>
      </c>
      <c r="Q223">
        <v>0.34424263659000398</v>
      </c>
      <c r="R223">
        <v>0.94692655430515704</v>
      </c>
      <c r="S223" t="s">
        <v>5774</v>
      </c>
      <c r="T223" t="s">
        <v>11100</v>
      </c>
      <c r="U223" t="s">
        <v>11100</v>
      </c>
      <c r="V223" t="s">
        <v>11100</v>
      </c>
      <c r="W223" t="s">
        <v>11321</v>
      </c>
      <c r="X223">
        <v>3</v>
      </c>
      <c r="Y223" t="s">
        <v>16815</v>
      </c>
      <c r="Z223" t="s">
        <v>22228</v>
      </c>
      <c r="AA223">
        <v>0.66574513127180857</v>
      </c>
      <c r="AB223" t="str">
        <f>HYPERLINK("Melting_Curves/meltCurve_B7ZLZ2_EDEM3.pdf", "Melting_Curves/meltCurve_B7ZLZ2_EDEM3.pdf")</f>
        <v>Melting_Curves/meltCurve_B7ZLZ2_EDEM3.pdf</v>
      </c>
    </row>
    <row r="224" spans="1:28" x14ac:dyDescent="0.25">
      <c r="A224" t="s">
        <v>228</v>
      </c>
      <c r="B224">
        <v>0.99299721793515405</v>
      </c>
      <c r="C224">
        <v>0.88247719576099404</v>
      </c>
      <c r="D224">
        <v>0.98857967865859198</v>
      </c>
      <c r="E224">
        <v>0.863288172792539</v>
      </c>
      <c r="F224">
        <v>0.745286831267024</v>
      </c>
      <c r="G224">
        <v>0.57239667237860703</v>
      </c>
      <c r="H224">
        <v>0.54429093804280104</v>
      </c>
      <c r="I224">
        <v>0.58024917620128602</v>
      </c>
      <c r="J224">
        <v>0.46407571045391199</v>
      </c>
      <c r="K224">
        <v>0.344298424773965</v>
      </c>
      <c r="L224">
        <v>435.74296545616397</v>
      </c>
      <c r="M224">
        <v>8.0832186708962208</v>
      </c>
      <c r="N224">
        <v>60.179169010039402</v>
      </c>
      <c r="O224">
        <v>50.908488779485197</v>
      </c>
      <c r="P224">
        <v>-2.8425631280380101E-2</v>
      </c>
      <c r="Q224">
        <v>0.28467462306925401</v>
      </c>
      <c r="R224">
        <v>0.93499454817693795</v>
      </c>
      <c r="S224" t="s">
        <v>5775</v>
      </c>
      <c r="T224" t="s">
        <v>11100</v>
      </c>
      <c r="U224" t="s">
        <v>11100</v>
      </c>
      <c r="V224" t="s">
        <v>11100</v>
      </c>
      <c r="W224" t="s">
        <v>11322</v>
      </c>
      <c r="X224">
        <v>18</v>
      </c>
      <c r="Y224" t="s">
        <v>16816</v>
      </c>
      <c r="Z224" t="s">
        <v>22229</v>
      </c>
      <c r="AA224">
        <v>0.69889015815023048</v>
      </c>
      <c r="AB224" t="str">
        <f>HYPERLINK("Melting_Curves/meltCurve_B8X2Z3_RLTPR.pdf", "Melting_Curves/meltCurve_B8X2Z3_RLTPR.pdf")</f>
        <v>Melting_Curves/meltCurve_B8X2Z3_RLTPR.pdf</v>
      </c>
    </row>
    <row r="225" spans="1:28" x14ac:dyDescent="0.25">
      <c r="A225" t="s">
        <v>229</v>
      </c>
      <c r="B225">
        <v>0.99299721793515405</v>
      </c>
      <c r="C225">
        <v>1.0442758650617301</v>
      </c>
      <c r="D225">
        <v>0.97928465724081304</v>
      </c>
      <c r="E225">
        <v>0.857512052644539</v>
      </c>
      <c r="F225">
        <v>0.66780497407902994</v>
      </c>
      <c r="G225">
        <v>0.463105504828073</v>
      </c>
      <c r="H225">
        <v>0.36620672652688901</v>
      </c>
      <c r="I225">
        <v>0.18054168603528001</v>
      </c>
      <c r="J225">
        <v>0.10615884617240599</v>
      </c>
      <c r="K225">
        <v>7.3093797091264595E-2</v>
      </c>
      <c r="L225">
        <v>646.04491034337605</v>
      </c>
      <c r="M225">
        <v>12.0602894842895</v>
      </c>
      <c r="N225">
        <v>53.567943474905498</v>
      </c>
      <c r="O225">
        <v>52.158917343045303</v>
      </c>
      <c r="P225">
        <v>-5.7819152546246103E-2</v>
      </c>
      <c r="Q225">
        <v>0</v>
      </c>
      <c r="R225">
        <v>0.99308467759844898</v>
      </c>
      <c r="S225" t="s">
        <v>5776</v>
      </c>
      <c r="T225" t="s">
        <v>11100</v>
      </c>
      <c r="U225" t="s">
        <v>11100</v>
      </c>
      <c r="V225" t="s">
        <v>11100</v>
      </c>
      <c r="W225" t="s">
        <v>11323</v>
      </c>
      <c r="X225">
        <v>2</v>
      </c>
      <c r="Y225" t="s">
        <v>16817</v>
      </c>
      <c r="Z225" t="s">
        <v>22230</v>
      </c>
      <c r="AA225">
        <v>0.57157883085022498</v>
      </c>
      <c r="AB225" t="str">
        <f>HYPERLINK("Melting_Curves/meltCurve_B8ZZB8_CNRIP1.pdf", "Melting_Curves/meltCurve_B8ZZB8_CNRIP1.pdf")</f>
        <v>Melting_Curves/meltCurve_B8ZZB8_CNRIP1.pdf</v>
      </c>
    </row>
    <row r="226" spans="1:28" x14ac:dyDescent="0.25">
      <c r="A226" t="s">
        <v>230</v>
      </c>
      <c r="B226">
        <v>0.99299721793515405</v>
      </c>
      <c r="C226">
        <v>0.82201469395557503</v>
      </c>
      <c r="D226">
        <v>1.0014237177488901</v>
      </c>
      <c r="E226">
        <v>0.824047428545998</v>
      </c>
      <c r="F226">
        <v>0.51561474274107699</v>
      </c>
      <c r="G226">
        <v>0.41613129675278399</v>
      </c>
      <c r="H226">
        <v>0.39011947474367398</v>
      </c>
      <c r="I226">
        <v>0.27072122347715699</v>
      </c>
      <c r="J226">
        <v>0.29262689266855102</v>
      </c>
      <c r="K226">
        <v>0.17480199959116599</v>
      </c>
      <c r="L226">
        <v>682.46574844583597</v>
      </c>
      <c r="M226">
        <v>13.7083977750674</v>
      </c>
      <c r="N226">
        <v>51.939677544372202</v>
      </c>
      <c r="O226">
        <v>48.760928571460802</v>
      </c>
      <c r="P226">
        <v>-5.5046968803262597E-2</v>
      </c>
      <c r="Q226">
        <v>0.21690170296499101</v>
      </c>
      <c r="R226">
        <v>0.94626668676084402</v>
      </c>
      <c r="S226" t="s">
        <v>5777</v>
      </c>
      <c r="T226" t="s">
        <v>11100</v>
      </c>
      <c r="U226" t="s">
        <v>11100</v>
      </c>
      <c r="V226" t="s">
        <v>11100</v>
      </c>
      <c r="W226" t="s">
        <v>11324</v>
      </c>
      <c r="X226">
        <v>3</v>
      </c>
      <c r="Y226" t="s">
        <v>16818</v>
      </c>
      <c r="Z226" t="s">
        <v>22231</v>
      </c>
      <c r="AA226">
        <v>0.56934878243340348</v>
      </c>
      <c r="AB226" t="str">
        <f>HYPERLINK("Melting_Curves/meltCurve_B8ZZJ1_FAM126A.pdf", "Melting_Curves/meltCurve_B8ZZJ1_FAM126A.pdf")</f>
        <v>Melting_Curves/meltCurve_B8ZZJ1_FAM126A.pdf</v>
      </c>
    </row>
    <row r="227" spans="1:28" x14ac:dyDescent="0.25">
      <c r="A227" t="s">
        <v>231</v>
      </c>
      <c r="B227">
        <v>0.99299721793515405</v>
      </c>
      <c r="C227">
        <v>0.95530311986142002</v>
      </c>
      <c r="D227">
        <v>1.1984140798035301</v>
      </c>
      <c r="E227">
        <v>1.0423648739343201</v>
      </c>
      <c r="F227">
        <v>0.77771391525889599</v>
      </c>
      <c r="G227">
        <v>0.45338699963548601</v>
      </c>
      <c r="H227">
        <v>0.40035582636231798</v>
      </c>
      <c r="I227">
        <v>0.51431134862221295</v>
      </c>
      <c r="J227">
        <v>0.58670865241318604</v>
      </c>
      <c r="K227">
        <v>0.71803788372426702</v>
      </c>
      <c r="L227">
        <v>12554.5043804993</v>
      </c>
      <c r="M227">
        <v>250</v>
      </c>
      <c r="O227">
        <v>50.214781715970602</v>
      </c>
      <c r="P227">
        <v>-0.57931105922970405</v>
      </c>
      <c r="Q227">
        <v>0.53456013932515301</v>
      </c>
      <c r="R227">
        <v>0.84617940712754602</v>
      </c>
      <c r="S227" t="s">
        <v>5778</v>
      </c>
      <c r="T227" t="s">
        <v>11100</v>
      </c>
      <c r="U227" t="s">
        <v>11100</v>
      </c>
      <c r="V227" t="s">
        <v>11100</v>
      </c>
      <c r="W227" t="s">
        <v>11325</v>
      </c>
      <c r="X227">
        <v>7</v>
      </c>
      <c r="Y227" t="s">
        <v>16819</v>
      </c>
      <c r="Z227" t="s">
        <v>22232</v>
      </c>
      <c r="AA227">
        <v>0.73967423385730724</v>
      </c>
      <c r="AB227" t="str">
        <f>HYPERLINK("Melting_Curves/meltCurve_B8ZZN6_SUMO1.pdf", "Melting_Curves/meltCurve_B8ZZN6_SUMO1.pdf")</f>
        <v>Melting_Curves/meltCurve_B8ZZN6_SUMO1.pdf</v>
      </c>
    </row>
    <row r="228" spans="1:28" x14ac:dyDescent="0.25">
      <c r="A228" t="s">
        <v>232</v>
      </c>
      <c r="B228">
        <v>0.99299721793515405</v>
      </c>
      <c r="C228">
        <v>0.97734314383223297</v>
      </c>
      <c r="D228">
        <v>1.4224370531409201</v>
      </c>
      <c r="E228">
        <v>1.08524026118835</v>
      </c>
      <c r="F228">
        <v>0.82995311495241197</v>
      </c>
      <c r="G228">
        <v>0.88241518308808398</v>
      </c>
      <c r="H228">
        <v>0.47200217536924299</v>
      </c>
      <c r="I228">
        <v>0.78531847787717801</v>
      </c>
      <c r="J228">
        <v>0.75335258862788002</v>
      </c>
      <c r="K228">
        <v>1.15335505448001</v>
      </c>
      <c r="L228">
        <v>12444.195560374499</v>
      </c>
      <c r="M228">
        <v>250</v>
      </c>
      <c r="O228">
        <v>49.773596826532</v>
      </c>
      <c r="P228">
        <v>-0.23947349077746799</v>
      </c>
      <c r="Q228">
        <v>0.80928868841491297</v>
      </c>
      <c r="R228">
        <v>0.28344106496941002</v>
      </c>
      <c r="S228" t="s">
        <v>5779</v>
      </c>
      <c r="T228" t="s">
        <v>11100</v>
      </c>
      <c r="U228" t="s">
        <v>11100</v>
      </c>
      <c r="V228" t="s">
        <v>11100</v>
      </c>
      <c r="W228" t="s">
        <v>11326</v>
      </c>
      <c r="X228">
        <v>10</v>
      </c>
      <c r="Y228" t="s">
        <v>16820</v>
      </c>
      <c r="Z228" t="s">
        <v>22233</v>
      </c>
      <c r="AA228">
        <v>0.89052791177791601</v>
      </c>
      <c r="AB228" t="str">
        <f>HYPERLINK("Melting_Curves/meltCurve_B8ZZQ6_PTMA.pdf", "Melting_Curves/meltCurve_B8ZZQ6_PTMA.pdf")</f>
        <v>Melting_Curves/meltCurve_B8ZZQ6_PTMA.pdf</v>
      </c>
    </row>
    <row r="229" spans="1:28" x14ac:dyDescent="0.25">
      <c r="A229" t="s">
        <v>233</v>
      </c>
      <c r="B229">
        <v>0.99299721793515405</v>
      </c>
      <c r="C229">
        <v>0.97367386515980103</v>
      </c>
      <c r="D229">
        <v>1.1707108655056</v>
      </c>
      <c r="E229">
        <v>0.78693621989047402</v>
      </c>
      <c r="F229">
        <v>0.67717211413327505</v>
      </c>
      <c r="G229">
        <v>0.34324468517145001</v>
      </c>
      <c r="H229">
        <v>0.36583511177280298</v>
      </c>
      <c r="I229">
        <v>0.243265044478405</v>
      </c>
      <c r="J229">
        <v>0.37010278544354303</v>
      </c>
      <c r="K229">
        <v>0.216393916131045</v>
      </c>
      <c r="L229">
        <v>1128.5559952511001</v>
      </c>
      <c r="M229">
        <v>22.580400507134399</v>
      </c>
      <c r="N229">
        <v>51.837530013625503</v>
      </c>
      <c r="O229">
        <v>49.592408389601701</v>
      </c>
      <c r="P229">
        <v>-8.2251438906060001E-2</v>
      </c>
      <c r="Q229">
        <v>0.27743269002943099</v>
      </c>
      <c r="R229">
        <v>0.938506132205981</v>
      </c>
      <c r="S229" t="s">
        <v>5780</v>
      </c>
      <c r="T229" t="s">
        <v>11100</v>
      </c>
      <c r="U229" t="s">
        <v>11100</v>
      </c>
      <c r="V229" t="s">
        <v>11100</v>
      </c>
      <c r="W229" t="s">
        <v>11327</v>
      </c>
      <c r="X229">
        <v>1</v>
      </c>
      <c r="Y229" t="s">
        <v>16821</v>
      </c>
      <c r="Z229" t="s">
        <v>22234</v>
      </c>
      <c r="AA229">
        <v>0.59769838383858742</v>
      </c>
      <c r="AB229" t="str">
        <f>HYPERLINK("Melting_Curves/meltCurve_B8ZZT9_SNX13.pdf", "Melting_Curves/meltCurve_B8ZZT9_SNX13.pdf")</f>
        <v>Melting_Curves/meltCurve_B8ZZT9_SNX13.pdf</v>
      </c>
    </row>
    <row r="230" spans="1:28" x14ac:dyDescent="0.25">
      <c r="A230" t="s">
        <v>234</v>
      </c>
      <c r="B230">
        <v>0.99299721793515405</v>
      </c>
      <c r="C230">
        <v>1.0228529494492899</v>
      </c>
      <c r="D230">
        <v>0.92365899588996903</v>
      </c>
      <c r="E230">
        <v>0.84519088868292302</v>
      </c>
      <c r="F230">
        <v>0.75541727340068299</v>
      </c>
      <c r="G230">
        <v>0.58180304298783103</v>
      </c>
      <c r="H230">
        <v>0.494859481219459</v>
      </c>
      <c r="I230">
        <v>0.422396939220606</v>
      </c>
      <c r="J230">
        <v>0.36718998014308102</v>
      </c>
      <c r="K230">
        <v>0.26197492982968701</v>
      </c>
      <c r="L230">
        <v>494.85323315776498</v>
      </c>
      <c r="M230">
        <v>9.0549059792712399</v>
      </c>
      <c r="N230">
        <v>57.175384717203599</v>
      </c>
      <c r="O230">
        <v>52.182459218814003</v>
      </c>
      <c r="P230">
        <v>-3.6257215848646197E-2</v>
      </c>
      <c r="Q230">
        <v>0.164806831381586</v>
      </c>
      <c r="R230">
        <v>0.99046872997167401</v>
      </c>
      <c r="S230" t="s">
        <v>5781</v>
      </c>
      <c r="T230" t="s">
        <v>11100</v>
      </c>
      <c r="U230" t="s">
        <v>11100</v>
      </c>
      <c r="V230" t="s">
        <v>11100</v>
      </c>
      <c r="W230" t="s">
        <v>11328</v>
      </c>
      <c r="X230">
        <v>11</v>
      </c>
      <c r="Y230" t="s">
        <v>16822</v>
      </c>
      <c r="Z230" t="s">
        <v>22235</v>
      </c>
      <c r="AA230">
        <v>0.66662707744802185</v>
      </c>
      <c r="AB230" t="str">
        <f>HYPERLINK("Melting_Curves/meltCurve_B8ZZU8_TCEB2.pdf", "Melting_Curves/meltCurve_B8ZZU8_TCEB2.pdf")</f>
        <v>Melting_Curves/meltCurve_B8ZZU8_TCEB2.pdf</v>
      </c>
    </row>
    <row r="231" spans="1:28" x14ac:dyDescent="0.25">
      <c r="A231" t="s">
        <v>235</v>
      </c>
      <c r="B231">
        <v>0.99299721793515405</v>
      </c>
      <c r="C231">
        <v>1.0136484994472601</v>
      </c>
      <c r="D231">
        <v>1.0518920981942299</v>
      </c>
      <c r="E231">
        <v>0.86641427492794298</v>
      </c>
      <c r="F231">
        <v>0.82626840727847295</v>
      </c>
      <c r="G231">
        <v>0.58304671442867895</v>
      </c>
      <c r="H231">
        <v>0.40107422874354498</v>
      </c>
      <c r="I231">
        <v>0.27259114613847801</v>
      </c>
      <c r="J231">
        <v>0.199453810666812</v>
      </c>
      <c r="K231">
        <v>0.13615208488372199</v>
      </c>
      <c r="L231">
        <v>748.33727407099695</v>
      </c>
      <c r="M231">
        <v>13.647131727234299</v>
      </c>
      <c r="N231">
        <v>55.519965054838998</v>
      </c>
      <c r="O231">
        <v>53.6975607940605</v>
      </c>
      <c r="P231">
        <v>-5.8621273368821197E-2</v>
      </c>
      <c r="Q231">
        <v>7.75030781073658E-2</v>
      </c>
      <c r="R231">
        <v>0.99092424542010105</v>
      </c>
      <c r="S231" t="s">
        <v>5782</v>
      </c>
      <c r="T231" t="s">
        <v>11100</v>
      </c>
      <c r="U231" t="s">
        <v>11100</v>
      </c>
      <c r="V231" t="s">
        <v>11100</v>
      </c>
      <c r="W231" t="s">
        <v>11329</v>
      </c>
      <c r="X231">
        <v>9</v>
      </c>
      <c r="Y231" t="s">
        <v>16823</v>
      </c>
      <c r="Z231" t="s">
        <v>22236</v>
      </c>
      <c r="AA231">
        <v>0.63968473799046166</v>
      </c>
      <c r="AB231" t="str">
        <f>HYPERLINK("Melting_Curves/meltCurve_B8ZZY2_AGFG1.pdf", "Melting_Curves/meltCurve_B8ZZY2_AGFG1.pdf")</f>
        <v>Melting_Curves/meltCurve_B8ZZY2_AGFG1.pdf</v>
      </c>
    </row>
    <row r="232" spans="1:28" x14ac:dyDescent="0.25">
      <c r="A232" t="s">
        <v>236</v>
      </c>
      <c r="B232">
        <v>0.99299721793515405</v>
      </c>
      <c r="C232">
        <v>0.87001192548763095</v>
      </c>
      <c r="D232">
        <v>1.0209241669807001</v>
      </c>
      <c r="E232">
        <v>0.84877154486558704</v>
      </c>
      <c r="F232">
        <v>1.0717868632035801</v>
      </c>
      <c r="G232">
        <v>0.96057733816198898</v>
      </c>
      <c r="H232">
        <v>0.29971337085366601</v>
      </c>
      <c r="I232">
        <v>0.21558975109839101</v>
      </c>
      <c r="J232">
        <v>0.19791309452828099</v>
      </c>
      <c r="K232">
        <v>0.24169766419906899</v>
      </c>
      <c r="L232">
        <v>4379.1697746425498</v>
      </c>
      <c r="M232">
        <v>78.445305977873105</v>
      </c>
      <c r="N232">
        <v>56.235364618363597</v>
      </c>
      <c r="O232">
        <v>55.788253899828803</v>
      </c>
      <c r="P232">
        <v>-0.27485438072708002</v>
      </c>
      <c r="Q232">
        <v>0.21812312655997201</v>
      </c>
      <c r="R232">
        <v>0.96417278979104903</v>
      </c>
      <c r="S232" t="s">
        <v>5783</v>
      </c>
      <c r="T232" t="s">
        <v>11100</v>
      </c>
      <c r="U232" t="s">
        <v>11100</v>
      </c>
      <c r="V232" t="s">
        <v>11100</v>
      </c>
      <c r="W232" t="s">
        <v>11330</v>
      </c>
      <c r="X232">
        <v>8</v>
      </c>
      <c r="Y232" t="s">
        <v>16824</v>
      </c>
      <c r="Z232" t="s">
        <v>22237</v>
      </c>
      <c r="AA232">
        <v>0.70951729541725816</v>
      </c>
      <c r="AB232" t="str">
        <f>HYPERLINK("Melting_Curves/meltCurve_B9A018_USP39.pdf", "Melting_Curves/meltCurve_B9A018_USP39.pdf")</f>
        <v>Melting_Curves/meltCurve_B9A018_USP39.pdf</v>
      </c>
    </row>
    <row r="233" spans="1:28" x14ac:dyDescent="0.25">
      <c r="A233" t="s">
        <v>237</v>
      </c>
      <c r="B233">
        <v>0.99299721793515405</v>
      </c>
      <c r="C233">
        <v>0.94865198298042896</v>
      </c>
      <c r="D233">
        <v>0.99935629438461304</v>
      </c>
      <c r="E233">
        <v>0.81000517167969999</v>
      </c>
      <c r="F233">
        <v>0.76067185980291496</v>
      </c>
      <c r="G233">
        <v>0.77535790505073598</v>
      </c>
      <c r="H233">
        <v>0.50905932572638501</v>
      </c>
      <c r="I233">
        <v>0.33760789099148097</v>
      </c>
      <c r="J233">
        <v>0.25659556116701399</v>
      </c>
      <c r="K233">
        <v>0.211193408887458</v>
      </c>
      <c r="L233">
        <v>544.62443172789301</v>
      </c>
      <c r="M233">
        <v>9.4538516530058399</v>
      </c>
      <c r="N233">
        <v>57.608709722806097</v>
      </c>
      <c r="O233">
        <v>55.2076299495439</v>
      </c>
      <c r="P233">
        <v>-4.2836235350447199E-2</v>
      </c>
      <c r="Q233">
        <v>0</v>
      </c>
      <c r="R233">
        <v>0.96724092429110897</v>
      </c>
      <c r="S233" t="s">
        <v>5784</v>
      </c>
      <c r="T233" t="s">
        <v>11100</v>
      </c>
      <c r="U233" t="s">
        <v>11100</v>
      </c>
      <c r="V233" t="s">
        <v>11100</v>
      </c>
      <c r="W233" t="s">
        <v>11331</v>
      </c>
      <c r="X233">
        <v>33</v>
      </c>
      <c r="Y233" t="s">
        <v>16825</v>
      </c>
      <c r="Z233" t="s">
        <v>22238</v>
      </c>
      <c r="AA233">
        <v>0.67898335837260815</v>
      </c>
      <c r="AB233" t="str">
        <f>HYPERLINK("Melting_Curves/meltCurve_B9A067_IMMT.pdf", "Melting_Curves/meltCurve_B9A067_IMMT.pdf")</f>
        <v>Melting_Curves/meltCurve_B9A067_IMMT.pdf</v>
      </c>
    </row>
    <row r="234" spans="1:28" x14ac:dyDescent="0.25">
      <c r="A234" t="s">
        <v>238</v>
      </c>
      <c r="B234">
        <v>0.99299721793515405</v>
      </c>
      <c r="C234">
        <v>1.0197013295610999</v>
      </c>
      <c r="D234">
        <v>1.0167620771608601</v>
      </c>
      <c r="E234">
        <v>0.779918694358396</v>
      </c>
      <c r="F234">
        <v>0.53268335948304602</v>
      </c>
      <c r="G234">
        <v>0.39886752930847102</v>
      </c>
      <c r="H234">
        <v>0.31949691985265199</v>
      </c>
      <c r="I234">
        <v>0.202352993439642</v>
      </c>
      <c r="J234">
        <v>0.138414170641496</v>
      </c>
      <c r="K234">
        <v>0.19440624857584499</v>
      </c>
      <c r="L234">
        <v>790.13886438622603</v>
      </c>
      <c r="M234">
        <v>15.789013829826301</v>
      </c>
      <c r="N234">
        <v>51.357884263405502</v>
      </c>
      <c r="O234">
        <v>49.261450025455403</v>
      </c>
      <c r="P234">
        <v>-6.68172450570651E-2</v>
      </c>
      <c r="Q234">
        <v>0.16619430183078701</v>
      </c>
      <c r="R234">
        <v>0.98660936719826298</v>
      </c>
      <c r="S234" t="s">
        <v>5785</v>
      </c>
      <c r="T234" t="s">
        <v>11100</v>
      </c>
      <c r="U234" t="s">
        <v>11100</v>
      </c>
      <c r="V234" t="s">
        <v>11100</v>
      </c>
      <c r="W234" t="s">
        <v>11332</v>
      </c>
      <c r="X234">
        <v>2</v>
      </c>
      <c r="Y234" t="s">
        <v>16826</v>
      </c>
      <c r="Z234" t="s">
        <v>22239</v>
      </c>
      <c r="AA234">
        <v>0.54486131590456166</v>
      </c>
      <c r="AB234" t="str">
        <f>HYPERLINK("Melting_Curves/meltCurve_B9EGE7_ZNF507.pdf", "Melting_Curves/meltCurve_B9EGE7_ZNF507.pdf")</f>
        <v>Melting_Curves/meltCurve_B9EGE7_ZNF507.pdf</v>
      </c>
    </row>
    <row r="235" spans="1:28" x14ac:dyDescent="0.25">
      <c r="A235" t="s">
        <v>239</v>
      </c>
      <c r="B235">
        <v>0.99299721793515405</v>
      </c>
      <c r="C235">
        <v>0.819980462078157</v>
      </c>
      <c r="D235">
        <v>1.0437020595180999</v>
      </c>
      <c r="E235">
        <v>0.70239477638348202</v>
      </c>
      <c r="F235">
        <v>0.64080628420045105</v>
      </c>
      <c r="G235">
        <v>0.52453341634219297</v>
      </c>
      <c r="H235">
        <v>0.50811243658083405</v>
      </c>
      <c r="I235">
        <v>0.57735607914019005</v>
      </c>
      <c r="J235">
        <v>0.80345233176141795</v>
      </c>
      <c r="K235">
        <v>0.57060093714899796</v>
      </c>
      <c r="L235">
        <v>10157.2815683843</v>
      </c>
      <c r="M235">
        <v>219.07565329051599</v>
      </c>
      <c r="O235">
        <v>46.360401346193498</v>
      </c>
      <c r="P235">
        <v>-0.46765398540779801</v>
      </c>
      <c r="Q235">
        <v>0.60414357449451495</v>
      </c>
      <c r="R235">
        <v>0.71747656495546297</v>
      </c>
      <c r="S235" t="s">
        <v>5786</v>
      </c>
      <c r="T235" t="s">
        <v>11100</v>
      </c>
      <c r="U235" t="s">
        <v>11100</v>
      </c>
      <c r="V235" t="s">
        <v>11100</v>
      </c>
      <c r="W235" t="s">
        <v>11333</v>
      </c>
      <c r="X235">
        <v>1</v>
      </c>
      <c r="Y235" t="s">
        <v>16827</v>
      </c>
      <c r="Z235" t="s">
        <v>22240</v>
      </c>
      <c r="AA235">
        <v>0.72774900065198678</v>
      </c>
      <c r="AB235" t="str">
        <f>HYPERLINK("Melting_Curves/meltCurve_B9EGH5_PLCB2.pdf", "Melting_Curves/meltCurve_B9EGH5_PLCB2.pdf")</f>
        <v>Melting_Curves/meltCurve_B9EGH5_PLCB2.pdf</v>
      </c>
    </row>
    <row r="236" spans="1:28" x14ac:dyDescent="0.25">
      <c r="A236" t="s">
        <v>240</v>
      </c>
      <c r="B236">
        <v>0.99299721793515405</v>
      </c>
      <c r="C236">
        <v>0.86690158543427898</v>
      </c>
      <c r="D236">
        <v>0.88799359846345205</v>
      </c>
      <c r="E236">
        <v>0.90422797298933399</v>
      </c>
      <c r="F236">
        <v>0.63112962265168004</v>
      </c>
      <c r="G236">
        <v>0.34164660757138698</v>
      </c>
      <c r="H236">
        <v>0.43914415515257998</v>
      </c>
      <c r="I236">
        <v>0.32746346367263202</v>
      </c>
      <c r="J236">
        <v>0.34423373802540702</v>
      </c>
      <c r="K236">
        <v>0.27230683625200602</v>
      </c>
      <c r="L236">
        <v>1112.70174868816</v>
      </c>
      <c r="M236">
        <v>22.433287211527301</v>
      </c>
      <c r="N236">
        <v>51.959552677850098</v>
      </c>
      <c r="O236">
        <v>49.211380602874499</v>
      </c>
      <c r="P236">
        <v>-7.7561239388453801E-2</v>
      </c>
      <c r="Q236">
        <v>0.319436895371501</v>
      </c>
      <c r="R236">
        <v>0.94122012309565894</v>
      </c>
      <c r="S236" t="s">
        <v>5787</v>
      </c>
      <c r="T236" t="s">
        <v>11100</v>
      </c>
      <c r="U236" t="s">
        <v>11100</v>
      </c>
      <c r="V236" t="s">
        <v>11100</v>
      </c>
      <c r="W236" t="s">
        <v>11334</v>
      </c>
      <c r="X236">
        <v>2</v>
      </c>
      <c r="Y236" t="s">
        <v>16828</v>
      </c>
      <c r="Z236" t="s">
        <v>22241</v>
      </c>
      <c r="AA236">
        <v>0.61255868967299587</v>
      </c>
      <c r="AB236" t="str">
        <f>HYPERLINK("Melting_Curves/meltCurve_C0H5Y7_BAK1.pdf", "Melting_Curves/meltCurve_C0H5Y7_BAK1.pdf")</f>
        <v>Melting_Curves/meltCurve_C0H5Y7_BAK1.pdf</v>
      </c>
    </row>
    <row r="237" spans="1:28" x14ac:dyDescent="0.25">
      <c r="A237" t="s">
        <v>241</v>
      </c>
      <c r="B237">
        <v>0.99299721793515405</v>
      </c>
      <c r="C237">
        <v>0.88322699871017196</v>
      </c>
      <c r="D237">
        <v>0.87219190524029999</v>
      </c>
      <c r="E237">
        <v>0.74290975099256196</v>
      </c>
      <c r="F237">
        <v>0.70390047371466302</v>
      </c>
      <c r="G237">
        <v>0.46030087815808901</v>
      </c>
      <c r="H237">
        <v>0.50615508471399895</v>
      </c>
      <c r="I237">
        <v>0.279274565567599</v>
      </c>
      <c r="J237">
        <v>0.20656612288133899</v>
      </c>
      <c r="K237">
        <v>0.16845726878199099</v>
      </c>
      <c r="L237">
        <v>406.087738091581</v>
      </c>
      <c r="M237">
        <v>7.4814995918157496</v>
      </c>
      <c r="N237">
        <v>54.278907941326999</v>
      </c>
      <c r="O237">
        <v>50.806646810268397</v>
      </c>
      <c r="P237">
        <v>-3.6866994055921198E-2</v>
      </c>
      <c r="Q237">
        <v>0</v>
      </c>
      <c r="R237">
        <v>0.96956722152053598</v>
      </c>
      <c r="S237" t="s">
        <v>5788</v>
      </c>
      <c r="T237" t="s">
        <v>11100</v>
      </c>
      <c r="U237" t="s">
        <v>11100</v>
      </c>
      <c r="V237" t="s">
        <v>11100</v>
      </c>
      <c r="W237" t="s">
        <v>11335</v>
      </c>
      <c r="X237">
        <v>1</v>
      </c>
      <c r="Y237" t="s">
        <v>16829</v>
      </c>
      <c r="Z237" t="s">
        <v>22242</v>
      </c>
      <c r="AA237">
        <v>0.58676878604783933</v>
      </c>
      <c r="AB237" t="str">
        <f>HYPERLINK("Melting_Curves/meltCurve_C1IDX9_ATG12.pdf", "Melting_Curves/meltCurve_C1IDX9_ATG12.pdf")</f>
        <v>Melting_Curves/meltCurve_C1IDX9_ATG12.pdf</v>
      </c>
    </row>
    <row r="238" spans="1:28" x14ac:dyDescent="0.25">
      <c r="A238" t="s">
        <v>242</v>
      </c>
      <c r="B238">
        <v>0.99299721793515405</v>
      </c>
      <c r="C238">
        <v>0.78474086989354397</v>
      </c>
      <c r="D238">
        <v>1.09365970248398</v>
      </c>
      <c r="E238">
        <v>0.77699867029937297</v>
      </c>
      <c r="F238">
        <v>0.79256794711627798</v>
      </c>
      <c r="G238">
        <v>0.85639966790584299</v>
      </c>
      <c r="H238">
        <v>0.89731776844970801</v>
      </c>
      <c r="I238">
        <v>0.85640545867714302</v>
      </c>
      <c r="J238">
        <v>0.73210686209396103</v>
      </c>
      <c r="K238">
        <v>0.66443660800425297</v>
      </c>
      <c r="L238">
        <v>159.443016660388</v>
      </c>
      <c r="M238">
        <v>1.3525796357195901</v>
      </c>
      <c r="O238">
        <v>53.5220302846744</v>
      </c>
      <c r="P238">
        <v>-7.6430861259460204E-3</v>
      </c>
      <c r="Q238">
        <v>0</v>
      </c>
      <c r="R238">
        <v>0.34299944351307499</v>
      </c>
      <c r="S238" t="s">
        <v>5789</v>
      </c>
      <c r="T238" t="s">
        <v>11100</v>
      </c>
      <c r="U238" t="s">
        <v>11100</v>
      </c>
      <c r="V238" t="s">
        <v>11100</v>
      </c>
      <c r="W238" t="s">
        <v>11336</v>
      </c>
      <c r="X238">
        <v>3</v>
      </c>
      <c r="Y238" t="s">
        <v>16830</v>
      </c>
      <c r="Z238" t="s">
        <v>22243</v>
      </c>
      <c r="AA238">
        <v>0.84624368094549185</v>
      </c>
      <c r="AB238" t="str">
        <f>HYPERLINK("Melting_Curves/meltCurve_C4AMC7_WASH3P.pdf", "Melting_Curves/meltCurve_C4AMC7_WASH3P.pdf")</f>
        <v>Melting_Curves/meltCurve_C4AMC7_WASH3P.pdf</v>
      </c>
    </row>
    <row r="239" spans="1:28" x14ac:dyDescent="0.25">
      <c r="A239" t="s">
        <v>243</v>
      </c>
      <c r="B239">
        <v>0.99299721793515405</v>
      </c>
      <c r="C239">
        <v>0.93931737762379497</v>
      </c>
      <c r="D239">
        <v>1.04390758507663</v>
      </c>
      <c r="E239">
        <v>0.95090666914606303</v>
      </c>
      <c r="F239">
        <v>0.68855601286616697</v>
      </c>
      <c r="G239">
        <v>0.55560978267974903</v>
      </c>
      <c r="H239">
        <v>0.692786410602792</v>
      </c>
      <c r="I239">
        <v>0.80931999407574695</v>
      </c>
      <c r="J239">
        <v>0.66101714335039696</v>
      </c>
      <c r="K239">
        <v>0.74256172119917896</v>
      </c>
      <c r="L239">
        <v>11727.548309239601</v>
      </c>
      <c r="M239">
        <v>250</v>
      </c>
      <c r="O239">
        <v>46.9072135506538</v>
      </c>
      <c r="P239">
        <v>-0.410862053464636</v>
      </c>
      <c r="Q239">
        <v>0.69164184026921705</v>
      </c>
      <c r="R239">
        <v>0.83016550296733205</v>
      </c>
      <c r="S239" t="s">
        <v>5790</v>
      </c>
      <c r="T239" t="s">
        <v>11100</v>
      </c>
      <c r="U239" t="s">
        <v>11100</v>
      </c>
      <c r="V239" t="s">
        <v>11100</v>
      </c>
      <c r="W239" t="s">
        <v>11337</v>
      </c>
      <c r="X239">
        <v>2</v>
      </c>
      <c r="Y239" t="s">
        <v>16831</v>
      </c>
      <c r="Z239" t="s">
        <v>22244</v>
      </c>
      <c r="AA239">
        <v>0.79353019133712899</v>
      </c>
      <c r="AB239" t="str">
        <f>HYPERLINK("Melting_Curves/meltCurve_C6GKU9_MED30S.pdf", "Melting_Curves/meltCurve_C6GKU9_MED30S.pdf")</f>
        <v>Melting_Curves/meltCurve_C6GKU9_MED30S.pdf</v>
      </c>
    </row>
    <row r="240" spans="1:28" x14ac:dyDescent="0.25">
      <c r="A240" t="s">
        <v>244</v>
      </c>
      <c r="B240">
        <v>0.99299721793515405</v>
      </c>
      <c r="C240">
        <v>0.97787762024063796</v>
      </c>
      <c r="D240">
        <v>0.959768753509045</v>
      </c>
      <c r="E240">
        <v>0.78720311072167204</v>
      </c>
      <c r="F240">
        <v>0.48465450340538102</v>
      </c>
      <c r="G240">
        <v>0.27142923079064102</v>
      </c>
      <c r="H240">
        <v>0.19121980548134099</v>
      </c>
      <c r="I240">
        <v>0.172872777970732</v>
      </c>
      <c r="J240">
        <v>0.17781770666010299</v>
      </c>
      <c r="K240">
        <v>0.183030297031508</v>
      </c>
      <c r="L240">
        <v>1047.14217972353</v>
      </c>
      <c r="M240">
        <v>21.3806067480016</v>
      </c>
      <c r="N240">
        <v>49.931363122860098</v>
      </c>
      <c r="O240">
        <v>48.553853957888599</v>
      </c>
      <c r="P240">
        <v>-9.1612955178113006E-2</v>
      </c>
      <c r="Q240">
        <v>0.16783449456116001</v>
      </c>
      <c r="R240">
        <v>0.99941909960264796</v>
      </c>
      <c r="S240" t="s">
        <v>5791</v>
      </c>
      <c r="T240" t="s">
        <v>11100</v>
      </c>
      <c r="U240" t="s">
        <v>11100</v>
      </c>
      <c r="V240" t="s">
        <v>11100</v>
      </c>
      <c r="W240" t="s">
        <v>11338</v>
      </c>
      <c r="X240">
        <v>3</v>
      </c>
      <c r="Y240" t="s">
        <v>16832</v>
      </c>
      <c r="Z240" t="s">
        <v>22245</v>
      </c>
      <c r="AA240">
        <v>0.50973322320670611</v>
      </c>
      <c r="AB240" t="str">
        <f>HYPERLINK("Melting_Curves/meltCurve_C9IYZ1_ASNSD1.pdf", "Melting_Curves/meltCurve_C9IYZ1_ASNSD1.pdf")</f>
        <v>Melting_Curves/meltCurve_C9IYZ1_ASNSD1.pdf</v>
      </c>
    </row>
    <row r="241" spans="1:28" x14ac:dyDescent="0.25">
      <c r="A241" t="s">
        <v>245</v>
      </c>
      <c r="B241">
        <v>0.99299721793515405</v>
      </c>
      <c r="C241">
        <v>0.91060469464779503</v>
      </c>
      <c r="D241">
        <v>0.81257969185324397</v>
      </c>
      <c r="E241">
        <v>1.03664663362436</v>
      </c>
      <c r="F241">
        <v>0.88612610681599102</v>
      </c>
      <c r="G241">
        <v>0.50017633467036604</v>
      </c>
      <c r="H241">
        <v>0.415214237487184</v>
      </c>
      <c r="I241">
        <v>0.15134139652775899</v>
      </c>
      <c r="J241">
        <v>0.11322742295434</v>
      </c>
      <c r="K241">
        <v>0.223902440147592</v>
      </c>
      <c r="L241">
        <v>1199.86063946236</v>
      </c>
      <c r="M241">
        <v>22.3387722865677</v>
      </c>
      <c r="N241">
        <v>54.603766428676899</v>
      </c>
      <c r="O241">
        <v>53.287149459200201</v>
      </c>
      <c r="P241">
        <v>-8.8787836816187599E-2</v>
      </c>
      <c r="Q241">
        <v>0.15283595548669501</v>
      </c>
      <c r="R241">
        <v>0.93930858739664302</v>
      </c>
      <c r="S241" t="s">
        <v>5792</v>
      </c>
      <c r="T241" t="s">
        <v>11100</v>
      </c>
      <c r="U241" t="s">
        <v>11100</v>
      </c>
      <c r="V241" t="s">
        <v>11100</v>
      </c>
      <c r="W241" t="s">
        <v>11339</v>
      </c>
      <c r="X241">
        <v>3</v>
      </c>
      <c r="Y241" t="s">
        <v>16833</v>
      </c>
      <c r="Z241" t="s">
        <v>22246</v>
      </c>
      <c r="AA241">
        <v>0.63363884543043991</v>
      </c>
      <c r="AB241" t="str">
        <f>HYPERLINK("Melting_Curves/meltCurve_C9IZF6_PNPLA4.pdf", "Melting_Curves/meltCurve_C9IZF6_PNPLA4.pdf")</f>
        <v>Melting_Curves/meltCurve_C9IZF6_PNPLA4.pdf</v>
      </c>
    </row>
    <row r="242" spans="1:28" x14ac:dyDescent="0.25">
      <c r="A242" t="s">
        <v>246</v>
      </c>
      <c r="B242">
        <v>0.99299721793515405</v>
      </c>
      <c r="C242">
        <v>0.96006893704986995</v>
      </c>
      <c r="D242">
        <v>1.04999155178583</v>
      </c>
      <c r="E242">
        <v>0.63473910587742699</v>
      </c>
      <c r="F242">
        <v>0.600270484396909</v>
      </c>
      <c r="G242">
        <v>0.32581713241020099</v>
      </c>
      <c r="H242">
        <v>0.40986921013466998</v>
      </c>
      <c r="I242">
        <v>0.27367657077499102</v>
      </c>
      <c r="J242">
        <v>0.232938910116225</v>
      </c>
      <c r="K242">
        <v>0.40842170945272899</v>
      </c>
      <c r="L242">
        <v>935.000985027247</v>
      </c>
      <c r="M242">
        <v>19.5692765357059</v>
      </c>
      <c r="N242">
        <v>50.358913497277896</v>
      </c>
      <c r="O242">
        <v>47.2885025800622</v>
      </c>
      <c r="P242">
        <v>-7.0712612344228695E-2</v>
      </c>
      <c r="Q242">
        <v>0.31652577903368001</v>
      </c>
      <c r="R242">
        <v>0.92960573485047604</v>
      </c>
      <c r="S242" t="s">
        <v>5793</v>
      </c>
      <c r="T242" t="s">
        <v>11100</v>
      </c>
      <c r="U242" t="s">
        <v>11100</v>
      </c>
      <c r="V242" t="s">
        <v>11100</v>
      </c>
      <c r="W242" t="s">
        <v>11340</v>
      </c>
      <c r="X242">
        <v>1</v>
      </c>
      <c r="Y242" t="s">
        <v>16834</v>
      </c>
      <c r="Z242" t="s">
        <v>22247</v>
      </c>
      <c r="AA242">
        <v>0.57145029940751912</v>
      </c>
      <c r="AB242" t="str">
        <f>HYPERLINK("Melting_Curves/meltCurve_C9IZZ8_ITGB1BP1.pdf", "Melting_Curves/meltCurve_C9IZZ8_ITGB1BP1.pdf")</f>
        <v>Melting_Curves/meltCurve_C9IZZ8_ITGB1BP1.pdf</v>
      </c>
    </row>
    <row r="243" spans="1:28" x14ac:dyDescent="0.25">
      <c r="A243" t="s">
        <v>247</v>
      </c>
      <c r="B243">
        <v>0.99299721793515405</v>
      </c>
      <c r="C243">
        <v>0.76966021526991002</v>
      </c>
      <c r="D243">
        <v>1.2106081989813899</v>
      </c>
      <c r="E243">
        <v>0.77707589921838005</v>
      </c>
      <c r="F243">
        <v>0.52975116620065199</v>
      </c>
      <c r="G243">
        <v>0.60141221764165298</v>
      </c>
      <c r="H243">
        <v>0.40449418061572501</v>
      </c>
      <c r="I243">
        <v>0.14399546990249601</v>
      </c>
      <c r="J243">
        <v>0.10794875219114</v>
      </c>
      <c r="K243">
        <v>0.142553636897403</v>
      </c>
      <c r="L243">
        <v>566.95478260377797</v>
      </c>
      <c r="M243">
        <v>10.5632769034286</v>
      </c>
      <c r="N243">
        <v>53.672260571256203</v>
      </c>
      <c r="O243">
        <v>51.855802588619198</v>
      </c>
      <c r="P243">
        <v>-5.0946290912252799E-2</v>
      </c>
      <c r="Q243">
        <v>0</v>
      </c>
      <c r="R243">
        <v>0.86807200920773397</v>
      </c>
      <c r="S243" t="s">
        <v>5794</v>
      </c>
      <c r="T243" t="s">
        <v>11100</v>
      </c>
      <c r="U243" t="s">
        <v>11100</v>
      </c>
      <c r="V243" t="s">
        <v>11100</v>
      </c>
      <c r="W243" t="s">
        <v>11341</v>
      </c>
      <c r="X243">
        <v>4</v>
      </c>
      <c r="Y243" t="s">
        <v>16835</v>
      </c>
      <c r="Z243" t="s">
        <v>22248</v>
      </c>
      <c r="AA243">
        <v>0.57508461490644192</v>
      </c>
      <c r="AB243" t="str">
        <f>HYPERLINK("Melting_Curves/meltCurve_C9J0F2_PCMT1.pdf", "Melting_Curves/meltCurve_C9J0F2_PCMT1.pdf")</f>
        <v>Melting_Curves/meltCurve_C9J0F2_PCMT1.pdf</v>
      </c>
    </row>
    <row r="244" spans="1:28" x14ac:dyDescent="0.25">
      <c r="A244" t="s">
        <v>248</v>
      </c>
      <c r="B244">
        <v>0.99299721793515405</v>
      </c>
      <c r="C244">
        <v>0.96790324330438804</v>
      </c>
      <c r="D244">
        <v>0.92701941765972495</v>
      </c>
      <c r="E244">
        <v>0.91594598755611101</v>
      </c>
      <c r="F244">
        <v>0.68090523873384101</v>
      </c>
      <c r="G244">
        <v>0.17292807558686901</v>
      </c>
      <c r="H244">
        <v>0.13603513728515401</v>
      </c>
      <c r="I244">
        <v>0.107193391703139</v>
      </c>
      <c r="J244">
        <v>0.119944594574281</v>
      </c>
      <c r="K244">
        <v>8.1536531935112899E-2</v>
      </c>
      <c r="L244">
        <v>1978.7383849256501</v>
      </c>
      <c r="M244">
        <v>38.903505493010996</v>
      </c>
      <c r="N244">
        <v>51.1671943895103</v>
      </c>
      <c r="O244">
        <v>50.728890647412101</v>
      </c>
      <c r="P244">
        <v>-0.17191412164720901</v>
      </c>
      <c r="Q244">
        <v>0.10332065076076399</v>
      </c>
      <c r="R244">
        <v>0.99231485365637195</v>
      </c>
      <c r="S244" t="s">
        <v>5795</v>
      </c>
      <c r="T244" t="s">
        <v>11100</v>
      </c>
      <c r="U244" t="s">
        <v>11100</v>
      </c>
      <c r="V244" t="s">
        <v>11100</v>
      </c>
      <c r="W244" t="s">
        <v>11342</v>
      </c>
      <c r="X244">
        <v>12</v>
      </c>
      <c r="Y244" t="s">
        <v>16836</v>
      </c>
      <c r="Z244" t="s">
        <v>22249</v>
      </c>
      <c r="AA244">
        <v>0.5209972138122746</v>
      </c>
      <c r="AB244" t="str">
        <f>HYPERLINK("Melting_Curves/meltCurve_C9J0I9_ZC3HC1.pdf", "Melting_Curves/meltCurve_C9J0I9_ZC3HC1.pdf")</f>
        <v>Melting_Curves/meltCurve_C9J0I9_ZC3HC1.pdf</v>
      </c>
    </row>
    <row r="245" spans="1:28" x14ac:dyDescent="0.25">
      <c r="A245" t="s">
        <v>249</v>
      </c>
      <c r="B245">
        <v>0.99299721793515405</v>
      </c>
      <c r="C245">
        <v>0.93058455132300999</v>
      </c>
      <c r="D245">
        <v>1.0220652547229301</v>
      </c>
      <c r="E245">
        <v>0.87634209635972105</v>
      </c>
      <c r="F245">
        <v>0.56874688498453996</v>
      </c>
      <c r="G245">
        <v>0.27481820866713702</v>
      </c>
      <c r="H245">
        <v>0.13118031225736199</v>
      </c>
      <c r="I245">
        <v>9.6060302252395105E-2</v>
      </c>
      <c r="J245">
        <v>7.9547176312349102E-2</v>
      </c>
      <c r="K245">
        <v>7.9796584953482796E-2</v>
      </c>
      <c r="L245">
        <v>1126.20762809953</v>
      </c>
      <c r="M245">
        <v>22.273376707554199</v>
      </c>
      <c r="N245">
        <v>50.931799818673397</v>
      </c>
      <c r="O245">
        <v>50.160666105467101</v>
      </c>
      <c r="P245">
        <v>-0.102743921247424</v>
      </c>
      <c r="Q245">
        <v>7.4483618109025707E-2</v>
      </c>
      <c r="R245">
        <v>0.99594514346635998</v>
      </c>
      <c r="S245" t="s">
        <v>5796</v>
      </c>
      <c r="T245" t="s">
        <v>11100</v>
      </c>
      <c r="U245" t="s">
        <v>11100</v>
      </c>
      <c r="V245" t="s">
        <v>11100</v>
      </c>
      <c r="W245" t="s">
        <v>11343</v>
      </c>
      <c r="X245">
        <v>10</v>
      </c>
      <c r="Y245" t="s">
        <v>16837</v>
      </c>
      <c r="Z245" t="s">
        <v>22250</v>
      </c>
      <c r="AA245">
        <v>0.50297461632762186</v>
      </c>
      <c r="AB245" t="str">
        <f>HYPERLINK("Melting_Curves/meltCurve_C9J0J7_PFN2.pdf", "Melting_Curves/meltCurve_C9J0J7_PFN2.pdf")</f>
        <v>Melting_Curves/meltCurve_C9J0J7_PFN2.pdf</v>
      </c>
    </row>
    <row r="246" spans="1:28" x14ac:dyDescent="0.25">
      <c r="A246" t="s">
        <v>250</v>
      </c>
      <c r="B246">
        <v>0.99299721793515405</v>
      </c>
      <c r="C246">
        <v>0.97367774433127297</v>
      </c>
      <c r="D246">
        <v>0.89038291777191803</v>
      </c>
      <c r="E246">
        <v>0.79460189478283005</v>
      </c>
      <c r="F246">
        <v>0.68616370006786298</v>
      </c>
      <c r="G246">
        <v>0.48415429546058403</v>
      </c>
      <c r="H246">
        <v>0.43637556044516601</v>
      </c>
      <c r="I246">
        <v>0.39883490230401403</v>
      </c>
      <c r="J246">
        <v>0.25465573501814298</v>
      </c>
      <c r="K246">
        <v>0.188292220349002</v>
      </c>
      <c r="L246">
        <v>424.55565870232402</v>
      </c>
      <c r="M246">
        <v>7.7853219560657996</v>
      </c>
      <c r="N246">
        <v>55.047704449045902</v>
      </c>
      <c r="O246">
        <v>51.285615706264203</v>
      </c>
      <c r="P246">
        <v>-3.6663963895320097E-2</v>
      </c>
      <c r="Q246">
        <v>3.5115926592555802E-2</v>
      </c>
      <c r="R246">
        <v>0.98657033429055097</v>
      </c>
      <c r="S246" t="s">
        <v>5797</v>
      </c>
      <c r="T246" t="s">
        <v>11100</v>
      </c>
      <c r="U246" t="s">
        <v>11100</v>
      </c>
      <c r="V246" t="s">
        <v>11100</v>
      </c>
      <c r="W246" t="s">
        <v>11344</v>
      </c>
      <c r="X246">
        <v>13</v>
      </c>
      <c r="Y246" t="s">
        <v>16838</v>
      </c>
      <c r="Z246" t="s">
        <v>22251</v>
      </c>
      <c r="AA246">
        <v>0.6084552592459247</v>
      </c>
      <c r="AB246" t="str">
        <f>HYPERLINK("Melting_Curves/meltCurve_C9J0K6_SRI.pdf", "Melting_Curves/meltCurve_C9J0K6_SRI.pdf")</f>
        <v>Melting_Curves/meltCurve_C9J0K6_SRI.pdf</v>
      </c>
    </row>
    <row r="247" spans="1:28" x14ac:dyDescent="0.25">
      <c r="A247" t="s">
        <v>251</v>
      </c>
      <c r="B247">
        <v>0.99299721793515405</v>
      </c>
      <c r="C247">
        <v>1.12422203340413</v>
      </c>
      <c r="D247">
        <v>1.0445434746189599</v>
      </c>
      <c r="E247">
        <v>0.91758913999092195</v>
      </c>
      <c r="F247">
        <v>0.72981745049217095</v>
      </c>
      <c r="G247">
        <v>0.65074380443340696</v>
      </c>
      <c r="H247">
        <v>0.57217477005619999</v>
      </c>
      <c r="I247">
        <v>0.59617449522724197</v>
      </c>
      <c r="J247">
        <v>0.58012487221197595</v>
      </c>
      <c r="K247">
        <v>0.60549994625446601</v>
      </c>
      <c r="L247">
        <v>1397.0239091037499</v>
      </c>
      <c r="M247">
        <v>28.445739463309099</v>
      </c>
      <c r="O247">
        <v>48.871086081270398</v>
      </c>
      <c r="P247">
        <v>-5.9412838884552802E-2</v>
      </c>
      <c r="Q247">
        <v>0.59170733584163704</v>
      </c>
      <c r="R247">
        <v>0.95187108921855801</v>
      </c>
      <c r="S247" t="s">
        <v>5798</v>
      </c>
      <c r="T247" t="s">
        <v>11100</v>
      </c>
      <c r="U247" t="s">
        <v>11100</v>
      </c>
      <c r="V247" t="s">
        <v>11100</v>
      </c>
      <c r="W247" t="s">
        <v>11345</v>
      </c>
      <c r="X247">
        <v>1</v>
      </c>
      <c r="Y247" t="s">
        <v>16839</v>
      </c>
      <c r="Z247" t="s">
        <v>22252</v>
      </c>
      <c r="AA247">
        <v>0.75928970629207648</v>
      </c>
      <c r="AB247" t="str">
        <f>HYPERLINK("Melting_Curves/meltCurve_C9J0V9_ZNF655.pdf", "Melting_Curves/meltCurve_C9J0V9_ZNF655.pdf")</f>
        <v>Melting_Curves/meltCurve_C9J0V9_ZNF655.pdf</v>
      </c>
    </row>
    <row r="248" spans="1:28" x14ac:dyDescent="0.25">
      <c r="A248" t="s">
        <v>252</v>
      </c>
      <c r="B248">
        <v>0.99299721793515405</v>
      </c>
      <c r="C248">
        <v>0.93455668200231601</v>
      </c>
      <c r="D248">
        <v>0.79417415893786303</v>
      </c>
      <c r="E248">
        <v>0.85093987768744495</v>
      </c>
      <c r="F248">
        <v>0.73376045156133796</v>
      </c>
      <c r="G248">
        <v>0.48618602821999302</v>
      </c>
      <c r="H248">
        <v>0.33880186190745198</v>
      </c>
      <c r="I248">
        <v>0.19607620467057199</v>
      </c>
      <c r="J248">
        <v>0.207320644999894</v>
      </c>
      <c r="K248">
        <v>0.19535280626887799</v>
      </c>
      <c r="L248">
        <v>507.65621132752398</v>
      </c>
      <c r="M248">
        <v>9.4997966240783498</v>
      </c>
      <c r="N248">
        <v>53.7879689395618</v>
      </c>
      <c r="O248">
        <v>51.231385956506401</v>
      </c>
      <c r="P248">
        <v>-4.4997078983386299E-2</v>
      </c>
      <c r="Q248">
        <v>2.9916126209577801E-2</v>
      </c>
      <c r="R248">
        <v>0.969479254694532</v>
      </c>
      <c r="S248" t="s">
        <v>5799</v>
      </c>
      <c r="T248" t="s">
        <v>11100</v>
      </c>
      <c r="U248" t="s">
        <v>11100</v>
      </c>
      <c r="V248" t="s">
        <v>11100</v>
      </c>
      <c r="W248" t="s">
        <v>11346</v>
      </c>
      <c r="X248">
        <v>4</v>
      </c>
      <c r="Y248" t="s">
        <v>16840</v>
      </c>
      <c r="Z248" t="s">
        <v>22253</v>
      </c>
      <c r="AA248">
        <v>0.58109465165244556</v>
      </c>
      <c r="AB248" t="str">
        <f>HYPERLINK("Melting_Curves/meltCurve_C9J173_INPP1.pdf", "Melting_Curves/meltCurve_C9J173_INPP1.pdf")</f>
        <v>Melting_Curves/meltCurve_C9J173_INPP1.pdf</v>
      </c>
    </row>
    <row r="249" spans="1:28" x14ac:dyDescent="0.25">
      <c r="A249" t="s">
        <v>253</v>
      </c>
      <c r="B249">
        <v>0.99299721793515405</v>
      </c>
      <c r="C249">
        <v>1.0133466292392099</v>
      </c>
      <c r="D249">
        <v>0.86238707196577402</v>
      </c>
      <c r="E249">
        <v>0.79931253413481496</v>
      </c>
      <c r="F249">
        <v>0.69952179837530903</v>
      </c>
      <c r="G249">
        <v>0.54743422315644696</v>
      </c>
      <c r="H249">
        <v>0.51473222675891706</v>
      </c>
      <c r="I249">
        <v>0.59141386407088503</v>
      </c>
      <c r="J249">
        <v>0.55917999196524304</v>
      </c>
      <c r="K249">
        <v>0.35094358880036902</v>
      </c>
      <c r="L249">
        <v>543.94995719861902</v>
      </c>
      <c r="M249">
        <v>11.134031648287101</v>
      </c>
      <c r="N249">
        <v>60.982603202716803</v>
      </c>
      <c r="O249">
        <v>47.358196485601297</v>
      </c>
      <c r="P249">
        <v>-3.2608434318889497E-2</v>
      </c>
      <c r="Q249">
        <v>0.44538362559494299</v>
      </c>
      <c r="R249">
        <v>0.91625372086979695</v>
      </c>
      <c r="S249" t="s">
        <v>5800</v>
      </c>
      <c r="T249" t="s">
        <v>11100</v>
      </c>
      <c r="U249" t="s">
        <v>11100</v>
      </c>
      <c r="V249" t="s">
        <v>11100</v>
      </c>
      <c r="W249" t="s">
        <v>11347</v>
      </c>
      <c r="X249">
        <v>3</v>
      </c>
      <c r="Y249" t="s">
        <v>16841</v>
      </c>
      <c r="Z249" t="s">
        <v>22254</v>
      </c>
      <c r="AA249">
        <v>0.68286215813898765</v>
      </c>
      <c r="AB249" t="str">
        <f>HYPERLINK("Melting_Curves/meltCurve_C9J1K8_MEGF9.pdf", "Melting_Curves/meltCurve_C9J1K8_MEGF9.pdf")</f>
        <v>Melting_Curves/meltCurve_C9J1K8_MEGF9.pdf</v>
      </c>
    </row>
    <row r="250" spans="1:28" x14ac:dyDescent="0.25">
      <c r="A250" t="s">
        <v>254</v>
      </c>
      <c r="B250">
        <v>0.99299721793515405</v>
      </c>
      <c r="C250">
        <v>1.01220944167698</v>
      </c>
      <c r="D250">
        <v>0.89353504957998997</v>
      </c>
      <c r="E250">
        <v>0.84281258773331502</v>
      </c>
      <c r="F250">
        <v>0.66773950400232296</v>
      </c>
      <c r="G250">
        <v>0.54065560726081996</v>
      </c>
      <c r="H250">
        <v>0.404858055643322</v>
      </c>
      <c r="I250">
        <v>0.27307950783957002</v>
      </c>
      <c r="J250">
        <v>0.18892757024052001</v>
      </c>
      <c r="K250">
        <v>0.15066853105853001</v>
      </c>
      <c r="L250">
        <v>505.62629942925201</v>
      </c>
      <c r="M250">
        <v>9.2665024436400891</v>
      </c>
      <c r="N250">
        <v>54.564937046455299</v>
      </c>
      <c r="O250">
        <v>52.204379912691998</v>
      </c>
      <c r="P250">
        <v>-4.4404930426950498E-2</v>
      </c>
      <c r="Q250">
        <v>0</v>
      </c>
      <c r="R250">
        <v>0.99584248505002804</v>
      </c>
      <c r="S250" t="s">
        <v>5801</v>
      </c>
      <c r="T250" t="s">
        <v>11100</v>
      </c>
      <c r="U250" t="s">
        <v>11100</v>
      </c>
      <c r="V250" t="s">
        <v>11100</v>
      </c>
      <c r="W250" t="s">
        <v>11348</v>
      </c>
      <c r="X250">
        <v>3</v>
      </c>
      <c r="Y250" t="s">
        <v>16842</v>
      </c>
      <c r="Z250" t="s">
        <v>22255</v>
      </c>
      <c r="AA250">
        <v>0.59897185311080037</v>
      </c>
      <c r="AB250" t="str">
        <f>HYPERLINK("Melting_Curves/meltCurve_C9J212_UBE2F.pdf", "Melting_Curves/meltCurve_C9J212_UBE2F.pdf")</f>
        <v>Melting_Curves/meltCurve_C9J212_UBE2F.pdf</v>
      </c>
    </row>
    <row r="251" spans="1:28" x14ac:dyDescent="0.25">
      <c r="A251" t="s">
        <v>255</v>
      </c>
      <c r="B251">
        <v>0.99299721793515405</v>
      </c>
      <c r="C251">
        <v>0.97677308223214099</v>
      </c>
      <c r="D251">
        <v>0.86341644850916199</v>
      </c>
      <c r="E251">
        <v>0.99837706299515305</v>
      </c>
      <c r="F251">
        <v>0.63603055743840897</v>
      </c>
      <c r="G251">
        <v>0.336829379151877</v>
      </c>
      <c r="H251">
        <v>0.20834966346693301</v>
      </c>
      <c r="I251">
        <v>1.01123866283523E-2</v>
      </c>
      <c r="J251">
        <v>1.3185307683276901E-2</v>
      </c>
      <c r="K251">
        <v>0.17133744113497401</v>
      </c>
      <c r="L251">
        <v>1158.2451827417599</v>
      </c>
      <c r="M251">
        <v>22.4671203811588</v>
      </c>
      <c r="N251">
        <v>51.885705016955299</v>
      </c>
      <c r="O251">
        <v>51.149695763513499</v>
      </c>
      <c r="P251">
        <v>-0.102444109418719</v>
      </c>
      <c r="Q251">
        <v>6.7103108549197807E-2</v>
      </c>
      <c r="R251">
        <v>0.96933380239671296</v>
      </c>
      <c r="S251" t="s">
        <v>5802</v>
      </c>
      <c r="T251" t="s">
        <v>11100</v>
      </c>
      <c r="U251" t="s">
        <v>11100</v>
      </c>
      <c r="V251" t="s">
        <v>11100</v>
      </c>
      <c r="W251" t="s">
        <v>11349</v>
      </c>
      <c r="X251">
        <v>4</v>
      </c>
      <c r="Y251" t="s">
        <v>16843</v>
      </c>
      <c r="Z251" t="s">
        <v>22256</v>
      </c>
      <c r="AA251">
        <v>0.52963474940919542</v>
      </c>
      <c r="AB251" t="str">
        <f>HYPERLINK("Melting_Curves/meltCurve_C9J2P0_UBE2E1.pdf", "Melting_Curves/meltCurve_C9J2P0_UBE2E1.pdf")</f>
        <v>Melting_Curves/meltCurve_C9J2P0_UBE2E1.pdf</v>
      </c>
    </row>
    <row r="252" spans="1:28" x14ac:dyDescent="0.25">
      <c r="A252" t="s">
        <v>256</v>
      </c>
      <c r="B252">
        <v>0.99299721793515405</v>
      </c>
      <c r="C252">
        <v>1.09037806798848</v>
      </c>
      <c r="D252">
        <v>1.1574838541235499</v>
      </c>
      <c r="E252">
        <v>1.06285584045411</v>
      </c>
      <c r="F252">
        <v>0.83687758243659205</v>
      </c>
      <c r="G252">
        <v>0.73246166345560304</v>
      </c>
      <c r="H252">
        <v>0.268187616246438</v>
      </c>
      <c r="I252">
        <v>0.18246164020674699</v>
      </c>
      <c r="J252">
        <v>0.19668943387363699</v>
      </c>
      <c r="K252">
        <v>0.183664081759327</v>
      </c>
      <c r="L252">
        <v>1755.99750810506</v>
      </c>
      <c r="M252">
        <v>32.165366377045203</v>
      </c>
      <c r="N252">
        <v>55.297606795022503</v>
      </c>
      <c r="O252">
        <v>54.383089716670703</v>
      </c>
      <c r="P252">
        <v>-0.12299976954620701</v>
      </c>
      <c r="Q252">
        <v>0.168164409229935</v>
      </c>
      <c r="R252">
        <v>0.96405250578087498</v>
      </c>
      <c r="S252" t="s">
        <v>5803</v>
      </c>
      <c r="T252" t="s">
        <v>11100</v>
      </c>
      <c r="U252" t="s">
        <v>11100</v>
      </c>
      <c r="V252" t="s">
        <v>11100</v>
      </c>
      <c r="W252" t="s">
        <v>11350</v>
      </c>
      <c r="X252">
        <v>5</v>
      </c>
      <c r="Y252" t="s">
        <v>16844</v>
      </c>
      <c r="Z252" t="s">
        <v>22257</v>
      </c>
      <c r="AA252">
        <v>0.6606556323828745</v>
      </c>
      <c r="AB252" t="str">
        <f>HYPERLINK("Melting_Curves/meltCurve_C9J2U4_TAMM41.pdf", "Melting_Curves/meltCurve_C9J2U4_TAMM41.pdf")</f>
        <v>Melting_Curves/meltCurve_C9J2U4_TAMM41.pdf</v>
      </c>
    </row>
    <row r="253" spans="1:28" x14ac:dyDescent="0.25">
      <c r="A253" t="s">
        <v>257</v>
      </c>
      <c r="B253">
        <v>0.99299721793515405</v>
      </c>
      <c r="C253">
        <v>0.97262749319768704</v>
      </c>
      <c r="D253">
        <v>0.74155105568634405</v>
      </c>
      <c r="E253">
        <v>0.95950193505784198</v>
      </c>
      <c r="F253">
        <v>0.80702282166752703</v>
      </c>
      <c r="G253">
        <v>0.125939921248863</v>
      </c>
      <c r="H253">
        <v>0.67148819483981304</v>
      </c>
      <c r="I253">
        <v>0.83477057403163102</v>
      </c>
      <c r="J253">
        <v>0.91691851660373602</v>
      </c>
      <c r="K253">
        <v>0.63735086984590705</v>
      </c>
      <c r="L253">
        <v>729.55514950970405</v>
      </c>
      <c r="M253">
        <v>16.578231827592099</v>
      </c>
      <c r="O253">
        <v>43.3814479037867</v>
      </c>
      <c r="P253">
        <v>-3.1337180218508703E-2</v>
      </c>
      <c r="Q253">
        <v>0.672013369801712</v>
      </c>
      <c r="R253">
        <v>0.221186689666586</v>
      </c>
      <c r="S253" t="s">
        <v>5804</v>
      </c>
      <c r="T253" t="s">
        <v>11100</v>
      </c>
      <c r="U253" t="s">
        <v>11100</v>
      </c>
      <c r="V253" t="s">
        <v>11100</v>
      </c>
      <c r="W253" t="s">
        <v>11351</v>
      </c>
      <c r="X253">
        <v>7</v>
      </c>
      <c r="Y253" t="s">
        <v>16845</v>
      </c>
      <c r="Z253" t="s">
        <v>22258</v>
      </c>
      <c r="AA253">
        <v>0.75521318544922544</v>
      </c>
      <c r="AB253" t="str">
        <f>HYPERLINK("Melting_Curves/meltCurve_C9J2V2_IKBKG.pdf", "Melting_Curves/meltCurve_C9J2V2_IKBKG.pdf")</f>
        <v>Melting_Curves/meltCurve_C9J2V2_IKBKG.pdf</v>
      </c>
    </row>
    <row r="254" spans="1:28" x14ac:dyDescent="0.25">
      <c r="A254" t="s">
        <v>258</v>
      </c>
      <c r="B254">
        <v>0.99299721793515405</v>
      </c>
      <c r="C254">
        <v>1.0245856817699199</v>
      </c>
      <c r="D254">
        <v>0.79115395412556799</v>
      </c>
      <c r="E254">
        <v>0.91250951991699902</v>
      </c>
      <c r="F254">
        <v>0.73785153873534903</v>
      </c>
      <c r="G254">
        <v>0.20008100601186601</v>
      </c>
      <c r="H254">
        <v>0.190835517447974</v>
      </c>
      <c r="I254">
        <v>0.152504947796547</v>
      </c>
      <c r="J254">
        <v>0.13808286695031799</v>
      </c>
      <c r="K254">
        <v>5.48319356836445E-2</v>
      </c>
      <c r="L254">
        <v>2067.0038955999999</v>
      </c>
      <c r="M254">
        <v>40.421171141053598</v>
      </c>
      <c r="N254">
        <v>51.504669088519996</v>
      </c>
      <c r="O254">
        <v>51.0119949633144</v>
      </c>
      <c r="P254">
        <v>-0.17325104530282401</v>
      </c>
      <c r="Q254">
        <v>0.125422501586091</v>
      </c>
      <c r="R254">
        <v>0.959552888951411</v>
      </c>
      <c r="S254" t="s">
        <v>5805</v>
      </c>
      <c r="T254" t="s">
        <v>11100</v>
      </c>
      <c r="U254" t="s">
        <v>11100</v>
      </c>
      <c r="V254" t="s">
        <v>11100</v>
      </c>
      <c r="W254" t="s">
        <v>11352</v>
      </c>
      <c r="X254">
        <v>2</v>
      </c>
      <c r="Y254" t="s">
        <v>16846</v>
      </c>
      <c r="Z254" t="s">
        <v>22259</v>
      </c>
      <c r="AA254">
        <v>0.54056568727235355</v>
      </c>
      <c r="AB254" t="str">
        <f>HYPERLINK("Melting_Curves/meltCurve_C9J3D7_CROT.pdf", "Melting_Curves/meltCurve_C9J3D7_CROT.pdf")</f>
        <v>Melting_Curves/meltCurve_C9J3D7_CROT.pdf</v>
      </c>
    </row>
    <row r="255" spans="1:28" x14ac:dyDescent="0.25">
      <c r="A255" t="s">
        <v>259</v>
      </c>
      <c r="B255">
        <v>0.99299721793515405</v>
      </c>
      <c r="C255">
        <v>0.83059004891160304</v>
      </c>
      <c r="D255">
        <v>1.04217291629437</v>
      </c>
      <c r="E255">
        <v>0.93264104029830397</v>
      </c>
      <c r="F255">
        <v>0.85412395649058404</v>
      </c>
      <c r="G255">
        <v>0.61629591580801402</v>
      </c>
      <c r="H255">
        <v>0.49380415631880198</v>
      </c>
      <c r="I255">
        <v>0.37826601709245</v>
      </c>
      <c r="J255">
        <v>0.22942836692909399</v>
      </c>
      <c r="K255">
        <v>0.131072857257093</v>
      </c>
      <c r="L255">
        <v>636.39744615574102</v>
      </c>
      <c r="M255">
        <v>11.129321501446601</v>
      </c>
      <c r="N255">
        <v>57.182052529902599</v>
      </c>
      <c r="O255">
        <v>55.429024059835498</v>
      </c>
      <c r="P255">
        <v>-5.0212461844125401E-2</v>
      </c>
      <c r="Q255">
        <v>0</v>
      </c>
      <c r="R255">
        <v>0.96155112796155295</v>
      </c>
      <c r="S255" t="s">
        <v>5806</v>
      </c>
      <c r="T255" t="s">
        <v>11100</v>
      </c>
      <c r="U255" t="s">
        <v>11100</v>
      </c>
      <c r="V255" t="s">
        <v>11100</v>
      </c>
      <c r="W255" t="s">
        <v>11353</v>
      </c>
      <c r="X255">
        <v>10</v>
      </c>
      <c r="Y255" t="s">
        <v>16847</v>
      </c>
      <c r="Z255" t="s">
        <v>22260</v>
      </c>
      <c r="AA255">
        <v>0.67426337355559973</v>
      </c>
      <c r="AB255" t="str">
        <f>HYPERLINK("Melting_Curves/meltCurve_C9J3L7_REPIN1.pdf", "Melting_Curves/meltCurve_C9J3L7_REPIN1.pdf")</f>
        <v>Melting_Curves/meltCurve_C9J3L7_REPIN1.pdf</v>
      </c>
    </row>
    <row r="256" spans="1:28" x14ac:dyDescent="0.25">
      <c r="A256" t="s">
        <v>260</v>
      </c>
      <c r="B256">
        <v>0.99299721793515405</v>
      </c>
      <c r="C256">
        <v>1.1615515556568901</v>
      </c>
      <c r="D256">
        <v>0.83534169538269198</v>
      </c>
      <c r="E256">
        <v>0.90573473600058396</v>
      </c>
      <c r="F256">
        <v>0.67632467818470998</v>
      </c>
      <c r="G256">
        <v>0.668391047177324</v>
      </c>
      <c r="H256">
        <v>0.62399836076146997</v>
      </c>
      <c r="I256">
        <v>0.69271993903066698</v>
      </c>
      <c r="J256">
        <v>0.56123882713129303</v>
      </c>
      <c r="K256">
        <v>0.42407195225663202</v>
      </c>
      <c r="L256">
        <v>557.580458090962</v>
      </c>
      <c r="M256">
        <v>11.097854972407999</v>
      </c>
      <c r="O256">
        <v>48.693605185269497</v>
      </c>
      <c r="P256">
        <v>-2.80301545699977E-2</v>
      </c>
      <c r="Q256">
        <v>0.50821329558360995</v>
      </c>
      <c r="R256">
        <v>0.80965132782469595</v>
      </c>
      <c r="S256" t="s">
        <v>5807</v>
      </c>
      <c r="T256" t="s">
        <v>11100</v>
      </c>
      <c r="U256" t="s">
        <v>11100</v>
      </c>
      <c r="V256" t="s">
        <v>11100</v>
      </c>
      <c r="W256" t="s">
        <v>11354</v>
      </c>
      <c r="X256">
        <v>2</v>
      </c>
      <c r="Y256" t="s">
        <v>16848</v>
      </c>
      <c r="Z256" t="s">
        <v>22261</v>
      </c>
      <c r="AA256">
        <v>0.74002706851317868</v>
      </c>
      <c r="AB256" t="str">
        <f>HYPERLINK("Melting_Curves/meltCurve_C9J3L8_SSR1.pdf", "Melting_Curves/meltCurve_C9J3L8_SSR1.pdf")</f>
        <v>Melting_Curves/meltCurve_C9J3L8_SSR1.pdf</v>
      </c>
    </row>
    <row r="257" spans="1:28" x14ac:dyDescent="0.25">
      <c r="A257" t="s">
        <v>261</v>
      </c>
      <c r="B257">
        <v>0.99299721793515405</v>
      </c>
      <c r="C257">
        <v>0.98777636309002503</v>
      </c>
      <c r="D257">
        <v>0.90221295012803904</v>
      </c>
      <c r="E257">
        <v>0.69049893980172705</v>
      </c>
      <c r="F257">
        <v>0.57420781471534799</v>
      </c>
      <c r="G257">
        <v>0.378567152376375</v>
      </c>
      <c r="H257">
        <v>0.92577957793167398</v>
      </c>
      <c r="I257">
        <v>1.16861780487475</v>
      </c>
      <c r="J257">
        <v>1.07284793091234</v>
      </c>
      <c r="K257">
        <v>0.59757967495747899</v>
      </c>
      <c r="L257">
        <v>10762.1204936877</v>
      </c>
      <c r="M257">
        <v>250</v>
      </c>
      <c r="O257">
        <v>43.045726770104501</v>
      </c>
      <c r="P257">
        <v>-0.33019311502448301</v>
      </c>
      <c r="Q257">
        <v>0.772585556448523</v>
      </c>
      <c r="R257">
        <v>0.13663247386265401</v>
      </c>
      <c r="S257" t="s">
        <v>5808</v>
      </c>
      <c r="T257" t="s">
        <v>11100</v>
      </c>
      <c r="U257" t="s">
        <v>11100</v>
      </c>
      <c r="V257" t="s">
        <v>11100</v>
      </c>
      <c r="W257" t="s">
        <v>11355</v>
      </c>
      <c r="X257">
        <v>6</v>
      </c>
      <c r="Y257" t="s">
        <v>16849</v>
      </c>
      <c r="Z257" t="s">
        <v>22262</v>
      </c>
      <c r="AA257">
        <v>0.81845314289753324</v>
      </c>
      <c r="AB257" t="str">
        <f>HYPERLINK("Melting_Curves/meltCurve_C9J4M6_POLR2B.pdf", "Melting_Curves/meltCurve_C9J4M6_POLR2B.pdf")</f>
        <v>Melting_Curves/meltCurve_C9J4M6_POLR2B.pdf</v>
      </c>
    </row>
    <row r="258" spans="1:28" x14ac:dyDescent="0.25">
      <c r="A258" t="s">
        <v>262</v>
      </c>
      <c r="B258">
        <v>0.99299721793515405</v>
      </c>
      <c r="C258">
        <v>1.07188312233117</v>
      </c>
      <c r="D258">
        <v>0.951434133708424</v>
      </c>
      <c r="E258">
        <v>0.97469307048028597</v>
      </c>
      <c r="F258">
        <v>0.71432335345357401</v>
      </c>
      <c r="G258">
        <v>0.40608227700837801</v>
      </c>
      <c r="H258">
        <v>0.29146666497944601</v>
      </c>
      <c r="I258">
        <v>0.26427982349208501</v>
      </c>
      <c r="J258">
        <v>0.21106070612297301</v>
      </c>
      <c r="K258">
        <v>0.152706241634669</v>
      </c>
      <c r="L258">
        <v>1201.2613268446401</v>
      </c>
      <c r="M258">
        <v>23.296838004896301</v>
      </c>
      <c r="N258">
        <v>52.727016525245702</v>
      </c>
      <c r="O258">
        <v>51.187860537486799</v>
      </c>
      <c r="P258">
        <v>-9.0912355995581007E-2</v>
      </c>
      <c r="Q258">
        <v>0.201002951709053</v>
      </c>
      <c r="R258">
        <v>0.98912858776510504</v>
      </c>
      <c r="S258" t="s">
        <v>5809</v>
      </c>
      <c r="T258" t="s">
        <v>11100</v>
      </c>
      <c r="U258" t="s">
        <v>11100</v>
      </c>
      <c r="V258" t="s">
        <v>11100</v>
      </c>
      <c r="W258" t="s">
        <v>11356</v>
      </c>
      <c r="X258">
        <v>10</v>
      </c>
      <c r="Y258" t="s">
        <v>16850</v>
      </c>
      <c r="Z258" t="s">
        <v>22263</v>
      </c>
      <c r="AA258">
        <v>0.5968966869674257</v>
      </c>
      <c r="AB258" t="str">
        <f>HYPERLINK("Melting_Curves/meltCurve_C9J5C3_PDCD10.pdf", "Melting_Curves/meltCurve_C9J5C3_PDCD10.pdf")</f>
        <v>Melting_Curves/meltCurve_C9J5C3_PDCD10.pdf</v>
      </c>
    </row>
    <row r="259" spans="1:28" x14ac:dyDescent="0.25">
      <c r="A259" t="s">
        <v>263</v>
      </c>
      <c r="B259">
        <v>0.99299721793515405</v>
      </c>
      <c r="C259">
        <v>0.96249929317081895</v>
      </c>
      <c r="D259">
        <v>0.85238805941902895</v>
      </c>
      <c r="E259">
        <v>0.89393461331004498</v>
      </c>
      <c r="F259">
        <v>0.48246843952886997</v>
      </c>
      <c r="G259">
        <v>0.22047851814502301</v>
      </c>
      <c r="H259">
        <v>0.19468051295908501</v>
      </c>
      <c r="I259">
        <v>0.17943273291862899</v>
      </c>
      <c r="J259">
        <v>0.24434698214252101</v>
      </c>
      <c r="K259">
        <v>0.148405971514914</v>
      </c>
      <c r="L259">
        <v>1475.6602749758499</v>
      </c>
      <c r="M259">
        <v>29.961471725661699</v>
      </c>
      <c r="N259">
        <v>50.014943147533103</v>
      </c>
      <c r="O259">
        <v>49.034084112498199</v>
      </c>
      <c r="P259">
        <v>-0.12473775929290599</v>
      </c>
      <c r="Q259">
        <v>0.18343641004013</v>
      </c>
      <c r="R259">
        <v>0.97821449849152797</v>
      </c>
      <c r="S259" t="s">
        <v>5810</v>
      </c>
      <c r="T259" t="s">
        <v>11100</v>
      </c>
      <c r="U259" t="s">
        <v>11100</v>
      </c>
      <c r="V259" t="s">
        <v>11100</v>
      </c>
      <c r="W259" t="s">
        <v>11357</v>
      </c>
      <c r="X259">
        <v>5</v>
      </c>
      <c r="Y259" t="s">
        <v>16851</v>
      </c>
      <c r="Z259" t="s">
        <v>22264</v>
      </c>
      <c r="AA259">
        <v>0.52187890824843086</v>
      </c>
      <c r="AB259" t="str">
        <f>HYPERLINK("Melting_Curves/meltCurve_C9J5X1_IGF1R.pdf", "Melting_Curves/meltCurve_C9J5X1_IGF1R.pdf")</f>
        <v>Melting_Curves/meltCurve_C9J5X1_IGF1R.pdf</v>
      </c>
    </row>
    <row r="260" spans="1:28" x14ac:dyDescent="0.25">
      <c r="A260" t="s">
        <v>264</v>
      </c>
      <c r="B260">
        <v>0.99299721793515405</v>
      </c>
      <c r="C260">
        <v>0.99016111289138797</v>
      </c>
      <c r="D260">
        <v>0.91612545703139203</v>
      </c>
      <c r="E260">
        <v>0.78288659113416004</v>
      </c>
      <c r="F260">
        <v>0.61681942702342696</v>
      </c>
      <c r="G260">
        <v>0.46605291979125102</v>
      </c>
      <c r="H260">
        <v>0.35941228669390202</v>
      </c>
      <c r="I260">
        <v>0.18267708306053601</v>
      </c>
      <c r="J260">
        <v>7.93603507893169E-2</v>
      </c>
      <c r="K260">
        <v>7.3099827769021603E-2</v>
      </c>
      <c r="L260">
        <v>564.324680286957</v>
      </c>
      <c r="M260">
        <v>10.687718044271101</v>
      </c>
      <c r="N260">
        <v>52.801218783887201</v>
      </c>
      <c r="O260">
        <v>51.053386677678901</v>
      </c>
      <c r="P260">
        <v>-5.2355715946962603E-2</v>
      </c>
      <c r="Q260">
        <v>0</v>
      </c>
      <c r="R260">
        <v>0.99289567347957397</v>
      </c>
      <c r="S260" t="s">
        <v>5811</v>
      </c>
      <c r="T260" t="s">
        <v>11100</v>
      </c>
      <c r="U260" t="s">
        <v>11100</v>
      </c>
      <c r="V260" t="s">
        <v>11100</v>
      </c>
      <c r="W260" t="s">
        <v>11358</v>
      </c>
      <c r="X260">
        <v>1</v>
      </c>
      <c r="Y260" t="s">
        <v>16852</v>
      </c>
      <c r="Z260" t="s">
        <v>22265</v>
      </c>
      <c r="AA260">
        <v>0.54955426411705344</v>
      </c>
      <c r="AB260" t="str">
        <f>HYPERLINK("Melting_Curves/meltCurve_C9J695_TANGO2.pdf", "Melting_Curves/meltCurve_C9J695_TANGO2.pdf")</f>
        <v>Melting_Curves/meltCurve_C9J695_TANGO2.pdf</v>
      </c>
    </row>
    <row r="261" spans="1:28" x14ac:dyDescent="0.25">
      <c r="A261" t="s">
        <v>265</v>
      </c>
      <c r="B261">
        <v>0.99299721793515405</v>
      </c>
      <c r="C261">
        <v>0.86967472819418901</v>
      </c>
      <c r="D261">
        <v>1.13941222681167</v>
      </c>
      <c r="E261">
        <v>0.84469043484504303</v>
      </c>
      <c r="F261">
        <v>0.69283630498069204</v>
      </c>
      <c r="G261">
        <v>0.52498444127309096</v>
      </c>
      <c r="H261">
        <v>0.30676406438036902</v>
      </c>
      <c r="I261">
        <v>0.217491948757564</v>
      </c>
      <c r="J261">
        <v>0.21891976593763901</v>
      </c>
      <c r="K261">
        <v>0.141503477598526</v>
      </c>
      <c r="L261">
        <v>794.68788997930699</v>
      </c>
      <c r="M261">
        <v>15.1136361888266</v>
      </c>
      <c r="N261">
        <v>53.6641139317938</v>
      </c>
      <c r="O261">
        <v>51.686087673050402</v>
      </c>
      <c r="P261">
        <v>-6.34984965651854E-2</v>
      </c>
      <c r="Q261">
        <v>0.13146857960265301</v>
      </c>
      <c r="R261">
        <v>0.95827028651754198</v>
      </c>
      <c r="S261" t="s">
        <v>5812</v>
      </c>
      <c r="T261" t="s">
        <v>11100</v>
      </c>
      <c r="U261" t="s">
        <v>11100</v>
      </c>
      <c r="V261" t="s">
        <v>11100</v>
      </c>
      <c r="W261" t="s">
        <v>11359</v>
      </c>
      <c r="X261">
        <v>1</v>
      </c>
      <c r="Y261" t="s">
        <v>16853</v>
      </c>
      <c r="Z261" t="s">
        <v>22266</v>
      </c>
      <c r="AA261">
        <v>0.59842897903277747</v>
      </c>
      <c r="AB261" t="str">
        <f>HYPERLINK("Melting_Curves/meltCurve_C9J6Q8_TMEM98.pdf", "Melting_Curves/meltCurve_C9J6Q8_TMEM98.pdf")</f>
        <v>Melting_Curves/meltCurve_C9J6Q8_TMEM98.pdf</v>
      </c>
    </row>
    <row r="262" spans="1:28" x14ac:dyDescent="0.25">
      <c r="A262" t="s">
        <v>266</v>
      </c>
      <c r="B262">
        <v>0.99299721793515405</v>
      </c>
      <c r="C262">
        <v>0.9146538593279</v>
      </c>
      <c r="D262">
        <v>0.85867347092771296</v>
      </c>
      <c r="E262">
        <v>0.974709594088918</v>
      </c>
      <c r="F262">
        <v>0.77706058564635705</v>
      </c>
      <c r="G262">
        <v>1.3573882883489601</v>
      </c>
      <c r="H262">
        <v>0.84015659967368905</v>
      </c>
      <c r="I262">
        <v>0.353155318844038</v>
      </c>
      <c r="J262">
        <v>0.19598719992996599</v>
      </c>
      <c r="K262">
        <v>6.7381457012322399E-2</v>
      </c>
      <c r="L262">
        <v>2695.34643605672</v>
      </c>
      <c r="M262">
        <v>45.148276398749402</v>
      </c>
      <c r="N262">
        <v>60.019618179764898</v>
      </c>
      <c r="O262">
        <v>59.583083284412901</v>
      </c>
      <c r="P262">
        <v>-0.169185726820518</v>
      </c>
      <c r="Q262">
        <v>0.10688968332250599</v>
      </c>
      <c r="R262">
        <v>0.85166029919471298</v>
      </c>
      <c r="S262" t="s">
        <v>5813</v>
      </c>
      <c r="T262" t="s">
        <v>11100</v>
      </c>
      <c r="U262" t="s">
        <v>11100</v>
      </c>
      <c r="V262" t="s">
        <v>11100</v>
      </c>
      <c r="W262" t="s">
        <v>11343</v>
      </c>
      <c r="X262">
        <v>9</v>
      </c>
      <c r="Y262" t="s">
        <v>16837</v>
      </c>
      <c r="Z262" t="s">
        <v>22267</v>
      </c>
      <c r="AA262">
        <v>0.78518066262644026</v>
      </c>
      <c r="AB262" t="str">
        <f>HYPERLINK("Melting_Curves/meltCurve_C9J712_PFN2.pdf", "Melting_Curves/meltCurve_C9J712_PFN2.pdf")</f>
        <v>Melting_Curves/meltCurve_C9J712_PFN2.pdf</v>
      </c>
    </row>
    <row r="263" spans="1:28" x14ac:dyDescent="0.25">
      <c r="A263" t="s">
        <v>267</v>
      </c>
      <c r="B263">
        <v>0.99299721793515405</v>
      </c>
      <c r="C263">
        <v>0.999364770657996</v>
      </c>
      <c r="D263">
        <v>0.95675273102580105</v>
      </c>
      <c r="E263">
        <v>0.88676578105387505</v>
      </c>
      <c r="F263">
        <v>0.69067738392797196</v>
      </c>
      <c r="G263">
        <v>0.44536677629932397</v>
      </c>
      <c r="H263">
        <v>0.23485906286625099</v>
      </c>
      <c r="I263">
        <v>0.19981174630776799</v>
      </c>
      <c r="J263">
        <v>0.160673951429776</v>
      </c>
      <c r="K263">
        <v>0.12667495047681401</v>
      </c>
      <c r="L263">
        <v>878.90375836901399</v>
      </c>
      <c r="M263">
        <v>16.911076920055699</v>
      </c>
      <c r="N263">
        <v>52.795555758682198</v>
      </c>
      <c r="O263">
        <v>51.261641109458097</v>
      </c>
      <c r="P263">
        <v>-7.2918212870444699E-2</v>
      </c>
      <c r="Q263">
        <v>0.115923225007625</v>
      </c>
      <c r="R263">
        <v>0.99850146821493002</v>
      </c>
      <c r="S263" t="s">
        <v>5814</v>
      </c>
      <c r="T263" t="s">
        <v>11100</v>
      </c>
      <c r="U263" t="s">
        <v>11100</v>
      </c>
      <c r="V263" t="s">
        <v>11100</v>
      </c>
      <c r="W263" t="s">
        <v>11360</v>
      </c>
      <c r="X263">
        <v>5</v>
      </c>
      <c r="Y263" t="s">
        <v>16854</v>
      </c>
      <c r="Z263" t="s">
        <v>22268</v>
      </c>
      <c r="AA263">
        <v>0.57172613702910036</v>
      </c>
      <c r="AB263" t="str">
        <f>HYPERLINK("Melting_Curves/meltCurve_C9J715_NISCH.pdf", "Melting_Curves/meltCurve_C9J715_NISCH.pdf")</f>
        <v>Melting_Curves/meltCurve_C9J715_NISCH.pdf</v>
      </c>
    </row>
    <row r="264" spans="1:28" x14ac:dyDescent="0.25">
      <c r="A264" t="s">
        <v>268</v>
      </c>
      <c r="B264">
        <v>0.99299721793515405</v>
      </c>
      <c r="C264">
        <v>0.94706287852291304</v>
      </c>
      <c r="D264">
        <v>0.87417445955386397</v>
      </c>
      <c r="E264">
        <v>0.73487779764653005</v>
      </c>
      <c r="F264">
        <v>0.73999656709526296</v>
      </c>
      <c r="G264">
        <v>0.52910517256013001</v>
      </c>
      <c r="H264">
        <v>0.395021681776272</v>
      </c>
      <c r="I264">
        <v>0.23593934264425001</v>
      </c>
      <c r="J264">
        <v>0.13692928649733099</v>
      </c>
      <c r="K264">
        <v>0.108026725403246</v>
      </c>
      <c r="L264">
        <v>507.18217080914002</v>
      </c>
      <c r="M264">
        <v>9.4032384725955094</v>
      </c>
      <c r="N264">
        <v>53.936969675230998</v>
      </c>
      <c r="O264">
        <v>51.666301428759198</v>
      </c>
      <c r="P264">
        <v>-4.5527844021281599E-2</v>
      </c>
      <c r="Q264">
        <v>0</v>
      </c>
      <c r="R264">
        <v>0.98165808066345694</v>
      </c>
      <c r="S264" t="s">
        <v>5815</v>
      </c>
      <c r="T264" t="s">
        <v>11100</v>
      </c>
      <c r="U264" t="s">
        <v>11100</v>
      </c>
      <c r="V264" t="s">
        <v>11100</v>
      </c>
      <c r="W264" t="s">
        <v>11361</v>
      </c>
      <c r="X264">
        <v>6</v>
      </c>
      <c r="Y264" t="s">
        <v>16855</v>
      </c>
      <c r="Z264" t="s">
        <v>22269</v>
      </c>
      <c r="AA264">
        <v>0.58198278622288258</v>
      </c>
      <c r="AB264" t="str">
        <f>HYPERLINK("Melting_Curves/meltCurve_C9J7B7_PSMD6.pdf", "Melting_Curves/meltCurve_C9J7B7_PSMD6.pdf")</f>
        <v>Melting_Curves/meltCurve_C9J7B7_PSMD6.pdf</v>
      </c>
    </row>
    <row r="265" spans="1:28" x14ac:dyDescent="0.25">
      <c r="A265" t="s">
        <v>269</v>
      </c>
      <c r="B265">
        <v>0.99299721793515405</v>
      </c>
      <c r="C265">
        <v>1.0306692131684401</v>
      </c>
      <c r="D265">
        <v>1.06149979788809</v>
      </c>
      <c r="E265">
        <v>0.82533897702627501</v>
      </c>
      <c r="F265">
        <v>0.73015091046692204</v>
      </c>
      <c r="G265">
        <v>0.59953252511798105</v>
      </c>
      <c r="H265">
        <v>0.330670430398676</v>
      </c>
      <c r="I265">
        <v>0.21567874047013</v>
      </c>
      <c r="J265">
        <v>0.13335074278460199</v>
      </c>
      <c r="K265">
        <v>0.15082293076860201</v>
      </c>
      <c r="L265">
        <v>712.76295885129605</v>
      </c>
      <c r="M265">
        <v>13.178193735602401</v>
      </c>
      <c r="N265">
        <v>54.535661161769298</v>
      </c>
      <c r="O265">
        <v>52.886579115879201</v>
      </c>
      <c r="P265">
        <v>-5.9101131815699197E-2</v>
      </c>
      <c r="Q265">
        <v>5.1422945219860398E-2</v>
      </c>
      <c r="R265">
        <v>0.98321768699069201</v>
      </c>
      <c r="S265" t="s">
        <v>5816</v>
      </c>
      <c r="T265" t="s">
        <v>11100</v>
      </c>
      <c r="U265" t="s">
        <v>11100</v>
      </c>
      <c r="V265" t="s">
        <v>11100</v>
      </c>
      <c r="W265" t="s">
        <v>11362</v>
      </c>
      <c r="X265">
        <v>13</v>
      </c>
      <c r="Y265" t="s">
        <v>16856</v>
      </c>
      <c r="Z265" t="s">
        <v>22270</v>
      </c>
      <c r="AA265">
        <v>0.60799983071978259</v>
      </c>
      <c r="AB265" t="str">
        <f>HYPERLINK("Melting_Curves/meltCurve_C9J7E5_TNPO3.pdf", "Melting_Curves/meltCurve_C9J7E5_TNPO3.pdf")</f>
        <v>Melting_Curves/meltCurve_C9J7E5_TNPO3.pdf</v>
      </c>
    </row>
    <row r="266" spans="1:28" x14ac:dyDescent="0.25">
      <c r="A266" t="s">
        <v>270</v>
      </c>
      <c r="B266">
        <v>0.99299721793515405</v>
      </c>
      <c r="C266">
        <v>1.14772107539005</v>
      </c>
      <c r="D266">
        <v>0.45169503151002699</v>
      </c>
      <c r="E266">
        <v>0.74228588476001001</v>
      </c>
      <c r="F266">
        <v>2.0274539703629402</v>
      </c>
      <c r="G266">
        <v>1.0816301578054199</v>
      </c>
      <c r="H266">
        <v>2.2047529204075298</v>
      </c>
      <c r="I266">
        <v>1.0536232055236801</v>
      </c>
      <c r="J266">
        <v>2.3348152032874898</v>
      </c>
      <c r="K266">
        <v>2.8271534287393001</v>
      </c>
      <c r="L266">
        <v>12067.306770813901</v>
      </c>
      <c r="M266">
        <v>250</v>
      </c>
      <c r="O266">
        <v>48.266138323930797</v>
      </c>
      <c r="P266">
        <v>0.64745184138598999</v>
      </c>
      <c r="Q266">
        <v>1.5</v>
      </c>
      <c r="R266">
        <v>0.293894737045861</v>
      </c>
      <c r="S266" t="s">
        <v>5817</v>
      </c>
      <c r="T266" t="s">
        <v>11100</v>
      </c>
      <c r="U266" t="s">
        <v>11100</v>
      </c>
      <c r="V266" t="s">
        <v>11100</v>
      </c>
      <c r="W266" t="s">
        <v>11363</v>
      </c>
      <c r="X266">
        <v>12</v>
      </c>
      <c r="Y266" t="s">
        <v>16857</v>
      </c>
      <c r="Z266" t="s">
        <v>22271</v>
      </c>
      <c r="AA266">
        <v>1.3121371927412591</v>
      </c>
      <c r="AB266" t="str">
        <f>HYPERLINK("Melting_Curves/meltCurve_C9J7H8_LDHB.pdf", "Melting_Curves/meltCurve_C9J7H8_LDHB.pdf")</f>
        <v>Melting_Curves/meltCurve_C9J7H8_LDHB.pdf</v>
      </c>
    </row>
    <row r="267" spans="1:28" x14ac:dyDescent="0.25">
      <c r="A267" t="s">
        <v>271</v>
      </c>
      <c r="B267">
        <v>0.99299721793515405</v>
      </c>
      <c r="C267">
        <v>0.93375008308789897</v>
      </c>
      <c r="D267">
        <v>0.85350374913009497</v>
      </c>
      <c r="E267">
        <v>0.82891454631289196</v>
      </c>
      <c r="F267">
        <v>0.76472672117585705</v>
      </c>
      <c r="G267">
        <v>0.88724807916498805</v>
      </c>
      <c r="H267">
        <v>1.0735121587560801</v>
      </c>
      <c r="I267">
        <v>1.0771652157414899</v>
      </c>
      <c r="J267">
        <v>0.19453873744183001</v>
      </c>
      <c r="K267">
        <v>0.20231359992575201</v>
      </c>
      <c r="L267">
        <v>15000</v>
      </c>
      <c r="M267">
        <v>238.76914948593901</v>
      </c>
      <c r="N267">
        <v>62.9525698937302</v>
      </c>
      <c r="O267">
        <v>62.8177790823161</v>
      </c>
      <c r="P267">
        <v>-0.76488137927988398</v>
      </c>
      <c r="Q267">
        <v>0.19506938733636101</v>
      </c>
      <c r="R267">
        <v>0.85651447406056402</v>
      </c>
      <c r="S267" t="s">
        <v>5818</v>
      </c>
      <c r="T267" t="s">
        <v>11100</v>
      </c>
      <c r="U267" t="s">
        <v>11100</v>
      </c>
      <c r="V267" t="s">
        <v>11100</v>
      </c>
      <c r="W267" t="s">
        <v>11364</v>
      </c>
      <c r="X267">
        <v>6</v>
      </c>
      <c r="Y267" t="s">
        <v>16858</v>
      </c>
      <c r="Z267" t="s">
        <v>22272</v>
      </c>
      <c r="AA267">
        <v>0.88800228556386995</v>
      </c>
      <c r="AB267" t="str">
        <f>HYPERLINK("Melting_Curves/meltCurve_C9J8Q5_ALDH5A1.pdf", "Melting_Curves/meltCurve_C9J8Q5_ALDH5A1.pdf")</f>
        <v>Melting_Curves/meltCurve_C9J8Q5_ALDH5A1.pdf</v>
      </c>
    </row>
    <row r="268" spans="1:28" x14ac:dyDescent="0.25">
      <c r="A268" t="s">
        <v>272</v>
      </c>
      <c r="B268">
        <v>0.99299721793515405</v>
      </c>
      <c r="C268">
        <v>1.06515811129212</v>
      </c>
      <c r="D268">
        <v>0.94544899940053595</v>
      </c>
      <c r="E268">
        <v>0.98260737511238805</v>
      </c>
      <c r="F268">
        <v>0.93577486504635299</v>
      </c>
      <c r="G268">
        <v>0.38016158290359398</v>
      </c>
      <c r="H268">
        <v>0.238192218286011</v>
      </c>
      <c r="I268">
        <v>0.17594774149738401</v>
      </c>
      <c r="J268">
        <v>9.3315863410963096E-2</v>
      </c>
      <c r="K268">
        <v>7.1317485144967996E-2</v>
      </c>
      <c r="L268">
        <v>2204.1313154705199</v>
      </c>
      <c r="M268">
        <v>41.757943363943802</v>
      </c>
      <c r="N268">
        <v>53.175408357535098</v>
      </c>
      <c r="O268">
        <v>52.662894694057201</v>
      </c>
      <c r="P268">
        <v>-0.17197652564214999</v>
      </c>
      <c r="Q268">
        <v>0.132450868727996</v>
      </c>
      <c r="R268">
        <v>0.98690406912598305</v>
      </c>
      <c r="S268" t="s">
        <v>5819</v>
      </c>
      <c r="T268" t="s">
        <v>11100</v>
      </c>
      <c r="U268" t="s">
        <v>11100</v>
      </c>
      <c r="V268" t="s">
        <v>11100</v>
      </c>
      <c r="W268" t="s">
        <v>11365</v>
      </c>
      <c r="X268">
        <v>13</v>
      </c>
      <c r="Y268" t="s">
        <v>16859</v>
      </c>
      <c r="Z268" t="s">
        <v>22273</v>
      </c>
      <c r="AA268">
        <v>0.5917777440645916</v>
      </c>
      <c r="AB268" t="str">
        <f>HYPERLINK("Melting_Curves/meltCurve_C9J9K3_RPSA.pdf", "Melting_Curves/meltCurve_C9J9K3_RPSA.pdf")</f>
        <v>Melting_Curves/meltCurve_C9J9K3_RPSA.pdf</v>
      </c>
    </row>
    <row r="269" spans="1:28" x14ac:dyDescent="0.25">
      <c r="A269" t="s">
        <v>273</v>
      </c>
      <c r="B269">
        <v>0.99299721793515405</v>
      </c>
      <c r="C269">
        <v>1.00960143884812</v>
      </c>
      <c r="D269">
        <v>1.0127489913718599</v>
      </c>
      <c r="E269">
        <v>0.89868723677150697</v>
      </c>
      <c r="F269">
        <v>0.68383993681875699</v>
      </c>
      <c r="G269">
        <v>0.296951044409002</v>
      </c>
      <c r="H269">
        <v>0.18218793656927901</v>
      </c>
      <c r="I269">
        <v>0.14108500117151601</v>
      </c>
      <c r="J269">
        <v>0.136724920202869</v>
      </c>
      <c r="K269">
        <v>0.10565495632081399</v>
      </c>
      <c r="L269">
        <v>1287.1761972464101</v>
      </c>
      <c r="M269">
        <v>25.165504241892702</v>
      </c>
      <c r="N269">
        <v>51.7111496536563</v>
      </c>
      <c r="O269">
        <v>50.828720489002897</v>
      </c>
      <c r="P269">
        <v>-0.108952010133849</v>
      </c>
      <c r="Q269">
        <v>0.119775927203842</v>
      </c>
      <c r="R269">
        <v>0.99801901541711202</v>
      </c>
      <c r="S269" t="s">
        <v>5820</v>
      </c>
      <c r="T269" t="s">
        <v>11100</v>
      </c>
      <c r="U269" t="s">
        <v>11100</v>
      </c>
      <c r="V269" t="s">
        <v>11100</v>
      </c>
      <c r="W269" t="s">
        <v>11366</v>
      </c>
      <c r="X269">
        <v>17</v>
      </c>
      <c r="Y269" t="s">
        <v>16860</v>
      </c>
      <c r="Z269" t="s">
        <v>22274</v>
      </c>
      <c r="AA269">
        <v>0.5425812675759365</v>
      </c>
      <c r="AB269" t="str">
        <f>HYPERLINK("Melting_Curves/meltCurve_C9JA08_NMD3.pdf", "Melting_Curves/meltCurve_C9JA08_NMD3.pdf")</f>
        <v>Melting_Curves/meltCurve_C9JA08_NMD3.pdf</v>
      </c>
    </row>
    <row r="270" spans="1:28" x14ac:dyDescent="0.25">
      <c r="A270" t="s">
        <v>274</v>
      </c>
      <c r="B270">
        <v>0.99299721793515405</v>
      </c>
      <c r="C270">
        <v>1.00489942431304</v>
      </c>
      <c r="D270">
        <v>1.0771220180298</v>
      </c>
      <c r="E270">
        <v>0.94029795657324</v>
      </c>
      <c r="F270">
        <v>0.85936743852062003</v>
      </c>
      <c r="G270">
        <v>0.70525355908367404</v>
      </c>
      <c r="H270">
        <v>0.57214676501528905</v>
      </c>
      <c r="I270">
        <v>0.53000835089252996</v>
      </c>
      <c r="J270">
        <v>0.47544409706402302</v>
      </c>
      <c r="K270">
        <v>0.27798510704308599</v>
      </c>
      <c r="L270">
        <v>595.67635936035595</v>
      </c>
      <c r="M270">
        <v>10.313396670828901</v>
      </c>
      <c r="N270">
        <v>60.545059948518698</v>
      </c>
      <c r="O270">
        <v>55.712515492365</v>
      </c>
      <c r="P270">
        <v>-3.7548645922745198E-2</v>
      </c>
      <c r="Q270">
        <v>0.18900596655136201</v>
      </c>
      <c r="R270">
        <v>0.96281223093837398</v>
      </c>
      <c r="S270" t="s">
        <v>5821</v>
      </c>
      <c r="T270" t="s">
        <v>11100</v>
      </c>
      <c r="U270" t="s">
        <v>11100</v>
      </c>
      <c r="V270" t="s">
        <v>11100</v>
      </c>
      <c r="W270" t="s">
        <v>11367</v>
      </c>
      <c r="X270">
        <v>8</v>
      </c>
      <c r="Y270" t="s">
        <v>16861</v>
      </c>
      <c r="Z270" t="s">
        <v>22275</v>
      </c>
      <c r="AA270">
        <v>0.74586108104447946</v>
      </c>
      <c r="AB270" t="str">
        <f>HYPERLINK("Melting_Curves/meltCurve_C9JA28_SSR3.pdf", "Melting_Curves/meltCurve_C9JA28_SSR3.pdf")</f>
        <v>Melting_Curves/meltCurve_C9JA28_SSR3.pdf</v>
      </c>
    </row>
    <row r="271" spans="1:28" x14ac:dyDescent="0.25">
      <c r="A271" t="s">
        <v>275</v>
      </c>
      <c r="B271">
        <v>0.99299721793515405</v>
      </c>
      <c r="C271">
        <v>0.96400973285302605</v>
      </c>
      <c r="D271">
        <v>0.85703675975904703</v>
      </c>
      <c r="E271">
        <v>0.79731625715000798</v>
      </c>
      <c r="F271">
        <v>0.66511576353105195</v>
      </c>
      <c r="G271">
        <v>0.525555134475997</v>
      </c>
      <c r="H271">
        <v>0.42474882161781502</v>
      </c>
      <c r="I271">
        <v>0.35641206707817602</v>
      </c>
      <c r="J271">
        <v>0.42255727048546698</v>
      </c>
      <c r="K271">
        <v>0.43378652807376999</v>
      </c>
      <c r="L271">
        <v>600.95735446766798</v>
      </c>
      <c r="M271">
        <v>12.2695677550429</v>
      </c>
      <c r="N271">
        <v>54.863646530442999</v>
      </c>
      <c r="O271">
        <v>47.732933689684401</v>
      </c>
      <c r="P271">
        <v>-4.0758185484936697E-2</v>
      </c>
      <c r="Q271">
        <v>0.36588554693014702</v>
      </c>
      <c r="R271">
        <v>0.98003779245827605</v>
      </c>
      <c r="S271" t="s">
        <v>5822</v>
      </c>
      <c r="T271" t="s">
        <v>11100</v>
      </c>
      <c r="U271" t="s">
        <v>11100</v>
      </c>
      <c r="V271" t="s">
        <v>11100</v>
      </c>
      <c r="W271" t="s">
        <v>11368</v>
      </c>
      <c r="X271">
        <v>5</v>
      </c>
      <c r="Y271" t="s">
        <v>16862</v>
      </c>
      <c r="Z271" t="s">
        <v>22276</v>
      </c>
      <c r="AA271">
        <v>0.63741188712026753</v>
      </c>
      <c r="AB271" t="str">
        <f>HYPERLINK("Melting_Curves/meltCurve_C9JAB2_SRSF7.pdf", "Melting_Curves/meltCurve_C9JAB2_SRSF7.pdf")</f>
        <v>Melting_Curves/meltCurve_C9JAB2_SRSF7.pdf</v>
      </c>
    </row>
    <row r="272" spans="1:28" x14ac:dyDescent="0.25">
      <c r="A272" t="s">
        <v>276</v>
      </c>
      <c r="B272">
        <v>0.99299721793515405</v>
      </c>
      <c r="C272">
        <v>0.90572914026250095</v>
      </c>
      <c r="D272">
        <v>0.87322795740798498</v>
      </c>
      <c r="E272">
        <v>0.73037792659497103</v>
      </c>
      <c r="F272">
        <v>0.76385044418869696</v>
      </c>
      <c r="G272">
        <v>0.44171390123506898</v>
      </c>
      <c r="H272">
        <v>0.43987006788100702</v>
      </c>
      <c r="I272">
        <v>0.39257574254973798</v>
      </c>
      <c r="J272">
        <v>0.48438662669215798</v>
      </c>
      <c r="K272">
        <v>0.42161337582670699</v>
      </c>
      <c r="L272">
        <v>537.15491395552101</v>
      </c>
      <c r="M272">
        <v>11.0715245002619</v>
      </c>
      <c r="N272">
        <v>55.6319465692644</v>
      </c>
      <c r="O272">
        <v>47.0146410815818</v>
      </c>
      <c r="P272">
        <v>-3.6592022851665601E-2</v>
      </c>
      <c r="Q272">
        <v>0.37866013332618298</v>
      </c>
      <c r="R272">
        <v>0.92466342720634298</v>
      </c>
      <c r="S272" t="s">
        <v>5823</v>
      </c>
      <c r="T272" t="s">
        <v>11100</v>
      </c>
      <c r="U272" t="s">
        <v>11100</v>
      </c>
      <c r="V272" t="s">
        <v>11100</v>
      </c>
      <c r="W272" t="s">
        <v>11369</v>
      </c>
      <c r="X272">
        <v>4</v>
      </c>
      <c r="Y272" t="s">
        <v>16863</v>
      </c>
      <c r="Z272" t="s">
        <v>22277</v>
      </c>
      <c r="AA272">
        <v>0.63831270181290234</v>
      </c>
      <c r="AB272" t="str">
        <f>HYPERLINK("Melting_Curves/meltCurve_C9JCC6_DRAP1.pdf", "Melting_Curves/meltCurve_C9JCC6_DRAP1.pdf")</f>
        <v>Melting_Curves/meltCurve_C9JCC6_DRAP1.pdf</v>
      </c>
    </row>
    <row r="273" spans="1:28" x14ac:dyDescent="0.25">
      <c r="A273" t="s">
        <v>277</v>
      </c>
      <c r="B273">
        <v>0.99299721793515405</v>
      </c>
      <c r="C273">
        <v>0.90692443144891499</v>
      </c>
      <c r="D273">
        <v>1.0207379275919699</v>
      </c>
      <c r="E273">
        <v>0.83198901051123897</v>
      </c>
      <c r="F273">
        <v>0.74721937817010298</v>
      </c>
      <c r="G273">
        <v>0.47666696215520299</v>
      </c>
      <c r="H273">
        <v>0.470028921997731</v>
      </c>
      <c r="I273">
        <v>0.54778730527230601</v>
      </c>
      <c r="J273">
        <v>0.60546399341714197</v>
      </c>
      <c r="K273">
        <v>0.54192634079735502</v>
      </c>
      <c r="L273">
        <v>1214.0448294828</v>
      </c>
      <c r="M273">
        <v>24.987202195254</v>
      </c>
      <c r="O273">
        <v>48.278676293395201</v>
      </c>
      <c r="P273">
        <v>-6.11483265109709E-2</v>
      </c>
      <c r="Q273">
        <v>0.52741881191907203</v>
      </c>
      <c r="R273">
        <v>0.91111429151788703</v>
      </c>
      <c r="S273" t="s">
        <v>5824</v>
      </c>
      <c r="T273" t="s">
        <v>11100</v>
      </c>
      <c r="U273" t="s">
        <v>11100</v>
      </c>
      <c r="V273" t="s">
        <v>11100</v>
      </c>
      <c r="W273" t="s">
        <v>11370</v>
      </c>
      <c r="X273">
        <v>5</v>
      </c>
      <c r="Y273" t="s">
        <v>16864</v>
      </c>
      <c r="Z273" t="s">
        <v>22278</v>
      </c>
      <c r="AA273">
        <v>0.71400514033791374</v>
      </c>
      <c r="AB273" t="str">
        <f>HYPERLINK("Melting_Curves/meltCurve_C9JE12_TMUB1.pdf", "Melting_Curves/meltCurve_C9JE12_TMUB1.pdf")</f>
        <v>Melting_Curves/meltCurve_C9JE12_TMUB1.pdf</v>
      </c>
    </row>
    <row r="274" spans="1:28" x14ac:dyDescent="0.25">
      <c r="A274" t="s">
        <v>278</v>
      </c>
      <c r="B274">
        <v>0.99299721793515405</v>
      </c>
      <c r="C274">
        <v>1.0401202009289601</v>
      </c>
      <c r="D274">
        <v>0.88743126249326598</v>
      </c>
      <c r="E274">
        <v>0.83339575488245499</v>
      </c>
      <c r="F274">
        <v>0.76620268779105105</v>
      </c>
      <c r="G274">
        <v>0.60855122500353298</v>
      </c>
      <c r="H274">
        <v>0.36121322858592603</v>
      </c>
      <c r="I274">
        <v>0.33603377002289703</v>
      </c>
      <c r="J274">
        <v>0.29441364595800901</v>
      </c>
      <c r="K274">
        <v>0.18754069147726901</v>
      </c>
      <c r="L274">
        <v>545.17491267020705</v>
      </c>
      <c r="M274">
        <v>9.9900530531612208</v>
      </c>
      <c r="N274">
        <v>55.615662841506698</v>
      </c>
      <c r="O274">
        <v>52.520267602365799</v>
      </c>
      <c r="P274">
        <v>-4.3509246281750999E-2</v>
      </c>
      <c r="Q274">
        <v>8.5489489615434205E-2</v>
      </c>
      <c r="R274">
        <v>0.98058977951110704</v>
      </c>
      <c r="S274" t="s">
        <v>5825</v>
      </c>
      <c r="T274" t="s">
        <v>11100</v>
      </c>
      <c r="U274" t="s">
        <v>11100</v>
      </c>
      <c r="V274" t="s">
        <v>11100</v>
      </c>
      <c r="W274" t="s">
        <v>11371</v>
      </c>
      <c r="X274">
        <v>2</v>
      </c>
      <c r="Y274" t="s">
        <v>16865</v>
      </c>
      <c r="Z274" t="s">
        <v>22279</v>
      </c>
      <c r="AA274">
        <v>0.63445625718272847</v>
      </c>
      <c r="AB274" t="str">
        <f>HYPERLINK("Melting_Curves/meltCurve_C9JEZ4_CDC42EP3.pdf", "Melting_Curves/meltCurve_C9JEZ4_CDC42EP3.pdf")</f>
        <v>Melting_Curves/meltCurve_C9JEZ4_CDC42EP3.pdf</v>
      </c>
    </row>
    <row r="275" spans="1:28" x14ac:dyDescent="0.25">
      <c r="A275" t="s">
        <v>279</v>
      </c>
      <c r="B275">
        <v>0.99299721793515405</v>
      </c>
      <c r="C275">
        <v>0.93129719810367895</v>
      </c>
      <c r="D275">
        <v>0.83120056336920001</v>
      </c>
      <c r="E275">
        <v>0.87689946411928599</v>
      </c>
      <c r="F275">
        <v>0.71650180450334899</v>
      </c>
      <c r="G275">
        <v>0.45004736042629601</v>
      </c>
      <c r="H275">
        <v>0.29996783137313099</v>
      </c>
      <c r="I275">
        <v>0.20767846065151099</v>
      </c>
      <c r="J275">
        <v>0.20853787631107501</v>
      </c>
      <c r="K275">
        <v>0.13492249334635301</v>
      </c>
      <c r="L275">
        <v>599.58815467699901</v>
      </c>
      <c r="M275">
        <v>11.363216262583199</v>
      </c>
      <c r="N275">
        <v>53.361384388344</v>
      </c>
      <c r="O275">
        <v>51.210770104289502</v>
      </c>
      <c r="P275">
        <v>-5.21839827344752E-2</v>
      </c>
      <c r="Q275">
        <v>5.9566317355802298E-2</v>
      </c>
      <c r="R275">
        <v>0.97948606506159497</v>
      </c>
      <c r="S275" t="s">
        <v>5826</v>
      </c>
      <c r="T275" t="s">
        <v>11100</v>
      </c>
      <c r="U275" t="s">
        <v>11100</v>
      </c>
      <c r="V275" t="s">
        <v>11100</v>
      </c>
      <c r="W275" t="s">
        <v>11372</v>
      </c>
      <c r="X275">
        <v>4</v>
      </c>
      <c r="Y275" t="s">
        <v>16866</v>
      </c>
      <c r="Z275" t="s">
        <v>22280</v>
      </c>
      <c r="AA275">
        <v>0.5748449644280148</v>
      </c>
      <c r="AB275" t="str">
        <f>HYPERLINK("Melting_Curves/meltCurve_C9JF58_OSCP1.pdf", "Melting_Curves/meltCurve_C9JF58_OSCP1.pdf")</f>
        <v>Melting_Curves/meltCurve_C9JF58_OSCP1.pdf</v>
      </c>
    </row>
    <row r="276" spans="1:28" x14ac:dyDescent="0.25">
      <c r="A276" t="s">
        <v>280</v>
      </c>
      <c r="B276">
        <v>0.99299721793515405</v>
      </c>
      <c r="C276">
        <v>0.94186325690401895</v>
      </c>
      <c r="D276">
        <v>1.0611431820042501</v>
      </c>
      <c r="E276">
        <v>0.94142066821306503</v>
      </c>
      <c r="F276">
        <v>0.71283760786348604</v>
      </c>
      <c r="G276">
        <v>0.50350987994182395</v>
      </c>
      <c r="H276">
        <v>0.36408171384942201</v>
      </c>
      <c r="I276">
        <v>0.20396799202680299</v>
      </c>
      <c r="J276">
        <v>0.20324801808333501</v>
      </c>
      <c r="K276">
        <v>0.137546211301771</v>
      </c>
      <c r="L276">
        <v>854.52772129029802</v>
      </c>
      <c r="M276">
        <v>16.131811056187502</v>
      </c>
      <c r="N276">
        <v>53.992899552383101</v>
      </c>
      <c r="O276">
        <v>52.177664331839203</v>
      </c>
      <c r="P276">
        <v>-6.7134548734209404E-2</v>
      </c>
      <c r="Q276">
        <v>0.13149081104869201</v>
      </c>
      <c r="R276">
        <v>0.98802902407356896</v>
      </c>
      <c r="S276" t="s">
        <v>5827</v>
      </c>
      <c r="T276" t="s">
        <v>11100</v>
      </c>
      <c r="U276" t="s">
        <v>11100</v>
      </c>
      <c r="V276" t="s">
        <v>11100</v>
      </c>
      <c r="W276" t="s">
        <v>11373</v>
      </c>
      <c r="X276">
        <v>1</v>
      </c>
      <c r="Y276" t="s">
        <v>16867</v>
      </c>
      <c r="Z276" t="s">
        <v>22281</v>
      </c>
      <c r="AA276">
        <v>0.60828533134049012</v>
      </c>
      <c r="AB276" t="str">
        <f>HYPERLINK("Melting_Curves/meltCurve_C9JFL8_TAF6.pdf", "Melting_Curves/meltCurve_C9JFL8_TAF6.pdf")</f>
        <v>Melting_Curves/meltCurve_C9JFL8_TAF6.pdf</v>
      </c>
    </row>
    <row r="277" spans="1:28" x14ac:dyDescent="0.25">
      <c r="A277" t="s">
        <v>281</v>
      </c>
      <c r="B277">
        <v>0.99299721793515405</v>
      </c>
      <c r="C277">
        <v>1.01231612093196</v>
      </c>
      <c r="D277">
        <v>1.1356481349093499</v>
      </c>
      <c r="E277">
        <v>0.92207678730379705</v>
      </c>
      <c r="F277">
        <v>0.69101659041431895</v>
      </c>
      <c r="G277">
        <v>0.56623517705551696</v>
      </c>
      <c r="H277">
        <v>1.03507802566208</v>
      </c>
      <c r="I277">
        <v>1.69580016951252</v>
      </c>
      <c r="J277">
        <v>1.82823672250832</v>
      </c>
      <c r="K277">
        <v>0.71870277132281202</v>
      </c>
      <c r="L277">
        <v>14486.612883063401</v>
      </c>
      <c r="M277">
        <v>250</v>
      </c>
      <c r="O277">
        <v>57.942743382409603</v>
      </c>
      <c r="P277">
        <v>0.446827269070253</v>
      </c>
      <c r="Q277">
        <v>1.4142463638457501</v>
      </c>
      <c r="R277">
        <v>0.31533716010841001</v>
      </c>
      <c r="S277" t="s">
        <v>5828</v>
      </c>
      <c r="T277" t="s">
        <v>11100</v>
      </c>
      <c r="U277" t="s">
        <v>11100</v>
      </c>
      <c r="V277" t="s">
        <v>11100</v>
      </c>
      <c r="W277" t="s">
        <v>11374</v>
      </c>
      <c r="X277">
        <v>5</v>
      </c>
      <c r="Y277" t="s">
        <v>16868</v>
      </c>
      <c r="Z277" t="s">
        <v>22282</v>
      </c>
      <c r="AA277">
        <v>1.12497119092158</v>
      </c>
      <c r="AB277" t="str">
        <f>HYPERLINK("Melting_Curves/meltCurve_C9JFR7_CYCS.pdf", "Melting_Curves/meltCurve_C9JFR7_CYCS.pdf")</f>
        <v>Melting_Curves/meltCurve_C9JFR7_CYCS.pdf</v>
      </c>
    </row>
    <row r="278" spans="1:28" x14ac:dyDescent="0.25">
      <c r="A278" t="s">
        <v>282</v>
      </c>
      <c r="B278">
        <v>0.99299721793515405</v>
      </c>
      <c r="C278">
        <v>1.0055688042573501</v>
      </c>
      <c r="D278">
        <v>1.18554542909892</v>
      </c>
      <c r="E278">
        <v>0.92945835193201898</v>
      </c>
      <c r="F278">
        <v>0.67203319259744898</v>
      </c>
      <c r="G278">
        <v>0.61761616762841598</v>
      </c>
      <c r="H278">
        <v>0.37597887461062302</v>
      </c>
      <c r="I278">
        <v>0.370699805424069</v>
      </c>
      <c r="J278">
        <v>0.224091059683312</v>
      </c>
      <c r="K278">
        <v>0.15582343348796501</v>
      </c>
      <c r="L278">
        <v>748.45900062418002</v>
      </c>
      <c r="M278">
        <v>13.8961405983468</v>
      </c>
      <c r="N278">
        <v>55.268810837579203</v>
      </c>
      <c r="O278">
        <v>52.7822798854341</v>
      </c>
      <c r="P278">
        <v>-5.6015226981566198E-2</v>
      </c>
      <c r="Q278">
        <v>0.149056207873805</v>
      </c>
      <c r="R278">
        <v>0.94443651561383801</v>
      </c>
      <c r="S278" t="s">
        <v>5829</v>
      </c>
      <c r="T278" t="s">
        <v>11100</v>
      </c>
      <c r="U278" t="s">
        <v>11100</v>
      </c>
      <c r="V278" t="s">
        <v>11100</v>
      </c>
      <c r="W278" t="s">
        <v>11375</v>
      </c>
      <c r="X278">
        <v>14</v>
      </c>
      <c r="Y278" t="s">
        <v>16869</v>
      </c>
      <c r="Z278" t="s">
        <v>22283</v>
      </c>
      <c r="AA278">
        <v>0.64204981256825377</v>
      </c>
      <c r="AB278" t="str">
        <f>HYPERLINK("Melting_Curves/meltCurve_C9JG97_AAMP.pdf", "Melting_Curves/meltCurve_C9JG97_AAMP.pdf")</f>
        <v>Melting_Curves/meltCurve_C9JG97_AAMP.pdf</v>
      </c>
    </row>
    <row r="279" spans="1:28" x14ac:dyDescent="0.25">
      <c r="A279" t="s">
        <v>283</v>
      </c>
      <c r="B279">
        <v>0.99299721793515405</v>
      </c>
      <c r="C279">
        <v>0.95547697863072201</v>
      </c>
      <c r="D279">
        <v>0.92736183107959502</v>
      </c>
      <c r="E279">
        <v>0.755105685252213</v>
      </c>
      <c r="F279">
        <v>0.74857810746568099</v>
      </c>
      <c r="G279">
        <v>0.86903594110460702</v>
      </c>
      <c r="H279">
        <v>1.0727727020982101</v>
      </c>
      <c r="I279">
        <v>1.5142175402197899</v>
      </c>
      <c r="J279">
        <v>1.4939188057919599</v>
      </c>
      <c r="K279">
        <v>1.1166886098102899</v>
      </c>
      <c r="L279">
        <v>14431.7160377378</v>
      </c>
      <c r="M279">
        <v>250</v>
      </c>
      <c r="O279">
        <v>57.723153679150499</v>
      </c>
      <c r="P279">
        <v>0.40596965685900199</v>
      </c>
      <c r="Q279">
        <v>1.3749416884082599</v>
      </c>
      <c r="R279">
        <v>0.62155257135598396</v>
      </c>
      <c r="S279" t="s">
        <v>5830</v>
      </c>
      <c r="T279" t="s">
        <v>11100</v>
      </c>
      <c r="U279" t="s">
        <v>11100</v>
      </c>
      <c r="V279" t="s">
        <v>11100</v>
      </c>
      <c r="W279" t="s">
        <v>11376</v>
      </c>
      <c r="X279">
        <v>13</v>
      </c>
      <c r="Y279" t="s">
        <v>16870</v>
      </c>
      <c r="Z279" t="s">
        <v>22284</v>
      </c>
      <c r="AA279">
        <v>1.115858188488025</v>
      </c>
      <c r="AB279" t="str">
        <f>HYPERLINK("Melting_Curves/meltCurve_C9JIF9_APEH.pdf", "Melting_Curves/meltCurve_C9JIF9_APEH.pdf")</f>
        <v>Melting_Curves/meltCurve_C9JIF9_APEH.pdf</v>
      </c>
    </row>
    <row r="280" spans="1:28" x14ac:dyDescent="0.25">
      <c r="A280" t="s">
        <v>284</v>
      </c>
      <c r="B280">
        <v>0.99299721793515405</v>
      </c>
      <c r="C280">
        <v>1.11445154321349</v>
      </c>
      <c r="D280">
        <v>0.94107984534601596</v>
      </c>
      <c r="E280">
        <v>1.14501785922219</v>
      </c>
      <c r="F280">
        <v>0.902906912796132</v>
      </c>
      <c r="G280">
        <v>0.60261893775533004</v>
      </c>
      <c r="H280">
        <v>0.52750865287269599</v>
      </c>
      <c r="I280">
        <v>0.50226204590480705</v>
      </c>
      <c r="J280">
        <v>0.25262806109198499</v>
      </c>
      <c r="K280">
        <v>0.194917001428563</v>
      </c>
      <c r="L280">
        <v>800.45892630800495</v>
      </c>
      <c r="M280">
        <v>14.1512000492644</v>
      </c>
      <c r="N280">
        <v>58.035932840398601</v>
      </c>
      <c r="O280">
        <v>55.471119832701397</v>
      </c>
      <c r="P280">
        <v>-5.4171804930904698E-2</v>
      </c>
      <c r="Q280">
        <v>0.15071812662781101</v>
      </c>
      <c r="R280">
        <v>0.922313709398766</v>
      </c>
      <c r="S280" t="s">
        <v>5831</v>
      </c>
      <c r="T280" t="s">
        <v>11100</v>
      </c>
      <c r="U280" t="s">
        <v>11100</v>
      </c>
      <c r="V280" t="s">
        <v>11100</v>
      </c>
      <c r="W280" t="s">
        <v>11377</v>
      </c>
      <c r="X280">
        <v>3</v>
      </c>
      <c r="Y280" t="s">
        <v>16871</v>
      </c>
      <c r="Z280" t="s">
        <v>22285</v>
      </c>
      <c r="AA280">
        <v>0.71247027045250655</v>
      </c>
      <c r="AB280" t="str">
        <f>HYPERLINK("Melting_Curves/meltCurve_C9JIM0_PBLD.pdf", "Melting_Curves/meltCurve_C9JIM0_PBLD.pdf")</f>
        <v>Melting_Curves/meltCurve_C9JIM0_PBLD.pdf</v>
      </c>
    </row>
    <row r="281" spans="1:28" x14ac:dyDescent="0.25">
      <c r="A281" t="s">
        <v>285</v>
      </c>
      <c r="B281">
        <v>0.99299721793515405</v>
      </c>
      <c r="C281">
        <v>0.95569423255825503</v>
      </c>
      <c r="D281">
        <v>1.0520859171692001</v>
      </c>
      <c r="E281">
        <v>0.89713014684389603</v>
      </c>
      <c r="F281">
        <v>0.81919613942508096</v>
      </c>
      <c r="G281">
        <v>0.63622756526922397</v>
      </c>
      <c r="H281">
        <v>0.60434337383272796</v>
      </c>
      <c r="I281">
        <v>0.83685580430983797</v>
      </c>
      <c r="J281">
        <v>1.03418129901786</v>
      </c>
      <c r="K281">
        <v>1.2816662308037201</v>
      </c>
      <c r="L281">
        <v>15000</v>
      </c>
      <c r="M281">
        <v>232.029312140689</v>
      </c>
      <c r="O281">
        <v>64.642205442207</v>
      </c>
      <c r="P281">
        <v>0.25282910934598402</v>
      </c>
      <c r="Q281">
        <v>1.28174768417691</v>
      </c>
      <c r="R281">
        <v>3.7313946353344498E-3</v>
      </c>
      <c r="S281" t="s">
        <v>5832</v>
      </c>
      <c r="T281" t="s">
        <v>11100</v>
      </c>
      <c r="U281" t="s">
        <v>11100</v>
      </c>
      <c r="V281" t="s">
        <v>11100</v>
      </c>
      <c r="W281" t="s">
        <v>11378</v>
      </c>
      <c r="X281">
        <v>11</v>
      </c>
      <c r="Y281" t="s">
        <v>16872</v>
      </c>
      <c r="Z281" t="s">
        <v>22286</v>
      </c>
      <c r="AA281">
        <v>1.022062076931092</v>
      </c>
      <c r="AB281" t="str">
        <f>HYPERLINK("Melting_Curves/meltCurve_C9JIZ6_PSAP.pdf", "Melting_Curves/meltCurve_C9JIZ6_PSAP.pdf")</f>
        <v>Melting_Curves/meltCurve_C9JIZ6_PSAP.pdf</v>
      </c>
    </row>
    <row r="282" spans="1:28" x14ac:dyDescent="0.25">
      <c r="A282" t="s">
        <v>286</v>
      </c>
      <c r="B282">
        <v>0.99299721793515405</v>
      </c>
      <c r="C282">
        <v>0.81788400445318199</v>
      </c>
      <c r="D282">
        <v>0.87102952180425797</v>
      </c>
      <c r="E282">
        <v>0.79556105756778295</v>
      </c>
      <c r="F282">
        <v>0.75412181218982899</v>
      </c>
      <c r="G282">
        <v>0.56226682168095099</v>
      </c>
      <c r="H282">
        <v>0.46049223344282098</v>
      </c>
      <c r="I282">
        <v>0.43798275267788001</v>
      </c>
      <c r="J282">
        <v>0.34764771260367999</v>
      </c>
      <c r="K282">
        <v>0.349889191832369</v>
      </c>
      <c r="L282">
        <v>314.46953609315398</v>
      </c>
      <c r="M282">
        <v>5.5330010501962104</v>
      </c>
      <c r="N282">
        <v>57.508484112692301</v>
      </c>
      <c r="O282">
        <v>50.705877456868002</v>
      </c>
      <c r="P282">
        <v>-2.6538396394639799E-2</v>
      </c>
      <c r="Q282">
        <v>3.1358977052220099E-2</v>
      </c>
      <c r="R282">
        <v>0.95926253543435802</v>
      </c>
      <c r="S282" t="s">
        <v>5833</v>
      </c>
      <c r="T282" t="s">
        <v>11100</v>
      </c>
      <c r="U282" t="s">
        <v>11100</v>
      </c>
      <c r="V282" t="s">
        <v>11100</v>
      </c>
      <c r="W282" t="s">
        <v>11379</v>
      </c>
      <c r="X282">
        <v>5</v>
      </c>
      <c r="Y282" t="s">
        <v>16873</v>
      </c>
      <c r="Z282" t="s">
        <v>22287</v>
      </c>
      <c r="AA282">
        <v>0.6405587500167389</v>
      </c>
      <c r="AB282" t="str">
        <f>HYPERLINK("Melting_Curves/meltCurve_C9JK10_ITGA6.pdf", "Melting_Curves/meltCurve_C9JK10_ITGA6.pdf")</f>
        <v>Melting_Curves/meltCurve_C9JK10_ITGA6.pdf</v>
      </c>
    </row>
    <row r="283" spans="1:28" x14ac:dyDescent="0.25">
      <c r="A283" t="s">
        <v>287</v>
      </c>
      <c r="B283">
        <v>0.99299721793515405</v>
      </c>
      <c r="C283">
        <v>0.73416410250198005</v>
      </c>
      <c r="D283">
        <v>0.77126334866228097</v>
      </c>
      <c r="E283">
        <v>0.83096223975805406</v>
      </c>
      <c r="F283">
        <v>0.66954065934456797</v>
      </c>
      <c r="G283">
        <v>0.51525885423339302</v>
      </c>
      <c r="H283">
        <v>0.33448111108237</v>
      </c>
      <c r="I283">
        <v>0.31232351225305299</v>
      </c>
      <c r="J283">
        <v>0.230870976177453</v>
      </c>
      <c r="K283">
        <v>0.21174341510285999</v>
      </c>
      <c r="L283">
        <v>345.62593633319398</v>
      </c>
      <c r="M283">
        <v>6.4491432878707498</v>
      </c>
      <c r="N283">
        <v>53.592534835720897</v>
      </c>
      <c r="O283">
        <v>49.136968603907398</v>
      </c>
      <c r="P283">
        <v>-3.2894065295262898E-2</v>
      </c>
      <c r="Q283">
        <v>0</v>
      </c>
      <c r="R283">
        <v>0.922571348106353</v>
      </c>
      <c r="S283" t="s">
        <v>5834</v>
      </c>
      <c r="T283" t="s">
        <v>11100</v>
      </c>
      <c r="U283" t="s">
        <v>11100</v>
      </c>
      <c r="V283" t="s">
        <v>11100</v>
      </c>
      <c r="W283" t="s">
        <v>11380</v>
      </c>
      <c r="X283">
        <v>10</v>
      </c>
      <c r="Y283" t="s">
        <v>16874</v>
      </c>
      <c r="Z283" t="s">
        <v>22288</v>
      </c>
      <c r="AA283">
        <v>0.56628920996311671</v>
      </c>
      <c r="AB283" t="str">
        <f>HYPERLINK("Melting_Curves/meltCurve_C9JKQ7_GART.pdf", "Melting_Curves/meltCurve_C9JKQ7_GART.pdf")</f>
        <v>Melting_Curves/meltCurve_C9JKQ7_GART.pdf</v>
      </c>
    </row>
    <row r="284" spans="1:28" x14ac:dyDescent="0.25">
      <c r="A284" t="s">
        <v>288</v>
      </c>
      <c r="B284">
        <v>0.99299721793515405</v>
      </c>
      <c r="C284">
        <v>1.0929706758548501</v>
      </c>
      <c r="D284">
        <v>0.90608622354148305</v>
      </c>
      <c r="E284">
        <v>0.88870409078248402</v>
      </c>
      <c r="F284">
        <v>0.79000726545890199</v>
      </c>
      <c r="G284">
        <v>0.44369904980975</v>
      </c>
      <c r="H284">
        <v>0.40211906268643499</v>
      </c>
      <c r="I284">
        <v>0.41622526358590201</v>
      </c>
      <c r="J284">
        <v>0.38225243896102301</v>
      </c>
      <c r="K284">
        <v>0.226097243563917</v>
      </c>
      <c r="L284">
        <v>953.45003801719997</v>
      </c>
      <c r="M284">
        <v>18.577496225165198</v>
      </c>
      <c r="N284">
        <v>54.174415882352001</v>
      </c>
      <c r="O284">
        <v>50.739255776971703</v>
      </c>
      <c r="P284">
        <v>-6.2983517779662004E-2</v>
      </c>
      <c r="Q284">
        <v>0.311942251437269</v>
      </c>
      <c r="R284">
        <v>0.95188619054637602</v>
      </c>
      <c r="S284" t="s">
        <v>5835</v>
      </c>
      <c r="T284" t="s">
        <v>11100</v>
      </c>
      <c r="U284" t="s">
        <v>11100</v>
      </c>
      <c r="V284" t="s">
        <v>11100</v>
      </c>
      <c r="W284" t="s">
        <v>11381</v>
      </c>
      <c r="X284">
        <v>4</v>
      </c>
      <c r="Y284" t="s">
        <v>16875</v>
      </c>
      <c r="Z284" t="s">
        <v>22289</v>
      </c>
      <c r="AA284">
        <v>0.65053786405646596</v>
      </c>
      <c r="AB284" t="str">
        <f>HYPERLINK("Melting_Curves/meltCurve_C9JLU1_POLR2H.pdf", "Melting_Curves/meltCurve_C9JLU1_POLR2H.pdf")</f>
        <v>Melting_Curves/meltCurve_C9JLU1_POLR2H.pdf</v>
      </c>
    </row>
    <row r="285" spans="1:28" x14ac:dyDescent="0.25">
      <c r="A285" t="s">
        <v>289</v>
      </c>
      <c r="B285">
        <v>0.99299721793515405</v>
      </c>
      <c r="C285">
        <v>0.96575689292866196</v>
      </c>
      <c r="D285">
        <v>0.892655422481751</v>
      </c>
      <c r="E285">
        <v>0.79265192877787904</v>
      </c>
      <c r="F285">
        <v>0.62689356539728502</v>
      </c>
      <c r="G285">
        <v>0.27820429763876797</v>
      </c>
      <c r="H285">
        <v>0.23561647644244599</v>
      </c>
      <c r="I285">
        <v>0.255991952964575</v>
      </c>
      <c r="J285">
        <v>0.24335440745085901</v>
      </c>
      <c r="K285">
        <v>0.20822147415766901</v>
      </c>
      <c r="L285">
        <v>890.80767692129598</v>
      </c>
      <c r="M285">
        <v>17.9942929534567</v>
      </c>
      <c r="N285">
        <v>50.973403935660301</v>
      </c>
      <c r="O285">
        <v>48.9057742331293</v>
      </c>
      <c r="P285">
        <v>-7.3384067044567805E-2</v>
      </c>
      <c r="Q285">
        <v>0.20225248759040201</v>
      </c>
      <c r="R285">
        <v>0.98226887434306098</v>
      </c>
      <c r="S285" t="s">
        <v>5836</v>
      </c>
      <c r="T285" t="s">
        <v>11100</v>
      </c>
      <c r="U285" t="s">
        <v>11100</v>
      </c>
      <c r="V285" t="s">
        <v>11100</v>
      </c>
      <c r="W285" t="s">
        <v>11382</v>
      </c>
      <c r="X285">
        <v>4</v>
      </c>
      <c r="Y285" t="s">
        <v>16876</v>
      </c>
      <c r="Z285" t="s">
        <v>22290</v>
      </c>
      <c r="AA285">
        <v>0.5474206466528474</v>
      </c>
      <c r="AB285" t="str">
        <f>HYPERLINK("Melting_Curves/meltCurve_C9JLV4_APAF1.pdf", "Melting_Curves/meltCurve_C9JLV4_APAF1.pdf")</f>
        <v>Melting_Curves/meltCurve_C9JLV4_APAF1.pdf</v>
      </c>
    </row>
    <row r="286" spans="1:28" x14ac:dyDescent="0.25">
      <c r="A286" t="s">
        <v>290</v>
      </c>
      <c r="B286">
        <v>0.99299721793515405</v>
      </c>
      <c r="C286">
        <v>0.98474042620867996</v>
      </c>
      <c r="D286">
        <v>0.81866856668635002</v>
      </c>
      <c r="E286">
        <v>0.73850139681773097</v>
      </c>
      <c r="F286">
        <v>0.54136751969600605</v>
      </c>
      <c r="G286">
        <v>0.303678745368192</v>
      </c>
      <c r="H286">
        <v>0.15704447918039</v>
      </c>
      <c r="I286">
        <v>0.149626882640221</v>
      </c>
      <c r="J286">
        <v>0.139595665892117</v>
      </c>
      <c r="K286">
        <v>7.0671829064630806E-2</v>
      </c>
      <c r="L286">
        <v>615.15979853146303</v>
      </c>
      <c r="M286">
        <v>12.3277577322709</v>
      </c>
      <c r="N286">
        <v>50.2812677980925</v>
      </c>
      <c r="O286">
        <v>48.641836825509998</v>
      </c>
      <c r="P286">
        <v>-6.0548515259049897E-2</v>
      </c>
      <c r="Q286">
        <v>4.4578376170254501E-2</v>
      </c>
      <c r="R286">
        <v>0.99111743602735203</v>
      </c>
      <c r="S286" t="s">
        <v>5837</v>
      </c>
      <c r="T286" t="s">
        <v>11100</v>
      </c>
      <c r="U286" t="s">
        <v>11100</v>
      </c>
      <c r="V286" t="s">
        <v>11100</v>
      </c>
      <c r="W286" t="s">
        <v>11383</v>
      </c>
      <c r="X286">
        <v>3</v>
      </c>
      <c r="Y286" t="s">
        <v>16877</v>
      </c>
      <c r="Z286" t="s">
        <v>22291</v>
      </c>
      <c r="AA286">
        <v>0.48148115132844271</v>
      </c>
      <c r="AB286" t="str">
        <f>HYPERLINK("Melting_Curves/meltCurve_C9JN15_PPIG.pdf", "Melting_Curves/meltCurve_C9JN15_PPIG.pdf")</f>
        <v>Melting_Curves/meltCurve_C9JN15_PPIG.pdf</v>
      </c>
    </row>
    <row r="287" spans="1:28" x14ac:dyDescent="0.25">
      <c r="A287" t="s">
        <v>291</v>
      </c>
      <c r="B287">
        <v>0.99299721793515405</v>
      </c>
      <c r="C287">
        <v>0.94816610192857398</v>
      </c>
      <c r="D287">
        <v>0.99326207632681296</v>
      </c>
      <c r="E287">
        <v>0.86749109946093295</v>
      </c>
      <c r="F287">
        <v>0.679983968278845</v>
      </c>
      <c r="G287">
        <v>0.314687375071252</v>
      </c>
      <c r="H287">
        <v>0.20858783887972701</v>
      </c>
      <c r="I287">
        <v>0.14576985128269501</v>
      </c>
      <c r="J287">
        <v>0.202333814118306</v>
      </c>
      <c r="K287">
        <v>0.17541277448774101</v>
      </c>
      <c r="L287">
        <v>1216.58987198663</v>
      </c>
      <c r="M287">
        <v>23.934916539669899</v>
      </c>
      <c r="N287">
        <v>51.677537879992101</v>
      </c>
      <c r="O287">
        <v>50.478256993254597</v>
      </c>
      <c r="P287">
        <v>-9.9282572704077796E-2</v>
      </c>
      <c r="Q287">
        <v>0.16247359989819701</v>
      </c>
      <c r="R287">
        <v>0.99286213055052397</v>
      </c>
      <c r="S287" t="s">
        <v>5838</v>
      </c>
      <c r="T287" t="s">
        <v>11100</v>
      </c>
      <c r="U287" t="s">
        <v>11100</v>
      </c>
      <c r="V287" t="s">
        <v>11100</v>
      </c>
      <c r="W287" t="s">
        <v>11384</v>
      </c>
      <c r="X287">
        <v>2</v>
      </c>
      <c r="Y287" t="s">
        <v>16878</v>
      </c>
      <c r="Z287" t="s">
        <v>22292</v>
      </c>
      <c r="AA287">
        <v>0.55654764120510092</v>
      </c>
      <c r="AB287" t="str">
        <f>HYPERLINK("Melting_Curves/meltCurve_C9JNA8_IP6K1.pdf", "Melting_Curves/meltCurve_C9JNA8_IP6K1.pdf")</f>
        <v>Melting_Curves/meltCurve_C9JNA8_IP6K1.pdf</v>
      </c>
    </row>
    <row r="288" spans="1:28" x14ac:dyDescent="0.25">
      <c r="A288" t="s">
        <v>292</v>
      </c>
      <c r="B288">
        <v>0.99299721793515405</v>
      </c>
      <c r="C288">
        <v>0.86730344067051202</v>
      </c>
      <c r="D288">
        <v>1.11724590244374</v>
      </c>
      <c r="E288">
        <v>0.80287637275698098</v>
      </c>
      <c r="F288">
        <v>0.57190996323473697</v>
      </c>
      <c r="G288">
        <v>0.30922133736215501</v>
      </c>
      <c r="H288">
        <v>0.18553079151986299</v>
      </c>
      <c r="I288">
        <v>0.17083665992531</v>
      </c>
      <c r="J288">
        <v>0.18628478378390101</v>
      </c>
      <c r="K288">
        <v>0.13059636206009301</v>
      </c>
      <c r="L288">
        <v>1070.9063804740899</v>
      </c>
      <c r="M288">
        <v>21.4149392703007</v>
      </c>
      <c r="N288">
        <v>50.856205667607497</v>
      </c>
      <c r="O288">
        <v>49.577505218411702</v>
      </c>
      <c r="P288">
        <v>-9.1763860796961194E-2</v>
      </c>
      <c r="Q288">
        <v>0.15025482975988599</v>
      </c>
      <c r="R288">
        <v>0.96877798057843501</v>
      </c>
      <c r="S288" t="s">
        <v>5839</v>
      </c>
      <c r="T288" t="s">
        <v>11100</v>
      </c>
      <c r="U288" t="s">
        <v>11100</v>
      </c>
      <c r="V288" t="s">
        <v>11100</v>
      </c>
      <c r="W288" t="s">
        <v>11385</v>
      </c>
      <c r="X288">
        <v>3</v>
      </c>
      <c r="Y288" t="s">
        <v>16879</v>
      </c>
      <c r="Z288" t="s">
        <v>22293</v>
      </c>
      <c r="AA288">
        <v>0.52859789552826419</v>
      </c>
      <c r="AB288" t="str">
        <f>HYPERLINK("Melting_Curves/meltCurve_C9JNE2_OARD1.pdf", "Melting_Curves/meltCurve_C9JNE2_OARD1.pdf")</f>
        <v>Melting_Curves/meltCurve_C9JNE2_OARD1.pdf</v>
      </c>
    </row>
    <row r="289" spans="1:28" x14ac:dyDescent="0.25">
      <c r="A289" t="s">
        <v>293</v>
      </c>
      <c r="B289">
        <v>0.99299721793515405</v>
      </c>
      <c r="C289">
        <v>0.78850012465455499</v>
      </c>
      <c r="D289">
        <v>0.88182729318443998</v>
      </c>
      <c r="E289">
        <v>0.71757940179401303</v>
      </c>
      <c r="F289">
        <v>0.66419666537089395</v>
      </c>
      <c r="G289">
        <v>0.421997823658182</v>
      </c>
      <c r="H289">
        <v>0.20614152417835599</v>
      </c>
      <c r="I289">
        <v>7.8352262443663806E-2</v>
      </c>
      <c r="J289">
        <v>3.9645738536786101E-2</v>
      </c>
      <c r="K289">
        <v>3.4854468346397799E-2</v>
      </c>
      <c r="L289">
        <v>592.41728970420104</v>
      </c>
      <c r="M289">
        <v>11.5250753748248</v>
      </c>
      <c r="N289">
        <v>51.4024654071006</v>
      </c>
      <c r="O289">
        <v>49.927979364232201</v>
      </c>
      <c r="P289">
        <v>-5.7724766263995801E-2</v>
      </c>
      <c r="Q289">
        <v>0</v>
      </c>
      <c r="R289">
        <v>0.956809367598629</v>
      </c>
      <c r="S289" t="s">
        <v>5840</v>
      </c>
      <c r="T289" t="s">
        <v>11100</v>
      </c>
      <c r="U289" t="s">
        <v>11100</v>
      </c>
      <c r="V289" t="s">
        <v>11100</v>
      </c>
      <c r="W289" t="s">
        <v>11386</v>
      </c>
      <c r="X289">
        <v>1</v>
      </c>
      <c r="Y289" t="s">
        <v>16880</v>
      </c>
      <c r="Z289" t="s">
        <v>22294</v>
      </c>
      <c r="AA289">
        <v>0.50615515244081677</v>
      </c>
      <c r="AB289" t="str">
        <f>HYPERLINK("Melting_Curves/meltCurve_C9JNG9_COL6A3.pdf", "Melting_Curves/meltCurve_C9JNG9_COL6A3.pdf")</f>
        <v>Melting_Curves/meltCurve_C9JNG9_COL6A3.pdf</v>
      </c>
    </row>
    <row r="290" spans="1:28" x14ac:dyDescent="0.25">
      <c r="A290" t="s">
        <v>294</v>
      </c>
      <c r="B290">
        <v>0.99299721793515405</v>
      </c>
      <c r="C290">
        <v>0.92480412379780297</v>
      </c>
      <c r="D290">
        <v>1.2629282541884701</v>
      </c>
      <c r="E290">
        <v>0.87763976622352702</v>
      </c>
      <c r="F290">
        <v>0.74805301303660698</v>
      </c>
      <c r="G290">
        <v>0.65185176622388097</v>
      </c>
      <c r="H290">
        <v>0.43473494094724102</v>
      </c>
      <c r="I290">
        <v>0.35271358742082398</v>
      </c>
      <c r="J290">
        <v>0.22034869233957799</v>
      </c>
      <c r="K290">
        <v>0.21025082424640401</v>
      </c>
      <c r="L290">
        <v>752.27765535828098</v>
      </c>
      <c r="M290">
        <v>13.7537630127156</v>
      </c>
      <c r="N290">
        <v>56.143558597703802</v>
      </c>
      <c r="O290">
        <v>53.578733336832798</v>
      </c>
      <c r="P290">
        <v>-5.4603938170208699E-2</v>
      </c>
      <c r="Q290">
        <v>0.14926701133884199</v>
      </c>
      <c r="R290">
        <v>0.91740813499992002</v>
      </c>
      <c r="S290" t="s">
        <v>5841</v>
      </c>
      <c r="T290" t="s">
        <v>11100</v>
      </c>
      <c r="U290" t="s">
        <v>11100</v>
      </c>
      <c r="V290" t="s">
        <v>11100</v>
      </c>
      <c r="W290" t="s">
        <v>11387</v>
      </c>
      <c r="X290">
        <v>14</v>
      </c>
      <c r="Y290" t="s">
        <v>16881</v>
      </c>
      <c r="Z290" t="s">
        <v>22295</v>
      </c>
      <c r="AA290">
        <v>0.66409712491299289</v>
      </c>
      <c r="AB290" t="str">
        <f>HYPERLINK("Melting_Curves/meltCurve_C9JP00_MBNL1.pdf", "Melting_Curves/meltCurve_C9JP00_MBNL1.pdf")</f>
        <v>Melting_Curves/meltCurve_C9JP00_MBNL1.pdf</v>
      </c>
    </row>
    <row r="291" spans="1:28" x14ac:dyDescent="0.25">
      <c r="A291" t="s">
        <v>295</v>
      </c>
      <c r="B291">
        <v>0.99299721793515405</v>
      </c>
      <c r="C291">
        <v>1.0939764833190599</v>
      </c>
      <c r="D291">
        <v>0.94467804336498795</v>
      </c>
      <c r="E291">
        <v>0.94462509818722895</v>
      </c>
      <c r="F291">
        <v>0.80347856590051503</v>
      </c>
      <c r="G291">
        <v>0.61667472598986095</v>
      </c>
      <c r="H291">
        <v>0.73838826241852795</v>
      </c>
      <c r="I291">
        <v>0.57019924217548701</v>
      </c>
      <c r="J291">
        <v>0.65294740459876599</v>
      </c>
      <c r="K291">
        <v>0.450478807554264</v>
      </c>
      <c r="L291">
        <v>682.16870200109895</v>
      </c>
      <c r="M291">
        <v>13.1897857270163</v>
      </c>
      <c r="O291">
        <v>50.573960900385401</v>
      </c>
      <c r="P291">
        <v>-3.05685962137985E-2</v>
      </c>
      <c r="Q291">
        <v>0.53123820882676398</v>
      </c>
      <c r="R291">
        <v>0.87189682449194295</v>
      </c>
      <c r="S291" t="s">
        <v>5842</v>
      </c>
      <c r="T291" t="s">
        <v>11100</v>
      </c>
      <c r="U291" t="s">
        <v>11100</v>
      </c>
      <c r="V291" t="s">
        <v>11100</v>
      </c>
      <c r="W291" t="s">
        <v>11388</v>
      </c>
      <c r="X291">
        <v>2</v>
      </c>
      <c r="Y291" t="s">
        <v>16882</v>
      </c>
      <c r="Z291" t="s">
        <v>22296</v>
      </c>
      <c r="AA291">
        <v>0.77173209290606237</v>
      </c>
      <c r="AB291" t="str">
        <f>HYPERLINK("Melting_Curves/meltCurve_C9JP16_CRTAP.pdf", "Melting_Curves/meltCurve_C9JP16_CRTAP.pdf")</f>
        <v>Melting_Curves/meltCurve_C9JP16_CRTAP.pdf</v>
      </c>
    </row>
    <row r="292" spans="1:28" x14ac:dyDescent="0.25">
      <c r="A292" t="s">
        <v>296</v>
      </c>
      <c r="B292">
        <v>0.99299721793515405</v>
      </c>
      <c r="C292">
        <v>0.94879575373448799</v>
      </c>
      <c r="D292">
        <v>0.88262357983197404</v>
      </c>
      <c r="E292">
        <v>0.73830886653308803</v>
      </c>
      <c r="F292">
        <v>0.60703423209218899</v>
      </c>
      <c r="G292">
        <v>0.34389898180416001</v>
      </c>
      <c r="H292">
        <v>0.20665324728055801</v>
      </c>
      <c r="I292">
        <v>0.15611408075634001</v>
      </c>
      <c r="J292">
        <v>0.127788161125024</v>
      </c>
      <c r="K292">
        <v>0.111653575513236</v>
      </c>
      <c r="L292">
        <v>610.34514526666703</v>
      </c>
      <c r="M292">
        <v>12.042721724309301</v>
      </c>
      <c r="N292">
        <v>51.121765887195302</v>
      </c>
      <c r="O292">
        <v>49.344845172091098</v>
      </c>
      <c r="P292">
        <v>-5.80225995171939E-2</v>
      </c>
      <c r="Q292">
        <v>4.9239660360311799E-2</v>
      </c>
      <c r="R292">
        <v>0.995352538474093</v>
      </c>
      <c r="S292" t="s">
        <v>5843</v>
      </c>
      <c r="T292" t="s">
        <v>11100</v>
      </c>
      <c r="U292" t="s">
        <v>11100</v>
      </c>
      <c r="V292" t="s">
        <v>11100</v>
      </c>
      <c r="W292" t="s">
        <v>11389</v>
      </c>
      <c r="X292">
        <v>4</v>
      </c>
      <c r="Y292" t="s">
        <v>16883</v>
      </c>
      <c r="Z292" t="s">
        <v>22297</v>
      </c>
      <c r="AA292">
        <v>0.50811723175130752</v>
      </c>
      <c r="AB292" t="str">
        <f>HYPERLINK("Melting_Curves/meltCurve_C9JP85_NRF1.pdf", "Melting_Curves/meltCurve_C9JP85_NRF1.pdf")</f>
        <v>Melting_Curves/meltCurve_C9JP85_NRF1.pdf</v>
      </c>
    </row>
    <row r="293" spans="1:28" x14ac:dyDescent="0.25">
      <c r="A293" t="s">
        <v>297</v>
      </c>
      <c r="B293">
        <v>0.99299721793515405</v>
      </c>
      <c r="C293">
        <v>1.3467091466957</v>
      </c>
      <c r="D293">
        <v>1.1098996769821701</v>
      </c>
      <c r="E293">
        <v>1.1097746396807799</v>
      </c>
      <c r="F293">
        <v>0.98390336187554595</v>
      </c>
      <c r="G293">
        <v>0.57046194714766396</v>
      </c>
      <c r="H293">
        <v>0.36522478150627802</v>
      </c>
      <c r="I293">
        <v>0.24148888055099699</v>
      </c>
      <c r="J293">
        <v>0.18539081254256701</v>
      </c>
      <c r="K293">
        <v>0.124027240362169</v>
      </c>
      <c r="L293">
        <v>1557.69318539857</v>
      </c>
      <c r="M293">
        <v>28.754366777602101</v>
      </c>
      <c r="N293">
        <v>55.005191397924598</v>
      </c>
      <c r="O293">
        <v>53.912428186385199</v>
      </c>
      <c r="P293">
        <v>-0.10980769593680401</v>
      </c>
      <c r="Q293">
        <v>0.176479449893406</v>
      </c>
      <c r="R293">
        <v>0.91363117475578204</v>
      </c>
      <c r="S293" t="s">
        <v>5844</v>
      </c>
      <c r="T293" t="s">
        <v>11100</v>
      </c>
      <c r="U293" t="s">
        <v>11100</v>
      </c>
      <c r="V293" t="s">
        <v>11100</v>
      </c>
      <c r="W293" t="s">
        <v>11390</v>
      </c>
      <c r="X293">
        <v>4</v>
      </c>
      <c r="Y293" t="s">
        <v>16884</v>
      </c>
      <c r="Z293" t="s">
        <v>22298</v>
      </c>
      <c r="AA293">
        <v>0.653540698646628</v>
      </c>
      <c r="AB293" t="str">
        <f>HYPERLINK("Melting_Curves/meltCurve_C9JPM4_ARF4.pdf", "Melting_Curves/meltCurve_C9JPM4_ARF4.pdf")</f>
        <v>Melting_Curves/meltCurve_C9JPM4_ARF4.pdf</v>
      </c>
    </row>
    <row r="294" spans="1:28" x14ac:dyDescent="0.25">
      <c r="A294" t="s">
        <v>298</v>
      </c>
      <c r="B294">
        <v>0.99299721793515405</v>
      </c>
      <c r="C294">
        <v>1.04596870428706</v>
      </c>
      <c r="D294">
        <v>1.08032029594394</v>
      </c>
      <c r="E294">
        <v>0.76922719932222705</v>
      </c>
      <c r="F294">
        <v>0.45325934576262999</v>
      </c>
      <c r="G294">
        <v>0.348322598716926</v>
      </c>
      <c r="H294">
        <v>0.25776872310843701</v>
      </c>
      <c r="I294">
        <v>0.25437981781618402</v>
      </c>
      <c r="J294">
        <v>0.17199549898935501</v>
      </c>
      <c r="K294">
        <v>0.15325096152230799</v>
      </c>
      <c r="L294">
        <v>1119.36119329086</v>
      </c>
      <c r="M294">
        <v>22.9484358134732</v>
      </c>
      <c r="N294">
        <v>49.946688403493901</v>
      </c>
      <c r="O294">
        <v>48.411372467411802</v>
      </c>
      <c r="P294">
        <v>-9.3878001041754894E-2</v>
      </c>
      <c r="Q294">
        <v>0.207845474878918</v>
      </c>
      <c r="R294">
        <v>0.97878389751876005</v>
      </c>
      <c r="S294" t="s">
        <v>5845</v>
      </c>
      <c r="T294" t="s">
        <v>11100</v>
      </c>
      <c r="U294" t="s">
        <v>11100</v>
      </c>
      <c r="V294" t="s">
        <v>11100</v>
      </c>
      <c r="W294" t="s">
        <v>11391</v>
      </c>
      <c r="X294">
        <v>4</v>
      </c>
      <c r="Y294" t="s">
        <v>16885</v>
      </c>
      <c r="Z294" t="s">
        <v>22299</v>
      </c>
      <c r="AA294">
        <v>0.52688008663642638</v>
      </c>
      <c r="AB294" t="str">
        <f>HYPERLINK("Melting_Curves/meltCurve_C9JPP2_NKIRAS2.pdf", "Melting_Curves/meltCurve_C9JPP2_NKIRAS2.pdf")</f>
        <v>Melting_Curves/meltCurve_C9JPP2_NKIRAS2.pdf</v>
      </c>
    </row>
    <row r="295" spans="1:28" x14ac:dyDescent="0.25">
      <c r="A295" t="s">
        <v>299</v>
      </c>
      <c r="B295">
        <v>0.99299721793515405</v>
      </c>
      <c r="C295">
        <v>0.89928053238837302</v>
      </c>
      <c r="D295">
        <v>0.98123780890721402</v>
      </c>
      <c r="E295">
        <v>0.90612419189080096</v>
      </c>
      <c r="F295">
        <v>0.77378446547715796</v>
      </c>
      <c r="G295">
        <v>0.54257951998291698</v>
      </c>
      <c r="H295">
        <v>0.57419436439327898</v>
      </c>
      <c r="I295">
        <v>0.62824618969952895</v>
      </c>
      <c r="J295">
        <v>0.61902578943811604</v>
      </c>
      <c r="K295">
        <v>0.38212682722632701</v>
      </c>
      <c r="L295">
        <v>1069.29647172058</v>
      </c>
      <c r="M295">
        <v>21.494421427852402</v>
      </c>
      <c r="O295">
        <v>49.323036144587</v>
      </c>
      <c r="P295">
        <v>-5.11503310752916E-2</v>
      </c>
      <c r="Q295">
        <v>0.53051486744862297</v>
      </c>
      <c r="R295">
        <v>0.86639186033864601</v>
      </c>
      <c r="S295" t="s">
        <v>5846</v>
      </c>
      <c r="T295" t="s">
        <v>11100</v>
      </c>
      <c r="U295" t="s">
        <v>11100</v>
      </c>
      <c r="V295" t="s">
        <v>11100</v>
      </c>
      <c r="W295" t="s">
        <v>11392</v>
      </c>
      <c r="X295">
        <v>3</v>
      </c>
      <c r="Y295" t="s">
        <v>16886</v>
      </c>
      <c r="Z295" t="s">
        <v>22300</v>
      </c>
      <c r="AA295">
        <v>0.73544306275395299</v>
      </c>
      <c r="AB295" t="str">
        <f>HYPERLINK("Melting_Curves/meltCurve_C9JQB1_NME6.pdf", "Melting_Curves/meltCurve_C9JQB1_NME6.pdf")</f>
        <v>Melting_Curves/meltCurve_C9JQB1_NME6.pdf</v>
      </c>
    </row>
    <row r="296" spans="1:28" x14ac:dyDescent="0.25">
      <c r="A296" t="s">
        <v>300</v>
      </c>
      <c r="B296">
        <v>0.99299721793515405</v>
      </c>
      <c r="C296">
        <v>0.93554119744834097</v>
      </c>
      <c r="D296">
        <v>0.94494683005957703</v>
      </c>
      <c r="E296">
        <v>0.87080363607142097</v>
      </c>
      <c r="F296">
        <v>0.69101626125028603</v>
      </c>
      <c r="G296">
        <v>0.50163243011717196</v>
      </c>
      <c r="H296">
        <v>0.33496270103826398</v>
      </c>
      <c r="I296">
        <v>0.23322660651117399</v>
      </c>
      <c r="J296">
        <v>0.203076676642655</v>
      </c>
      <c r="K296">
        <v>0.15808823727069701</v>
      </c>
      <c r="L296">
        <v>658.18901839947</v>
      </c>
      <c r="M296">
        <v>12.463350870849601</v>
      </c>
      <c r="N296">
        <v>53.771340660121602</v>
      </c>
      <c r="O296">
        <v>51.505682285423298</v>
      </c>
      <c r="P296">
        <v>-5.4464357217949601E-2</v>
      </c>
      <c r="Q296">
        <v>9.9876050235059202E-2</v>
      </c>
      <c r="R296">
        <v>0.99714907451561696</v>
      </c>
      <c r="S296" t="s">
        <v>5847</v>
      </c>
      <c r="T296" t="s">
        <v>11100</v>
      </c>
      <c r="U296" t="s">
        <v>11100</v>
      </c>
      <c r="V296" t="s">
        <v>11100</v>
      </c>
      <c r="W296" t="s">
        <v>11393</v>
      </c>
      <c r="X296">
        <v>9</v>
      </c>
      <c r="Y296" t="s">
        <v>16887</v>
      </c>
      <c r="Z296" t="s">
        <v>22301</v>
      </c>
      <c r="AA296">
        <v>0.59325411950162765</v>
      </c>
      <c r="AB296" t="str">
        <f>HYPERLINK("Melting_Curves/meltCurve_C9JQV3_STK11IP.pdf", "Melting_Curves/meltCurve_C9JQV3_STK11IP.pdf")</f>
        <v>Melting_Curves/meltCurve_C9JQV3_STK11IP.pdf</v>
      </c>
    </row>
    <row r="297" spans="1:28" x14ac:dyDescent="0.25">
      <c r="A297" t="s">
        <v>301</v>
      </c>
      <c r="B297">
        <v>0.99299721793515405</v>
      </c>
      <c r="C297">
        <v>0.98622066587755297</v>
      </c>
      <c r="D297">
        <v>0.80566623970663698</v>
      </c>
      <c r="E297">
        <v>0.84727157482590099</v>
      </c>
      <c r="F297">
        <v>0.71942565051002205</v>
      </c>
      <c r="G297">
        <v>0.44903579208761102</v>
      </c>
      <c r="H297">
        <v>0.26155180445634202</v>
      </c>
      <c r="I297">
        <v>0.165506554647328</v>
      </c>
      <c r="J297">
        <v>0.100552641931772</v>
      </c>
      <c r="K297">
        <v>0.108946533219442</v>
      </c>
      <c r="L297">
        <v>614.42150918757795</v>
      </c>
      <c r="M297">
        <v>11.5976000121347</v>
      </c>
      <c r="N297">
        <v>52.978335777378803</v>
      </c>
      <c r="O297">
        <v>51.476715935533697</v>
      </c>
      <c r="P297">
        <v>-5.6339999017044701E-2</v>
      </c>
      <c r="Q297">
        <v>0</v>
      </c>
      <c r="R297">
        <v>0.98032739634621802</v>
      </c>
      <c r="S297" t="s">
        <v>5848</v>
      </c>
      <c r="T297" t="s">
        <v>11100</v>
      </c>
      <c r="U297" t="s">
        <v>11100</v>
      </c>
      <c r="V297" t="s">
        <v>11100</v>
      </c>
      <c r="W297" t="s">
        <v>11394</v>
      </c>
      <c r="X297">
        <v>3</v>
      </c>
      <c r="Y297" t="s">
        <v>16888</v>
      </c>
      <c r="Z297" t="s">
        <v>22302</v>
      </c>
      <c r="AA297">
        <v>0.55411165324917111</v>
      </c>
      <c r="AB297" t="str">
        <f>HYPERLINK("Melting_Curves/meltCurve_C9JRY4_SEC22A.pdf", "Melting_Curves/meltCurve_C9JRY4_SEC22A.pdf")</f>
        <v>Melting_Curves/meltCurve_C9JRY4_SEC22A.pdf</v>
      </c>
    </row>
    <row r="298" spans="1:28" x14ac:dyDescent="0.25">
      <c r="A298" t="s">
        <v>302</v>
      </c>
      <c r="B298">
        <v>0.99299721793515405</v>
      </c>
      <c r="C298">
        <v>0.89784878554112402</v>
      </c>
      <c r="D298">
        <v>1.00019523496119</v>
      </c>
      <c r="E298">
        <v>0.89186234726948199</v>
      </c>
      <c r="F298">
        <v>0.71236805064603903</v>
      </c>
      <c r="G298">
        <v>0.73152446755319001</v>
      </c>
      <c r="H298">
        <v>0.68047257885180301</v>
      </c>
      <c r="I298">
        <v>0.62024594089024299</v>
      </c>
      <c r="J298">
        <v>0.58456027123398302</v>
      </c>
      <c r="K298">
        <v>0.51798015285866905</v>
      </c>
      <c r="L298">
        <v>398.19374498679798</v>
      </c>
      <c r="M298">
        <v>7.3830910178123297</v>
      </c>
      <c r="O298">
        <v>50.400250548261504</v>
      </c>
      <c r="P298">
        <v>-2.06228333430051E-2</v>
      </c>
      <c r="Q298">
        <v>0.437734401910023</v>
      </c>
      <c r="R298">
        <v>0.929161649069005</v>
      </c>
      <c r="S298" t="s">
        <v>5849</v>
      </c>
      <c r="T298" t="s">
        <v>11100</v>
      </c>
      <c r="U298" t="s">
        <v>11100</v>
      </c>
      <c r="V298" t="s">
        <v>11100</v>
      </c>
      <c r="W298" t="s">
        <v>11395</v>
      </c>
      <c r="X298">
        <v>30</v>
      </c>
      <c r="Y298" t="s">
        <v>16889</v>
      </c>
      <c r="Z298" t="s">
        <v>22303</v>
      </c>
      <c r="AA298">
        <v>0.7626314384942654</v>
      </c>
      <c r="AB298" t="str">
        <f>HYPERLINK("Melting_Curves/meltCurve_C9JRZ6_CHCHD3.pdf", "Melting_Curves/meltCurve_C9JRZ6_CHCHD3.pdf")</f>
        <v>Melting_Curves/meltCurve_C9JRZ6_CHCHD3.pdf</v>
      </c>
    </row>
    <row r="299" spans="1:28" x14ac:dyDescent="0.25">
      <c r="A299" t="s">
        <v>303</v>
      </c>
      <c r="B299">
        <v>0.99299721793515405</v>
      </c>
      <c r="C299">
        <v>1.0522812728631299</v>
      </c>
      <c r="D299">
        <v>1.07444934189283</v>
      </c>
      <c r="E299">
        <v>0.73280344740154202</v>
      </c>
      <c r="F299">
        <v>0.87438478907545603</v>
      </c>
      <c r="G299">
        <v>0.54648512023439599</v>
      </c>
      <c r="H299">
        <v>0.47152662961790998</v>
      </c>
      <c r="I299">
        <v>0.100949859586526</v>
      </c>
      <c r="J299">
        <v>0.109993941797557</v>
      </c>
      <c r="K299">
        <v>0.11651018785294701</v>
      </c>
      <c r="L299">
        <v>750.51958956491603</v>
      </c>
      <c r="M299">
        <v>13.6182704788856</v>
      </c>
      <c r="N299">
        <v>55.111226705468901</v>
      </c>
      <c r="O299">
        <v>53.963601017116702</v>
      </c>
      <c r="P299">
        <v>-6.30993703151079E-2</v>
      </c>
      <c r="Q299">
        <v>0</v>
      </c>
      <c r="R299">
        <v>0.94247115578672602</v>
      </c>
      <c r="S299" t="s">
        <v>5850</v>
      </c>
      <c r="T299" t="s">
        <v>11100</v>
      </c>
      <c r="U299" t="s">
        <v>11100</v>
      </c>
      <c r="V299" t="s">
        <v>11100</v>
      </c>
      <c r="W299" t="s">
        <v>11396</v>
      </c>
      <c r="X299">
        <v>1</v>
      </c>
      <c r="Y299" t="s">
        <v>16890</v>
      </c>
      <c r="Z299" t="s">
        <v>22304</v>
      </c>
      <c r="AA299">
        <v>0.61780175607274246</v>
      </c>
      <c r="AB299" t="str">
        <f>HYPERLINK("Melting_Curves/meltCurve_C9JSG1_DPP8.pdf", "Melting_Curves/meltCurve_C9JSG1_DPP8.pdf")</f>
        <v>Melting_Curves/meltCurve_C9JSG1_DPP8.pdf</v>
      </c>
    </row>
    <row r="300" spans="1:28" x14ac:dyDescent="0.25">
      <c r="A300" t="s">
        <v>304</v>
      </c>
      <c r="B300">
        <v>0.99299721793515405</v>
      </c>
      <c r="C300">
        <v>0.94069960915590201</v>
      </c>
      <c r="D300">
        <v>0.86636339144575403</v>
      </c>
      <c r="E300">
        <v>0.88750378064470803</v>
      </c>
      <c r="F300">
        <v>0.76006292303163603</v>
      </c>
      <c r="G300">
        <v>0.44265236000184199</v>
      </c>
      <c r="H300">
        <v>0.456533316766563</v>
      </c>
      <c r="I300">
        <v>0.50924661488127598</v>
      </c>
      <c r="J300">
        <v>0.43461246488099198</v>
      </c>
      <c r="K300">
        <v>0.247809859732573</v>
      </c>
      <c r="L300">
        <v>530.91317100146898</v>
      </c>
      <c r="M300">
        <v>10.2550980488543</v>
      </c>
      <c r="N300">
        <v>56.293685692341903</v>
      </c>
      <c r="O300">
        <v>49.917939273534103</v>
      </c>
      <c r="P300">
        <v>-3.69616375486519E-2</v>
      </c>
      <c r="Q300">
        <v>0.28065661174867401</v>
      </c>
      <c r="R300">
        <v>0.91583369220425703</v>
      </c>
      <c r="S300" t="s">
        <v>5851</v>
      </c>
      <c r="T300" t="s">
        <v>11100</v>
      </c>
      <c r="U300" t="s">
        <v>11100</v>
      </c>
      <c r="V300" t="s">
        <v>11100</v>
      </c>
      <c r="W300" t="s">
        <v>11397</v>
      </c>
      <c r="X300">
        <v>1</v>
      </c>
      <c r="Y300" t="s">
        <v>16891</v>
      </c>
      <c r="Z300" t="s">
        <v>22305</v>
      </c>
      <c r="AA300">
        <v>0.65438240311532303</v>
      </c>
      <c r="AB300" t="str">
        <f>HYPERLINK("Melting_Curves/meltCurve_C9JT28_IL1RAP.pdf", "Melting_Curves/meltCurve_C9JT28_IL1RAP.pdf")</f>
        <v>Melting_Curves/meltCurve_C9JT28_IL1RAP.pdf</v>
      </c>
    </row>
    <row r="301" spans="1:28" x14ac:dyDescent="0.25">
      <c r="A301" t="s">
        <v>305</v>
      </c>
      <c r="B301">
        <v>0.99299721793515405</v>
      </c>
      <c r="C301">
        <v>1.0011366307090299</v>
      </c>
      <c r="D301">
        <v>0.807942999966761</v>
      </c>
      <c r="E301">
        <v>0.83655901637720498</v>
      </c>
      <c r="F301">
        <v>0.40981032706965398</v>
      </c>
      <c r="G301">
        <v>0.298518432797163</v>
      </c>
      <c r="H301">
        <v>0.20098956196502599</v>
      </c>
      <c r="I301">
        <v>0.24325165951809699</v>
      </c>
      <c r="J301">
        <v>0.22399254110205499</v>
      </c>
      <c r="K301">
        <v>0.14104291477290701</v>
      </c>
      <c r="L301">
        <v>918.796305580227</v>
      </c>
      <c r="M301">
        <v>18.9484015673549</v>
      </c>
      <c r="N301">
        <v>49.680959821580799</v>
      </c>
      <c r="O301">
        <v>47.958994368324298</v>
      </c>
      <c r="P301">
        <v>-8.0740338860991107E-2</v>
      </c>
      <c r="Q301">
        <v>0.182607670183937</v>
      </c>
      <c r="R301">
        <v>0.96961217376592201</v>
      </c>
      <c r="S301" t="s">
        <v>5852</v>
      </c>
      <c r="T301" t="s">
        <v>11100</v>
      </c>
      <c r="U301" t="s">
        <v>11100</v>
      </c>
      <c r="V301" t="s">
        <v>11100</v>
      </c>
      <c r="W301" t="s">
        <v>11398</v>
      </c>
      <c r="X301">
        <v>1</v>
      </c>
      <c r="Y301" t="s">
        <v>16892</v>
      </c>
      <c r="Z301" t="s">
        <v>22306</v>
      </c>
      <c r="AA301">
        <v>0.50753347670374471</v>
      </c>
      <c r="AB301" t="str">
        <f>HYPERLINK("Melting_Curves/meltCurve_C9JUU5_LIPT1.pdf", "Melting_Curves/meltCurve_C9JUU5_LIPT1.pdf")</f>
        <v>Melting_Curves/meltCurve_C9JUU5_LIPT1.pdf</v>
      </c>
    </row>
    <row r="302" spans="1:28" x14ac:dyDescent="0.25">
      <c r="A302" t="s">
        <v>306</v>
      </c>
      <c r="B302">
        <v>0.99299721793515405</v>
      </c>
      <c r="C302">
        <v>0.81292114827337303</v>
      </c>
      <c r="D302">
        <v>0.82751724817888805</v>
      </c>
      <c r="E302">
        <v>0.89330423894246902</v>
      </c>
      <c r="F302">
        <v>0.73854016316496796</v>
      </c>
      <c r="G302">
        <v>0.43111977077984798</v>
      </c>
      <c r="H302">
        <v>0.30967042342710799</v>
      </c>
      <c r="I302">
        <v>0.28181318112234299</v>
      </c>
      <c r="J302">
        <v>0.255372072400467</v>
      </c>
      <c r="K302">
        <v>0.19977916862407499</v>
      </c>
      <c r="L302">
        <v>515.438949782843</v>
      </c>
      <c r="M302">
        <v>9.7949411759056897</v>
      </c>
      <c r="N302">
        <v>53.718127707265097</v>
      </c>
      <c r="O302">
        <v>50.570213840885501</v>
      </c>
      <c r="P302">
        <v>-4.4063070929707099E-2</v>
      </c>
      <c r="Q302">
        <v>9.0507544989369901E-2</v>
      </c>
      <c r="R302">
        <v>0.93582640939033801</v>
      </c>
      <c r="S302" t="s">
        <v>5853</v>
      </c>
      <c r="T302" t="s">
        <v>11100</v>
      </c>
      <c r="U302" t="s">
        <v>11100</v>
      </c>
      <c r="V302" t="s">
        <v>11100</v>
      </c>
      <c r="W302" t="s">
        <v>11399</v>
      </c>
      <c r="X302">
        <v>1</v>
      </c>
      <c r="Y302" t="s">
        <v>16893</v>
      </c>
      <c r="Z302" t="s">
        <v>22307</v>
      </c>
      <c r="AA302">
        <v>0.58614197625347697</v>
      </c>
      <c r="AB302" t="str">
        <f>HYPERLINK("Melting_Curves/meltCurve_C9JWJ3_ST3GAL6.pdf", "Melting_Curves/meltCurve_C9JWJ3_ST3GAL6.pdf")</f>
        <v>Melting_Curves/meltCurve_C9JWJ3_ST3GAL6.pdf</v>
      </c>
    </row>
    <row r="303" spans="1:28" x14ac:dyDescent="0.25">
      <c r="A303" t="s">
        <v>307</v>
      </c>
      <c r="B303">
        <v>0.99299721793515405</v>
      </c>
      <c r="C303">
        <v>0.88041412764077598</v>
      </c>
      <c r="D303">
        <v>0.89174597894402396</v>
      </c>
      <c r="E303">
        <v>0.73983990820141599</v>
      </c>
      <c r="F303">
        <v>0.65311991842934702</v>
      </c>
      <c r="G303">
        <v>0.40158861337999202</v>
      </c>
      <c r="H303">
        <v>0.238635696481727</v>
      </c>
      <c r="I303">
        <v>0.180454040887637</v>
      </c>
      <c r="J303">
        <v>0.15549671964247899</v>
      </c>
      <c r="K303">
        <v>0.11640714228158799</v>
      </c>
      <c r="L303">
        <v>513.027083295122</v>
      </c>
      <c r="M303">
        <v>9.8868089814982607</v>
      </c>
      <c r="N303">
        <v>51.955816158780202</v>
      </c>
      <c r="O303">
        <v>49.900976663338902</v>
      </c>
      <c r="P303">
        <v>-4.9249168506487397E-2</v>
      </c>
      <c r="Q303">
        <v>6.21774598713955E-3</v>
      </c>
      <c r="R303">
        <v>0.98776923660609794</v>
      </c>
      <c r="S303" t="s">
        <v>5854</v>
      </c>
      <c r="T303" t="s">
        <v>11100</v>
      </c>
      <c r="U303" t="s">
        <v>11100</v>
      </c>
      <c r="V303" t="s">
        <v>11100</v>
      </c>
      <c r="W303" t="s">
        <v>11400</v>
      </c>
      <c r="X303">
        <v>6</v>
      </c>
      <c r="Y303" t="s">
        <v>16894</v>
      </c>
      <c r="Z303" t="s">
        <v>22308</v>
      </c>
      <c r="AA303">
        <v>0.52655499003872464</v>
      </c>
      <c r="AB303" t="str">
        <f>HYPERLINK("Melting_Curves/meltCurve_C9JXB8_RPL24.pdf", "Melting_Curves/meltCurve_C9JXB8_RPL24.pdf")</f>
        <v>Melting_Curves/meltCurve_C9JXB8_RPL24.pdf</v>
      </c>
    </row>
    <row r="304" spans="1:28" x14ac:dyDescent="0.25">
      <c r="A304" t="s">
        <v>308</v>
      </c>
      <c r="B304">
        <v>0.99299721793515405</v>
      </c>
      <c r="C304">
        <v>0.87252101495031698</v>
      </c>
      <c r="D304">
        <v>0.85471841421908701</v>
      </c>
      <c r="E304">
        <v>0.77126295495894404</v>
      </c>
      <c r="F304">
        <v>0.58967941490904796</v>
      </c>
      <c r="G304">
        <v>0.38357701992408699</v>
      </c>
      <c r="H304">
        <v>0.22179944237823501</v>
      </c>
      <c r="I304">
        <v>0.210477703219732</v>
      </c>
      <c r="J304">
        <v>0.21216840480246299</v>
      </c>
      <c r="K304">
        <v>0.141391556574989</v>
      </c>
      <c r="L304">
        <v>535.080345660955</v>
      </c>
      <c r="M304">
        <v>10.590546244744401</v>
      </c>
      <c r="N304">
        <v>51.385377423352999</v>
      </c>
      <c r="O304">
        <v>48.822733798527601</v>
      </c>
      <c r="P304">
        <v>-4.9839933218070898E-2</v>
      </c>
      <c r="Q304">
        <v>8.1304333869905598E-2</v>
      </c>
      <c r="R304">
        <v>0.984868625441084</v>
      </c>
      <c r="S304" t="s">
        <v>5855</v>
      </c>
      <c r="T304" t="s">
        <v>11100</v>
      </c>
      <c r="U304" t="s">
        <v>11100</v>
      </c>
      <c r="V304" t="s">
        <v>11100</v>
      </c>
      <c r="W304" t="s">
        <v>11401</v>
      </c>
      <c r="X304">
        <v>2</v>
      </c>
      <c r="Y304" t="s">
        <v>16895</v>
      </c>
      <c r="Z304" t="s">
        <v>22309</v>
      </c>
      <c r="AA304">
        <v>0.52355782731542988</v>
      </c>
      <c r="AB304" t="str">
        <f>HYPERLINK("Melting_Curves/meltCurve_C9JYJ0_RAD51B.pdf", "Melting_Curves/meltCurve_C9JYJ0_RAD51B.pdf")</f>
        <v>Melting_Curves/meltCurve_C9JYJ0_RAD51B.pdf</v>
      </c>
    </row>
    <row r="305" spans="1:28" x14ac:dyDescent="0.25">
      <c r="A305" t="s">
        <v>309</v>
      </c>
      <c r="B305">
        <v>0.99299721793515405</v>
      </c>
      <c r="C305">
        <v>0.90281148244701404</v>
      </c>
      <c r="D305">
        <v>0.83503479205452402</v>
      </c>
      <c r="E305">
        <v>0.79111687173084799</v>
      </c>
      <c r="F305">
        <v>0.64515539315525305</v>
      </c>
      <c r="G305">
        <v>0.43810369285950401</v>
      </c>
      <c r="H305">
        <v>0.55958753439580999</v>
      </c>
      <c r="I305">
        <v>0.46484564323173699</v>
      </c>
      <c r="J305">
        <v>0.31194771450303899</v>
      </c>
      <c r="K305">
        <v>0.196322546717556</v>
      </c>
      <c r="L305">
        <v>327.41311867156202</v>
      </c>
      <c r="M305">
        <v>5.8628504100507204</v>
      </c>
      <c r="N305">
        <v>55.845356930051302</v>
      </c>
      <c r="O305">
        <v>50.3794070396644</v>
      </c>
      <c r="P305">
        <v>-2.9195790545958701E-2</v>
      </c>
      <c r="Q305">
        <v>0</v>
      </c>
      <c r="R305">
        <v>0.936172661244287</v>
      </c>
      <c r="S305" t="s">
        <v>5856</v>
      </c>
      <c r="T305" t="s">
        <v>11100</v>
      </c>
      <c r="U305" t="s">
        <v>11100</v>
      </c>
      <c r="V305" t="s">
        <v>11100</v>
      </c>
      <c r="W305" t="s">
        <v>11402</v>
      </c>
      <c r="X305">
        <v>3</v>
      </c>
      <c r="Y305" t="s">
        <v>16896</v>
      </c>
      <c r="Z305" t="s">
        <v>22310</v>
      </c>
      <c r="AA305">
        <v>0.61238084895947342</v>
      </c>
      <c r="AB305" t="str">
        <f>HYPERLINK("Melting_Curves/meltCurve_C9JYM0_POP7.pdf", "Melting_Curves/meltCurve_C9JYM0_POP7.pdf")</f>
        <v>Melting_Curves/meltCurve_C9JYM0_POP7.pdf</v>
      </c>
    </row>
    <row r="306" spans="1:28" x14ac:dyDescent="0.25">
      <c r="A306" t="s">
        <v>310</v>
      </c>
      <c r="B306">
        <v>0.99299721793515405</v>
      </c>
      <c r="C306">
        <v>0.970057861401872</v>
      </c>
      <c r="D306">
        <v>0.95588777297667904</v>
      </c>
      <c r="E306">
        <v>0.78458619449658296</v>
      </c>
      <c r="F306">
        <v>0.41203698715862502</v>
      </c>
      <c r="G306">
        <v>0.34086747352142599</v>
      </c>
      <c r="H306">
        <v>0.19651809243711099</v>
      </c>
      <c r="I306">
        <v>0.118093241264896</v>
      </c>
      <c r="J306">
        <v>7.8869113420635004E-2</v>
      </c>
      <c r="K306">
        <v>7.4869569792201898E-2</v>
      </c>
      <c r="L306">
        <v>783.60122651503696</v>
      </c>
      <c r="M306">
        <v>15.801171833527601</v>
      </c>
      <c r="N306">
        <v>50.098263092017298</v>
      </c>
      <c r="O306">
        <v>48.817433233130998</v>
      </c>
      <c r="P306">
        <v>-7.4947570780604406E-2</v>
      </c>
      <c r="Q306">
        <v>7.3879713308601297E-2</v>
      </c>
      <c r="R306">
        <v>0.99038666749334303</v>
      </c>
      <c r="S306" t="s">
        <v>5857</v>
      </c>
      <c r="T306" t="s">
        <v>11100</v>
      </c>
      <c r="U306" t="s">
        <v>11100</v>
      </c>
      <c r="V306" t="s">
        <v>11100</v>
      </c>
      <c r="W306" t="s">
        <v>11403</v>
      </c>
      <c r="X306">
        <v>4</v>
      </c>
      <c r="Y306" t="s">
        <v>16897</v>
      </c>
      <c r="Z306" t="s">
        <v>22311</v>
      </c>
      <c r="AA306">
        <v>0.48068963022065542</v>
      </c>
      <c r="AB306" t="str">
        <f>HYPERLINK("Melting_Curves/meltCurve_C9JYQ9_RPL22L1.pdf", "Melting_Curves/meltCurve_C9JYQ9_RPL22L1.pdf")</f>
        <v>Melting_Curves/meltCurve_C9JYQ9_RPL22L1.pdf</v>
      </c>
    </row>
    <row r="307" spans="1:28" x14ac:dyDescent="0.25">
      <c r="A307" t="s">
        <v>311</v>
      </c>
      <c r="B307">
        <v>0.99299721793515405</v>
      </c>
      <c r="C307">
        <v>0.91920367095664601</v>
      </c>
      <c r="D307">
        <v>0.81139014803200005</v>
      </c>
      <c r="E307">
        <v>0.79440017704830601</v>
      </c>
      <c r="F307">
        <v>0.68936629827210605</v>
      </c>
      <c r="G307">
        <v>0.45109577424821501</v>
      </c>
      <c r="H307">
        <v>0.46956071235556601</v>
      </c>
      <c r="I307">
        <v>0.460455548159381</v>
      </c>
      <c r="J307">
        <v>0.50068600532443897</v>
      </c>
      <c r="K307">
        <v>0.418390137813484</v>
      </c>
      <c r="L307">
        <v>517.33272656836596</v>
      </c>
      <c r="M307">
        <v>10.821158069070901</v>
      </c>
      <c r="N307">
        <v>56.592416727975198</v>
      </c>
      <c r="O307">
        <v>46.261700232859802</v>
      </c>
      <c r="P307">
        <v>-3.4702022797195302E-2</v>
      </c>
      <c r="Q307">
        <v>0.40679241465291599</v>
      </c>
      <c r="R307">
        <v>0.94766219603681701</v>
      </c>
      <c r="S307" t="s">
        <v>5858</v>
      </c>
      <c r="T307" t="s">
        <v>11100</v>
      </c>
      <c r="U307" t="s">
        <v>11100</v>
      </c>
      <c r="V307" t="s">
        <v>11100</v>
      </c>
      <c r="W307" t="s">
        <v>11404</v>
      </c>
      <c r="X307">
        <v>4</v>
      </c>
      <c r="Y307" t="s">
        <v>16898</v>
      </c>
      <c r="Z307" t="s">
        <v>22312</v>
      </c>
      <c r="AA307">
        <v>0.64224189708443502</v>
      </c>
      <c r="AB307" t="str">
        <f>HYPERLINK("Melting_Curves/meltCurve_C9JYY6_NRCAM.pdf", "Melting_Curves/meltCurve_C9JYY6_NRCAM.pdf")</f>
        <v>Melting_Curves/meltCurve_C9JYY6_NRCAM.pdf</v>
      </c>
    </row>
    <row r="308" spans="1:28" x14ac:dyDescent="0.25">
      <c r="A308" t="s">
        <v>312</v>
      </c>
      <c r="B308">
        <v>0.99299721793515405</v>
      </c>
      <c r="C308">
        <v>0.770250174729883</v>
      </c>
      <c r="D308">
        <v>0.78949977923027204</v>
      </c>
      <c r="E308">
        <v>0.722436191979419</v>
      </c>
      <c r="F308">
        <v>0.68231758566628298</v>
      </c>
      <c r="G308">
        <v>0.66382658369233905</v>
      </c>
      <c r="H308">
        <v>0.47708419828188198</v>
      </c>
      <c r="I308">
        <v>0.41985759833239999</v>
      </c>
      <c r="J308">
        <v>0.320834417509551</v>
      </c>
      <c r="K308">
        <v>0.176986399065758</v>
      </c>
      <c r="L308">
        <v>298.41946536432198</v>
      </c>
      <c r="M308">
        <v>5.3384789310349499</v>
      </c>
      <c r="N308">
        <v>55.899707193536898</v>
      </c>
      <c r="O308">
        <v>49.504503505307298</v>
      </c>
      <c r="P308">
        <v>-2.7091340280220599E-2</v>
      </c>
      <c r="Q308">
        <v>0</v>
      </c>
      <c r="R308">
        <v>0.91075973857246095</v>
      </c>
      <c r="S308" t="s">
        <v>5859</v>
      </c>
      <c r="T308" t="s">
        <v>11100</v>
      </c>
      <c r="U308" t="s">
        <v>11100</v>
      </c>
      <c r="V308" t="s">
        <v>11100</v>
      </c>
      <c r="W308" t="s">
        <v>11405</v>
      </c>
      <c r="X308">
        <v>6</v>
      </c>
      <c r="Y308" t="s">
        <v>16899</v>
      </c>
      <c r="Z308" t="s">
        <v>22313</v>
      </c>
      <c r="AA308">
        <v>0.60797059574159085</v>
      </c>
      <c r="AB308" t="str">
        <f>HYPERLINK("Melting_Curves/meltCurve_C9JYY9_NUDT5.pdf", "Melting_Curves/meltCurve_C9JYY9_NUDT5.pdf")</f>
        <v>Melting_Curves/meltCurve_C9JYY9_NUDT5.pdf</v>
      </c>
    </row>
    <row r="309" spans="1:28" x14ac:dyDescent="0.25">
      <c r="A309" t="s">
        <v>313</v>
      </c>
      <c r="B309">
        <v>0.99299721793515405</v>
      </c>
      <c r="C309">
        <v>1.3895841712911201</v>
      </c>
      <c r="D309">
        <v>1.2224901008673901</v>
      </c>
      <c r="E309">
        <v>0.98425317616966601</v>
      </c>
      <c r="F309">
        <v>0.83294905906680405</v>
      </c>
      <c r="G309">
        <v>0.66274627066041603</v>
      </c>
      <c r="H309">
        <v>0.45492209105390402</v>
      </c>
      <c r="I309">
        <v>8.3499257433285401E-2</v>
      </c>
      <c r="J309">
        <v>0.159610507186115</v>
      </c>
      <c r="K309">
        <v>9.6462830456019499E-2</v>
      </c>
      <c r="L309">
        <v>1059.7672828283801</v>
      </c>
      <c r="M309">
        <v>19.075744201157899</v>
      </c>
      <c r="N309">
        <v>55.846374868130397</v>
      </c>
      <c r="O309">
        <v>54.9559932292958</v>
      </c>
      <c r="P309">
        <v>-8.2680425952195505E-2</v>
      </c>
      <c r="Q309">
        <v>4.7249110171687397E-2</v>
      </c>
      <c r="R309">
        <v>0.88849194495017902</v>
      </c>
      <c r="S309" t="s">
        <v>5860</v>
      </c>
      <c r="T309" t="s">
        <v>11100</v>
      </c>
      <c r="U309" t="s">
        <v>11100</v>
      </c>
      <c r="V309" t="s">
        <v>11100</v>
      </c>
      <c r="W309" t="s">
        <v>11406</v>
      </c>
      <c r="X309">
        <v>2</v>
      </c>
      <c r="Y309" t="s">
        <v>16900</v>
      </c>
      <c r="Z309" t="s">
        <v>22314</v>
      </c>
      <c r="AA309">
        <v>0.64727673684583464</v>
      </c>
      <c r="AB309" t="str">
        <f>HYPERLINK("Melting_Curves/meltCurve_C9JZB0_INPP5K.pdf", "Melting_Curves/meltCurve_C9JZB0_INPP5K.pdf")</f>
        <v>Melting_Curves/meltCurve_C9JZB0_INPP5K.pdf</v>
      </c>
    </row>
    <row r="310" spans="1:28" x14ac:dyDescent="0.25">
      <c r="A310" t="s">
        <v>314</v>
      </c>
      <c r="B310">
        <v>0.99299721793515405</v>
      </c>
      <c r="C310">
        <v>0.89257036560996295</v>
      </c>
      <c r="D310">
        <v>0.80116121149292596</v>
      </c>
      <c r="E310">
        <v>0.82188213740329197</v>
      </c>
      <c r="F310">
        <v>0.712776385983515</v>
      </c>
      <c r="G310">
        <v>0.77236733840210803</v>
      </c>
      <c r="H310">
        <v>0.56270165836903097</v>
      </c>
      <c r="I310">
        <v>0.34870839240722201</v>
      </c>
      <c r="J310">
        <v>0.212870749802894</v>
      </c>
      <c r="K310">
        <v>0.113652392454479</v>
      </c>
      <c r="L310">
        <v>499.237667856786</v>
      </c>
      <c r="M310">
        <v>8.7690002282117394</v>
      </c>
      <c r="N310">
        <v>56.932103631387498</v>
      </c>
      <c r="O310">
        <v>54.204154854442699</v>
      </c>
      <c r="P310">
        <v>-4.0476725392511403E-2</v>
      </c>
      <c r="Q310">
        <v>0</v>
      </c>
      <c r="R310">
        <v>0.90874191214473599</v>
      </c>
      <c r="S310" t="s">
        <v>5861</v>
      </c>
      <c r="T310" t="s">
        <v>11100</v>
      </c>
      <c r="U310" t="s">
        <v>11100</v>
      </c>
      <c r="V310" t="s">
        <v>11100</v>
      </c>
      <c r="W310" t="s">
        <v>11407</v>
      </c>
      <c r="X310">
        <v>5</v>
      </c>
      <c r="Y310" t="s">
        <v>16901</v>
      </c>
      <c r="Z310" t="s">
        <v>22315</v>
      </c>
      <c r="AA310">
        <v>0.65865386837798012</v>
      </c>
      <c r="AB310" t="str">
        <f>HYPERLINK("Melting_Curves/meltCurve_C9JZP6_DHRS2.pdf", "Melting_Curves/meltCurve_C9JZP6_DHRS2.pdf")</f>
        <v>Melting_Curves/meltCurve_C9JZP6_DHRS2.pdf</v>
      </c>
    </row>
    <row r="311" spans="1:28" x14ac:dyDescent="0.25">
      <c r="A311" t="s">
        <v>315</v>
      </c>
      <c r="B311">
        <v>0.99299721793515405</v>
      </c>
      <c r="C311">
        <v>0.76267824930152095</v>
      </c>
      <c r="D311">
        <v>0.76736518036468804</v>
      </c>
      <c r="E311">
        <v>0.73960575507139603</v>
      </c>
      <c r="F311">
        <v>0.24094234738668299</v>
      </c>
      <c r="G311">
        <v>0.31597557841544699</v>
      </c>
      <c r="H311">
        <v>0.187398357807185</v>
      </c>
      <c r="I311">
        <v>0.21930687636595</v>
      </c>
      <c r="J311">
        <v>8.8858633026218395E-2</v>
      </c>
      <c r="K311">
        <v>0</v>
      </c>
      <c r="L311">
        <v>445.35643295797797</v>
      </c>
      <c r="M311">
        <v>9.2183739250597796</v>
      </c>
      <c r="N311">
        <v>48.311799034294502</v>
      </c>
      <c r="O311">
        <v>46.2014509783302</v>
      </c>
      <c r="P311">
        <v>-4.9914496641634901E-2</v>
      </c>
      <c r="Q311">
        <v>0</v>
      </c>
      <c r="R311">
        <v>0.92300504053013199</v>
      </c>
      <c r="S311" t="s">
        <v>5862</v>
      </c>
      <c r="T311" t="s">
        <v>11100</v>
      </c>
      <c r="U311" t="s">
        <v>11100</v>
      </c>
      <c r="V311" t="s">
        <v>11100</v>
      </c>
      <c r="W311" t="s">
        <v>11408</v>
      </c>
      <c r="X311">
        <v>3</v>
      </c>
      <c r="Y311" t="s">
        <v>16902</v>
      </c>
      <c r="Z311" t="s">
        <v>22316</v>
      </c>
      <c r="AA311">
        <v>0.42024068917690488</v>
      </c>
      <c r="AB311" t="str">
        <f>HYPERLINK("Melting_Curves/meltCurve_C9JZY3_PCBP4.pdf", "Melting_Curves/meltCurve_C9JZY3_PCBP4.pdf")</f>
        <v>Melting_Curves/meltCurve_C9JZY3_PCBP4.pdf</v>
      </c>
    </row>
    <row r="312" spans="1:28" x14ac:dyDescent="0.25">
      <c r="A312" t="s">
        <v>316</v>
      </c>
      <c r="B312">
        <v>0.99299721793515405</v>
      </c>
      <c r="C312">
        <v>0.87956313324311797</v>
      </c>
      <c r="D312">
        <v>0.83854946836067701</v>
      </c>
      <c r="E312">
        <v>0.71910756793659303</v>
      </c>
      <c r="F312">
        <v>0.59417397607647005</v>
      </c>
      <c r="G312">
        <v>0.43837679837202198</v>
      </c>
      <c r="H312">
        <v>0.35875825023676899</v>
      </c>
      <c r="I312">
        <v>0.24417422633387201</v>
      </c>
      <c r="J312">
        <v>0.17123288395581199</v>
      </c>
      <c r="K312">
        <v>0.13061691468710199</v>
      </c>
      <c r="L312">
        <v>411.063524792951</v>
      </c>
      <c r="M312">
        <v>7.8673364045371299</v>
      </c>
      <c r="N312">
        <v>52.249389559737303</v>
      </c>
      <c r="O312">
        <v>49.196596457774803</v>
      </c>
      <c r="P312">
        <v>-4.0027213355419498E-2</v>
      </c>
      <c r="Q312">
        <v>0</v>
      </c>
      <c r="R312">
        <v>0.99507977496433997</v>
      </c>
      <c r="S312" t="s">
        <v>5863</v>
      </c>
      <c r="T312" t="s">
        <v>11100</v>
      </c>
      <c r="U312" t="s">
        <v>11100</v>
      </c>
      <c r="V312" t="s">
        <v>11100</v>
      </c>
      <c r="W312" t="s">
        <v>11409</v>
      </c>
      <c r="X312">
        <v>3</v>
      </c>
      <c r="Y312" t="s">
        <v>16903</v>
      </c>
      <c r="Z312" t="s">
        <v>22317</v>
      </c>
      <c r="AA312">
        <v>0.53524619206933577</v>
      </c>
      <c r="AB312" t="str">
        <f>HYPERLINK("Melting_Curves/meltCurve_C9K0J5_RAPH1.pdf", "Melting_Curves/meltCurve_C9K0J5_RAPH1.pdf")</f>
        <v>Melting_Curves/meltCurve_C9K0J5_RAPH1.pdf</v>
      </c>
    </row>
    <row r="313" spans="1:28" x14ac:dyDescent="0.25">
      <c r="A313" t="s">
        <v>317</v>
      </c>
      <c r="B313">
        <v>0.99299721793515405</v>
      </c>
      <c r="C313">
        <v>0.81001314334156904</v>
      </c>
      <c r="D313">
        <v>1.08445330560172</v>
      </c>
      <c r="E313">
        <v>0.72005310855478299</v>
      </c>
      <c r="F313">
        <v>0.673092595955603</v>
      </c>
      <c r="G313">
        <v>0.53357936175591303</v>
      </c>
      <c r="H313">
        <v>0.314290844795443</v>
      </c>
      <c r="I313">
        <v>0.25998918905438201</v>
      </c>
      <c r="J313">
        <v>0.17484748524280699</v>
      </c>
      <c r="K313">
        <v>0.20328761356026401</v>
      </c>
      <c r="L313">
        <v>549.04855607361401</v>
      </c>
      <c r="M313">
        <v>10.430692288501501</v>
      </c>
      <c r="N313">
        <v>53.548688564375396</v>
      </c>
      <c r="O313">
        <v>50.8133553921827</v>
      </c>
      <c r="P313">
        <v>-4.71663833281959E-2</v>
      </c>
      <c r="Q313">
        <v>8.1291707747584305E-2</v>
      </c>
      <c r="R313">
        <v>0.93263021183792505</v>
      </c>
      <c r="S313" t="s">
        <v>5864</v>
      </c>
      <c r="T313" t="s">
        <v>11100</v>
      </c>
      <c r="U313" t="s">
        <v>11100</v>
      </c>
      <c r="V313" t="s">
        <v>11100</v>
      </c>
      <c r="W313" t="s">
        <v>11410</v>
      </c>
      <c r="X313">
        <v>1</v>
      </c>
      <c r="Y313" t="s">
        <v>16904</v>
      </c>
      <c r="Z313" t="s">
        <v>22318</v>
      </c>
      <c r="AA313">
        <v>0.58192985073714287</v>
      </c>
      <c r="AB313" t="str">
        <f>HYPERLINK("Melting_Curves/meltCurve_D3YTB1_RPL32.pdf", "Melting_Curves/meltCurve_D3YTB1_RPL32.pdf")</f>
        <v>Melting_Curves/meltCurve_D3YTB1_RPL32.pdf</v>
      </c>
    </row>
    <row r="314" spans="1:28" x14ac:dyDescent="0.25">
      <c r="A314" t="s">
        <v>318</v>
      </c>
      <c r="B314">
        <v>0.99299721793515405</v>
      </c>
      <c r="C314">
        <v>0.95638550424453395</v>
      </c>
      <c r="D314">
        <v>0.87043324067160799</v>
      </c>
      <c r="E314">
        <v>0.790892532328343</v>
      </c>
      <c r="F314">
        <v>0.42880120798654098</v>
      </c>
      <c r="G314">
        <v>0.162553806143579</v>
      </c>
      <c r="H314">
        <v>0.144623440530805</v>
      </c>
      <c r="I314">
        <v>0.13105695637190201</v>
      </c>
      <c r="J314">
        <v>0.110145072310415</v>
      </c>
      <c r="K314">
        <v>8.7337087047341097E-2</v>
      </c>
      <c r="L314">
        <v>1013.55797896122</v>
      </c>
      <c r="M314">
        <v>20.7624190187287</v>
      </c>
      <c r="N314">
        <v>49.314966909189899</v>
      </c>
      <c r="O314">
        <v>48.370875078972801</v>
      </c>
      <c r="P314">
        <v>-9.7162070733437605E-2</v>
      </c>
      <c r="Q314">
        <v>9.4579345050618102E-2</v>
      </c>
      <c r="R314">
        <v>0.99134557816270996</v>
      </c>
      <c r="S314" t="s">
        <v>5865</v>
      </c>
      <c r="T314" t="s">
        <v>11100</v>
      </c>
      <c r="U314" t="s">
        <v>11100</v>
      </c>
      <c r="V314" t="s">
        <v>11100</v>
      </c>
      <c r="W314" t="s">
        <v>11411</v>
      </c>
      <c r="X314">
        <v>8</v>
      </c>
      <c r="Y314" t="s">
        <v>16905</v>
      </c>
      <c r="Z314" t="s">
        <v>22319</v>
      </c>
      <c r="AA314">
        <v>0.46235082982571529</v>
      </c>
      <c r="AB314" t="str">
        <f>HYPERLINK("Melting_Curves/meltCurve_D3YTB5_IRAK1.pdf", "Melting_Curves/meltCurve_D3YTB5_IRAK1.pdf")</f>
        <v>Melting_Curves/meltCurve_D3YTB5_IRAK1.pdf</v>
      </c>
    </row>
    <row r="315" spans="1:28" x14ac:dyDescent="0.25">
      <c r="A315" t="s">
        <v>319</v>
      </c>
      <c r="B315">
        <v>0.99299721793515405</v>
      </c>
      <c r="C315">
        <v>0.99101337362952102</v>
      </c>
      <c r="D315">
        <v>0.76384428360754997</v>
      </c>
      <c r="E315">
        <v>0.78312034857137902</v>
      </c>
      <c r="F315">
        <v>0.88360391147458395</v>
      </c>
      <c r="G315">
        <v>0.96004931781692204</v>
      </c>
      <c r="H315">
        <v>0.818468514004277</v>
      </c>
      <c r="I315">
        <v>0.55462550158380397</v>
      </c>
      <c r="J315">
        <v>0.177439275146419</v>
      </c>
      <c r="K315">
        <v>0.149485600719793</v>
      </c>
      <c r="L315">
        <v>1548.0931418318</v>
      </c>
      <c r="M315">
        <v>25.393863530976699</v>
      </c>
      <c r="N315">
        <v>61.086921463185497</v>
      </c>
      <c r="O315">
        <v>60.5889849750831</v>
      </c>
      <c r="P315">
        <v>-0.102155760987085</v>
      </c>
      <c r="Q315">
        <v>2.5050183443468699E-2</v>
      </c>
      <c r="R315">
        <v>0.86205280938083795</v>
      </c>
      <c r="S315" t="s">
        <v>5866</v>
      </c>
      <c r="T315" t="s">
        <v>11100</v>
      </c>
      <c r="U315" t="s">
        <v>11100</v>
      </c>
      <c r="V315" t="s">
        <v>11100</v>
      </c>
      <c r="W315" t="s">
        <v>11412</v>
      </c>
      <c r="X315">
        <v>2</v>
      </c>
      <c r="Y315" t="s">
        <v>16906</v>
      </c>
      <c r="Z315" t="s">
        <v>22320</v>
      </c>
      <c r="AA315">
        <v>0.80410725569265862</v>
      </c>
      <c r="AB315" t="str">
        <f>HYPERLINK("Melting_Curves/meltCurve_D6R9G1_CDK7.pdf", "Melting_Curves/meltCurve_D6R9G1_CDK7.pdf")</f>
        <v>Melting_Curves/meltCurve_D6R9G1_CDK7.pdf</v>
      </c>
    </row>
    <row r="316" spans="1:28" x14ac:dyDescent="0.25">
      <c r="A316" t="s">
        <v>320</v>
      </c>
      <c r="B316">
        <v>0.99299721793515405</v>
      </c>
      <c r="C316">
        <v>1.1428951186335801</v>
      </c>
      <c r="D316">
        <v>0.94963108141047403</v>
      </c>
      <c r="E316">
        <v>0.89278118081740299</v>
      </c>
      <c r="F316">
        <v>0.91577184174683002</v>
      </c>
      <c r="G316">
        <v>0.97841285277283596</v>
      </c>
      <c r="H316">
        <v>0.996907449224957</v>
      </c>
      <c r="I316">
        <v>1.0628167489596501</v>
      </c>
      <c r="J316">
        <v>1.25192773796193</v>
      </c>
      <c r="K316">
        <v>1.099409840109</v>
      </c>
      <c r="L316">
        <v>15000</v>
      </c>
      <c r="M316">
        <v>245.31588563266999</v>
      </c>
      <c r="O316">
        <v>61.141589280978302</v>
      </c>
      <c r="P316">
        <v>0.176207047076096</v>
      </c>
      <c r="Q316">
        <v>1.1756686704558601</v>
      </c>
      <c r="R316">
        <v>0.51761684433500799</v>
      </c>
      <c r="S316" t="s">
        <v>5867</v>
      </c>
      <c r="T316" t="s">
        <v>11100</v>
      </c>
      <c r="U316" t="s">
        <v>11100</v>
      </c>
      <c r="V316" t="s">
        <v>11100</v>
      </c>
      <c r="W316" t="s">
        <v>11413</v>
      </c>
      <c r="X316">
        <v>4</v>
      </c>
      <c r="Y316" t="s">
        <v>16907</v>
      </c>
      <c r="Z316" t="s">
        <v>22321</v>
      </c>
      <c r="AA316">
        <v>1.034261267691662</v>
      </c>
      <c r="AB316" t="str">
        <f>HYPERLINK("Melting_Curves/meltCurve_D6R9U7_POLR3G.pdf", "Melting_Curves/meltCurve_D6R9U7_POLR3G.pdf")</f>
        <v>Melting_Curves/meltCurve_D6R9U7_POLR3G.pdf</v>
      </c>
    </row>
    <row r="317" spans="1:28" x14ac:dyDescent="0.25">
      <c r="A317" t="s">
        <v>321</v>
      </c>
      <c r="B317">
        <v>0.99299721793515405</v>
      </c>
      <c r="C317">
        <v>0.98008589509683797</v>
      </c>
      <c r="D317">
        <v>0.96793731160759799</v>
      </c>
      <c r="E317">
        <v>0.97321594002557399</v>
      </c>
      <c r="F317">
        <v>0.73313295855842897</v>
      </c>
      <c r="G317">
        <v>0.47579755373612698</v>
      </c>
      <c r="H317">
        <v>0.49575125896868599</v>
      </c>
      <c r="I317">
        <v>0.627180311168541</v>
      </c>
      <c r="J317">
        <v>0.66059605475038297</v>
      </c>
      <c r="K317">
        <v>0.595220078887712</v>
      </c>
      <c r="L317">
        <v>12525.0117867712</v>
      </c>
      <c r="M317">
        <v>250</v>
      </c>
      <c r="O317">
        <v>50.096844321190098</v>
      </c>
      <c r="P317">
        <v>-0.53532685432009497</v>
      </c>
      <c r="Q317">
        <v>0.57090905095836897</v>
      </c>
      <c r="R317">
        <v>0.92764127318123002</v>
      </c>
      <c r="S317" t="s">
        <v>5868</v>
      </c>
      <c r="T317" t="s">
        <v>11100</v>
      </c>
      <c r="U317" t="s">
        <v>11100</v>
      </c>
      <c r="V317" t="s">
        <v>11100</v>
      </c>
      <c r="W317" t="s">
        <v>11414</v>
      </c>
      <c r="X317">
        <v>4</v>
      </c>
      <c r="Y317" t="s">
        <v>16908</v>
      </c>
      <c r="Z317" t="s">
        <v>22322</v>
      </c>
      <c r="AA317">
        <v>0.75831716745662947</v>
      </c>
      <c r="AB317" t="str">
        <f>HYPERLINK("Melting_Curves/meltCurve_D6R9X7_ERCC6.pdf", "Melting_Curves/meltCurve_D6R9X7_ERCC6.pdf")</f>
        <v>Melting_Curves/meltCurve_D6R9X7_ERCC6.pdf</v>
      </c>
    </row>
    <row r="318" spans="1:28" x14ac:dyDescent="0.25">
      <c r="A318" t="s">
        <v>322</v>
      </c>
      <c r="B318">
        <v>0.99299721793515405</v>
      </c>
      <c r="C318">
        <v>0.70032635550994904</v>
      </c>
      <c r="D318">
        <v>0.94633719867197497</v>
      </c>
      <c r="E318">
        <v>0.81007966173609303</v>
      </c>
      <c r="F318">
        <v>0.61923803467666905</v>
      </c>
      <c r="G318">
        <v>0.68314030405375603</v>
      </c>
      <c r="H318">
        <v>0.71433560242928495</v>
      </c>
      <c r="I318">
        <v>1.1789263624917301</v>
      </c>
      <c r="J318">
        <v>1.91647620595751</v>
      </c>
      <c r="K318">
        <v>1.74812234499983</v>
      </c>
      <c r="L318">
        <v>15000</v>
      </c>
      <c r="M318">
        <v>245.31713562189501</v>
      </c>
      <c r="O318">
        <v>61.141277795526499</v>
      </c>
      <c r="P318">
        <v>0.50153747450927399</v>
      </c>
      <c r="Q318">
        <v>1.5</v>
      </c>
      <c r="R318">
        <v>0.63211956117138401</v>
      </c>
      <c r="S318" t="s">
        <v>5869</v>
      </c>
      <c r="T318" t="s">
        <v>11100</v>
      </c>
      <c r="U318" t="s">
        <v>11100</v>
      </c>
      <c r="V318" t="s">
        <v>11100</v>
      </c>
      <c r="W318" t="s">
        <v>11415</v>
      </c>
      <c r="X318">
        <v>2</v>
      </c>
      <c r="Y318" t="s">
        <v>16909</v>
      </c>
      <c r="Z318" t="s">
        <v>22323</v>
      </c>
      <c r="AA318">
        <v>1.097521920924557</v>
      </c>
      <c r="AB318" t="str">
        <f>HYPERLINK("Melting_Curves/meltCurve_D6R9Z7_COX7C.pdf", "Melting_Curves/meltCurve_D6R9Z7_COX7C.pdf")</f>
        <v>Melting_Curves/meltCurve_D6R9Z7_COX7C.pdf</v>
      </c>
    </row>
    <row r="319" spans="1:28" x14ac:dyDescent="0.25">
      <c r="A319" t="s">
        <v>323</v>
      </c>
      <c r="B319">
        <v>0.99299721793515405</v>
      </c>
      <c r="C319">
        <v>0.72981276549917096</v>
      </c>
      <c r="D319">
        <v>1.1250828083787801</v>
      </c>
      <c r="E319">
        <v>0.84411563380698396</v>
      </c>
      <c r="F319">
        <v>1.035059936428</v>
      </c>
      <c r="G319">
        <v>1.39886094109717</v>
      </c>
      <c r="H319">
        <v>1.3026516070853</v>
      </c>
      <c r="I319">
        <v>1.13927923749427</v>
      </c>
      <c r="J319">
        <v>0.723143204328906</v>
      </c>
      <c r="K319">
        <v>0.611910536185298</v>
      </c>
      <c r="L319">
        <v>15000</v>
      </c>
      <c r="M319">
        <v>234.920981474977</v>
      </c>
      <c r="O319">
        <v>63.846629797044301</v>
      </c>
      <c r="P319">
        <v>-0.35700085996747</v>
      </c>
      <c r="Q319">
        <v>0.61189840838187803</v>
      </c>
      <c r="R319">
        <v>0.37063007764447398</v>
      </c>
      <c r="S319" t="s">
        <v>5870</v>
      </c>
      <c r="T319" t="s">
        <v>11100</v>
      </c>
      <c r="U319" t="s">
        <v>11100</v>
      </c>
      <c r="V319" t="s">
        <v>11100</v>
      </c>
      <c r="W319" t="s">
        <v>11416</v>
      </c>
      <c r="X319">
        <v>1</v>
      </c>
      <c r="Y319" t="s">
        <v>16910</v>
      </c>
      <c r="Z319" t="s">
        <v>22324</v>
      </c>
      <c r="AA319">
        <v>0.95931478723974861</v>
      </c>
      <c r="AB319" t="str">
        <f>HYPERLINK("Melting_Curves/meltCurve_D6RA26_PLRG1.pdf", "Melting_Curves/meltCurve_D6RA26_PLRG1.pdf")</f>
        <v>Melting_Curves/meltCurve_D6RA26_PLRG1.pdf</v>
      </c>
    </row>
    <row r="320" spans="1:28" x14ac:dyDescent="0.25">
      <c r="A320" t="s">
        <v>324</v>
      </c>
      <c r="B320">
        <v>0.99299721793515405</v>
      </c>
      <c r="C320">
        <v>1.1407307705783201</v>
      </c>
      <c r="D320">
        <v>1.08185813345298</v>
      </c>
      <c r="E320">
        <v>1.0142785311493001</v>
      </c>
      <c r="F320">
        <v>0.86453702654343501</v>
      </c>
      <c r="G320">
        <v>0.68566779993555405</v>
      </c>
      <c r="H320">
        <v>1.1446789901266801</v>
      </c>
      <c r="I320">
        <v>0.62076314899475404</v>
      </c>
      <c r="J320">
        <v>0.418861902223927</v>
      </c>
      <c r="K320">
        <v>0.47067435363101701</v>
      </c>
      <c r="L320">
        <v>15000</v>
      </c>
      <c r="M320">
        <v>246.669340918248</v>
      </c>
      <c r="N320">
        <v>61.358150727641899</v>
      </c>
      <c r="O320">
        <v>60.8061543858704</v>
      </c>
      <c r="P320">
        <v>-0.56309625998780999</v>
      </c>
      <c r="Q320">
        <v>0.44476734885490998</v>
      </c>
      <c r="R320">
        <v>0.75620287784197404</v>
      </c>
      <c r="S320" t="s">
        <v>5871</v>
      </c>
      <c r="T320" t="s">
        <v>11100</v>
      </c>
      <c r="U320" t="s">
        <v>11100</v>
      </c>
      <c r="V320" t="s">
        <v>11100</v>
      </c>
      <c r="W320" t="s">
        <v>11417</v>
      </c>
      <c r="X320">
        <v>5</v>
      </c>
      <c r="Y320" t="s">
        <v>16911</v>
      </c>
      <c r="Z320" t="s">
        <v>22325</v>
      </c>
      <c r="AA320">
        <v>0.88550066712748643</v>
      </c>
      <c r="AB320" t="str">
        <f>HYPERLINK("Melting_Curves/meltCurve_D6RAT0_RPS3A.pdf", "Melting_Curves/meltCurve_D6RAT0_RPS3A.pdf")</f>
        <v>Melting_Curves/meltCurve_D6RAT0_RPS3A.pdf</v>
      </c>
    </row>
    <row r="321" spans="1:28" x14ac:dyDescent="0.25">
      <c r="A321" t="s">
        <v>325</v>
      </c>
      <c r="B321">
        <v>0.99299721793515405</v>
      </c>
      <c r="C321">
        <v>0.92458526490899395</v>
      </c>
      <c r="D321">
        <v>0.94604879272777898</v>
      </c>
      <c r="E321">
        <v>0.73391845847853798</v>
      </c>
      <c r="F321">
        <v>0.74623654343340295</v>
      </c>
      <c r="G321">
        <v>0.54900765162826304</v>
      </c>
      <c r="H321">
        <v>0.36758646351340402</v>
      </c>
      <c r="I321">
        <v>0.318141629112492</v>
      </c>
      <c r="J321">
        <v>0.26592286306304902</v>
      </c>
      <c r="K321">
        <v>0.26574734091063101</v>
      </c>
      <c r="L321">
        <v>496.02538380835801</v>
      </c>
      <c r="M321">
        <v>9.3759654355237707</v>
      </c>
      <c r="N321">
        <v>54.709027262318202</v>
      </c>
      <c r="O321">
        <v>50.664673868558303</v>
      </c>
      <c r="P321">
        <v>-4.0134667754344301E-2</v>
      </c>
      <c r="Q321">
        <v>0.13304028442640201</v>
      </c>
      <c r="R321">
        <v>0.97816667758953502</v>
      </c>
      <c r="S321" t="s">
        <v>5872</v>
      </c>
      <c r="T321" t="s">
        <v>11100</v>
      </c>
      <c r="U321" t="s">
        <v>11100</v>
      </c>
      <c r="V321" t="s">
        <v>11100</v>
      </c>
      <c r="W321" t="s">
        <v>11418</v>
      </c>
      <c r="X321">
        <v>3</v>
      </c>
      <c r="Y321" t="s">
        <v>16912</v>
      </c>
      <c r="Z321" t="s">
        <v>22326</v>
      </c>
      <c r="AA321">
        <v>0.61256862349854668</v>
      </c>
      <c r="AB321" t="str">
        <f>HYPERLINK("Melting_Curves/meltCurve_D6RB01_FAM169A.pdf", "Melting_Curves/meltCurve_D6RB01_FAM169A.pdf")</f>
        <v>Melting_Curves/meltCurve_D6RB01_FAM169A.pdf</v>
      </c>
    </row>
    <row r="322" spans="1:28" x14ac:dyDescent="0.25">
      <c r="A322" t="s">
        <v>326</v>
      </c>
      <c r="B322">
        <v>0.99299721793515405</v>
      </c>
      <c r="C322">
        <v>1.0707095349761</v>
      </c>
      <c r="D322">
        <v>0.96336266546643101</v>
      </c>
      <c r="E322">
        <v>0.816539029221653</v>
      </c>
      <c r="F322">
        <v>0.68614222146432702</v>
      </c>
      <c r="G322">
        <v>0.408800009505635</v>
      </c>
      <c r="H322">
        <v>0.30139413426233602</v>
      </c>
      <c r="I322">
        <v>0.26715745710942301</v>
      </c>
      <c r="J322">
        <v>0.33157452756572597</v>
      </c>
      <c r="K322">
        <v>0.248440891140462</v>
      </c>
      <c r="L322">
        <v>937.37963581027498</v>
      </c>
      <c r="M322">
        <v>18.6305091860158</v>
      </c>
      <c r="N322">
        <v>52.363108924715299</v>
      </c>
      <c r="O322">
        <v>49.745278237294201</v>
      </c>
      <c r="P322">
        <v>-6.9401184286107101E-2</v>
      </c>
      <c r="Q322">
        <v>0.25879999758447497</v>
      </c>
      <c r="R322">
        <v>0.98416708399240704</v>
      </c>
      <c r="S322" t="s">
        <v>5873</v>
      </c>
      <c r="T322" t="s">
        <v>11100</v>
      </c>
      <c r="U322" t="s">
        <v>11100</v>
      </c>
      <c r="V322" t="s">
        <v>11100</v>
      </c>
      <c r="W322" t="s">
        <v>11419</v>
      </c>
      <c r="X322">
        <v>1</v>
      </c>
      <c r="Y322" t="s">
        <v>16913</v>
      </c>
      <c r="Z322" t="s">
        <v>22327</v>
      </c>
      <c r="AA322">
        <v>0.59874224767390105</v>
      </c>
      <c r="AB322" t="str">
        <f>HYPERLINK("Melting_Curves/meltCurve_D6RB84_UBE2J2.pdf", "Melting_Curves/meltCurve_D6RB84_UBE2J2.pdf")</f>
        <v>Melting_Curves/meltCurve_D6RB84_UBE2J2.pdf</v>
      </c>
    </row>
    <row r="323" spans="1:28" x14ac:dyDescent="0.25">
      <c r="A323" t="s">
        <v>327</v>
      </c>
      <c r="B323">
        <v>0.99299721793515405</v>
      </c>
      <c r="C323">
        <v>1.0402165677334401</v>
      </c>
      <c r="D323">
        <v>0.91257315883669099</v>
      </c>
      <c r="E323">
        <v>0.91042727093472697</v>
      </c>
      <c r="F323">
        <v>0.69279324135781395</v>
      </c>
      <c r="G323">
        <v>0.51097465891189298</v>
      </c>
      <c r="H323">
        <v>0.28534841800039501</v>
      </c>
      <c r="I323">
        <v>0.181365646447021</v>
      </c>
      <c r="J323">
        <v>0.15198275181159801</v>
      </c>
      <c r="K323">
        <v>0.123809920179297</v>
      </c>
      <c r="L323">
        <v>767.42341594083302</v>
      </c>
      <c r="M323">
        <v>14.4970711785646</v>
      </c>
      <c r="N323">
        <v>53.541889492197299</v>
      </c>
      <c r="O323">
        <v>51.959745160719102</v>
      </c>
      <c r="P323">
        <v>-6.4485628349622098E-2</v>
      </c>
      <c r="Q323">
        <v>7.5600611721103494E-2</v>
      </c>
      <c r="R323">
        <v>0.993915381240145</v>
      </c>
      <c r="S323" t="s">
        <v>5874</v>
      </c>
      <c r="T323" t="s">
        <v>11100</v>
      </c>
      <c r="U323" t="s">
        <v>11100</v>
      </c>
      <c r="V323" t="s">
        <v>11100</v>
      </c>
      <c r="W323" t="s">
        <v>11420</v>
      </c>
      <c r="X323">
        <v>10</v>
      </c>
      <c r="Y323" t="s">
        <v>16914</v>
      </c>
      <c r="Z323" t="s">
        <v>22328</v>
      </c>
      <c r="AA323">
        <v>0.58378082976558265</v>
      </c>
      <c r="AB323" t="str">
        <f>HYPERLINK("Melting_Curves/meltCurve_D6RBS5_ELMOD2.pdf", "Melting_Curves/meltCurve_D6RBS5_ELMOD2.pdf")</f>
        <v>Melting_Curves/meltCurve_D6RBS5_ELMOD2.pdf</v>
      </c>
    </row>
    <row r="324" spans="1:28" x14ac:dyDescent="0.25">
      <c r="A324" t="s">
        <v>328</v>
      </c>
      <c r="B324">
        <v>0.99299721793515405</v>
      </c>
      <c r="C324">
        <v>1.1258637300616301</v>
      </c>
      <c r="D324">
        <v>1.28240529806815</v>
      </c>
      <c r="E324">
        <v>1.03135561152697</v>
      </c>
      <c r="F324">
        <v>0.90510529052438204</v>
      </c>
      <c r="G324">
        <v>0.92099201622223603</v>
      </c>
      <c r="H324">
        <v>0.53712839027575099</v>
      </c>
      <c r="I324">
        <v>0.33728154360908302</v>
      </c>
      <c r="J324">
        <v>0.19956660200156101</v>
      </c>
      <c r="K324">
        <v>0.19118900125795499</v>
      </c>
      <c r="L324">
        <v>1575.0420450125901</v>
      </c>
      <c r="M324">
        <v>27.540525321853799</v>
      </c>
      <c r="N324">
        <v>58.116658142011097</v>
      </c>
      <c r="O324">
        <v>56.890999768645599</v>
      </c>
      <c r="P324">
        <v>-9.9517888384591094E-2</v>
      </c>
      <c r="Q324">
        <v>0.177703363269306</v>
      </c>
      <c r="R324">
        <v>0.92588454820527899</v>
      </c>
      <c r="S324" t="s">
        <v>5875</v>
      </c>
      <c r="T324" t="s">
        <v>11100</v>
      </c>
      <c r="U324" t="s">
        <v>11100</v>
      </c>
      <c r="V324" t="s">
        <v>11100</v>
      </c>
      <c r="W324" t="s">
        <v>11421</v>
      </c>
      <c r="X324">
        <v>9</v>
      </c>
      <c r="Y324" t="s">
        <v>16915</v>
      </c>
      <c r="Z324" t="s">
        <v>22329</v>
      </c>
      <c r="AA324">
        <v>0.73652840177319467</v>
      </c>
      <c r="AB324" t="str">
        <f>HYPERLINK("Melting_Curves/meltCurve_D6RBW1_EIF4E.pdf", "Melting_Curves/meltCurve_D6RBW1_EIF4E.pdf")</f>
        <v>Melting_Curves/meltCurve_D6RBW1_EIF4E.pdf</v>
      </c>
    </row>
    <row r="325" spans="1:28" x14ac:dyDescent="0.25">
      <c r="A325" t="s">
        <v>329</v>
      </c>
      <c r="B325">
        <v>0.99299721793515405</v>
      </c>
      <c r="C325">
        <v>0.95804849624407995</v>
      </c>
      <c r="D325">
        <v>0.99005364364125703</v>
      </c>
      <c r="E325">
        <v>0.86121465923344998</v>
      </c>
      <c r="F325">
        <v>0.75888408804693197</v>
      </c>
      <c r="G325">
        <v>0.51782767072881097</v>
      </c>
      <c r="H325">
        <v>0.30792453184119201</v>
      </c>
      <c r="I325">
        <v>0.14671489634139701</v>
      </c>
      <c r="J325">
        <v>0.156685150100416</v>
      </c>
      <c r="K325">
        <v>9.3713145064648007E-2</v>
      </c>
      <c r="L325">
        <v>765.22689197918305</v>
      </c>
      <c r="M325">
        <v>14.2694222709373</v>
      </c>
      <c r="N325">
        <v>53.948380981948297</v>
      </c>
      <c r="O325">
        <v>52.606791731835003</v>
      </c>
      <c r="P325">
        <v>-6.5056891824955901E-2</v>
      </c>
      <c r="Q325">
        <v>4.0742101170566501E-2</v>
      </c>
      <c r="R325">
        <v>0.99520480887841101</v>
      </c>
      <c r="S325" t="s">
        <v>5876</v>
      </c>
      <c r="T325" t="s">
        <v>11100</v>
      </c>
      <c r="U325" t="s">
        <v>11100</v>
      </c>
      <c r="V325" t="s">
        <v>11100</v>
      </c>
      <c r="W325" t="s">
        <v>11422</v>
      </c>
      <c r="X325">
        <v>3</v>
      </c>
      <c r="Y325" t="s">
        <v>16916</v>
      </c>
      <c r="Z325" t="s">
        <v>22330</v>
      </c>
      <c r="AA325">
        <v>0.58919883012885799</v>
      </c>
      <c r="AB325" t="str">
        <f>HYPERLINK("Melting_Curves/meltCurve_D6RCD0_HSD17B11.pdf", "Melting_Curves/meltCurve_D6RCD0_HSD17B11.pdf")</f>
        <v>Melting_Curves/meltCurve_D6RCD0_HSD17B11.pdf</v>
      </c>
    </row>
    <row r="326" spans="1:28" x14ac:dyDescent="0.25">
      <c r="A326" t="s">
        <v>330</v>
      </c>
      <c r="B326">
        <v>0.99299721793515405</v>
      </c>
      <c r="C326">
        <v>0.44754164638080202</v>
      </c>
      <c r="D326">
        <v>0.69358335414955796</v>
      </c>
      <c r="E326">
        <v>0.50823946687480004</v>
      </c>
      <c r="F326">
        <v>0.54493522577807496</v>
      </c>
      <c r="G326">
        <v>0.19584990654306</v>
      </c>
      <c r="H326">
        <v>0.182189271720367</v>
      </c>
      <c r="I326">
        <v>0.340340450832533</v>
      </c>
      <c r="J326">
        <v>0.29716616913947402</v>
      </c>
      <c r="K326">
        <v>0.176051815929988</v>
      </c>
      <c r="L326">
        <v>312.62390948145401</v>
      </c>
      <c r="M326">
        <v>7.1353381789302004</v>
      </c>
      <c r="N326">
        <v>46.207962501737498</v>
      </c>
      <c r="O326">
        <v>40.763383106916599</v>
      </c>
      <c r="P326">
        <v>-3.7061497234257897E-2</v>
      </c>
      <c r="Q326">
        <v>0.154548358477821</v>
      </c>
      <c r="R326">
        <v>0.71223607407067901</v>
      </c>
      <c r="S326" t="s">
        <v>5877</v>
      </c>
      <c r="T326" t="s">
        <v>11100</v>
      </c>
      <c r="U326" t="s">
        <v>11100</v>
      </c>
      <c r="V326" t="s">
        <v>11100</v>
      </c>
      <c r="W326" t="s">
        <v>11423</v>
      </c>
      <c r="X326">
        <v>1</v>
      </c>
      <c r="Y326" t="s">
        <v>16917</v>
      </c>
      <c r="Z326" t="s">
        <v>22331</v>
      </c>
      <c r="AA326">
        <v>0.42130892697734601</v>
      </c>
      <c r="AB326" t="str">
        <f>HYPERLINK("Melting_Curves/meltCurve_D6RCD9_TMEM175.pdf", "Melting_Curves/meltCurve_D6RCD9_TMEM175.pdf")</f>
        <v>Melting_Curves/meltCurve_D6RCD9_TMEM175.pdf</v>
      </c>
    </row>
    <row r="327" spans="1:28" x14ac:dyDescent="0.25">
      <c r="A327" t="s">
        <v>331</v>
      </c>
      <c r="B327">
        <v>0.99299721793515405</v>
      </c>
      <c r="C327">
        <v>1.0130331039627001</v>
      </c>
      <c r="D327">
        <v>1.02358687717928</v>
      </c>
      <c r="E327">
        <v>0.95952860320670996</v>
      </c>
      <c r="F327">
        <v>0.76141833961086103</v>
      </c>
      <c r="G327">
        <v>0.62511275502143304</v>
      </c>
      <c r="H327">
        <v>0.59277421266096497</v>
      </c>
      <c r="I327">
        <v>0.79724507966088398</v>
      </c>
      <c r="J327">
        <v>0.92953296668360597</v>
      </c>
      <c r="K327">
        <v>0.69295551523876897</v>
      </c>
      <c r="L327">
        <v>2673.66272602651</v>
      </c>
      <c r="M327">
        <v>55.544636905807501</v>
      </c>
      <c r="O327">
        <v>48.073115936160598</v>
      </c>
      <c r="P327">
        <v>-7.8357557911767003E-2</v>
      </c>
      <c r="Q327">
        <v>0.72873061593490196</v>
      </c>
      <c r="R327">
        <v>0.68916755528039497</v>
      </c>
      <c r="S327" t="s">
        <v>5878</v>
      </c>
      <c r="T327" t="s">
        <v>11100</v>
      </c>
      <c r="U327" t="s">
        <v>11100</v>
      </c>
      <c r="V327" t="s">
        <v>11100</v>
      </c>
      <c r="W327" t="s">
        <v>11424</v>
      </c>
      <c r="X327">
        <v>2</v>
      </c>
      <c r="Y327" t="s">
        <v>16918</v>
      </c>
      <c r="Z327" t="s">
        <v>22332</v>
      </c>
      <c r="AA327">
        <v>0.82988651623310206</v>
      </c>
      <c r="AB327" t="str">
        <f>HYPERLINK("Melting_Curves/meltCurve_D6RD46_LIMCH1.pdf", "Melting_Curves/meltCurve_D6RD46_LIMCH1.pdf")</f>
        <v>Melting_Curves/meltCurve_D6RD46_LIMCH1.pdf</v>
      </c>
    </row>
    <row r="328" spans="1:28" x14ac:dyDescent="0.25">
      <c r="A328" t="s">
        <v>332</v>
      </c>
      <c r="B328">
        <v>0.99299721793515405</v>
      </c>
      <c r="C328">
        <v>0.72791955859530999</v>
      </c>
      <c r="D328">
        <v>0.83619412263374404</v>
      </c>
      <c r="E328">
        <v>0.90008481808695795</v>
      </c>
      <c r="F328">
        <v>0.81265817532471996</v>
      </c>
      <c r="G328">
        <v>0.84550533250860704</v>
      </c>
      <c r="H328">
        <v>0.55419551800749101</v>
      </c>
      <c r="I328">
        <v>0.39381656975296098</v>
      </c>
      <c r="J328">
        <v>0.27413438800547102</v>
      </c>
      <c r="K328">
        <v>0.28109667438824898</v>
      </c>
      <c r="L328">
        <v>505.86323810290401</v>
      </c>
      <c r="M328">
        <v>8.5715537848664507</v>
      </c>
      <c r="N328">
        <v>59.016505402623999</v>
      </c>
      <c r="O328">
        <v>56.067608867146703</v>
      </c>
      <c r="P328">
        <v>-3.8253090847442099E-2</v>
      </c>
      <c r="Q328">
        <v>0</v>
      </c>
      <c r="R328">
        <v>0.82912332977664804</v>
      </c>
      <c r="S328" t="s">
        <v>5879</v>
      </c>
      <c r="T328" t="s">
        <v>11100</v>
      </c>
      <c r="U328" t="s">
        <v>11100</v>
      </c>
      <c r="V328" t="s">
        <v>11100</v>
      </c>
      <c r="W328" t="s">
        <v>11425</v>
      </c>
      <c r="X328">
        <v>3</v>
      </c>
      <c r="Y328" t="s">
        <v>16919</v>
      </c>
      <c r="Z328" t="s">
        <v>22333</v>
      </c>
      <c r="AA328">
        <v>0.70687225206308524</v>
      </c>
      <c r="AB328" t="str">
        <f>HYPERLINK("Melting_Curves/meltCurve_D6RDX7_EMB.pdf", "Melting_Curves/meltCurve_D6RDX7_EMB.pdf")</f>
        <v>Melting_Curves/meltCurve_D6RDX7_EMB.pdf</v>
      </c>
    </row>
    <row r="329" spans="1:28" x14ac:dyDescent="0.25">
      <c r="A329" t="s">
        <v>333</v>
      </c>
      <c r="B329">
        <v>0.99299721793515405</v>
      </c>
      <c r="C329">
        <v>1.0666892969950601</v>
      </c>
      <c r="D329">
        <v>0.88125302998380595</v>
      </c>
      <c r="E329">
        <v>0.837772124498117</v>
      </c>
      <c r="F329">
        <v>0.63076029728368099</v>
      </c>
      <c r="G329">
        <v>0.592742521405072</v>
      </c>
      <c r="H329">
        <v>0.35417397036596199</v>
      </c>
      <c r="I329">
        <v>0.30786324497815098</v>
      </c>
      <c r="J329">
        <v>0.184788271678546</v>
      </c>
      <c r="K329">
        <v>9.1982928043326903E-2</v>
      </c>
      <c r="L329">
        <v>522.04478690942597</v>
      </c>
      <c r="M329">
        <v>9.5930162494757791</v>
      </c>
      <c r="N329">
        <v>54.419253894320399</v>
      </c>
      <c r="O329">
        <v>52.212094264051302</v>
      </c>
      <c r="P329">
        <v>-4.5959104838659601E-2</v>
      </c>
      <c r="Q329">
        <v>0</v>
      </c>
      <c r="R329">
        <v>0.97741268745583298</v>
      </c>
      <c r="S329" t="s">
        <v>5880</v>
      </c>
      <c r="T329" t="s">
        <v>11100</v>
      </c>
      <c r="U329" t="s">
        <v>11100</v>
      </c>
      <c r="V329" t="s">
        <v>11100</v>
      </c>
      <c r="W329" t="s">
        <v>11426</v>
      </c>
      <c r="X329">
        <v>3</v>
      </c>
      <c r="Y329" t="s">
        <v>16920</v>
      </c>
      <c r="Z329" t="s">
        <v>22334</v>
      </c>
      <c r="AA329">
        <v>0.59552672076142876</v>
      </c>
      <c r="AB329" t="str">
        <f>HYPERLINK("Melting_Curves/meltCurve_D6RE84_ALG13.pdf", "Melting_Curves/meltCurve_D6RE84_ALG13.pdf")</f>
        <v>Melting_Curves/meltCurve_D6RE84_ALG13.pdf</v>
      </c>
    </row>
    <row r="330" spans="1:28" x14ac:dyDescent="0.25">
      <c r="A330" t="s">
        <v>334</v>
      </c>
      <c r="B330">
        <v>0.99299721793515405</v>
      </c>
      <c r="C330">
        <v>1.0643248601936499</v>
      </c>
      <c r="D330">
        <v>0.99996213607527995</v>
      </c>
      <c r="E330">
        <v>0.848476398369025</v>
      </c>
      <c r="F330">
        <v>0.555361556858881</v>
      </c>
      <c r="G330">
        <v>0.294535756586363</v>
      </c>
      <c r="H330">
        <v>0.248767433993237</v>
      </c>
      <c r="I330">
        <v>0.188258057567463</v>
      </c>
      <c r="J330">
        <v>0.18656391702187999</v>
      </c>
      <c r="K330">
        <v>0.12882617764043</v>
      </c>
      <c r="L330">
        <v>1097.5679830505701</v>
      </c>
      <c r="M330">
        <v>21.9991856284025</v>
      </c>
      <c r="N330">
        <v>50.835112558519199</v>
      </c>
      <c r="O330">
        <v>49.484548645825598</v>
      </c>
      <c r="P330">
        <v>-9.2510114237791305E-2</v>
      </c>
      <c r="Q330">
        <v>0.167656834232108</v>
      </c>
      <c r="R330">
        <v>0.99355204128069496</v>
      </c>
      <c r="S330" t="s">
        <v>5881</v>
      </c>
      <c r="T330" t="s">
        <v>11100</v>
      </c>
      <c r="U330" t="s">
        <v>11100</v>
      </c>
      <c r="V330" t="s">
        <v>11100</v>
      </c>
      <c r="W330" t="s">
        <v>11427</v>
      </c>
      <c r="X330">
        <v>6</v>
      </c>
      <c r="Y330" t="s">
        <v>16921</v>
      </c>
      <c r="Z330" t="s">
        <v>22335</v>
      </c>
      <c r="AA330">
        <v>0.53456193746693492</v>
      </c>
      <c r="AB330" t="str">
        <f>HYPERLINK("Melting_Curves/meltCurve_D6REA0_PET112.pdf", "Melting_Curves/meltCurve_D6REA0_PET112.pdf")</f>
        <v>Melting_Curves/meltCurve_D6REA0_PET112.pdf</v>
      </c>
    </row>
    <row r="331" spans="1:28" x14ac:dyDescent="0.25">
      <c r="A331" t="s">
        <v>335</v>
      </c>
      <c r="B331">
        <v>0.99299721793515405</v>
      </c>
      <c r="C331">
        <v>0.90456468340528196</v>
      </c>
      <c r="D331">
        <v>0.80183252149960504</v>
      </c>
      <c r="E331">
        <v>1.0068079695429999</v>
      </c>
      <c r="F331">
        <v>0.78884703184632599</v>
      </c>
      <c r="G331">
        <v>0.39016922323619602</v>
      </c>
      <c r="H331">
        <v>0.69086859454145599</v>
      </c>
      <c r="I331">
        <v>0.78178630786159997</v>
      </c>
      <c r="J331">
        <v>1.4871658898662801</v>
      </c>
      <c r="K331">
        <v>1.25733595275342</v>
      </c>
      <c r="L331">
        <v>2634.1977827718301</v>
      </c>
      <c r="M331">
        <v>41.614955416986703</v>
      </c>
      <c r="O331">
        <v>63.153665063259197</v>
      </c>
      <c r="P331">
        <v>6.4679243241076295E-2</v>
      </c>
      <c r="Q331">
        <v>1.39262075694718</v>
      </c>
      <c r="R331">
        <v>0.14106347771462399</v>
      </c>
      <c r="S331" t="s">
        <v>5882</v>
      </c>
      <c r="T331" t="s">
        <v>11100</v>
      </c>
      <c r="U331" t="s">
        <v>11100</v>
      </c>
      <c r="V331" t="s">
        <v>11100</v>
      </c>
      <c r="W331" t="s">
        <v>11428</v>
      </c>
      <c r="X331">
        <v>1</v>
      </c>
      <c r="Y331" t="s">
        <v>16922</v>
      </c>
      <c r="Z331" t="s">
        <v>22336</v>
      </c>
      <c r="AA331">
        <v>1.0491003670903449</v>
      </c>
      <c r="AB331" t="str">
        <f>HYPERLINK("Melting_Curves/meltCurve_D6REL0_CDC42SE2.pdf", "Melting_Curves/meltCurve_D6REL0_CDC42SE2.pdf")</f>
        <v>Melting_Curves/meltCurve_D6REL0_CDC42SE2.pdf</v>
      </c>
    </row>
    <row r="332" spans="1:28" x14ac:dyDescent="0.25">
      <c r="A332" t="s">
        <v>336</v>
      </c>
      <c r="B332">
        <v>0.99299721793515405</v>
      </c>
      <c r="C332">
        <v>1.0381190658208099</v>
      </c>
      <c r="D332">
        <v>0.95723630280483096</v>
      </c>
      <c r="E332">
        <v>0.935387592565458</v>
      </c>
      <c r="F332">
        <v>0.71203858514221996</v>
      </c>
      <c r="G332">
        <v>0.46810599713194601</v>
      </c>
      <c r="H332">
        <v>0.325695884655124</v>
      </c>
      <c r="I332">
        <v>0.25585691789933002</v>
      </c>
      <c r="J332">
        <v>0.25194612074674799</v>
      </c>
      <c r="K332">
        <v>0.187273083182142</v>
      </c>
      <c r="L332">
        <v>967.52953210189798</v>
      </c>
      <c r="M332">
        <v>18.662159867896399</v>
      </c>
      <c r="N332">
        <v>53.362794286400998</v>
      </c>
      <c r="O332">
        <v>51.260169538962103</v>
      </c>
      <c r="P332">
        <v>-7.2271399277009096E-2</v>
      </c>
      <c r="Q332">
        <v>0.205989964185088</v>
      </c>
      <c r="R332">
        <v>0.99584684529896395</v>
      </c>
      <c r="S332" t="s">
        <v>5883</v>
      </c>
      <c r="T332" t="s">
        <v>11100</v>
      </c>
      <c r="U332" t="s">
        <v>11100</v>
      </c>
      <c r="V332" t="s">
        <v>11100</v>
      </c>
      <c r="W332" t="s">
        <v>11429</v>
      </c>
      <c r="X332">
        <v>14</v>
      </c>
      <c r="Y332" t="s">
        <v>16923</v>
      </c>
      <c r="Z332" t="s">
        <v>22337</v>
      </c>
      <c r="AA332">
        <v>0.61031688987454469</v>
      </c>
      <c r="AB332" t="str">
        <f>HYPERLINK("Melting_Curves/meltCurve_D6REX3_SEC31A.pdf", "Melting_Curves/meltCurve_D6REX3_SEC31A.pdf")</f>
        <v>Melting_Curves/meltCurve_D6REX3_SEC31A.pdf</v>
      </c>
    </row>
    <row r="333" spans="1:28" x14ac:dyDescent="0.25">
      <c r="A333" t="s">
        <v>337</v>
      </c>
      <c r="B333">
        <v>0.99299721793515405</v>
      </c>
      <c r="C333">
        <v>1.04602876204932</v>
      </c>
      <c r="D333">
        <v>0.89858283240804204</v>
      </c>
      <c r="E333">
        <v>0.84906564717856403</v>
      </c>
      <c r="F333">
        <v>0.65834320990992501</v>
      </c>
      <c r="G333">
        <v>0.47911197278560502</v>
      </c>
      <c r="H333">
        <v>0.31478110201346698</v>
      </c>
      <c r="I333">
        <v>0.29998288641503801</v>
      </c>
      <c r="J333">
        <v>0.26648767282250302</v>
      </c>
      <c r="K333">
        <v>0.18461599956868899</v>
      </c>
      <c r="L333">
        <v>687.75679616835498</v>
      </c>
      <c r="M333">
        <v>13.374579028984201</v>
      </c>
      <c r="N333">
        <v>53.236374080453501</v>
      </c>
      <c r="O333">
        <v>50.313873779614099</v>
      </c>
      <c r="P333">
        <v>-5.4304027609373903E-2</v>
      </c>
      <c r="Q333">
        <v>0.182982814942549</v>
      </c>
      <c r="R333">
        <v>0.98982679694364295</v>
      </c>
      <c r="S333" t="s">
        <v>5884</v>
      </c>
      <c r="T333" t="s">
        <v>11100</v>
      </c>
      <c r="U333" t="s">
        <v>11100</v>
      </c>
      <c r="V333" t="s">
        <v>11100</v>
      </c>
      <c r="W333" t="s">
        <v>11430</v>
      </c>
      <c r="X333">
        <v>1</v>
      </c>
      <c r="Y333" t="s">
        <v>16924</v>
      </c>
      <c r="Z333" t="s">
        <v>22338</v>
      </c>
      <c r="AA333">
        <v>0.59419479955139098</v>
      </c>
      <c r="AB333" t="str">
        <f>HYPERLINK("Melting_Curves/meltCurve_D6RF85_ZNF652.pdf", "Melting_Curves/meltCurve_D6RF85_ZNF652.pdf")</f>
        <v>Melting_Curves/meltCurve_D6RF85_ZNF652.pdf</v>
      </c>
    </row>
    <row r="334" spans="1:28" x14ac:dyDescent="0.25">
      <c r="A334" t="s">
        <v>338</v>
      </c>
      <c r="B334">
        <v>0.99299721793515405</v>
      </c>
      <c r="C334">
        <v>0.99925307864731705</v>
      </c>
      <c r="D334">
        <v>0.89000909493918601</v>
      </c>
      <c r="E334">
        <v>0.91189226664896506</v>
      </c>
      <c r="F334">
        <v>0.83904556290167998</v>
      </c>
      <c r="G334">
        <v>0.59531783205761502</v>
      </c>
      <c r="H334">
        <v>0.60535025265438203</v>
      </c>
      <c r="I334">
        <v>0.53887382984784904</v>
      </c>
      <c r="J334">
        <v>0.27644890647812198</v>
      </c>
      <c r="K334">
        <v>0.21010533500754</v>
      </c>
      <c r="L334">
        <v>494.69520275305302</v>
      </c>
      <c r="M334">
        <v>8.4054344915980099</v>
      </c>
      <c r="N334">
        <v>58.854202003734102</v>
      </c>
      <c r="O334">
        <v>55.805899624212401</v>
      </c>
      <c r="P334">
        <v>-3.7690162223601699E-2</v>
      </c>
      <c r="Q334">
        <v>0</v>
      </c>
      <c r="R334">
        <v>0.95133267051857795</v>
      </c>
      <c r="S334" t="s">
        <v>5885</v>
      </c>
      <c r="T334" t="s">
        <v>11100</v>
      </c>
      <c r="U334" t="s">
        <v>11100</v>
      </c>
      <c r="V334" t="s">
        <v>11100</v>
      </c>
      <c r="W334" t="s">
        <v>11431</v>
      </c>
      <c r="X334">
        <v>8</v>
      </c>
      <c r="Y334" t="s">
        <v>16925</v>
      </c>
      <c r="Z334" t="s">
        <v>22339</v>
      </c>
      <c r="AA334">
        <v>0.70185061230159795</v>
      </c>
      <c r="AB334" t="str">
        <f>HYPERLINK("Melting_Curves/meltCurve_D6RFG8_DCK.pdf", "Melting_Curves/meltCurve_D6RFG8_DCK.pdf")</f>
        <v>Melting_Curves/meltCurve_D6RFG8_DCK.pdf</v>
      </c>
    </row>
    <row r="335" spans="1:28" x14ac:dyDescent="0.25">
      <c r="A335" t="s">
        <v>339</v>
      </c>
      <c r="B335">
        <v>0.99299721793515405</v>
      </c>
      <c r="C335">
        <v>0.87574285270457197</v>
      </c>
      <c r="D335">
        <v>0.75342292674245703</v>
      </c>
      <c r="E335">
        <v>0.83508129072350301</v>
      </c>
      <c r="F335">
        <v>0.71559315559675196</v>
      </c>
      <c r="G335">
        <v>0.64205351373152297</v>
      </c>
      <c r="H335">
        <v>0.49240432348803598</v>
      </c>
      <c r="I335">
        <v>0.42834882450628498</v>
      </c>
      <c r="J335">
        <v>0.36238435644272399</v>
      </c>
      <c r="K335">
        <v>0.44191462884615401</v>
      </c>
      <c r="L335">
        <v>293.17932151608898</v>
      </c>
      <c r="M335">
        <v>5.2294259022212204</v>
      </c>
      <c r="N335">
        <v>58.865206491065898</v>
      </c>
      <c r="O335">
        <v>49.429391975790303</v>
      </c>
      <c r="P335">
        <v>-2.36585716894579E-2</v>
      </c>
      <c r="Q335">
        <v>0.11017360713096799</v>
      </c>
      <c r="R335">
        <v>0.93243354667849099</v>
      </c>
      <c r="S335" t="s">
        <v>5886</v>
      </c>
      <c r="T335" t="s">
        <v>11100</v>
      </c>
      <c r="U335" t="s">
        <v>11100</v>
      </c>
      <c r="V335" t="s">
        <v>11100</v>
      </c>
      <c r="W335" t="s">
        <v>11432</v>
      </c>
      <c r="X335">
        <v>3</v>
      </c>
      <c r="Y335" t="s">
        <v>16926</v>
      </c>
      <c r="Z335" t="s">
        <v>22340</v>
      </c>
      <c r="AA335">
        <v>0.65290136667178966</v>
      </c>
      <c r="AB335" t="str">
        <f>HYPERLINK("Melting_Curves/meltCurve_D6RFH4_CYB5B.pdf", "Melting_Curves/meltCurve_D6RFH4_CYB5B.pdf")</f>
        <v>Melting_Curves/meltCurve_D6RFH4_CYB5B.pdf</v>
      </c>
    </row>
    <row r="336" spans="1:28" x14ac:dyDescent="0.25">
      <c r="A336" t="s">
        <v>340</v>
      </c>
      <c r="B336">
        <v>0.99299721793515405</v>
      </c>
      <c r="C336">
        <v>0.94291037136888001</v>
      </c>
      <c r="D336">
        <v>0.91408230824766001</v>
      </c>
      <c r="E336">
        <v>0.80971748866746696</v>
      </c>
      <c r="F336">
        <v>0.70579158142883902</v>
      </c>
      <c r="G336">
        <v>0.59124407053235395</v>
      </c>
      <c r="H336">
        <v>0.93062770932894001</v>
      </c>
      <c r="I336">
        <v>1.16732727597157</v>
      </c>
      <c r="J336">
        <v>1.1348296283989701</v>
      </c>
      <c r="K336">
        <v>0.77031187118474198</v>
      </c>
      <c r="L336">
        <v>15000</v>
      </c>
      <c r="M336">
        <v>222.67047271847201</v>
      </c>
      <c r="Q336">
        <v>0</v>
      </c>
      <c r="R336">
        <v>-0.18723972779162601</v>
      </c>
      <c r="S336" t="s">
        <v>5887</v>
      </c>
      <c r="T336" t="s">
        <v>11100</v>
      </c>
      <c r="U336" t="s">
        <v>11100</v>
      </c>
      <c r="V336" t="s">
        <v>11100</v>
      </c>
      <c r="W336" t="s">
        <v>11433</v>
      </c>
      <c r="X336">
        <v>15</v>
      </c>
      <c r="Y336" t="s">
        <v>16927</v>
      </c>
      <c r="Z336" t="s">
        <v>22341</v>
      </c>
      <c r="AA336">
        <v>0.99742137595640656</v>
      </c>
      <c r="AB336" t="str">
        <f>HYPERLINK("Melting_Curves/meltCurve_D6RGI3_SEPT11.pdf", "Melting_Curves/meltCurve_D6RGI3_SEPT11.pdf")</f>
        <v>Melting_Curves/meltCurve_D6RGI3_SEPT11.pdf</v>
      </c>
    </row>
    <row r="337" spans="1:28" x14ac:dyDescent="0.25">
      <c r="A337" t="s">
        <v>341</v>
      </c>
      <c r="B337">
        <v>0.99299721793515405</v>
      </c>
      <c r="C337">
        <v>1.03004330733633</v>
      </c>
      <c r="D337">
        <v>0.84896466598985698</v>
      </c>
      <c r="E337">
        <v>0.94864755200579898</v>
      </c>
      <c r="F337">
        <v>0.68025718927216094</v>
      </c>
      <c r="G337">
        <v>0.49368131445702501</v>
      </c>
      <c r="H337">
        <v>0.61053719393218797</v>
      </c>
      <c r="I337">
        <v>0.78079870217613701</v>
      </c>
      <c r="J337">
        <v>0.79001056579094697</v>
      </c>
      <c r="K337">
        <v>0.52996885112201697</v>
      </c>
      <c r="L337">
        <v>2665.3672805152901</v>
      </c>
      <c r="M337">
        <v>55.428011907377503</v>
      </c>
      <c r="O337">
        <v>48.0245362857831</v>
      </c>
      <c r="P337">
        <v>-0.103282783701391</v>
      </c>
      <c r="Q337">
        <v>0.64205066623597495</v>
      </c>
      <c r="R337">
        <v>0.68879504122632196</v>
      </c>
      <c r="S337" t="s">
        <v>5888</v>
      </c>
      <c r="T337" t="s">
        <v>11100</v>
      </c>
      <c r="U337" t="s">
        <v>11100</v>
      </c>
      <c r="V337" t="s">
        <v>11100</v>
      </c>
      <c r="W337" t="s">
        <v>11434</v>
      </c>
      <c r="X337">
        <v>1</v>
      </c>
      <c r="Y337" t="s">
        <v>16928</v>
      </c>
      <c r="Z337" t="s">
        <v>22342</v>
      </c>
      <c r="AA337">
        <v>0.77495409414640504</v>
      </c>
      <c r="AB337" t="str">
        <f>HYPERLINK("Melting_Curves/meltCurve_D6RGJ7_SLC9B2.pdf", "Melting_Curves/meltCurve_D6RGJ7_SLC9B2.pdf")</f>
        <v>Melting_Curves/meltCurve_D6RGJ7_SLC9B2.pdf</v>
      </c>
    </row>
    <row r="338" spans="1:28" x14ac:dyDescent="0.25">
      <c r="A338" t="s">
        <v>342</v>
      </c>
      <c r="B338">
        <v>0.99299721793515405</v>
      </c>
      <c r="C338">
        <v>0.966209202086865</v>
      </c>
      <c r="D338">
        <v>0.91835415164780898</v>
      </c>
      <c r="E338">
        <v>0.92098080719444997</v>
      </c>
      <c r="F338">
        <v>0.66737751545325397</v>
      </c>
      <c r="G338">
        <v>0.46388483353566501</v>
      </c>
      <c r="H338">
        <v>0.38805016988681501</v>
      </c>
      <c r="I338">
        <v>0.249070283357613</v>
      </c>
      <c r="J338">
        <v>0.14429172976645399</v>
      </c>
      <c r="K338">
        <v>0.18433531943199699</v>
      </c>
      <c r="L338">
        <v>676.99313215300299</v>
      </c>
      <c r="M338">
        <v>12.8482597554205</v>
      </c>
      <c r="N338">
        <v>53.724580933390598</v>
      </c>
      <c r="O338">
        <v>51.463937071187097</v>
      </c>
      <c r="P338">
        <v>-5.5592307792318697E-2</v>
      </c>
      <c r="Q338">
        <v>0.109460700635511</v>
      </c>
      <c r="R338">
        <v>0.98865318186640205</v>
      </c>
      <c r="S338" t="s">
        <v>5889</v>
      </c>
      <c r="T338" t="s">
        <v>11100</v>
      </c>
      <c r="U338" t="s">
        <v>11100</v>
      </c>
      <c r="V338" t="s">
        <v>11100</v>
      </c>
      <c r="W338" t="s">
        <v>11435</v>
      </c>
      <c r="X338">
        <v>1</v>
      </c>
      <c r="Y338" t="s">
        <v>16929</v>
      </c>
      <c r="Z338" t="s">
        <v>22343</v>
      </c>
      <c r="AA338">
        <v>0.59392237389728053</v>
      </c>
      <c r="AB338" t="str">
        <f>HYPERLINK("Melting_Curves/meltCurve_D6RH26_CXorf40A.pdf", "Melting_Curves/meltCurve_D6RH26_CXorf40A.pdf")</f>
        <v>Melting_Curves/meltCurve_D6RH26_CXorf40A.pdf</v>
      </c>
    </row>
    <row r="339" spans="1:28" x14ac:dyDescent="0.25">
      <c r="A339" t="s">
        <v>343</v>
      </c>
      <c r="B339">
        <v>0.99299721793515405</v>
      </c>
      <c r="C339">
        <v>1.0606942086845801</v>
      </c>
      <c r="D339">
        <v>0.79103295960192799</v>
      </c>
      <c r="E339">
        <v>1.05725016412066</v>
      </c>
      <c r="F339">
        <v>0.93720483170555502</v>
      </c>
      <c r="G339">
        <v>0.66809296155696596</v>
      </c>
      <c r="H339">
        <v>0.729952545377899</v>
      </c>
      <c r="I339">
        <v>0.71285789484875905</v>
      </c>
      <c r="J339">
        <v>0.81538119636733397</v>
      </c>
      <c r="K339">
        <v>0.63087150929004598</v>
      </c>
      <c r="L339">
        <v>12614.2386213183</v>
      </c>
      <c r="M339">
        <v>250</v>
      </c>
      <c r="O339">
        <v>50.453725709791499</v>
      </c>
      <c r="P339">
        <v>-0.35746714257080597</v>
      </c>
      <c r="Q339">
        <v>0.71143121452546698</v>
      </c>
      <c r="R339">
        <v>0.69914804252174401</v>
      </c>
      <c r="S339" t="s">
        <v>5890</v>
      </c>
      <c r="T339" t="s">
        <v>11100</v>
      </c>
      <c r="U339" t="s">
        <v>11100</v>
      </c>
      <c r="V339" t="s">
        <v>11100</v>
      </c>
      <c r="W339" t="s">
        <v>11436</v>
      </c>
      <c r="X339">
        <v>3</v>
      </c>
      <c r="Y339" t="s">
        <v>16930</v>
      </c>
      <c r="Z339" t="s">
        <v>22344</v>
      </c>
      <c r="AA339">
        <v>0.84089866802904467</v>
      </c>
      <c r="AB339" t="str">
        <f>HYPERLINK("Melting_Curves/meltCurve_D6RHD2_SPRY1.pdf", "Melting_Curves/meltCurve_D6RHD2_SPRY1.pdf")</f>
        <v>Melting_Curves/meltCurve_D6RHD2_SPRY1.pdf</v>
      </c>
    </row>
    <row r="340" spans="1:28" x14ac:dyDescent="0.25">
      <c r="A340" t="s">
        <v>344</v>
      </c>
      <c r="B340">
        <v>0.99299721793515405</v>
      </c>
      <c r="C340">
        <v>0.96635313609588303</v>
      </c>
      <c r="D340">
        <v>0.99082861116365295</v>
      </c>
      <c r="E340">
        <v>0.805942361470253</v>
      </c>
      <c r="F340">
        <v>0.73422179276584598</v>
      </c>
      <c r="G340">
        <v>0.36116193867519403</v>
      </c>
      <c r="H340">
        <v>0.29624581135712902</v>
      </c>
      <c r="I340">
        <v>0.261812967276496</v>
      </c>
      <c r="J340">
        <v>0.26527871287728499</v>
      </c>
      <c r="K340">
        <v>0.262827358889967</v>
      </c>
      <c r="L340">
        <v>1000.3847723225</v>
      </c>
      <c r="M340">
        <v>19.768873639033</v>
      </c>
      <c r="N340">
        <v>52.334733722835999</v>
      </c>
      <c r="O340">
        <v>50.0947522982122</v>
      </c>
      <c r="P340">
        <v>-7.4986638858285201E-2</v>
      </c>
      <c r="Q340">
        <v>0.23995477294517401</v>
      </c>
      <c r="R340">
        <v>0.98181828445177399</v>
      </c>
      <c r="S340" t="s">
        <v>5891</v>
      </c>
      <c r="T340" t="s">
        <v>11100</v>
      </c>
      <c r="U340" t="s">
        <v>11100</v>
      </c>
      <c r="V340" t="s">
        <v>11100</v>
      </c>
      <c r="W340" t="s">
        <v>11437</v>
      </c>
      <c r="X340">
        <v>6</v>
      </c>
      <c r="Y340" t="s">
        <v>16931</v>
      </c>
      <c r="Z340" t="s">
        <v>22345</v>
      </c>
      <c r="AA340">
        <v>0.59479133354735347</v>
      </c>
      <c r="AB340" t="str">
        <f>HYPERLINK("Melting_Curves/meltCurve_D6RHD3_CENPK.pdf", "Melting_Curves/meltCurve_D6RHD3_CENPK.pdf")</f>
        <v>Melting_Curves/meltCurve_D6RHD3_CENPK.pdf</v>
      </c>
    </row>
    <row r="341" spans="1:28" x14ac:dyDescent="0.25">
      <c r="A341" t="s">
        <v>345</v>
      </c>
      <c r="B341">
        <v>0.99299721793515405</v>
      </c>
      <c r="C341">
        <v>0.94156085878940599</v>
      </c>
      <c r="D341">
        <v>0.90989391311621703</v>
      </c>
      <c r="E341">
        <v>0.86202574173719604</v>
      </c>
      <c r="F341">
        <v>0.695741756092214</v>
      </c>
      <c r="G341">
        <v>0.57509129326359198</v>
      </c>
      <c r="H341">
        <v>0.56932346570942804</v>
      </c>
      <c r="I341">
        <v>0.69740361076963198</v>
      </c>
      <c r="J341">
        <v>0.71727719558487801</v>
      </c>
      <c r="K341">
        <v>0.53544607613343798</v>
      </c>
      <c r="L341">
        <v>938.83999042852997</v>
      </c>
      <c r="M341">
        <v>20.0097774014762</v>
      </c>
      <c r="O341">
        <v>46.457969179609201</v>
      </c>
      <c r="P341">
        <v>-4.1595997226144203E-2</v>
      </c>
      <c r="Q341">
        <v>0.613708135760616</v>
      </c>
      <c r="R341">
        <v>0.85711484213311195</v>
      </c>
      <c r="S341" t="s">
        <v>5892</v>
      </c>
      <c r="T341" t="s">
        <v>11100</v>
      </c>
      <c r="U341" t="s">
        <v>11100</v>
      </c>
      <c r="V341" t="s">
        <v>11100</v>
      </c>
      <c r="W341" t="s">
        <v>11438</v>
      </c>
      <c r="X341">
        <v>8</v>
      </c>
      <c r="Y341" t="s">
        <v>16932</v>
      </c>
      <c r="Z341" t="s">
        <v>22346</v>
      </c>
      <c r="AA341">
        <v>0.74648106393810754</v>
      </c>
      <c r="AB341" t="str">
        <f>HYPERLINK("Melting_Curves/meltCurve_D6RHI9_RNASET2.pdf", "Melting_Curves/meltCurve_D6RHI9_RNASET2.pdf")</f>
        <v>Melting_Curves/meltCurve_D6RHI9_RNASET2.pdf</v>
      </c>
    </row>
    <row r="342" spans="1:28" x14ac:dyDescent="0.25">
      <c r="A342" t="s">
        <v>346</v>
      </c>
      <c r="B342">
        <v>0.99299721793515405</v>
      </c>
      <c r="C342">
        <v>1.15040087043101</v>
      </c>
      <c r="D342">
        <v>1.04667392693984</v>
      </c>
      <c r="E342">
        <v>0.992257966583453</v>
      </c>
      <c r="F342">
        <v>0.77046637400068296</v>
      </c>
      <c r="G342">
        <v>0.65190333274296297</v>
      </c>
      <c r="H342">
        <v>1.5306310630362601</v>
      </c>
      <c r="I342">
        <v>2.1648221522360598</v>
      </c>
      <c r="J342">
        <v>2.0327411452741599</v>
      </c>
      <c r="K342">
        <v>1.3627418365842201</v>
      </c>
      <c r="L342">
        <v>13954.1029063109</v>
      </c>
      <c r="M342">
        <v>250</v>
      </c>
      <c r="O342">
        <v>55.812839753541397</v>
      </c>
      <c r="P342">
        <v>0.55990700669124704</v>
      </c>
      <c r="Q342">
        <v>1.5</v>
      </c>
      <c r="R342">
        <v>0.59092485545372697</v>
      </c>
      <c r="S342" t="s">
        <v>5893</v>
      </c>
      <c r="T342" t="s">
        <v>11100</v>
      </c>
      <c r="U342" t="s">
        <v>11100</v>
      </c>
      <c r="V342" t="s">
        <v>11100</v>
      </c>
      <c r="W342" t="s">
        <v>11439</v>
      </c>
      <c r="X342">
        <v>3</v>
      </c>
      <c r="Y342" t="s">
        <v>16933</v>
      </c>
      <c r="Z342" t="s">
        <v>22347</v>
      </c>
      <c r="AA342">
        <v>1.1863441611124199</v>
      </c>
      <c r="AB342" t="str">
        <f>HYPERLINK("Melting_Curves/meltCurve_D6RIE3_COX7A2.pdf", "Melting_Curves/meltCurve_D6RIE3_COX7A2.pdf")</f>
        <v>Melting_Curves/meltCurve_D6RIE3_COX7A2.pdf</v>
      </c>
    </row>
    <row r="343" spans="1:28" x14ac:dyDescent="0.25">
      <c r="A343" t="s">
        <v>347</v>
      </c>
      <c r="B343">
        <v>0.99299721793515405</v>
      </c>
      <c r="C343">
        <v>0.95414205773048799</v>
      </c>
      <c r="D343">
        <v>0.901242905609967</v>
      </c>
      <c r="E343">
        <v>0.84058441255873095</v>
      </c>
      <c r="F343">
        <v>0.75930425330067397</v>
      </c>
      <c r="G343">
        <v>0.54537839519740505</v>
      </c>
      <c r="H343">
        <v>0.54928025352390297</v>
      </c>
      <c r="I343">
        <v>0.57511012152774499</v>
      </c>
      <c r="J343">
        <v>0.72652174815025095</v>
      </c>
      <c r="K343">
        <v>0.49368997918819202</v>
      </c>
      <c r="L343">
        <v>748.14003799088096</v>
      </c>
      <c r="M343">
        <v>15.679141420112201</v>
      </c>
      <c r="O343">
        <v>46.959660055632</v>
      </c>
      <c r="P343">
        <v>-3.6312067376009602E-2</v>
      </c>
      <c r="Q343">
        <v>0.56501252414980396</v>
      </c>
      <c r="R343">
        <v>0.85844977750228402</v>
      </c>
      <c r="S343" t="s">
        <v>5894</v>
      </c>
      <c r="T343" t="s">
        <v>11100</v>
      </c>
      <c r="U343" t="s">
        <v>11100</v>
      </c>
      <c r="V343" t="s">
        <v>11100</v>
      </c>
      <c r="W343" t="s">
        <v>11440</v>
      </c>
      <c r="X343">
        <v>1</v>
      </c>
      <c r="Y343" t="s">
        <v>16934</v>
      </c>
      <c r="Z343" t="s">
        <v>22348</v>
      </c>
      <c r="AA343">
        <v>0.72931295684525277</v>
      </c>
      <c r="AB343" t="str">
        <f>HYPERLINK("Melting_Curves/meltCurve_D6RJG8_RFESD.pdf", "Melting_Curves/meltCurve_D6RJG8_RFESD.pdf")</f>
        <v>Melting_Curves/meltCurve_D6RJG8_RFESD.pdf</v>
      </c>
    </row>
    <row r="344" spans="1:28" x14ac:dyDescent="0.25">
      <c r="A344" t="s">
        <v>348</v>
      </c>
      <c r="B344">
        <v>0.99299721793515405</v>
      </c>
      <c r="C344">
        <v>0.91793559914530798</v>
      </c>
      <c r="D344">
        <v>0.97301246541179998</v>
      </c>
      <c r="E344">
        <v>0.78005533828007201</v>
      </c>
      <c r="F344">
        <v>0.61896075395468098</v>
      </c>
      <c r="G344">
        <v>0.44858318518821499</v>
      </c>
      <c r="H344">
        <v>0.30873391748173601</v>
      </c>
      <c r="I344">
        <v>0.237440646637569</v>
      </c>
      <c r="J344">
        <v>0.28423235391120399</v>
      </c>
      <c r="K344">
        <v>0.212732161948579</v>
      </c>
      <c r="L344">
        <v>686.71303343638203</v>
      </c>
      <c r="M344">
        <v>13.625895129993401</v>
      </c>
      <c r="N344">
        <v>52.334576663080597</v>
      </c>
      <c r="O344">
        <v>49.349312100811503</v>
      </c>
      <c r="P344">
        <v>-5.5365803198646799E-2</v>
      </c>
      <c r="Q344">
        <v>0.198038014106384</v>
      </c>
      <c r="R344">
        <v>0.98956211813568495</v>
      </c>
      <c r="S344" t="s">
        <v>5895</v>
      </c>
      <c r="T344" t="s">
        <v>11100</v>
      </c>
      <c r="U344" t="s">
        <v>11100</v>
      </c>
      <c r="V344" t="s">
        <v>11100</v>
      </c>
      <c r="W344" t="s">
        <v>11441</v>
      </c>
      <c r="X344">
        <v>1</v>
      </c>
      <c r="Y344" t="s">
        <v>16935</v>
      </c>
      <c r="Z344" t="s">
        <v>22349</v>
      </c>
      <c r="AA344">
        <v>0.57497831093170459</v>
      </c>
      <c r="AB344" t="str">
        <f>HYPERLINK("Melting_Curves/meltCurve_D6W592_HNRPLL.pdf", "Melting_Curves/meltCurve_D6W592_HNRPLL.pdf")</f>
        <v>Melting_Curves/meltCurve_D6W592_HNRPLL.pdf</v>
      </c>
    </row>
    <row r="345" spans="1:28" x14ac:dyDescent="0.25">
      <c r="A345" t="s">
        <v>349</v>
      </c>
      <c r="B345">
        <v>0.99299721793515405</v>
      </c>
      <c r="C345">
        <v>0.91518975507406697</v>
      </c>
      <c r="D345">
        <v>0.83425575838397303</v>
      </c>
      <c r="E345">
        <v>0.73669870835912499</v>
      </c>
      <c r="F345">
        <v>0.70253031352874196</v>
      </c>
      <c r="G345">
        <v>0.68373303033978305</v>
      </c>
      <c r="H345">
        <v>0.97277935424734496</v>
      </c>
      <c r="I345">
        <v>1.0277988055831</v>
      </c>
      <c r="J345">
        <v>0.80864182938923401</v>
      </c>
      <c r="K345">
        <v>0.496299127282326</v>
      </c>
      <c r="L345">
        <v>1234.6581220738999</v>
      </c>
      <c r="M345">
        <v>30.310019258922999</v>
      </c>
      <c r="O345">
        <v>40.558245949548798</v>
      </c>
      <c r="P345">
        <v>-4.1689655001628599E-2</v>
      </c>
      <c r="Q345">
        <v>0.77685945265782597</v>
      </c>
      <c r="R345">
        <v>0.20801704750639699</v>
      </c>
      <c r="S345" t="s">
        <v>5896</v>
      </c>
      <c r="T345" t="s">
        <v>11100</v>
      </c>
      <c r="U345" t="s">
        <v>11100</v>
      </c>
      <c r="V345" t="s">
        <v>11100</v>
      </c>
      <c r="W345" t="s">
        <v>11442</v>
      </c>
      <c r="X345">
        <v>7</v>
      </c>
      <c r="Y345" t="s">
        <v>16936</v>
      </c>
      <c r="Z345" t="s">
        <v>22350</v>
      </c>
      <c r="AA345">
        <v>0.80609425948362234</v>
      </c>
      <c r="AB345" t="str">
        <f>HYPERLINK("Melting_Curves/meltCurve_E2QRB3_PYCR1.pdf", "Melting_Curves/meltCurve_E2QRB3_PYCR1.pdf")</f>
        <v>Melting_Curves/meltCurve_E2QRB3_PYCR1.pdf</v>
      </c>
    </row>
    <row r="346" spans="1:28" x14ac:dyDescent="0.25">
      <c r="A346" t="s">
        <v>350</v>
      </c>
      <c r="B346">
        <v>0.99299721793515405</v>
      </c>
      <c r="C346">
        <v>1.0480134062539701</v>
      </c>
      <c r="D346">
        <v>1.0334571657517599</v>
      </c>
      <c r="E346">
        <v>0.91528651104187198</v>
      </c>
      <c r="F346">
        <v>0.79101384974547095</v>
      </c>
      <c r="G346">
        <v>0.54082963889292401</v>
      </c>
      <c r="H346">
        <v>0.35541258228578398</v>
      </c>
      <c r="I346">
        <v>0.249661477353459</v>
      </c>
      <c r="J346">
        <v>0.190420588968433</v>
      </c>
      <c r="K346">
        <v>0.15373980181138699</v>
      </c>
      <c r="L346">
        <v>885.83819464834596</v>
      </c>
      <c r="M346">
        <v>16.5394692437165</v>
      </c>
      <c r="N346">
        <v>54.603301441687897</v>
      </c>
      <c r="O346">
        <v>52.794453265866402</v>
      </c>
      <c r="P346">
        <v>-6.7705851436564699E-2</v>
      </c>
      <c r="Q346">
        <v>0.135583549643079</v>
      </c>
      <c r="R346">
        <v>0.99531113158528395</v>
      </c>
      <c r="S346" t="s">
        <v>5897</v>
      </c>
      <c r="T346" t="s">
        <v>11100</v>
      </c>
      <c r="U346" t="s">
        <v>11100</v>
      </c>
      <c r="V346" t="s">
        <v>11100</v>
      </c>
      <c r="W346" t="s">
        <v>11443</v>
      </c>
      <c r="X346">
        <v>7</v>
      </c>
      <c r="Y346" t="s">
        <v>16937</v>
      </c>
      <c r="Z346" t="s">
        <v>22351</v>
      </c>
      <c r="AA346">
        <v>0.62611072776032684</v>
      </c>
      <c r="AB346" t="str">
        <f>HYPERLINK("Melting_Curves/meltCurve_E2QRD5_C15orf38_AP3S2.pdf", "Melting_Curves/meltCurve_E2QRD5_C15orf38_AP3S2.pdf")</f>
        <v>Melting_Curves/meltCurve_E2QRD5_C15orf38_AP3S2.pdf</v>
      </c>
    </row>
    <row r="347" spans="1:28" x14ac:dyDescent="0.25">
      <c r="A347" t="s">
        <v>351</v>
      </c>
      <c r="B347">
        <v>0.99299721793515405</v>
      </c>
      <c r="C347">
        <v>0.95243999717157801</v>
      </c>
      <c r="D347">
        <v>1.03867640739128</v>
      </c>
      <c r="E347">
        <v>0.86595782966119395</v>
      </c>
      <c r="F347">
        <v>0.91821704185575903</v>
      </c>
      <c r="G347">
        <v>0.62759090872008605</v>
      </c>
      <c r="H347">
        <v>0.67523838386711799</v>
      </c>
      <c r="I347">
        <v>0.86197096647210003</v>
      </c>
      <c r="J347">
        <v>0.94301138481587499</v>
      </c>
      <c r="K347">
        <v>0.86635582470241701</v>
      </c>
      <c r="L347">
        <v>4319.2436293011997</v>
      </c>
      <c r="M347">
        <v>93.648421360142507</v>
      </c>
      <c r="O347">
        <v>46.100885319121502</v>
      </c>
      <c r="P347">
        <v>-9.3786689701456094E-2</v>
      </c>
      <c r="Q347">
        <v>0.81532420712713505</v>
      </c>
      <c r="R347">
        <v>0.41578388165615598</v>
      </c>
      <c r="S347" t="s">
        <v>5898</v>
      </c>
      <c r="T347" t="s">
        <v>11100</v>
      </c>
      <c r="U347" t="s">
        <v>11100</v>
      </c>
      <c r="V347" t="s">
        <v>11100</v>
      </c>
      <c r="W347" t="s">
        <v>11444</v>
      </c>
      <c r="X347">
        <v>8</v>
      </c>
      <c r="Y347" t="s">
        <v>16938</v>
      </c>
      <c r="Z347" t="s">
        <v>22352</v>
      </c>
      <c r="AA347">
        <v>0.8715840517055341</v>
      </c>
      <c r="AB347" t="str">
        <f>HYPERLINK("Melting_Curves/meltCurve_E2QRF9_GMNN.pdf", "Melting_Curves/meltCurve_E2QRF9_GMNN.pdf")</f>
        <v>Melting_Curves/meltCurve_E2QRF9_GMNN.pdf</v>
      </c>
    </row>
    <row r="348" spans="1:28" x14ac:dyDescent="0.25">
      <c r="A348" t="s">
        <v>352</v>
      </c>
      <c r="B348">
        <v>0.99299721793515405</v>
      </c>
      <c r="C348">
        <v>0.97078012028738903</v>
      </c>
      <c r="D348">
        <v>0.93933837794755803</v>
      </c>
      <c r="E348">
        <v>0.82237914371468601</v>
      </c>
      <c r="F348">
        <v>0.73442803307747695</v>
      </c>
      <c r="G348">
        <v>0.42246814266635901</v>
      </c>
      <c r="H348">
        <v>0.24594090386567399</v>
      </c>
      <c r="I348">
        <v>0.21276371422122001</v>
      </c>
      <c r="J348">
        <v>0.19136570388631299</v>
      </c>
      <c r="K348">
        <v>0.15571592619387301</v>
      </c>
      <c r="L348">
        <v>807.86778751211102</v>
      </c>
      <c r="M348">
        <v>15.6066148836486</v>
      </c>
      <c r="N348">
        <v>52.786236120867599</v>
      </c>
      <c r="O348">
        <v>50.936897260977297</v>
      </c>
      <c r="P348">
        <v>-6.6617682113198906E-2</v>
      </c>
      <c r="Q348">
        <v>0.130367572729466</v>
      </c>
      <c r="R348">
        <v>0.99128576889104703</v>
      </c>
      <c r="S348" t="s">
        <v>5899</v>
      </c>
      <c r="T348" t="s">
        <v>11100</v>
      </c>
      <c r="U348" t="s">
        <v>11100</v>
      </c>
      <c r="V348" t="s">
        <v>11100</v>
      </c>
      <c r="W348" t="s">
        <v>11445</v>
      </c>
      <c r="X348">
        <v>29</v>
      </c>
      <c r="Y348" t="s">
        <v>16939</v>
      </c>
      <c r="Z348" t="s">
        <v>22353</v>
      </c>
      <c r="AA348">
        <v>0.57442394060848123</v>
      </c>
      <c r="AB348" t="str">
        <f>HYPERLINK("Melting_Curves/meltCurve_E5KLJ5_OPA1.pdf", "Melting_Curves/meltCurve_E5KLJ5_OPA1.pdf")</f>
        <v>Melting_Curves/meltCurve_E5KLJ5_OPA1.pdf</v>
      </c>
    </row>
    <row r="349" spans="1:28" x14ac:dyDescent="0.25">
      <c r="A349" t="s">
        <v>353</v>
      </c>
      <c r="B349">
        <v>0.99299721793515405</v>
      </c>
      <c r="C349">
        <v>0.872335365974231</v>
      </c>
      <c r="D349">
        <v>0.96793046966726803</v>
      </c>
      <c r="E349">
        <v>0.71790792060229802</v>
      </c>
      <c r="F349">
        <v>0.48456501794388201</v>
      </c>
      <c r="G349">
        <v>0.41438658431262698</v>
      </c>
      <c r="H349">
        <v>0.24966132621731901</v>
      </c>
      <c r="I349">
        <v>0.27428712029254099</v>
      </c>
      <c r="J349">
        <v>0.25022071565855197</v>
      </c>
      <c r="K349">
        <v>0.24496240433239899</v>
      </c>
      <c r="L349">
        <v>749.46065468036795</v>
      </c>
      <c r="M349">
        <v>15.4933573169548</v>
      </c>
      <c r="N349">
        <v>50.4053972587201</v>
      </c>
      <c r="O349">
        <v>47.5886381000076</v>
      </c>
      <c r="P349">
        <v>-6.24911809266636E-2</v>
      </c>
      <c r="Q349">
        <v>0.23228861600473599</v>
      </c>
      <c r="R349">
        <v>0.97771309745629897</v>
      </c>
      <c r="S349" t="s">
        <v>5900</v>
      </c>
      <c r="T349" t="s">
        <v>11100</v>
      </c>
      <c r="U349" t="s">
        <v>11100</v>
      </c>
      <c r="V349" t="s">
        <v>11100</v>
      </c>
      <c r="W349" t="s">
        <v>11446</v>
      </c>
      <c r="X349">
        <v>2</v>
      </c>
      <c r="Y349" t="s">
        <v>16940</v>
      </c>
      <c r="Z349" t="s">
        <v>22354</v>
      </c>
      <c r="AA349">
        <v>0.53922099380676303</v>
      </c>
      <c r="AB349" t="str">
        <f>HYPERLINK("Melting_Curves/meltCurve_E5RFJ1_NSMCE2.pdf", "Melting_Curves/meltCurve_E5RFJ1_NSMCE2.pdf")</f>
        <v>Melting_Curves/meltCurve_E5RFJ1_NSMCE2.pdf</v>
      </c>
    </row>
    <row r="350" spans="1:28" x14ac:dyDescent="0.25">
      <c r="A350" t="s">
        <v>354</v>
      </c>
      <c r="B350">
        <v>0.99299721793515405</v>
      </c>
      <c r="C350">
        <v>0.97216738651987</v>
      </c>
      <c r="D350">
        <v>0.89923133199104599</v>
      </c>
      <c r="E350">
        <v>0.81884610971779104</v>
      </c>
      <c r="F350">
        <v>0.73711379397452204</v>
      </c>
      <c r="G350">
        <v>0.51064067472729002</v>
      </c>
      <c r="H350">
        <v>0.45610160834763802</v>
      </c>
      <c r="I350">
        <v>0.30406744786263201</v>
      </c>
      <c r="J350">
        <v>0.22256003773244701</v>
      </c>
      <c r="K350">
        <v>0.11351553304088</v>
      </c>
      <c r="L350">
        <v>497.243028808357</v>
      </c>
      <c r="M350">
        <v>9.03513756346136</v>
      </c>
      <c r="N350">
        <v>55.034361689889899</v>
      </c>
      <c r="O350">
        <v>52.539108160974997</v>
      </c>
      <c r="P350">
        <v>-4.3023206286278898E-2</v>
      </c>
      <c r="Q350">
        <v>0</v>
      </c>
      <c r="R350">
        <v>0.99041507424471398</v>
      </c>
      <c r="S350" t="s">
        <v>5901</v>
      </c>
      <c r="T350" t="s">
        <v>11100</v>
      </c>
      <c r="U350" t="s">
        <v>11100</v>
      </c>
      <c r="V350" t="s">
        <v>11100</v>
      </c>
      <c r="W350" t="s">
        <v>11447</v>
      </c>
      <c r="X350">
        <v>3</v>
      </c>
      <c r="Y350" t="s">
        <v>16941</v>
      </c>
      <c r="Z350" t="s">
        <v>22355</v>
      </c>
      <c r="AA350">
        <v>0.61102930340429196</v>
      </c>
      <c r="AB350" t="str">
        <f>HYPERLINK("Melting_Curves/meltCurve_E5RFQ1_EBF1.pdf", "Melting_Curves/meltCurve_E5RFQ1_EBF1.pdf")</f>
        <v>Melting_Curves/meltCurve_E5RFQ1_EBF1.pdf</v>
      </c>
    </row>
    <row r="351" spans="1:28" x14ac:dyDescent="0.25">
      <c r="A351" t="s">
        <v>355</v>
      </c>
      <c r="B351">
        <v>0.99299721793515405</v>
      </c>
      <c r="C351">
        <v>0.92048494901197497</v>
      </c>
      <c r="D351">
        <v>0.93148721637980003</v>
      </c>
      <c r="E351">
        <v>0.95582243789143895</v>
      </c>
      <c r="F351">
        <v>0.82206966572974904</v>
      </c>
      <c r="G351">
        <v>0.60442705767207505</v>
      </c>
      <c r="H351">
        <v>0.48242187340092901</v>
      </c>
      <c r="I351">
        <v>0.423297651139941</v>
      </c>
      <c r="J351">
        <v>0.39445498491984399</v>
      </c>
      <c r="K351">
        <v>0.209209866776707</v>
      </c>
      <c r="L351">
        <v>560.047644128814</v>
      </c>
      <c r="M351">
        <v>9.99463967945176</v>
      </c>
      <c r="N351">
        <v>57.746044352964198</v>
      </c>
      <c r="O351">
        <v>53.930110116392498</v>
      </c>
      <c r="P351">
        <v>-4.0412669395644599E-2</v>
      </c>
      <c r="Q351">
        <v>0.12817347461374501</v>
      </c>
      <c r="R351">
        <v>0.96937490878391397</v>
      </c>
      <c r="S351" t="s">
        <v>5902</v>
      </c>
      <c r="T351" t="s">
        <v>11100</v>
      </c>
      <c r="U351" t="s">
        <v>11100</v>
      </c>
      <c r="V351" t="s">
        <v>11100</v>
      </c>
      <c r="W351" t="s">
        <v>11448</v>
      </c>
      <c r="X351">
        <v>11</v>
      </c>
      <c r="Y351" t="s">
        <v>16942</v>
      </c>
      <c r="Z351" t="s">
        <v>22356</v>
      </c>
      <c r="AA351">
        <v>0.68640956192524416</v>
      </c>
      <c r="AB351" t="str">
        <f>HYPERLINK("Melting_Curves/meltCurve_E5RG13_IMPA1.pdf", "Melting_Curves/meltCurve_E5RG13_IMPA1.pdf")</f>
        <v>Melting_Curves/meltCurve_E5RG13_IMPA1.pdf</v>
      </c>
    </row>
    <row r="352" spans="1:28" x14ac:dyDescent="0.25">
      <c r="A352" t="s">
        <v>356</v>
      </c>
      <c r="B352">
        <v>0.99299721793515405</v>
      </c>
      <c r="C352">
        <v>0.92759737263629904</v>
      </c>
      <c r="D352">
        <v>0.92491697146900698</v>
      </c>
      <c r="E352">
        <v>0.82837339373226804</v>
      </c>
      <c r="F352">
        <v>0.75751815595524696</v>
      </c>
      <c r="G352">
        <v>0.49757203237436298</v>
      </c>
      <c r="H352">
        <v>0.474878917853436</v>
      </c>
      <c r="I352">
        <v>0.53024033160196604</v>
      </c>
      <c r="J352">
        <v>0.51961851146015303</v>
      </c>
      <c r="K352">
        <v>0.252266808824472</v>
      </c>
      <c r="L352">
        <v>474.47285666620002</v>
      </c>
      <c r="M352">
        <v>9.1235704745877406</v>
      </c>
      <c r="N352">
        <v>57.741691716151998</v>
      </c>
      <c r="O352">
        <v>49.689447464066902</v>
      </c>
      <c r="P352">
        <v>-3.22454961646126E-2</v>
      </c>
      <c r="Q352">
        <v>0.29801314879348401</v>
      </c>
      <c r="R352">
        <v>0.90670526533587503</v>
      </c>
      <c r="S352" t="s">
        <v>5903</v>
      </c>
      <c r="T352" t="s">
        <v>11100</v>
      </c>
      <c r="U352" t="s">
        <v>11100</v>
      </c>
      <c r="V352" t="s">
        <v>11100</v>
      </c>
      <c r="W352" t="s">
        <v>11449</v>
      </c>
      <c r="X352">
        <v>11</v>
      </c>
      <c r="Y352" t="s">
        <v>16943</v>
      </c>
      <c r="Z352" t="s">
        <v>22357</v>
      </c>
      <c r="AA352">
        <v>0.6685412188337515</v>
      </c>
      <c r="AB352" t="str">
        <f>HYPERLINK("Melting_Curves/meltCurve_E5RG17_TATDN1.pdf", "Melting_Curves/meltCurve_E5RG17_TATDN1.pdf")</f>
        <v>Melting_Curves/meltCurve_E5RG17_TATDN1.pdf</v>
      </c>
    </row>
    <row r="353" spans="1:28" x14ac:dyDescent="0.25">
      <c r="A353" t="s">
        <v>357</v>
      </c>
      <c r="B353">
        <v>0.99299721793515405</v>
      </c>
      <c r="C353">
        <v>1.02718214173001</v>
      </c>
      <c r="D353">
        <v>0.81849162281828902</v>
      </c>
      <c r="E353">
        <v>0.85994124611290301</v>
      </c>
      <c r="F353">
        <v>0.60634990589010496</v>
      </c>
      <c r="G353">
        <v>0.16156658501038201</v>
      </c>
      <c r="H353">
        <v>0</v>
      </c>
      <c r="I353">
        <v>0.20057402849078501</v>
      </c>
      <c r="J353">
        <v>0.26900753073228501</v>
      </c>
      <c r="K353">
        <v>0</v>
      </c>
      <c r="L353">
        <v>1524.4721430627001</v>
      </c>
      <c r="M353">
        <v>30.362661879058098</v>
      </c>
      <c r="N353">
        <v>50.6050808843734</v>
      </c>
      <c r="O353">
        <v>49.9924740854335</v>
      </c>
      <c r="P353">
        <v>-0.13577033965379701</v>
      </c>
      <c r="Q353">
        <v>0.105815546800057</v>
      </c>
      <c r="R353">
        <v>0.93279513288926696</v>
      </c>
      <c r="S353" t="s">
        <v>5904</v>
      </c>
      <c r="T353" t="s">
        <v>11100</v>
      </c>
      <c r="U353" t="s">
        <v>11100</v>
      </c>
      <c r="V353" t="s">
        <v>11100</v>
      </c>
      <c r="W353" t="s">
        <v>11450</v>
      </c>
      <c r="X353">
        <v>1</v>
      </c>
      <c r="Y353" t="s">
        <v>16944</v>
      </c>
      <c r="Z353" t="s">
        <v>22358</v>
      </c>
      <c r="AA353">
        <v>0.50489436097882101</v>
      </c>
      <c r="AB353" t="str">
        <f>HYPERLINK("Melting_Curves/meltCurve_E5RG64_SLC36A1.pdf", "Melting_Curves/meltCurve_E5RG64_SLC36A1.pdf")</f>
        <v>Melting_Curves/meltCurve_E5RG64_SLC36A1.pdf</v>
      </c>
    </row>
    <row r="354" spans="1:28" x14ac:dyDescent="0.25">
      <c r="A354" t="s">
        <v>358</v>
      </c>
      <c r="B354">
        <v>0.99299721793515405</v>
      </c>
      <c r="C354">
        <v>0.80920624396805496</v>
      </c>
      <c r="D354">
        <v>1.0152977389706599</v>
      </c>
      <c r="E354">
        <v>0.69703388525860399</v>
      </c>
      <c r="F354">
        <v>0.734732069934384</v>
      </c>
      <c r="G354">
        <v>0.50864706851624797</v>
      </c>
      <c r="H354">
        <v>0.52075915270249695</v>
      </c>
      <c r="I354">
        <v>0.7803643717823</v>
      </c>
      <c r="J354">
        <v>0.85638666984274903</v>
      </c>
      <c r="K354">
        <v>1.07939913499393</v>
      </c>
      <c r="L354">
        <v>11159.385381988501</v>
      </c>
      <c r="M354">
        <v>250</v>
      </c>
      <c r="O354">
        <v>44.634685026820101</v>
      </c>
      <c r="P354">
        <v>-0.36460321345932001</v>
      </c>
      <c r="Q354">
        <v>0.73961680685662501</v>
      </c>
      <c r="R354">
        <v>0.211403417442346</v>
      </c>
      <c r="S354" t="s">
        <v>5905</v>
      </c>
      <c r="T354" t="s">
        <v>11100</v>
      </c>
      <c r="U354" t="s">
        <v>11100</v>
      </c>
      <c r="V354" t="s">
        <v>11100</v>
      </c>
      <c r="W354" t="s">
        <v>11303</v>
      </c>
      <c r="X354">
        <v>9</v>
      </c>
      <c r="Y354" t="s">
        <v>16945</v>
      </c>
      <c r="Z354" t="s">
        <v>22359</v>
      </c>
      <c r="AA354">
        <v>0.80592678649865224</v>
      </c>
      <c r="AB354" t="str">
        <f>HYPERLINK("Melting_Curves/meltCurve_E5RGX5_STMN2.pdf", "Melting_Curves/meltCurve_E5RGX5_STMN2.pdf")</f>
        <v>Melting_Curves/meltCurve_E5RGX5_STMN2.pdf</v>
      </c>
    </row>
    <row r="355" spans="1:28" x14ac:dyDescent="0.25">
      <c r="A355" t="s">
        <v>359</v>
      </c>
      <c r="B355">
        <v>0.99299721793515405</v>
      </c>
      <c r="C355">
        <v>0.982678861426315</v>
      </c>
      <c r="D355">
        <v>1.0660622782796301</v>
      </c>
      <c r="E355">
        <v>0.82932508204808197</v>
      </c>
      <c r="F355">
        <v>0.83136108900514005</v>
      </c>
      <c r="G355">
        <v>0.63483668160142104</v>
      </c>
      <c r="H355">
        <v>0.41878170460095898</v>
      </c>
      <c r="I355">
        <v>0.192917681637191</v>
      </c>
      <c r="J355">
        <v>0.165457481094512</v>
      </c>
      <c r="K355">
        <v>0.13168913114721001</v>
      </c>
      <c r="L355">
        <v>748.78104005530599</v>
      </c>
      <c r="M355">
        <v>13.4920959799373</v>
      </c>
      <c r="N355">
        <v>55.686009050839502</v>
      </c>
      <c r="O355">
        <v>54.321127684106301</v>
      </c>
      <c r="P355">
        <v>-6.0719124642553898E-2</v>
      </c>
      <c r="Q355">
        <v>2.22935795694509E-2</v>
      </c>
      <c r="R355">
        <v>0.98194188505461799</v>
      </c>
      <c r="S355" t="s">
        <v>5906</v>
      </c>
      <c r="T355" t="s">
        <v>11100</v>
      </c>
      <c r="U355" t="s">
        <v>11100</v>
      </c>
      <c r="V355" t="s">
        <v>11100</v>
      </c>
      <c r="W355" t="s">
        <v>11451</v>
      </c>
      <c r="X355">
        <v>6</v>
      </c>
      <c r="Y355" t="s">
        <v>16946</v>
      </c>
      <c r="Z355" t="s">
        <v>22360</v>
      </c>
      <c r="AA355">
        <v>0.63768008968252443</v>
      </c>
      <c r="AB355" t="str">
        <f>HYPERLINK("Melting_Curves/meltCurve_E5RHG8_TCEB1.pdf", "Melting_Curves/meltCurve_E5RHG8_TCEB1.pdf")</f>
        <v>Melting_Curves/meltCurve_E5RHG8_TCEB1.pdf</v>
      </c>
    </row>
    <row r="356" spans="1:28" x14ac:dyDescent="0.25">
      <c r="A356" t="s">
        <v>360</v>
      </c>
      <c r="B356">
        <v>0.99299721793515405</v>
      </c>
      <c r="C356">
        <v>0.80741266738844097</v>
      </c>
      <c r="D356">
        <v>0.79594915588112403</v>
      </c>
      <c r="E356">
        <v>0.79317978684407198</v>
      </c>
      <c r="F356">
        <v>0.77114100217456405</v>
      </c>
      <c r="G356">
        <v>0.41847668561710599</v>
      </c>
      <c r="H356">
        <v>0.62073219802451396</v>
      </c>
      <c r="I356">
        <v>0.72886749926168504</v>
      </c>
      <c r="J356">
        <v>0.78775038126944197</v>
      </c>
      <c r="K356">
        <v>0.77123711516420901</v>
      </c>
      <c r="L356">
        <v>648.82365290383996</v>
      </c>
      <c r="M356">
        <v>15.963360623967301</v>
      </c>
      <c r="O356">
        <v>40.022767359042703</v>
      </c>
      <c r="P356">
        <v>-3.10934077470892E-2</v>
      </c>
      <c r="Q356">
        <v>0.68819956087729806</v>
      </c>
      <c r="R356">
        <v>0.414280470663765</v>
      </c>
      <c r="S356" t="s">
        <v>5907</v>
      </c>
      <c r="T356" t="s">
        <v>11100</v>
      </c>
      <c r="U356" t="s">
        <v>11100</v>
      </c>
      <c r="V356" t="s">
        <v>11100</v>
      </c>
      <c r="W356" t="s">
        <v>11452</v>
      </c>
      <c r="X356">
        <v>8</v>
      </c>
      <c r="Y356" t="s">
        <v>16947</v>
      </c>
      <c r="Z356" t="s">
        <v>22361</v>
      </c>
      <c r="AA356">
        <v>0.73541060978801409</v>
      </c>
      <c r="AB356" t="str">
        <f>HYPERLINK("Melting_Curves/meltCurve_E5RHG9_UQCRB.pdf", "Melting_Curves/meltCurve_E5RHG9_UQCRB.pdf")</f>
        <v>Melting_Curves/meltCurve_E5RHG9_UQCRB.pdf</v>
      </c>
    </row>
    <row r="357" spans="1:28" x14ac:dyDescent="0.25">
      <c r="A357" t="s">
        <v>361</v>
      </c>
      <c r="B357">
        <v>0.99299721793515405</v>
      </c>
      <c r="C357">
        <v>0.82164606965305897</v>
      </c>
      <c r="D357">
        <v>0.76587412513428499</v>
      </c>
      <c r="E357">
        <v>0.60757710790056896</v>
      </c>
      <c r="F357">
        <v>0.32305723510916301</v>
      </c>
      <c r="G357">
        <v>0.14717919497892401</v>
      </c>
      <c r="H357">
        <v>0.13032897918580699</v>
      </c>
      <c r="I357">
        <v>0</v>
      </c>
      <c r="J357">
        <v>5.9778494781318497E-2</v>
      </c>
      <c r="K357">
        <v>0</v>
      </c>
      <c r="L357">
        <v>581.96069295177597</v>
      </c>
      <c r="M357">
        <v>12.305138720844001</v>
      </c>
      <c r="N357">
        <v>47.294118437838797</v>
      </c>
      <c r="O357">
        <v>46.0971017595528</v>
      </c>
      <c r="P357">
        <v>-6.6749478050651498E-2</v>
      </c>
      <c r="Q357">
        <v>0</v>
      </c>
      <c r="R357">
        <v>0.98546224851068498</v>
      </c>
      <c r="S357" t="s">
        <v>5908</v>
      </c>
      <c r="T357" t="s">
        <v>11100</v>
      </c>
      <c r="U357" t="s">
        <v>11100</v>
      </c>
      <c r="V357" t="s">
        <v>11100</v>
      </c>
      <c r="W357" t="s">
        <v>11453</v>
      </c>
      <c r="X357">
        <v>1</v>
      </c>
      <c r="Y357" t="s">
        <v>16948</v>
      </c>
      <c r="Z357" t="s">
        <v>22362</v>
      </c>
      <c r="AA357">
        <v>0.37428735310799038</v>
      </c>
      <c r="AB357" t="str">
        <f>HYPERLINK("Melting_Curves/meltCurve_E5RHK6_HEY1.pdf", "Melting_Curves/meltCurve_E5RHK6_HEY1.pdf")</f>
        <v>Melting_Curves/meltCurve_E5RHK6_HEY1.pdf</v>
      </c>
    </row>
    <row r="358" spans="1:28" x14ac:dyDescent="0.25">
      <c r="A358" t="s">
        <v>362</v>
      </c>
      <c r="B358">
        <v>0.99299721793515405</v>
      </c>
      <c r="C358">
        <v>0.95037613757240902</v>
      </c>
      <c r="D358">
        <v>0.92334976752425102</v>
      </c>
      <c r="E358">
        <v>0.95657253040655199</v>
      </c>
      <c r="F358">
        <v>0.80591084072533503</v>
      </c>
      <c r="G358">
        <v>0.59574809859636602</v>
      </c>
      <c r="H358">
        <v>0.71554967162605099</v>
      </c>
      <c r="I358">
        <v>0.66770519911869497</v>
      </c>
      <c r="J358">
        <v>0.78773963462202301</v>
      </c>
      <c r="K358">
        <v>0.46137619802045099</v>
      </c>
      <c r="L358">
        <v>12540.394165998099</v>
      </c>
      <c r="M358">
        <v>250</v>
      </c>
      <c r="O358">
        <v>50.158360782185099</v>
      </c>
      <c r="P358">
        <v>-0.44157169742038199</v>
      </c>
      <c r="Q358">
        <v>0.64562375867461796</v>
      </c>
      <c r="R358">
        <v>0.74070230508981205</v>
      </c>
      <c r="S358" t="s">
        <v>5909</v>
      </c>
      <c r="T358" t="s">
        <v>11100</v>
      </c>
      <c r="U358" t="s">
        <v>11100</v>
      </c>
      <c r="V358" t="s">
        <v>11100</v>
      </c>
      <c r="W358" t="s">
        <v>11454</v>
      </c>
      <c r="X358">
        <v>1</v>
      </c>
      <c r="Y358" t="s">
        <v>16949</v>
      </c>
      <c r="Z358" t="s">
        <v>22363</v>
      </c>
      <c r="AA358">
        <v>0.80112662433927739</v>
      </c>
      <c r="AB358" t="str">
        <f>HYPERLINK("Melting_Curves/meltCurve_E5RHT1_PSEN2.pdf", "Melting_Curves/meltCurve_E5RHT1_PSEN2.pdf")</f>
        <v>Melting_Curves/meltCurve_E5RHT1_PSEN2.pdf</v>
      </c>
    </row>
    <row r="359" spans="1:28" x14ac:dyDescent="0.25">
      <c r="A359" t="s">
        <v>363</v>
      </c>
      <c r="B359">
        <v>0.99299721793515405</v>
      </c>
      <c r="C359">
        <v>0.94477319388983005</v>
      </c>
      <c r="D359">
        <v>1.24052982234979</v>
      </c>
      <c r="E359">
        <v>0.96641564107044897</v>
      </c>
      <c r="F359">
        <v>0.69478020772506099</v>
      </c>
      <c r="G359">
        <v>0.65015497866060301</v>
      </c>
      <c r="H359">
        <v>0.252603531844175</v>
      </c>
      <c r="I359">
        <v>0.23587726475885201</v>
      </c>
      <c r="J359">
        <v>0.206142233611464</v>
      </c>
      <c r="K359">
        <v>0.212111220821292</v>
      </c>
      <c r="L359">
        <v>1042.69745257114</v>
      </c>
      <c r="M359">
        <v>19.6297646632053</v>
      </c>
      <c r="N359">
        <v>54.322549696098498</v>
      </c>
      <c r="O359">
        <v>52.576131205055802</v>
      </c>
      <c r="P359">
        <v>-7.68743817303916E-2</v>
      </c>
      <c r="Q359">
        <v>0.176431115575261</v>
      </c>
      <c r="R359">
        <v>0.93034776315530299</v>
      </c>
      <c r="S359" t="s">
        <v>5910</v>
      </c>
      <c r="T359" t="s">
        <v>11100</v>
      </c>
      <c r="U359" t="s">
        <v>11100</v>
      </c>
      <c r="V359" t="s">
        <v>11100</v>
      </c>
      <c r="W359" t="s">
        <v>11455</v>
      </c>
      <c r="X359">
        <v>5</v>
      </c>
      <c r="Y359" t="s">
        <v>16950</v>
      </c>
      <c r="Z359" t="s">
        <v>22364</v>
      </c>
      <c r="AA359">
        <v>0.62952240956489169</v>
      </c>
      <c r="AB359" t="str">
        <f>HYPERLINK("Melting_Curves/meltCurve_E5RIH5_TTI2.pdf", "Melting_Curves/meltCurve_E5RIH5_TTI2.pdf")</f>
        <v>Melting_Curves/meltCurve_E5RIH5_TTI2.pdf</v>
      </c>
    </row>
    <row r="360" spans="1:28" x14ac:dyDescent="0.25">
      <c r="A360" t="s">
        <v>364</v>
      </c>
      <c r="B360">
        <v>0.99299721793515405</v>
      </c>
      <c r="C360">
        <v>0.98686704615689902</v>
      </c>
      <c r="D360">
        <v>0.96946754355264997</v>
      </c>
      <c r="E360">
        <v>0.84024610965254298</v>
      </c>
      <c r="F360">
        <v>0.71826666132679495</v>
      </c>
      <c r="G360">
        <v>0.42626649189778298</v>
      </c>
      <c r="H360">
        <v>0.33877229843919099</v>
      </c>
      <c r="I360">
        <v>0.38945676634630699</v>
      </c>
      <c r="J360">
        <v>0.39163269924928201</v>
      </c>
      <c r="K360">
        <v>0.45981795453423702</v>
      </c>
      <c r="L360">
        <v>1170.0875612136899</v>
      </c>
      <c r="M360">
        <v>23.554108972705802</v>
      </c>
      <c r="N360">
        <v>52.950367982720898</v>
      </c>
      <c r="O360">
        <v>49.322665135439799</v>
      </c>
      <c r="P360">
        <v>-7.3609784984162194E-2</v>
      </c>
      <c r="Q360">
        <v>0.383450452568666</v>
      </c>
      <c r="R360">
        <v>0.97152716392767802</v>
      </c>
      <c r="S360" t="s">
        <v>5911</v>
      </c>
      <c r="T360" t="s">
        <v>11100</v>
      </c>
      <c r="U360" t="s">
        <v>11100</v>
      </c>
      <c r="V360" t="s">
        <v>11100</v>
      </c>
      <c r="W360" t="s">
        <v>11456</v>
      </c>
      <c r="X360">
        <v>2</v>
      </c>
      <c r="Y360" t="s">
        <v>16951</v>
      </c>
      <c r="Z360" t="s">
        <v>22365</v>
      </c>
      <c r="AA360">
        <v>0.64999298752840129</v>
      </c>
      <c r="AB360" t="str">
        <f>HYPERLINK("Melting_Curves/meltCurve_E5RIJ0_POLB.pdf", "Melting_Curves/meltCurve_E5RIJ0_POLB.pdf")</f>
        <v>Melting_Curves/meltCurve_E5RIJ0_POLB.pdf</v>
      </c>
    </row>
    <row r="361" spans="1:28" x14ac:dyDescent="0.25">
      <c r="A361" t="s">
        <v>365</v>
      </c>
      <c r="B361">
        <v>0.99299721793515405</v>
      </c>
      <c r="C361">
        <v>1.23624487428904</v>
      </c>
      <c r="D361">
        <v>1.34052478238632</v>
      </c>
      <c r="E361">
        <v>0.89892794861120195</v>
      </c>
      <c r="F361">
        <v>0.90012701631164505</v>
      </c>
      <c r="G361">
        <v>0.15932235864269001</v>
      </c>
      <c r="H361">
        <v>0.480640926637244</v>
      </c>
      <c r="I361">
        <v>0.25016540356838601</v>
      </c>
      <c r="J361">
        <v>0.43453531847362498</v>
      </c>
      <c r="K361">
        <v>0.22956829080144101</v>
      </c>
      <c r="L361">
        <v>12639.104970365999</v>
      </c>
      <c r="M361">
        <v>250</v>
      </c>
      <c r="N361">
        <v>50.753760598557598</v>
      </c>
      <c r="O361">
        <v>50.553184615376402</v>
      </c>
      <c r="P361">
        <v>-0.85201551592844005</v>
      </c>
      <c r="Q361">
        <v>0.31084643818629498</v>
      </c>
      <c r="R361">
        <v>0.84716185688678702</v>
      </c>
      <c r="S361" t="s">
        <v>5912</v>
      </c>
      <c r="T361" t="s">
        <v>11100</v>
      </c>
      <c r="U361" t="s">
        <v>11100</v>
      </c>
      <c r="V361" t="s">
        <v>11100</v>
      </c>
      <c r="W361" t="s">
        <v>11457</v>
      </c>
      <c r="X361">
        <v>1</v>
      </c>
      <c r="Y361" t="s">
        <v>16952</v>
      </c>
      <c r="Z361" t="s">
        <v>22366</v>
      </c>
      <c r="AA361">
        <v>0.62232275206426901</v>
      </c>
      <c r="AB361" t="str">
        <f>HYPERLINK("Melting_Curves/meltCurve_E5RIY0_TMEM55A.pdf", "Melting_Curves/meltCurve_E5RIY0_TMEM55A.pdf")</f>
        <v>Melting_Curves/meltCurve_E5RIY0_TMEM55A.pdf</v>
      </c>
    </row>
    <row r="362" spans="1:28" x14ac:dyDescent="0.25">
      <c r="A362" t="s">
        <v>366</v>
      </c>
      <c r="B362">
        <v>0.99299721793515405</v>
      </c>
      <c r="C362">
        <v>1.01294239149804</v>
      </c>
      <c r="D362">
        <v>0.91336039785445899</v>
      </c>
      <c r="E362">
        <v>0.68954104231973101</v>
      </c>
      <c r="F362">
        <v>0.30309166760964401</v>
      </c>
      <c r="G362">
        <v>0.158104871492697</v>
      </c>
      <c r="H362">
        <v>0.19598341907613101</v>
      </c>
      <c r="I362">
        <v>0.16696313362606899</v>
      </c>
      <c r="J362">
        <v>0.107840839646651</v>
      </c>
      <c r="K362">
        <v>0</v>
      </c>
      <c r="L362">
        <v>1079.60659951259</v>
      </c>
      <c r="M362">
        <v>22.620547592116999</v>
      </c>
      <c r="N362">
        <v>48.225854140463603</v>
      </c>
      <c r="O362">
        <v>47.358507896258303</v>
      </c>
      <c r="P362">
        <v>-0.106952878589495</v>
      </c>
      <c r="Q362">
        <v>0.10434927295152301</v>
      </c>
      <c r="R362">
        <v>0.98529679064222997</v>
      </c>
      <c r="S362" t="s">
        <v>5913</v>
      </c>
      <c r="T362" t="s">
        <v>11100</v>
      </c>
      <c r="U362" t="s">
        <v>11100</v>
      </c>
      <c r="V362" t="s">
        <v>11100</v>
      </c>
      <c r="W362" t="s">
        <v>11458</v>
      </c>
      <c r="X362">
        <v>1</v>
      </c>
      <c r="Y362" t="s">
        <v>16953</v>
      </c>
      <c r="Z362" t="s">
        <v>22367</v>
      </c>
      <c r="AA362">
        <v>0.43386046375361009</v>
      </c>
      <c r="AB362" t="str">
        <f>HYPERLINK("Melting_Curves/meltCurve_E5RJ29_PSD3.pdf", "Melting_Curves/meltCurve_E5RJ29_PSD3.pdf")</f>
        <v>Melting_Curves/meltCurve_E5RJ29_PSD3.pdf</v>
      </c>
    </row>
    <row r="363" spans="1:28" x14ac:dyDescent="0.25">
      <c r="A363" t="s">
        <v>367</v>
      </c>
      <c r="B363">
        <v>0.99299721793515405</v>
      </c>
      <c r="C363">
        <v>0.96170336976468196</v>
      </c>
      <c r="D363">
        <v>0.97726537693305804</v>
      </c>
      <c r="E363">
        <v>0.76648529011342204</v>
      </c>
      <c r="F363">
        <v>0.65881960530460404</v>
      </c>
      <c r="G363">
        <v>0.69322733950982995</v>
      </c>
      <c r="H363">
        <v>0.32584624403407098</v>
      </c>
      <c r="I363">
        <v>0.30440290833935102</v>
      </c>
      <c r="J363">
        <v>0.31072226071522602</v>
      </c>
      <c r="K363">
        <v>0.266363947251408</v>
      </c>
      <c r="L363">
        <v>529.87476410327895</v>
      </c>
      <c r="M363">
        <v>9.9988473868104695</v>
      </c>
      <c r="N363">
        <v>55.089563645715401</v>
      </c>
      <c r="O363">
        <v>51.004695047904697</v>
      </c>
      <c r="P363">
        <v>-4.1275531821236097E-2</v>
      </c>
      <c r="Q363">
        <v>0.158214171364399</v>
      </c>
      <c r="R363">
        <v>0.94989425850884202</v>
      </c>
      <c r="S363" t="s">
        <v>5914</v>
      </c>
      <c r="T363" t="s">
        <v>11100</v>
      </c>
      <c r="U363" t="s">
        <v>11100</v>
      </c>
      <c r="V363" t="s">
        <v>11100</v>
      </c>
      <c r="W363" t="s">
        <v>11459</v>
      </c>
      <c r="X363">
        <v>8</v>
      </c>
      <c r="Y363" t="s">
        <v>16954</v>
      </c>
      <c r="Z363" t="s">
        <v>22368</v>
      </c>
      <c r="AA363">
        <v>0.62586129038782778</v>
      </c>
      <c r="AB363" t="str">
        <f>HYPERLINK("Melting_Curves/meltCurve_E5RJ68_AP3B1.pdf", "Melting_Curves/meltCurve_E5RJ68_AP3B1.pdf")</f>
        <v>Melting_Curves/meltCurve_E5RJ68_AP3B1.pdf</v>
      </c>
    </row>
    <row r="364" spans="1:28" x14ac:dyDescent="0.25">
      <c r="A364" t="s">
        <v>368</v>
      </c>
      <c r="B364">
        <v>0.99299721793515405</v>
      </c>
      <c r="C364">
        <v>0.98126493274490201</v>
      </c>
      <c r="D364">
        <v>0.73077697777483497</v>
      </c>
      <c r="E364">
        <v>0.68914769175791801</v>
      </c>
      <c r="F364">
        <v>0.72920961204624801</v>
      </c>
      <c r="G364">
        <v>0.57494663169520599</v>
      </c>
      <c r="H364">
        <v>0.32908896347357502</v>
      </c>
      <c r="I364">
        <v>0.45194958042327599</v>
      </c>
      <c r="J364">
        <v>0.31369546785650698</v>
      </c>
      <c r="K364">
        <v>0.231157340948249</v>
      </c>
      <c r="L364">
        <v>321.917251255243</v>
      </c>
      <c r="M364">
        <v>5.8321802502899498</v>
      </c>
      <c r="N364">
        <v>55.196725313503798</v>
      </c>
      <c r="O364">
        <v>49.7461873257364</v>
      </c>
      <c r="P364">
        <v>-2.9414684785983601E-2</v>
      </c>
      <c r="Q364">
        <v>0</v>
      </c>
      <c r="R364">
        <v>0.91709075869036705</v>
      </c>
      <c r="S364" t="s">
        <v>5915</v>
      </c>
      <c r="T364" t="s">
        <v>11100</v>
      </c>
      <c r="U364" t="s">
        <v>11100</v>
      </c>
      <c r="V364" t="s">
        <v>11100</v>
      </c>
      <c r="W364" t="s">
        <v>11460</v>
      </c>
      <c r="X364">
        <v>1</v>
      </c>
      <c r="Y364" t="s">
        <v>16955</v>
      </c>
      <c r="Z364" t="s">
        <v>22369</v>
      </c>
      <c r="AA364">
        <v>0.59836031849957816</v>
      </c>
      <c r="AB364" t="str">
        <f>HYPERLINK("Melting_Curves/meltCurve_E5RJ97_TRPS1.pdf", "Melting_Curves/meltCurve_E5RJ97_TRPS1.pdf")</f>
        <v>Melting_Curves/meltCurve_E5RJ97_TRPS1.pdf</v>
      </c>
    </row>
    <row r="365" spans="1:28" x14ac:dyDescent="0.25">
      <c r="A365" t="s">
        <v>369</v>
      </c>
      <c r="B365">
        <v>0.99299721793515405</v>
      </c>
      <c r="C365">
        <v>0.89897162014117504</v>
      </c>
      <c r="D365">
        <v>0.92120032825644305</v>
      </c>
      <c r="E365">
        <v>0.70994745756438904</v>
      </c>
      <c r="F365">
        <v>0.66191379449447996</v>
      </c>
      <c r="G365">
        <v>0.52456521839885895</v>
      </c>
      <c r="H365">
        <v>0.33072569074239899</v>
      </c>
      <c r="I365">
        <v>0.29373546384676302</v>
      </c>
      <c r="J365">
        <v>0.237860969364525</v>
      </c>
      <c r="K365">
        <v>0.13556159234545301</v>
      </c>
      <c r="L365">
        <v>426.92757775698902</v>
      </c>
      <c r="M365">
        <v>7.96075021653958</v>
      </c>
      <c r="N365">
        <v>53.6290633595817</v>
      </c>
      <c r="O365">
        <v>50.561974463868196</v>
      </c>
      <c r="P365">
        <v>-3.94066910621639E-2</v>
      </c>
      <c r="Q365">
        <v>0</v>
      </c>
      <c r="R365">
        <v>0.98517579690405699</v>
      </c>
      <c r="S365" t="s">
        <v>5916</v>
      </c>
      <c r="T365" t="s">
        <v>11100</v>
      </c>
      <c r="U365" t="s">
        <v>11100</v>
      </c>
      <c r="V365" t="s">
        <v>11100</v>
      </c>
      <c r="W365" t="s">
        <v>11461</v>
      </c>
      <c r="X365">
        <v>7</v>
      </c>
      <c r="Y365" t="s">
        <v>16956</v>
      </c>
      <c r="Z365" t="s">
        <v>22370</v>
      </c>
      <c r="AA365">
        <v>0.57157607264427457</v>
      </c>
      <c r="AB365" t="str">
        <f>HYPERLINK("Melting_Curves/meltCurve_E5RJ99_ZFAND1.pdf", "Melting_Curves/meltCurve_E5RJ99_ZFAND1.pdf")</f>
        <v>Melting_Curves/meltCurve_E5RJ99_ZFAND1.pdf</v>
      </c>
    </row>
    <row r="366" spans="1:28" x14ac:dyDescent="0.25">
      <c r="A366" t="s">
        <v>370</v>
      </c>
      <c r="B366">
        <v>0.99299721793515405</v>
      </c>
      <c r="C366">
        <v>0.84124545181435195</v>
      </c>
      <c r="D366">
        <v>0.61914977460702103</v>
      </c>
      <c r="E366">
        <v>0.74379251887485798</v>
      </c>
      <c r="F366">
        <v>0.91359521276545297</v>
      </c>
      <c r="G366">
        <v>0.39834077241286497</v>
      </c>
      <c r="H366">
        <v>0.92659263835851502</v>
      </c>
      <c r="I366">
        <v>1.0753276365882101</v>
      </c>
      <c r="J366">
        <v>0.75939002882021001</v>
      </c>
      <c r="K366">
        <v>0.42725626904539799</v>
      </c>
      <c r="S366" t="s">
        <v>5917</v>
      </c>
      <c r="T366" t="s">
        <v>11100</v>
      </c>
      <c r="U366" t="s">
        <v>11101</v>
      </c>
      <c r="V366" t="s">
        <v>11100</v>
      </c>
      <c r="W366" t="s">
        <v>11462</v>
      </c>
      <c r="X366">
        <v>1</v>
      </c>
      <c r="Y366" t="s">
        <v>16957</v>
      </c>
      <c r="Z366" t="s">
        <v>22371</v>
      </c>
      <c r="AB366" t="str">
        <f>HYPERLINK("Melting_Curves/meltCurve_E5RJB8_SDC2.pdf", "Melting_Curves/meltCurve_E5RJB8_SDC2.pdf")</f>
        <v>Melting_Curves/meltCurve_E5RJB8_SDC2.pdf</v>
      </c>
    </row>
    <row r="367" spans="1:28" x14ac:dyDescent="0.25">
      <c r="A367" t="s">
        <v>371</v>
      </c>
      <c r="B367">
        <v>0.99299721793515405</v>
      </c>
      <c r="C367">
        <v>1.03868842298917</v>
      </c>
      <c r="D367">
        <v>0.91155378307502599</v>
      </c>
      <c r="E367">
        <v>0.89075000928710402</v>
      </c>
      <c r="F367">
        <v>0.76424423979348999</v>
      </c>
      <c r="G367">
        <v>0.663254770868132</v>
      </c>
      <c r="H367">
        <v>0.39487828143027398</v>
      </c>
      <c r="I367">
        <v>0.32433322622225302</v>
      </c>
      <c r="J367">
        <v>0.21025355964112399</v>
      </c>
      <c r="K367">
        <v>0.23447316216359501</v>
      </c>
      <c r="L367">
        <v>642.51974592939496</v>
      </c>
      <c r="M367">
        <v>11.711650782543201</v>
      </c>
      <c r="N367">
        <v>55.993570993861802</v>
      </c>
      <c r="O367">
        <v>53.335342523566403</v>
      </c>
      <c r="P367">
        <v>-4.9122560090679598E-2</v>
      </c>
      <c r="Q367">
        <v>0.10541226381608</v>
      </c>
      <c r="R367">
        <v>0.98571206282274404</v>
      </c>
      <c r="S367" t="s">
        <v>5918</v>
      </c>
      <c r="T367" t="s">
        <v>11100</v>
      </c>
      <c r="U367" t="s">
        <v>11100</v>
      </c>
      <c r="V367" t="s">
        <v>11100</v>
      </c>
      <c r="W367" t="s">
        <v>11463</v>
      </c>
      <c r="X367">
        <v>2</v>
      </c>
      <c r="Y367" t="s">
        <v>16958</v>
      </c>
      <c r="Z367" t="s">
        <v>22372</v>
      </c>
      <c r="AA367">
        <v>0.65111387564091527</v>
      </c>
      <c r="AB367" t="str">
        <f>HYPERLINK("Melting_Curves/meltCurve_E5RJJ3_NUDT18.pdf", "Melting_Curves/meltCurve_E5RJJ3_NUDT18.pdf")</f>
        <v>Melting_Curves/meltCurve_E5RJJ3_NUDT18.pdf</v>
      </c>
    </row>
    <row r="368" spans="1:28" x14ac:dyDescent="0.25">
      <c r="A368" t="s">
        <v>372</v>
      </c>
      <c r="B368">
        <v>0.99299721793515405</v>
      </c>
      <c r="C368">
        <v>1.0100334598699401</v>
      </c>
      <c r="D368">
        <v>1.0926664933450501</v>
      </c>
      <c r="E368">
        <v>0.98538106667958403</v>
      </c>
      <c r="F368">
        <v>0.83223236933162503</v>
      </c>
      <c r="G368">
        <v>0.92900260188544304</v>
      </c>
      <c r="H368">
        <v>0.75767916824594495</v>
      </c>
      <c r="I368">
        <v>0.89601726137799198</v>
      </c>
      <c r="J368">
        <v>0.96394546129430203</v>
      </c>
      <c r="K368">
        <v>0.65549815407674294</v>
      </c>
      <c r="L368">
        <v>11757.341604991499</v>
      </c>
      <c r="M368">
        <v>250</v>
      </c>
      <c r="O368">
        <v>47.0263568664679</v>
      </c>
      <c r="P368">
        <v>-0.213892686555404</v>
      </c>
      <c r="Q368">
        <v>0.83906249929128796</v>
      </c>
      <c r="R368">
        <v>0.50438474580617698</v>
      </c>
      <c r="S368" t="s">
        <v>5919</v>
      </c>
      <c r="T368" t="s">
        <v>11100</v>
      </c>
      <c r="U368" t="s">
        <v>11100</v>
      </c>
      <c r="V368" t="s">
        <v>11100</v>
      </c>
      <c r="W368" t="s">
        <v>11464</v>
      </c>
      <c r="X368">
        <v>18</v>
      </c>
      <c r="Y368" t="s">
        <v>16959</v>
      </c>
      <c r="Z368" t="s">
        <v>22373</v>
      </c>
      <c r="AA368">
        <v>0.89287915457501876</v>
      </c>
      <c r="AB368" t="str">
        <f>HYPERLINK("Melting_Curves/meltCurve_E5RJR5_SKP1.pdf", "Melting_Curves/meltCurve_E5RJR5_SKP1.pdf")</f>
        <v>Melting_Curves/meltCurve_E5RJR5_SKP1.pdf</v>
      </c>
    </row>
    <row r="369" spans="1:28" x14ac:dyDescent="0.25">
      <c r="A369" t="s">
        <v>373</v>
      </c>
      <c r="B369">
        <v>0.99299721793515405</v>
      </c>
      <c r="C369">
        <v>0.87844366636413096</v>
      </c>
      <c r="D369">
        <v>1.0137533710795801</v>
      </c>
      <c r="E369">
        <v>0.86113722303366202</v>
      </c>
      <c r="F369">
        <v>0.77318289004895802</v>
      </c>
      <c r="G369">
        <v>0.32534834836655202</v>
      </c>
      <c r="H369">
        <v>0.217622507511189</v>
      </c>
      <c r="I369">
        <v>0.22502850253308901</v>
      </c>
      <c r="J369">
        <v>0.19592009724964801</v>
      </c>
      <c r="K369">
        <v>0.16783564604562501</v>
      </c>
      <c r="L369">
        <v>1497.0786095559699</v>
      </c>
      <c r="M369">
        <v>29.132101593339399</v>
      </c>
      <c r="N369">
        <v>52.219878618467902</v>
      </c>
      <c r="O369">
        <v>51.148988271283997</v>
      </c>
      <c r="P369">
        <v>-0.11598871222224701</v>
      </c>
      <c r="Q369">
        <v>0.18541245789897501</v>
      </c>
      <c r="R369">
        <v>0.97531524226479605</v>
      </c>
      <c r="S369" t="s">
        <v>5920</v>
      </c>
      <c r="T369" t="s">
        <v>11100</v>
      </c>
      <c r="U369" t="s">
        <v>11100</v>
      </c>
      <c r="V369" t="s">
        <v>11100</v>
      </c>
      <c r="W369" t="s">
        <v>11465</v>
      </c>
      <c r="X369">
        <v>5</v>
      </c>
      <c r="Y369" t="s">
        <v>16960</v>
      </c>
      <c r="Z369" t="s">
        <v>22374</v>
      </c>
      <c r="AA369">
        <v>0.5815238106388545</v>
      </c>
      <c r="AB369" t="str">
        <f>HYPERLINK("Melting_Curves/meltCurve_E5RJS5_MTFR1.pdf", "Melting_Curves/meltCurve_E5RJS5_MTFR1.pdf")</f>
        <v>Melting_Curves/meltCurve_E5RJS5_MTFR1.pdf</v>
      </c>
    </row>
    <row r="370" spans="1:28" x14ac:dyDescent="0.25">
      <c r="A370" t="s">
        <v>374</v>
      </c>
      <c r="B370">
        <v>0.99299721793515405</v>
      </c>
      <c r="C370">
        <v>0.87708226450304105</v>
      </c>
      <c r="D370">
        <v>1.0111215730274099</v>
      </c>
      <c r="E370">
        <v>0.84572457610878105</v>
      </c>
      <c r="F370">
        <v>0.73032363030346803</v>
      </c>
      <c r="G370">
        <v>0.89328741676122803</v>
      </c>
      <c r="H370">
        <v>0.941464501386303</v>
      </c>
      <c r="I370">
        <v>0.80279783244773395</v>
      </c>
      <c r="J370">
        <v>0.53452138551651596</v>
      </c>
      <c r="K370">
        <v>0.50286833980427903</v>
      </c>
      <c r="L370">
        <v>380.31174520339198</v>
      </c>
      <c r="M370">
        <v>5.4034109785794797</v>
      </c>
      <c r="O370">
        <v>62.489807926120399</v>
      </c>
      <c r="P370">
        <v>-2.1718474808037E-2</v>
      </c>
      <c r="Q370">
        <v>0</v>
      </c>
      <c r="R370">
        <v>0.62195346090643</v>
      </c>
      <c r="S370" t="s">
        <v>5921</v>
      </c>
      <c r="T370" t="s">
        <v>11100</v>
      </c>
      <c r="U370" t="s">
        <v>11100</v>
      </c>
      <c r="V370" t="s">
        <v>11100</v>
      </c>
      <c r="W370" t="s">
        <v>11466</v>
      </c>
      <c r="X370">
        <v>1</v>
      </c>
      <c r="Y370" t="s">
        <v>16961</v>
      </c>
      <c r="Z370" t="s">
        <v>22375</v>
      </c>
      <c r="AA370">
        <v>0.83758219635918796</v>
      </c>
      <c r="AB370" t="str">
        <f>HYPERLINK("Melting_Curves/meltCurve_E5RK82_CETN3.pdf", "Melting_Curves/meltCurve_E5RK82_CETN3.pdf")</f>
        <v>Melting_Curves/meltCurve_E5RK82_CETN3.pdf</v>
      </c>
    </row>
    <row r="371" spans="1:28" x14ac:dyDescent="0.25">
      <c r="A371" t="s">
        <v>375</v>
      </c>
      <c r="B371">
        <v>0.99299721793515405</v>
      </c>
      <c r="C371">
        <v>0.93570816448737304</v>
      </c>
      <c r="D371">
        <v>0.88159904958334301</v>
      </c>
      <c r="E371">
        <v>0.73332583589376099</v>
      </c>
      <c r="F371">
        <v>0.616112575148687</v>
      </c>
      <c r="G371">
        <v>0.709221425827259</v>
      </c>
      <c r="H371">
        <v>0.667119069298865</v>
      </c>
      <c r="I371">
        <v>0.41135951506678098</v>
      </c>
      <c r="J371">
        <v>0.25372914673170799</v>
      </c>
      <c r="K371">
        <v>0.230211087117417</v>
      </c>
      <c r="L371">
        <v>358.79314060505698</v>
      </c>
      <c r="M371">
        <v>6.2391180430092801</v>
      </c>
      <c r="N371">
        <v>57.5070291179374</v>
      </c>
      <c r="O371">
        <v>52.444688362474103</v>
      </c>
      <c r="P371">
        <v>-2.98251557505545E-2</v>
      </c>
      <c r="Q371">
        <v>0</v>
      </c>
      <c r="R371">
        <v>0.89928328967140403</v>
      </c>
      <c r="S371" t="s">
        <v>5922</v>
      </c>
      <c r="T371" t="s">
        <v>11100</v>
      </c>
      <c r="U371" t="s">
        <v>11100</v>
      </c>
      <c r="V371" t="s">
        <v>11100</v>
      </c>
      <c r="W371" t="s">
        <v>11467</v>
      </c>
      <c r="X371">
        <v>4</v>
      </c>
      <c r="Y371" t="s">
        <v>16962</v>
      </c>
      <c r="Z371" t="s">
        <v>22376</v>
      </c>
      <c r="AA371">
        <v>0.65121143312850449</v>
      </c>
      <c r="AB371" t="str">
        <f>HYPERLINK("Melting_Curves/meltCurve_E7EM64_COPS6.pdf", "Melting_Curves/meltCurve_E7EM64_COPS6.pdf")</f>
        <v>Melting_Curves/meltCurve_E7EM64_COPS6.pdf</v>
      </c>
    </row>
    <row r="372" spans="1:28" x14ac:dyDescent="0.25">
      <c r="A372" t="s">
        <v>376</v>
      </c>
      <c r="B372">
        <v>0.99299721793515405</v>
      </c>
      <c r="C372">
        <v>0.86848840972334296</v>
      </c>
      <c r="D372">
        <v>0.83678008939592197</v>
      </c>
      <c r="E372">
        <v>0.86764599943796505</v>
      </c>
      <c r="F372">
        <v>0.68657921708324898</v>
      </c>
      <c r="G372">
        <v>0.68292232364472205</v>
      </c>
      <c r="H372">
        <v>0.38343792968658802</v>
      </c>
      <c r="I372">
        <v>0.40464362793659903</v>
      </c>
      <c r="J372">
        <v>0.45171451494574399</v>
      </c>
      <c r="K372">
        <v>0.29940763021907901</v>
      </c>
      <c r="L372">
        <v>347.50478694830599</v>
      </c>
      <c r="M372">
        <v>6.1933409915946003</v>
      </c>
      <c r="N372">
        <v>57.645883204345203</v>
      </c>
      <c r="O372">
        <v>51.107224084066402</v>
      </c>
      <c r="P372">
        <v>-2.8071661191757399E-2</v>
      </c>
      <c r="Q372">
        <v>7.6085421224462102E-2</v>
      </c>
      <c r="R372">
        <v>0.92313630415388204</v>
      </c>
      <c r="S372" t="s">
        <v>5923</v>
      </c>
      <c r="T372" t="s">
        <v>11100</v>
      </c>
      <c r="U372" t="s">
        <v>11100</v>
      </c>
      <c r="V372" t="s">
        <v>11100</v>
      </c>
      <c r="W372" t="s">
        <v>11468</v>
      </c>
      <c r="X372">
        <v>1</v>
      </c>
      <c r="Y372" t="s">
        <v>16963</v>
      </c>
      <c r="Z372" t="s">
        <v>22377</v>
      </c>
      <c r="AA372">
        <v>0.64998319788082137</v>
      </c>
      <c r="AB372" t="str">
        <f>HYPERLINK("Melting_Curves/meltCurve_E7EM93_NUDT12.pdf", "Melting_Curves/meltCurve_E7EM93_NUDT12.pdf")</f>
        <v>Melting_Curves/meltCurve_E7EM93_NUDT12.pdf</v>
      </c>
    </row>
    <row r="373" spans="1:28" x14ac:dyDescent="0.25">
      <c r="A373" t="s">
        <v>377</v>
      </c>
      <c r="B373">
        <v>0.99299721793515405</v>
      </c>
      <c r="C373">
        <v>1.05475977001308</v>
      </c>
      <c r="D373">
        <v>0.95333664055378897</v>
      </c>
      <c r="E373">
        <v>0.99760583534717795</v>
      </c>
      <c r="F373">
        <v>0.77539301832366303</v>
      </c>
      <c r="G373">
        <v>0.71739604230495801</v>
      </c>
      <c r="H373">
        <v>0.81580842217772198</v>
      </c>
      <c r="I373">
        <v>0.668271920094479</v>
      </c>
      <c r="J373">
        <v>0.35876402830107001</v>
      </c>
      <c r="K373">
        <v>0.275092062540784</v>
      </c>
      <c r="L373">
        <v>582.70624710099696</v>
      </c>
      <c r="M373">
        <v>9.3599033589472107</v>
      </c>
      <c r="N373">
        <v>62.255575315448397</v>
      </c>
      <c r="O373">
        <v>59.612074492772102</v>
      </c>
      <c r="P373">
        <v>-3.9277953589592303E-2</v>
      </c>
      <c r="Q373">
        <v>0</v>
      </c>
      <c r="R373">
        <v>0.88756875443357597</v>
      </c>
      <c r="S373" t="s">
        <v>5924</v>
      </c>
      <c r="T373" t="s">
        <v>11100</v>
      </c>
      <c r="U373" t="s">
        <v>11100</v>
      </c>
      <c r="V373" t="s">
        <v>11100</v>
      </c>
      <c r="W373" t="s">
        <v>11469</v>
      </c>
      <c r="X373">
        <v>2</v>
      </c>
      <c r="Y373" t="s">
        <v>16964</v>
      </c>
      <c r="Z373" t="s">
        <v>22378</v>
      </c>
      <c r="AA373">
        <v>0.78351611335242544</v>
      </c>
      <c r="AB373" t="str">
        <f>HYPERLINK("Melting_Curves/meltCurve_E7EMA9_ATHL1.pdf", "Melting_Curves/meltCurve_E7EMA9_ATHL1.pdf")</f>
        <v>Melting_Curves/meltCurve_E7EMA9_ATHL1.pdf</v>
      </c>
    </row>
    <row r="374" spans="1:28" x14ac:dyDescent="0.25">
      <c r="A374" t="s">
        <v>378</v>
      </c>
      <c r="B374">
        <v>0.99299721793515405</v>
      </c>
      <c r="C374">
        <v>0.94969069277496398</v>
      </c>
      <c r="D374">
        <v>0.93677164105812805</v>
      </c>
      <c r="E374">
        <v>0.87191180496110798</v>
      </c>
      <c r="F374">
        <v>0.71645386232328001</v>
      </c>
      <c r="G374">
        <v>0.53743199531068897</v>
      </c>
      <c r="H374">
        <v>0.41348738718595901</v>
      </c>
      <c r="I374">
        <v>0.232839175982819</v>
      </c>
      <c r="J374">
        <v>0.22547895732760201</v>
      </c>
      <c r="K374">
        <v>0.23458087995094001</v>
      </c>
      <c r="L374">
        <v>639.05393237719898</v>
      </c>
      <c r="M374">
        <v>12.027682474169699</v>
      </c>
      <c r="N374">
        <v>54.564710707185299</v>
      </c>
      <c r="O374">
        <v>51.727149051919803</v>
      </c>
      <c r="P374">
        <v>-5.0271140234765498E-2</v>
      </c>
      <c r="Q374">
        <v>0.135407710840241</v>
      </c>
      <c r="R374">
        <v>0.99320925670681304</v>
      </c>
      <c r="S374" t="s">
        <v>5925</v>
      </c>
      <c r="T374" t="s">
        <v>11100</v>
      </c>
      <c r="U374" t="s">
        <v>11100</v>
      </c>
      <c r="V374" t="s">
        <v>11100</v>
      </c>
      <c r="W374" t="s">
        <v>11470</v>
      </c>
      <c r="X374">
        <v>7</v>
      </c>
      <c r="Y374" t="s">
        <v>16965</v>
      </c>
      <c r="Z374" t="s">
        <v>22379</v>
      </c>
      <c r="AA374">
        <v>0.61819467029846953</v>
      </c>
      <c r="AB374" t="str">
        <f>HYPERLINK("Melting_Curves/meltCurve_E7EMB1_SWAP70.pdf", "Melting_Curves/meltCurve_E7EMB1_SWAP70.pdf")</f>
        <v>Melting_Curves/meltCurve_E7EMB1_SWAP70.pdf</v>
      </c>
    </row>
    <row r="375" spans="1:28" x14ac:dyDescent="0.25">
      <c r="A375" t="s">
        <v>379</v>
      </c>
      <c r="B375">
        <v>0.99299721793515405</v>
      </c>
      <c r="C375">
        <v>0.98759751366189197</v>
      </c>
      <c r="D375">
        <v>0.89268531255254702</v>
      </c>
      <c r="E375">
        <v>0.80187495519483798</v>
      </c>
      <c r="F375">
        <v>0.27272250550363802</v>
      </c>
      <c r="G375">
        <v>0.208405103417486</v>
      </c>
      <c r="H375">
        <v>0.158930351420461</v>
      </c>
      <c r="I375">
        <v>0.14421371578867601</v>
      </c>
      <c r="J375">
        <v>0.12894292691475101</v>
      </c>
      <c r="K375">
        <v>9.1793355600083601E-2</v>
      </c>
      <c r="L375">
        <v>1620.9726792515801</v>
      </c>
      <c r="M375">
        <v>33.733231717677</v>
      </c>
      <c r="N375">
        <v>48.513066660416499</v>
      </c>
      <c r="O375">
        <v>47.884770716393298</v>
      </c>
      <c r="P375">
        <v>-0.15199461115667701</v>
      </c>
      <c r="Q375">
        <v>0.13697014664840801</v>
      </c>
      <c r="R375">
        <v>0.98939029961154801</v>
      </c>
      <c r="S375" t="s">
        <v>5926</v>
      </c>
      <c r="T375" t="s">
        <v>11100</v>
      </c>
      <c r="U375" t="s">
        <v>11100</v>
      </c>
      <c r="V375" t="s">
        <v>11100</v>
      </c>
      <c r="W375" t="s">
        <v>11471</v>
      </c>
      <c r="X375">
        <v>4</v>
      </c>
      <c r="Y375" t="s">
        <v>16966</v>
      </c>
      <c r="Z375" t="s">
        <v>22380</v>
      </c>
      <c r="AA375">
        <v>0.45897150485329169</v>
      </c>
      <c r="AB375" t="str">
        <f>HYPERLINK("Melting_Curves/meltCurve_E7EMD6_AKAP10.pdf", "Melting_Curves/meltCurve_E7EMD6_AKAP10.pdf")</f>
        <v>Melting_Curves/meltCurve_E7EMD6_AKAP10.pdf</v>
      </c>
    </row>
    <row r="376" spans="1:28" x14ac:dyDescent="0.25">
      <c r="A376" t="s">
        <v>380</v>
      </c>
      <c r="B376">
        <v>0.99299721793515405</v>
      </c>
      <c r="C376">
        <v>0.94462002821086699</v>
      </c>
      <c r="D376">
        <v>1.1792613039575699</v>
      </c>
      <c r="E376">
        <v>0.95006851020411598</v>
      </c>
      <c r="F376">
        <v>0.60781922492539897</v>
      </c>
      <c r="G376">
        <v>0.56610114758752395</v>
      </c>
      <c r="H376">
        <v>0.52278300116521004</v>
      </c>
      <c r="I376">
        <v>0.68094909070446996</v>
      </c>
      <c r="J376">
        <v>0.70573032706912897</v>
      </c>
      <c r="K376">
        <v>0.56670867643670897</v>
      </c>
      <c r="L376">
        <v>11739.6276272085</v>
      </c>
      <c r="M376">
        <v>250</v>
      </c>
      <c r="O376">
        <v>46.955504214013601</v>
      </c>
      <c r="P376">
        <v>-0.52130658702654598</v>
      </c>
      <c r="Q376">
        <v>0.60834857162887102</v>
      </c>
      <c r="R376">
        <v>0.86844072264523098</v>
      </c>
      <c r="S376" t="s">
        <v>5927</v>
      </c>
      <c r="T376" t="s">
        <v>11100</v>
      </c>
      <c r="U376" t="s">
        <v>11100</v>
      </c>
      <c r="V376" t="s">
        <v>11100</v>
      </c>
      <c r="W376" t="s">
        <v>11472</v>
      </c>
      <c r="X376">
        <v>2</v>
      </c>
      <c r="Y376" t="s">
        <v>16967</v>
      </c>
      <c r="Z376" t="s">
        <v>22381</v>
      </c>
      <c r="AA376">
        <v>0.73838967703410219</v>
      </c>
      <c r="AB376" t="str">
        <f>HYPERLINK("Melting_Curves/meltCurve_E7EMM4_ASAH1.pdf", "Melting_Curves/meltCurve_E7EMM4_ASAH1.pdf")</f>
        <v>Melting_Curves/meltCurve_E7EMM4_ASAH1.pdf</v>
      </c>
    </row>
    <row r="377" spans="1:28" x14ac:dyDescent="0.25">
      <c r="A377" t="s">
        <v>381</v>
      </c>
      <c r="B377">
        <v>0.99299721793515405</v>
      </c>
      <c r="C377">
        <v>1.46248477907858</v>
      </c>
      <c r="D377">
        <v>1.20561859784223</v>
      </c>
      <c r="E377">
        <v>1.23155325462008</v>
      </c>
      <c r="F377">
        <v>0.91595889386905904</v>
      </c>
      <c r="G377">
        <v>0.24272463915970399</v>
      </c>
      <c r="H377">
        <v>0.184675378717057</v>
      </c>
      <c r="I377">
        <v>0.15366352639802799</v>
      </c>
      <c r="J377">
        <v>8.5494522572016396E-2</v>
      </c>
      <c r="K377">
        <v>0.103341320855122</v>
      </c>
      <c r="L377">
        <v>3127.89636289898</v>
      </c>
      <c r="M377">
        <v>60.035392179743702</v>
      </c>
      <c r="N377">
        <v>52.364789835303597</v>
      </c>
      <c r="O377">
        <v>52.043139995617103</v>
      </c>
      <c r="P377">
        <v>-0.25074304693615801</v>
      </c>
      <c r="Q377">
        <v>0.13054921109173601</v>
      </c>
      <c r="R377">
        <v>0.88469506027800304</v>
      </c>
      <c r="S377" t="s">
        <v>5928</v>
      </c>
      <c r="T377" t="s">
        <v>11100</v>
      </c>
      <c r="U377" t="s">
        <v>11100</v>
      </c>
      <c r="V377" t="s">
        <v>11100</v>
      </c>
      <c r="W377" t="s">
        <v>11473</v>
      </c>
      <c r="X377">
        <v>1</v>
      </c>
      <c r="Y377" t="s">
        <v>16968</v>
      </c>
      <c r="Z377" t="s">
        <v>22382</v>
      </c>
      <c r="AA377">
        <v>0.56958161068463431</v>
      </c>
      <c r="AB377" t="str">
        <f>HYPERLINK("Melting_Curves/meltCurve_E7EMW7_UBR5.pdf", "Melting_Curves/meltCurve_E7EMW7_UBR5.pdf")</f>
        <v>Melting_Curves/meltCurve_E7EMW7_UBR5.pdf</v>
      </c>
    </row>
    <row r="378" spans="1:28" x14ac:dyDescent="0.25">
      <c r="A378" t="s">
        <v>382</v>
      </c>
      <c r="B378">
        <v>0.99299721793515405</v>
      </c>
      <c r="C378">
        <v>0.89983978881238802</v>
      </c>
      <c r="D378">
        <v>0.88743216427482197</v>
      </c>
      <c r="E378">
        <v>0.68682496150612304</v>
      </c>
      <c r="F378">
        <v>0.70607994217861203</v>
      </c>
      <c r="G378">
        <v>0.224794194727401</v>
      </c>
      <c r="H378">
        <v>0.21012271931172299</v>
      </c>
      <c r="I378">
        <v>0.13050626138214799</v>
      </c>
      <c r="J378">
        <v>0.15493506473218499</v>
      </c>
      <c r="K378">
        <v>0.122013388001028</v>
      </c>
      <c r="L378">
        <v>633.25604502556303</v>
      </c>
      <c r="M378">
        <v>12.593578823817399</v>
      </c>
      <c r="N378">
        <v>50.812640361054903</v>
      </c>
      <c r="O378">
        <v>49.066684553809303</v>
      </c>
      <c r="P378">
        <v>-6.0238197175952801E-2</v>
      </c>
      <c r="Q378">
        <v>6.1395347295609901E-2</v>
      </c>
      <c r="R378">
        <v>0.95391646305093203</v>
      </c>
      <c r="S378" t="s">
        <v>5929</v>
      </c>
      <c r="T378" t="s">
        <v>11100</v>
      </c>
      <c r="U378" t="s">
        <v>11100</v>
      </c>
      <c r="V378" t="s">
        <v>11100</v>
      </c>
      <c r="W378" t="s">
        <v>11474</v>
      </c>
      <c r="X378">
        <v>7</v>
      </c>
      <c r="Y378" t="s">
        <v>16969</v>
      </c>
      <c r="Z378" t="s">
        <v>22383</v>
      </c>
      <c r="AA378">
        <v>0.50139207600599067</v>
      </c>
      <c r="AB378" t="str">
        <f>HYPERLINK("Melting_Curves/meltCurve_E7EMX7_RAI14.pdf", "Melting_Curves/meltCurve_E7EMX7_RAI14.pdf")</f>
        <v>Melting_Curves/meltCurve_E7EMX7_RAI14.pdf</v>
      </c>
    </row>
    <row r="379" spans="1:28" x14ac:dyDescent="0.25">
      <c r="A379" t="s">
        <v>383</v>
      </c>
      <c r="B379">
        <v>0.99299721793515405</v>
      </c>
      <c r="C379">
        <v>0.85918739582611503</v>
      </c>
      <c r="D379">
        <v>0.88470844195544496</v>
      </c>
      <c r="E379">
        <v>0.64146469629451697</v>
      </c>
      <c r="F379">
        <v>0.53207346473370398</v>
      </c>
      <c r="G379">
        <v>0.34138151613419399</v>
      </c>
      <c r="H379">
        <v>0.41672964944484298</v>
      </c>
      <c r="I379">
        <v>0.43380430593241498</v>
      </c>
      <c r="J379">
        <v>0.42040770660432802</v>
      </c>
      <c r="K379">
        <v>0.33451242839735101</v>
      </c>
      <c r="L379">
        <v>706.84360128155595</v>
      </c>
      <c r="M379">
        <v>15.4113468806895</v>
      </c>
      <c r="N379">
        <v>50.3451933299825</v>
      </c>
      <c r="O379">
        <v>45.113710694463002</v>
      </c>
      <c r="P379">
        <v>-5.35417513785802E-2</v>
      </c>
      <c r="Q379">
        <v>0.37312484193809298</v>
      </c>
      <c r="R379">
        <v>0.95435495593812703</v>
      </c>
      <c r="S379" t="s">
        <v>5930</v>
      </c>
      <c r="T379" t="s">
        <v>11100</v>
      </c>
      <c r="U379" t="s">
        <v>11100</v>
      </c>
      <c r="V379" t="s">
        <v>11100</v>
      </c>
      <c r="W379" t="s">
        <v>11475</v>
      </c>
      <c r="X379">
        <v>3</v>
      </c>
      <c r="Y379" t="s">
        <v>16970</v>
      </c>
      <c r="Z379" t="s">
        <v>22384</v>
      </c>
      <c r="AA379">
        <v>0.57214575278632185</v>
      </c>
      <c r="AB379" t="str">
        <f>HYPERLINK("Melting_Curves/meltCurve_E7EMZ9_TACC2.pdf", "Melting_Curves/meltCurve_E7EMZ9_TACC2.pdf")</f>
        <v>Melting_Curves/meltCurve_E7EMZ9_TACC2.pdf</v>
      </c>
    </row>
    <row r="380" spans="1:28" x14ac:dyDescent="0.25">
      <c r="A380" t="s">
        <v>384</v>
      </c>
      <c r="B380">
        <v>0.99299721793515405</v>
      </c>
      <c r="C380">
        <v>0.97895855518100405</v>
      </c>
      <c r="D380">
        <v>1.15955299395719</v>
      </c>
      <c r="E380">
        <v>0.73532902005645595</v>
      </c>
      <c r="F380">
        <v>0.50483838237529699</v>
      </c>
      <c r="G380">
        <v>0.48970554711652198</v>
      </c>
      <c r="H380">
        <v>0.301011203066257</v>
      </c>
      <c r="I380">
        <v>0.328226299630548</v>
      </c>
      <c r="J380">
        <v>0.39992039371733001</v>
      </c>
      <c r="K380">
        <v>0.36405160824743499</v>
      </c>
      <c r="L380">
        <v>1451.51861187903</v>
      </c>
      <c r="M380">
        <v>30.472051116273299</v>
      </c>
      <c r="N380">
        <v>49.8767594905908</v>
      </c>
      <c r="O380">
        <v>47.430677851933197</v>
      </c>
      <c r="P380">
        <v>-0.10071499652282399</v>
      </c>
      <c r="Q380">
        <v>0.37293987196317302</v>
      </c>
      <c r="R380">
        <v>0.93889725249549705</v>
      </c>
      <c r="S380" t="s">
        <v>5931</v>
      </c>
      <c r="T380" t="s">
        <v>11100</v>
      </c>
      <c r="U380" t="s">
        <v>11100</v>
      </c>
      <c r="V380" t="s">
        <v>11100</v>
      </c>
      <c r="W380" t="s">
        <v>11476</v>
      </c>
      <c r="X380">
        <v>4</v>
      </c>
      <c r="Y380" t="s">
        <v>16971</v>
      </c>
      <c r="Z380" t="s">
        <v>22385</v>
      </c>
      <c r="AA380">
        <v>0.59879490560318593</v>
      </c>
      <c r="AB380" t="str">
        <f>HYPERLINK("Melting_Curves/meltCurve_E7EN86_ZNF143.pdf", "Melting_Curves/meltCurve_E7EN86_ZNF143.pdf")</f>
        <v>Melting_Curves/meltCurve_E7EN86_ZNF143.pdf</v>
      </c>
    </row>
    <row r="381" spans="1:28" x14ac:dyDescent="0.25">
      <c r="A381" t="s">
        <v>385</v>
      </c>
      <c r="B381">
        <v>0.99299721793515405</v>
      </c>
      <c r="C381">
        <v>1.1521234389684001</v>
      </c>
      <c r="D381">
        <v>0.94850399695652698</v>
      </c>
      <c r="E381">
        <v>0.90549927379020001</v>
      </c>
      <c r="F381">
        <v>0.68360008841634201</v>
      </c>
      <c r="G381">
        <v>0.67903900289161701</v>
      </c>
      <c r="H381">
        <v>0.544169855924441</v>
      </c>
      <c r="I381">
        <v>0.49207128308276199</v>
      </c>
      <c r="J381">
        <v>0.32162510526731403</v>
      </c>
      <c r="K381">
        <v>0.230291843257348</v>
      </c>
      <c r="L381">
        <v>469.69639956640702</v>
      </c>
      <c r="M381">
        <v>8.0256826013476203</v>
      </c>
      <c r="N381">
        <v>58.524165232170397</v>
      </c>
      <c r="O381">
        <v>55.226142188704699</v>
      </c>
      <c r="P381">
        <v>-3.6371594323570497E-2</v>
      </c>
      <c r="Q381">
        <v>0</v>
      </c>
      <c r="R381">
        <v>0.94019798741009797</v>
      </c>
      <c r="S381" t="s">
        <v>5932</v>
      </c>
      <c r="T381" t="s">
        <v>11100</v>
      </c>
      <c r="U381" t="s">
        <v>11100</v>
      </c>
      <c r="V381" t="s">
        <v>11100</v>
      </c>
      <c r="W381" t="s">
        <v>11477</v>
      </c>
      <c r="X381">
        <v>3</v>
      </c>
      <c r="Y381" t="s">
        <v>16972</v>
      </c>
      <c r="Z381" t="s">
        <v>22386</v>
      </c>
      <c r="AA381">
        <v>0.69122818596615554</v>
      </c>
      <c r="AB381" t="str">
        <f>HYPERLINK("Melting_Curves/meltCurve_E7ENA9_NCSTN.pdf", "Melting_Curves/meltCurve_E7ENA9_NCSTN.pdf")</f>
        <v>Melting_Curves/meltCurve_E7ENA9_NCSTN.pdf</v>
      </c>
    </row>
    <row r="382" spans="1:28" x14ac:dyDescent="0.25">
      <c r="A382" t="s">
        <v>386</v>
      </c>
      <c r="B382">
        <v>0.99299721793515405</v>
      </c>
      <c r="C382">
        <v>1.249039175509</v>
      </c>
      <c r="D382">
        <v>1.0230365467179099</v>
      </c>
      <c r="E382">
        <v>1.0694780732053499</v>
      </c>
      <c r="F382">
        <v>1.02140699635073</v>
      </c>
      <c r="G382">
        <v>0.86362226153424304</v>
      </c>
      <c r="H382">
        <v>1.0422311454948501</v>
      </c>
      <c r="I382">
        <v>1.21439833710332</v>
      </c>
      <c r="J382">
        <v>1.43123836864045</v>
      </c>
      <c r="K382">
        <v>1.06837009103448</v>
      </c>
      <c r="L382">
        <v>4336.2205234302301</v>
      </c>
      <c r="M382">
        <v>73.843876516637593</v>
      </c>
      <c r="O382">
        <v>58.678442079818701</v>
      </c>
      <c r="P382">
        <v>7.6565506188612006E-2</v>
      </c>
      <c r="Q382">
        <v>1.24336445792513</v>
      </c>
      <c r="R382">
        <v>0.33426285123149502</v>
      </c>
      <c r="S382" t="s">
        <v>5933</v>
      </c>
      <c r="T382" t="s">
        <v>11100</v>
      </c>
      <c r="U382" t="s">
        <v>11100</v>
      </c>
      <c r="V382" t="s">
        <v>11100</v>
      </c>
      <c r="W382" t="s">
        <v>11478</v>
      </c>
      <c r="X382">
        <v>3</v>
      </c>
      <c r="Y382" t="s">
        <v>16973</v>
      </c>
      <c r="Z382" t="s">
        <v>22387</v>
      </c>
      <c r="AA382">
        <v>1.066869531145064</v>
      </c>
      <c r="AB382" t="str">
        <f>HYPERLINK("Melting_Curves/meltCurve_E7ENN3_SYNE1.pdf", "Melting_Curves/meltCurve_E7ENN3_SYNE1.pdf")</f>
        <v>Melting_Curves/meltCurve_E7ENN3_SYNE1.pdf</v>
      </c>
    </row>
    <row r="383" spans="1:28" x14ac:dyDescent="0.25">
      <c r="A383" t="s">
        <v>387</v>
      </c>
      <c r="B383">
        <v>0.99299721793515405</v>
      </c>
      <c r="C383">
        <v>1.03322281046677</v>
      </c>
      <c r="D383">
        <v>0.96878536895457401</v>
      </c>
      <c r="E383">
        <v>0.94619728491920396</v>
      </c>
      <c r="F383">
        <v>0.79881599403277703</v>
      </c>
      <c r="G383">
        <v>0.66667366368041803</v>
      </c>
      <c r="H383">
        <v>0.32853485452227499</v>
      </c>
      <c r="I383">
        <v>0.15741888951742999</v>
      </c>
      <c r="J383">
        <v>0.13355911304543999</v>
      </c>
      <c r="K383">
        <v>0.101585006661442</v>
      </c>
      <c r="L383">
        <v>948.78959293667003</v>
      </c>
      <c r="M383">
        <v>17.278909374984401</v>
      </c>
      <c r="N383">
        <v>55.218231908791601</v>
      </c>
      <c r="O383">
        <v>54.190620222592898</v>
      </c>
      <c r="P383">
        <v>-7.6056372666648206E-2</v>
      </c>
      <c r="Q383">
        <v>4.5934435548065401E-2</v>
      </c>
      <c r="R383">
        <v>0.99313622789450895</v>
      </c>
      <c r="S383" t="s">
        <v>5934</v>
      </c>
      <c r="T383" t="s">
        <v>11100</v>
      </c>
      <c r="U383" t="s">
        <v>11100</v>
      </c>
      <c r="V383" t="s">
        <v>11100</v>
      </c>
      <c r="W383" t="s">
        <v>11479</v>
      </c>
      <c r="X383">
        <v>52</v>
      </c>
      <c r="Y383" t="s">
        <v>16974</v>
      </c>
      <c r="Z383" t="s">
        <v>22388</v>
      </c>
      <c r="AA383">
        <v>0.62804476399942188</v>
      </c>
      <c r="AB383" t="str">
        <f>HYPERLINK("Melting_Curves/meltCurve_E7ENR4_HK1.pdf", "Melting_Curves/meltCurve_E7ENR4_HK1.pdf")</f>
        <v>Melting_Curves/meltCurve_E7ENR4_HK1.pdf</v>
      </c>
    </row>
    <row r="384" spans="1:28" x14ac:dyDescent="0.25">
      <c r="A384" t="s">
        <v>388</v>
      </c>
      <c r="B384">
        <v>0.99299721793515405</v>
      </c>
      <c r="C384">
        <v>0.84593294455138002</v>
      </c>
      <c r="D384">
        <v>0.69528362430091095</v>
      </c>
      <c r="E384">
        <v>0.76659105369474101</v>
      </c>
      <c r="F384">
        <v>0.356794023020226</v>
      </c>
      <c r="G384">
        <v>0.64934552819947799</v>
      </c>
      <c r="H384">
        <v>0.43159759207184301</v>
      </c>
      <c r="I384">
        <v>0.40991441963181402</v>
      </c>
      <c r="J384">
        <v>0.19074952009736701</v>
      </c>
      <c r="K384">
        <v>9.7234889410675304E-2</v>
      </c>
      <c r="L384">
        <v>307.12072575392</v>
      </c>
      <c r="M384">
        <v>5.8425075862862199</v>
      </c>
      <c r="N384">
        <v>52.566594245291597</v>
      </c>
      <c r="O384">
        <v>47.3912368435914</v>
      </c>
      <c r="P384">
        <v>-3.0930326151401101E-2</v>
      </c>
      <c r="Q384">
        <v>0</v>
      </c>
      <c r="R384">
        <v>0.82686445084842897</v>
      </c>
      <c r="S384" t="s">
        <v>5935</v>
      </c>
      <c r="T384" t="s">
        <v>11100</v>
      </c>
      <c r="U384" t="s">
        <v>11100</v>
      </c>
      <c r="V384" t="s">
        <v>11100</v>
      </c>
      <c r="W384" t="s">
        <v>11480</v>
      </c>
      <c r="X384">
        <v>4</v>
      </c>
      <c r="Y384" t="s">
        <v>16975</v>
      </c>
      <c r="Z384" t="s">
        <v>22389</v>
      </c>
      <c r="AA384">
        <v>0.54071538791024865</v>
      </c>
      <c r="AB384" t="str">
        <f>HYPERLINK("Melting_Curves/meltCurve_E7EP87_NARF.pdf", "Melting_Curves/meltCurve_E7EP87_NARF.pdf")</f>
        <v>Melting_Curves/meltCurve_E7EP87_NARF.pdf</v>
      </c>
    </row>
    <row r="385" spans="1:28" x14ac:dyDescent="0.25">
      <c r="A385" t="s">
        <v>389</v>
      </c>
      <c r="B385">
        <v>0.99299721793515405</v>
      </c>
      <c r="C385">
        <v>0.90150214353439995</v>
      </c>
      <c r="D385">
        <v>1.0695952576710801</v>
      </c>
      <c r="E385">
        <v>0.85827346283130901</v>
      </c>
      <c r="F385">
        <v>0.71275653241386205</v>
      </c>
      <c r="G385">
        <v>0.867536823037657</v>
      </c>
      <c r="H385">
        <v>0.97906871078586799</v>
      </c>
      <c r="I385">
        <v>0.75626673964870195</v>
      </c>
      <c r="J385">
        <v>0.63929070016824396</v>
      </c>
      <c r="K385">
        <v>0.66579922626921295</v>
      </c>
      <c r="L385">
        <v>250.28095087378901</v>
      </c>
      <c r="M385">
        <v>2.9986002636084499</v>
      </c>
      <c r="O385">
        <v>61.443574595453299</v>
      </c>
      <c r="P385">
        <v>-1.25780138109485E-2</v>
      </c>
      <c r="Q385">
        <v>0</v>
      </c>
      <c r="R385">
        <v>0.53288910416723101</v>
      </c>
      <c r="S385" t="s">
        <v>5936</v>
      </c>
      <c r="T385" t="s">
        <v>11100</v>
      </c>
      <c r="U385" t="s">
        <v>11100</v>
      </c>
      <c r="V385" t="s">
        <v>11100</v>
      </c>
      <c r="W385" t="s">
        <v>11481</v>
      </c>
      <c r="X385">
        <v>3</v>
      </c>
      <c r="Y385" t="s">
        <v>16976</v>
      </c>
      <c r="Z385" t="s">
        <v>22390</v>
      </c>
      <c r="AA385">
        <v>0.84857102158951148</v>
      </c>
      <c r="AB385" t="str">
        <f>HYPERLINK("Melting_Curves/meltCurve_E7EPB3_RPL14.pdf", "Melting_Curves/meltCurve_E7EPB3_RPL14.pdf")</f>
        <v>Melting_Curves/meltCurve_E7EPB3_RPL14.pdf</v>
      </c>
    </row>
    <row r="386" spans="1:28" x14ac:dyDescent="0.25">
      <c r="A386" t="s">
        <v>390</v>
      </c>
      <c r="B386">
        <v>0.99299721793515405</v>
      </c>
      <c r="C386">
        <v>0.98306251582748705</v>
      </c>
      <c r="D386">
        <v>0.98562521218139099</v>
      </c>
      <c r="E386">
        <v>0.85393440323078795</v>
      </c>
      <c r="F386">
        <v>0.75254137061197401</v>
      </c>
      <c r="G386">
        <v>0.59175258209405202</v>
      </c>
      <c r="H386">
        <v>0.57933889921263504</v>
      </c>
      <c r="I386">
        <v>0.65868576325941397</v>
      </c>
      <c r="J386">
        <v>0.67726565582968401</v>
      </c>
      <c r="K386">
        <v>0.64893285722871896</v>
      </c>
      <c r="L386">
        <v>1225.6904347473801</v>
      </c>
      <c r="M386">
        <v>25.696495603129399</v>
      </c>
      <c r="O386">
        <v>47.412686106039402</v>
      </c>
      <c r="P386">
        <v>-4.9859660320518903E-2</v>
      </c>
      <c r="Q386">
        <v>0.63201964811685796</v>
      </c>
      <c r="R386">
        <v>0.95282017265578001</v>
      </c>
      <c r="S386" t="s">
        <v>5937</v>
      </c>
      <c r="T386" t="s">
        <v>11100</v>
      </c>
      <c r="U386" t="s">
        <v>11100</v>
      </c>
      <c r="V386" t="s">
        <v>11100</v>
      </c>
      <c r="W386" t="s">
        <v>11482</v>
      </c>
      <c r="X386">
        <v>11</v>
      </c>
      <c r="Y386" t="s">
        <v>16977</v>
      </c>
      <c r="Z386" t="s">
        <v>22391</v>
      </c>
      <c r="AA386">
        <v>0.76620634851515168</v>
      </c>
      <c r="AB386" t="str">
        <f>HYPERLINK("Melting_Curves/meltCurve_E7EPC6_CD44.pdf", "Melting_Curves/meltCurve_E7EPC6_CD44.pdf")</f>
        <v>Melting_Curves/meltCurve_E7EPC6_CD44.pdf</v>
      </c>
    </row>
    <row r="387" spans="1:28" x14ac:dyDescent="0.25">
      <c r="A387" t="s">
        <v>391</v>
      </c>
      <c r="B387">
        <v>0.99299721793515405</v>
      </c>
      <c r="C387">
        <v>0.927906536409556</v>
      </c>
      <c r="D387">
        <v>0.86546624109261105</v>
      </c>
      <c r="E387">
        <v>0.83999521140432098</v>
      </c>
      <c r="F387">
        <v>0.75435682864174203</v>
      </c>
      <c r="G387">
        <v>0.37100889772079099</v>
      </c>
      <c r="H387">
        <v>0.240863196103306</v>
      </c>
      <c r="I387">
        <v>0.17477783203948</v>
      </c>
      <c r="J387">
        <v>0.166637349330402</v>
      </c>
      <c r="K387">
        <v>0.113203756355104</v>
      </c>
      <c r="L387">
        <v>769.22254758630299</v>
      </c>
      <c r="M387">
        <v>14.806312090626999</v>
      </c>
      <c r="N387">
        <v>52.604005527549802</v>
      </c>
      <c r="O387">
        <v>51.032292596647103</v>
      </c>
      <c r="P387">
        <v>-6.6463372652190905E-2</v>
      </c>
      <c r="Q387">
        <v>8.3791719654684294E-2</v>
      </c>
      <c r="R387">
        <v>0.97680023546412398</v>
      </c>
      <c r="S387" t="s">
        <v>5938</v>
      </c>
      <c r="T387" t="s">
        <v>11100</v>
      </c>
      <c r="U387" t="s">
        <v>11100</v>
      </c>
      <c r="V387" t="s">
        <v>11100</v>
      </c>
      <c r="W387" t="s">
        <v>11483</v>
      </c>
      <c r="X387">
        <v>13</v>
      </c>
      <c r="Y387" t="s">
        <v>16978</v>
      </c>
      <c r="Z387" t="s">
        <v>22392</v>
      </c>
      <c r="AA387">
        <v>0.55828601910565145</v>
      </c>
      <c r="AB387" t="str">
        <f>HYPERLINK("Melting_Curves/meltCurve_E7EPD0_TOM1.pdf", "Melting_Curves/meltCurve_E7EPD0_TOM1.pdf")</f>
        <v>Melting_Curves/meltCurve_E7EPD0_TOM1.pdf</v>
      </c>
    </row>
    <row r="388" spans="1:28" x14ac:dyDescent="0.25">
      <c r="A388" t="s">
        <v>392</v>
      </c>
      <c r="B388">
        <v>0.99299721793515405</v>
      </c>
      <c r="C388">
        <v>0.99658946919521096</v>
      </c>
      <c r="D388">
        <v>0.92560620245497305</v>
      </c>
      <c r="E388">
        <v>0.81330898038548005</v>
      </c>
      <c r="F388">
        <v>0.32662842937125702</v>
      </c>
      <c r="G388">
        <v>0.18939301825148999</v>
      </c>
      <c r="H388">
        <v>0.161871687126663</v>
      </c>
      <c r="I388">
        <v>0.14294588026080199</v>
      </c>
      <c r="J388">
        <v>0.139777350942835</v>
      </c>
      <c r="K388">
        <v>0.121749083589098</v>
      </c>
      <c r="L388">
        <v>1536.20046983007</v>
      </c>
      <c r="M388">
        <v>31.795855378632801</v>
      </c>
      <c r="N388">
        <v>48.8251857725176</v>
      </c>
      <c r="O388">
        <v>48.124579187887399</v>
      </c>
      <c r="P388">
        <v>-0.14180881795509301</v>
      </c>
      <c r="Q388">
        <v>0.141466163846479</v>
      </c>
      <c r="R388">
        <v>0.99662297074152595</v>
      </c>
      <c r="S388" t="s">
        <v>5939</v>
      </c>
      <c r="T388" t="s">
        <v>11100</v>
      </c>
      <c r="U388" t="s">
        <v>11100</v>
      </c>
      <c r="V388" t="s">
        <v>11100</v>
      </c>
      <c r="W388" t="s">
        <v>11484</v>
      </c>
      <c r="X388">
        <v>19</v>
      </c>
      <c r="Y388" t="s">
        <v>16979</v>
      </c>
      <c r="Z388" t="s">
        <v>22393</v>
      </c>
      <c r="AA388">
        <v>0.46981321170671392</v>
      </c>
      <c r="AB388" t="str">
        <f>HYPERLINK("Melting_Curves/meltCurve_E7EPL4_PDXDC1.pdf", "Melting_Curves/meltCurve_E7EPL4_PDXDC1.pdf")</f>
        <v>Melting_Curves/meltCurve_E7EPL4_PDXDC1.pdf</v>
      </c>
    </row>
    <row r="389" spans="1:28" x14ac:dyDescent="0.25">
      <c r="A389" t="s">
        <v>393</v>
      </c>
      <c r="B389">
        <v>0.99299721793515405</v>
      </c>
      <c r="C389">
        <v>0.92857465349031099</v>
      </c>
      <c r="D389">
        <v>1.18134802194704</v>
      </c>
      <c r="E389">
        <v>0.79441869376938901</v>
      </c>
      <c r="F389">
        <v>0.77043114081025799</v>
      </c>
      <c r="G389">
        <v>0.67934086565493501</v>
      </c>
      <c r="H389">
        <v>0.52908705892328201</v>
      </c>
      <c r="I389">
        <v>0.58483944701545498</v>
      </c>
      <c r="J389">
        <v>0.59670053022012703</v>
      </c>
      <c r="K389">
        <v>0.54713958668322504</v>
      </c>
      <c r="L389">
        <v>976.95830642914495</v>
      </c>
      <c r="M389">
        <v>19.799560670346299</v>
      </c>
      <c r="O389">
        <v>48.847379304876803</v>
      </c>
      <c r="P389">
        <v>-4.4178050925289397E-2</v>
      </c>
      <c r="Q389">
        <v>0.56404934086757397</v>
      </c>
      <c r="R389">
        <v>0.84907432489073098</v>
      </c>
      <c r="S389" t="s">
        <v>5940</v>
      </c>
      <c r="T389" t="s">
        <v>11100</v>
      </c>
      <c r="U389" t="s">
        <v>11100</v>
      </c>
      <c r="V389" t="s">
        <v>11100</v>
      </c>
      <c r="W389" t="s">
        <v>11485</v>
      </c>
      <c r="X389">
        <v>33</v>
      </c>
      <c r="Y389" t="s">
        <v>16980</v>
      </c>
      <c r="Z389" t="s">
        <v>22394</v>
      </c>
      <c r="AA389">
        <v>0.74925578631135659</v>
      </c>
      <c r="AB389" t="str">
        <f>HYPERLINK("Melting_Curves/meltCurve_E7EPN9_PRRC2C.pdf", "Melting_Curves/meltCurve_E7EPN9_PRRC2C.pdf")</f>
        <v>Melting_Curves/meltCurve_E7EPN9_PRRC2C.pdf</v>
      </c>
    </row>
    <row r="390" spans="1:28" x14ac:dyDescent="0.25">
      <c r="A390" t="s">
        <v>394</v>
      </c>
      <c r="B390">
        <v>0.99299721793515405</v>
      </c>
      <c r="C390">
        <v>0.97673509832129701</v>
      </c>
      <c r="D390">
        <v>0.86592363062545896</v>
      </c>
      <c r="E390">
        <v>0.96870511034056495</v>
      </c>
      <c r="F390">
        <v>0.80424909721064997</v>
      </c>
      <c r="G390">
        <v>1.02817767812817</v>
      </c>
      <c r="H390">
        <v>1.49600528115107</v>
      </c>
      <c r="I390">
        <v>1.41687182664838</v>
      </c>
      <c r="J390">
        <v>0.90276284075952895</v>
      </c>
      <c r="K390">
        <v>0.500845001695301</v>
      </c>
      <c r="L390">
        <v>15000</v>
      </c>
      <c r="M390">
        <v>232.59000409669699</v>
      </c>
      <c r="O390">
        <v>64.486396043226605</v>
      </c>
      <c r="P390">
        <v>-0.45016339905039798</v>
      </c>
      <c r="Q390">
        <v>0.50076246583726103</v>
      </c>
      <c r="R390">
        <v>0.35066869450936899</v>
      </c>
      <c r="S390" t="s">
        <v>5941</v>
      </c>
      <c r="T390" t="s">
        <v>11100</v>
      </c>
      <c r="U390" t="s">
        <v>11100</v>
      </c>
      <c r="V390" t="s">
        <v>11100</v>
      </c>
      <c r="W390" t="s">
        <v>11486</v>
      </c>
      <c r="X390">
        <v>7</v>
      </c>
      <c r="Y390" t="s">
        <v>16981</v>
      </c>
      <c r="Z390" t="s">
        <v>22395</v>
      </c>
      <c r="AA390">
        <v>0.95831427576189188</v>
      </c>
      <c r="AB390" t="str">
        <f>HYPERLINK("Melting_Curves/meltCurve_E7EPT4_NDUFV2.pdf", "Melting_Curves/meltCurve_E7EPT4_NDUFV2.pdf")</f>
        <v>Melting_Curves/meltCurve_E7EPT4_NDUFV2.pdf</v>
      </c>
    </row>
    <row r="391" spans="1:28" x14ac:dyDescent="0.25">
      <c r="A391" t="s">
        <v>395</v>
      </c>
      <c r="B391">
        <v>0.99299721793515405</v>
      </c>
      <c r="C391">
        <v>0.93122305098170099</v>
      </c>
      <c r="D391">
        <v>1.0469871366716601</v>
      </c>
      <c r="E391">
        <v>0.81964755858146998</v>
      </c>
      <c r="F391">
        <v>0.68658134252551695</v>
      </c>
      <c r="G391">
        <v>0.527078099016274</v>
      </c>
      <c r="H391">
        <v>0.55599807375073296</v>
      </c>
      <c r="I391">
        <v>0.64028346704290495</v>
      </c>
      <c r="J391">
        <v>0.80529599202387703</v>
      </c>
      <c r="K391">
        <v>0.78796651506608495</v>
      </c>
      <c r="L391">
        <v>5391.1337703146501</v>
      </c>
      <c r="M391">
        <v>115.857201248349</v>
      </c>
      <c r="O391">
        <v>46.5187142709404</v>
      </c>
      <c r="P391">
        <v>-0.20722248359426401</v>
      </c>
      <c r="Q391">
        <v>0.66718605056874103</v>
      </c>
      <c r="R391">
        <v>0.740513722729643</v>
      </c>
      <c r="S391" t="s">
        <v>5942</v>
      </c>
      <c r="T391" t="s">
        <v>11100</v>
      </c>
      <c r="U391" t="s">
        <v>11100</v>
      </c>
      <c r="V391" t="s">
        <v>11100</v>
      </c>
      <c r="W391" t="s">
        <v>11487</v>
      </c>
      <c r="X391">
        <v>10</v>
      </c>
      <c r="Y391" t="s">
        <v>16982</v>
      </c>
      <c r="Z391" t="s">
        <v>22396</v>
      </c>
      <c r="AA391">
        <v>0.77306515563598033</v>
      </c>
      <c r="AB391" t="str">
        <f>HYPERLINK("Melting_Curves/meltCurve_E7EPV7_SNCA.pdf", "Melting_Curves/meltCurve_E7EPV7_SNCA.pdf")</f>
        <v>Melting_Curves/meltCurve_E7EPV7_SNCA.pdf</v>
      </c>
    </row>
    <row r="392" spans="1:28" x14ac:dyDescent="0.25">
      <c r="A392" t="s">
        <v>396</v>
      </c>
      <c r="B392">
        <v>0.99299721793515405</v>
      </c>
      <c r="C392">
        <v>0.87255836319737201</v>
      </c>
      <c r="D392">
        <v>0.85196061907499199</v>
      </c>
      <c r="E392">
        <v>0.80329102281208398</v>
      </c>
      <c r="F392">
        <v>0.560124386473971</v>
      </c>
      <c r="G392">
        <v>0.32932698543471001</v>
      </c>
      <c r="H392">
        <v>0.22112764056269599</v>
      </c>
      <c r="I392">
        <v>0.25819094209840998</v>
      </c>
      <c r="J392">
        <v>0.201387069939156</v>
      </c>
      <c r="K392">
        <v>0.19097552908513599</v>
      </c>
      <c r="L392">
        <v>650.33400261025201</v>
      </c>
      <c r="M392">
        <v>13.1465934120406</v>
      </c>
      <c r="N392">
        <v>50.896187813262003</v>
      </c>
      <c r="O392">
        <v>48.365309256527198</v>
      </c>
      <c r="P392">
        <v>-5.74814223741048E-2</v>
      </c>
      <c r="Q392">
        <v>0.154264415964805</v>
      </c>
      <c r="R392">
        <v>0.97728756853852095</v>
      </c>
      <c r="S392" t="s">
        <v>5943</v>
      </c>
      <c r="T392" t="s">
        <v>11100</v>
      </c>
      <c r="U392" t="s">
        <v>11100</v>
      </c>
      <c r="V392" t="s">
        <v>11100</v>
      </c>
      <c r="W392" t="s">
        <v>11488</v>
      </c>
      <c r="X392">
        <v>9</v>
      </c>
      <c r="Y392" t="s">
        <v>16983</v>
      </c>
      <c r="Z392" t="s">
        <v>22397</v>
      </c>
      <c r="AA392">
        <v>0.52746667296996996</v>
      </c>
      <c r="AB392" t="str">
        <f>HYPERLINK("Melting_Curves/meltCurve_E7EPY1_TNIP1.pdf", "Melting_Curves/meltCurve_E7EPY1_TNIP1.pdf")</f>
        <v>Melting_Curves/meltCurve_E7EPY1_TNIP1.pdf</v>
      </c>
    </row>
    <row r="393" spans="1:28" x14ac:dyDescent="0.25">
      <c r="A393" t="s">
        <v>397</v>
      </c>
      <c r="B393">
        <v>0.99299721793515405</v>
      </c>
      <c r="C393">
        <v>0.72051742486478898</v>
      </c>
      <c r="D393">
        <v>0.39473094781908602</v>
      </c>
      <c r="E393">
        <v>0.65400471108070202</v>
      </c>
      <c r="F393">
        <v>0.48598293315438801</v>
      </c>
      <c r="G393">
        <v>0.36973832088883102</v>
      </c>
      <c r="H393">
        <v>0.39627043758513403</v>
      </c>
      <c r="I393">
        <v>0.396605481801169</v>
      </c>
      <c r="J393">
        <v>0.34594474183263801</v>
      </c>
      <c r="K393">
        <v>0.172714682420891</v>
      </c>
      <c r="L393">
        <v>364.48624051594402</v>
      </c>
      <c r="M393">
        <v>8.5460466721263497</v>
      </c>
      <c r="N393">
        <v>47.2638376906094</v>
      </c>
      <c r="O393">
        <v>40.506909987051102</v>
      </c>
      <c r="P393">
        <v>-3.7855695470547797E-2</v>
      </c>
      <c r="Q393">
        <v>0.28291340412167398</v>
      </c>
      <c r="R393">
        <v>0.749295931455636</v>
      </c>
      <c r="S393" t="s">
        <v>5944</v>
      </c>
      <c r="T393" t="s">
        <v>11100</v>
      </c>
      <c r="U393" t="s">
        <v>11100</v>
      </c>
      <c r="V393" t="s">
        <v>11100</v>
      </c>
      <c r="W393" t="s">
        <v>11489</v>
      </c>
      <c r="X393">
        <v>3</v>
      </c>
      <c r="Y393" t="s">
        <v>16984</v>
      </c>
      <c r="Z393" t="s">
        <v>22398</v>
      </c>
      <c r="AA393">
        <v>0.47275512501487138</v>
      </c>
      <c r="AB393" t="str">
        <f>HYPERLINK("Melting_Curves/meltCurve_E7EQ29_GLB1.pdf", "Melting_Curves/meltCurve_E7EQ29_GLB1.pdf")</f>
        <v>Melting_Curves/meltCurve_E7EQ29_GLB1.pdf</v>
      </c>
    </row>
    <row r="394" spans="1:28" x14ac:dyDescent="0.25">
      <c r="A394" t="s">
        <v>398</v>
      </c>
      <c r="B394">
        <v>0.99299721793515405</v>
      </c>
      <c r="C394">
        <v>0.939678836501884</v>
      </c>
      <c r="D394">
        <v>0.96528805221541802</v>
      </c>
      <c r="E394">
        <v>0.83635046283648495</v>
      </c>
      <c r="F394">
        <v>0.73175451371383504</v>
      </c>
      <c r="G394">
        <v>0.62005228537203905</v>
      </c>
      <c r="H394">
        <v>0.45704018993390599</v>
      </c>
      <c r="I394">
        <v>0.18574168385821599</v>
      </c>
      <c r="J394">
        <v>0.217027840592594</v>
      </c>
      <c r="K394">
        <v>0.22281857250098899</v>
      </c>
      <c r="L394">
        <v>571.23818503307803</v>
      </c>
      <c r="M394">
        <v>10.402574223723301</v>
      </c>
      <c r="N394">
        <v>55.414096321096103</v>
      </c>
      <c r="O394">
        <v>53.000131590904402</v>
      </c>
      <c r="P394">
        <v>-4.6886192139219199E-2</v>
      </c>
      <c r="Q394">
        <v>4.4876240032569598E-2</v>
      </c>
      <c r="R394">
        <v>0.97747767875168201</v>
      </c>
      <c r="S394" t="s">
        <v>5945</v>
      </c>
      <c r="T394" t="s">
        <v>11100</v>
      </c>
      <c r="U394" t="s">
        <v>11100</v>
      </c>
      <c r="V394" t="s">
        <v>11100</v>
      </c>
      <c r="W394" t="s">
        <v>11490</v>
      </c>
      <c r="X394">
        <v>9</v>
      </c>
      <c r="Y394" t="s">
        <v>16985</v>
      </c>
      <c r="Z394" t="s">
        <v>22399</v>
      </c>
      <c r="AA394">
        <v>0.62783935135436952</v>
      </c>
      <c r="AB394" t="str">
        <f>HYPERLINK("Melting_Curves/meltCurve_E7EQ69_NAA50.pdf", "Melting_Curves/meltCurve_E7EQ69_NAA50.pdf")</f>
        <v>Melting_Curves/meltCurve_E7EQ69_NAA50.pdf</v>
      </c>
    </row>
    <row r="395" spans="1:28" x14ac:dyDescent="0.25">
      <c r="A395" t="s">
        <v>399</v>
      </c>
      <c r="B395">
        <v>0.99299721793515405</v>
      </c>
      <c r="C395">
        <v>1.5252906247962501</v>
      </c>
      <c r="D395">
        <v>3.2555839101458002</v>
      </c>
      <c r="E395">
        <v>1.5773460470254499</v>
      </c>
      <c r="F395">
        <v>1.1943384600243301</v>
      </c>
      <c r="G395">
        <v>2.5337946392497499</v>
      </c>
      <c r="H395">
        <v>0.69079527521200401</v>
      </c>
      <c r="I395">
        <v>0.48722920848385198</v>
      </c>
      <c r="J395">
        <v>0.27697411682178202</v>
      </c>
      <c r="K395">
        <v>0.33689389766334898</v>
      </c>
      <c r="L395">
        <v>14352.641065055701</v>
      </c>
      <c r="M395">
        <v>250</v>
      </c>
      <c r="N395">
        <v>57.716332326639801</v>
      </c>
      <c r="O395">
        <v>57.4068996563064</v>
      </c>
      <c r="P395">
        <v>-0.68912433219473102</v>
      </c>
      <c r="Q395">
        <v>0.36703224070595503</v>
      </c>
      <c r="R395">
        <v>5.5120519781987003E-2</v>
      </c>
      <c r="S395" t="s">
        <v>5946</v>
      </c>
      <c r="T395" t="s">
        <v>11100</v>
      </c>
      <c r="U395" t="s">
        <v>11100</v>
      </c>
      <c r="V395" t="s">
        <v>11100</v>
      </c>
      <c r="W395" t="s">
        <v>11491</v>
      </c>
      <c r="X395">
        <v>4</v>
      </c>
      <c r="Y395" t="s">
        <v>16986</v>
      </c>
      <c r="Z395" t="s">
        <v>22400</v>
      </c>
      <c r="AA395">
        <v>0.79773698600630483</v>
      </c>
      <c r="AB395" t="str">
        <f>HYPERLINK("Melting_Curves/meltCurve_E7EQ72_TMED2.pdf", "Melting_Curves/meltCurve_E7EQ72_TMED2.pdf")</f>
        <v>Melting_Curves/meltCurve_E7EQ72_TMED2.pdf</v>
      </c>
    </row>
    <row r="396" spans="1:28" x14ac:dyDescent="0.25">
      <c r="A396" t="s">
        <v>400</v>
      </c>
      <c r="B396">
        <v>0.99299721793515405</v>
      </c>
      <c r="C396">
        <v>0.87075283693007299</v>
      </c>
      <c r="D396">
        <v>0.89984989212655397</v>
      </c>
      <c r="E396">
        <v>1.03843538715113</v>
      </c>
      <c r="F396">
        <v>0.74179808458543095</v>
      </c>
      <c r="G396">
        <v>0.48686154404506699</v>
      </c>
      <c r="H396">
        <v>0.368657441958118</v>
      </c>
      <c r="I396">
        <v>0.20707174262339301</v>
      </c>
      <c r="J396">
        <v>0.181853684046793</v>
      </c>
      <c r="K396">
        <v>8.8235030099243703E-2</v>
      </c>
      <c r="L396">
        <v>837.52525391545998</v>
      </c>
      <c r="M396">
        <v>15.623300621039499</v>
      </c>
      <c r="N396">
        <v>54.277022429413499</v>
      </c>
      <c r="O396">
        <v>52.752194826345502</v>
      </c>
      <c r="P396">
        <v>-6.7557189460032196E-2</v>
      </c>
      <c r="Q396">
        <v>8.7648748755500105E-2</v>
      </c>
      <c r="R396">
        <v>0.96404592543713996</v>
      </c>
      <c r="S396" t="s">
        <v>5947</v>
      </c>
      <c r="T396" t="s">
        <v>11100</v>
      </c>
      <c r="U396" t="s">
        <v>11100</v>
      </c>
      <c r="V396" t="s">
        <v>11100</v>
      </c>
      <c r="W396" t="s">
        <v>11492</v>
      </c>
      <c r="X396">
        <v>3</v>
      </c>
      <c r="Y396" t="s">
        <v>16987</v>
      </c>
      <c r="Z396" t="s">
        <v>22401</v>
      </c>
      <c r="AA396">
        <v>0.60759000384331741</v>
      </c>
      <c r="AB396" t="str">
        <f>HYPERLINK("Melting_Curves/meltCurve_E7EQN6_SENP6.pdf", "Melting_Curves/meltCurve_E7EQN6_SENP6.pdf")</f>
        <v>Melting_Curves/meltCurve_E7EQN6_SENP6.pdf</v>
      </c>
    </row>
    <row r="397" spans="1:28" x14ac:dyDescent="0.25">
      <c r="A397" t="s">
        <v>401</v>
      </c>
      <c r="B397">
        <v>0.99299721793515405</v>
      </c>
      <c r="C397">
        <v>1.03826803810609</v>
      </c>
      <c r="D397">
        <v>0.95596815984072903</v>
      </c>
      <c r="E397">
        <v>0.87335862449184298</v>
      </c>
      <c r="F397">
        <v>0.69676439597746198</v>
      </c>
      <c r="G397">
        <v>0.520098788350285</v>
      </c>
      <c r="H397">
        <v>0.543761244000868</v>
      </c>
      <c r="I397">
        <v>0.66501866221084605</v>
      </c>
      <c r="J397">
        <v>0.57209188399703703</v>
      </c>
      <c r="K397">
        <v>0.46809180866525801</v>
      </c>
      <c r="L397">
        <v>1276.2079243528401</v>
      </c>
      <c r="M397">
        <v>26.4071545857452</v>
      </c>
      <c r="O397">
        <v>48.053542215842903</v>
      </c>
      <c r="P397">
        <v>-6.1822199715077103E-2</v>
      </c>
      <c r="Q397">
        <v>0.55000951491262196</v>
      </c>
      <c r="R397">
        <v>0.935548314637491</v>
      </c>
      <c r="S397" t="s">
        <v>5948</v>
      </c>
      <c r="T397" t="s">
        <v>11100</v>
      </c>
      <c r="U397" t="s">
        <v>11100</v>
      </c>
      <c r="V397" t="s">
        <v>11100</v>
      </c>
      <c r="W397" t="s">
        <v>11493</v>
      </c>
      <c r="X397">
        <v>3</v>
      </c>
      <c r="Y397" t="s">
        <v>16988</v>
      </c>
      <c r="Z397" t="s">
        <v>22402</v>
      </c>
      <c r="AA397">
        <v>0.72338548371551536</v>
      </c>
      <c r="AB397" t="str">
        <f>HYPERLINK("Melting_Curves/meltCurve_E7EQR8_YIPF3.pdf", "Melting_Curves/meltCurve_E7EQR8_YIPF3.pdf")</f>
        <v>Melting_Curves/meltCurve_E7EQR8_YIPF3.pdf</v>
      </c>
    </row>
    <row r="398" spans="1:28" x14ac:dyDescent="0.25">
      <c r="A398" t="s">
        <v>402</v>
      </c>
      <c r="B398">
        <v>0.99299721793515405</v>
      </c>
      <c r="C398">
        <v>1.10368471819111</v>
      </c>
      <c r="D398">
        <v>0.90351482670238603</v>
      </c>
      <c r="E398">
        <v>0.87076422563330702</v>
      </c>
      <c r="F398">
        <v>0.75657354849945402</v>
      </c>
      <c r="G398">
        <v>0.33278738644772599</v>
      </c>
      <c r="H398">
        <v>0.188671067408368</v>
      </c>
      <c r="I398">
        <v>0.103099055173403</v>
      </c>
      <c r="J398">
        <v>0.108480507002207</v>
      </c>
      <c r="K398">
        <v>6.4970793946948102E-2</v>
      </c>
      <c r="L398">
        <v>1101.3654213058701</v>
      </c>
      <c r="M398">
        <v>21.199575966039902</v>
      </c>
      <c r="N398">
        <v>52.321540037880098</v>
      </c>
      <c r="O398">
        <v>51.4965877206443</v>
      </c>
      <c r="P398">
        <v>-9.5768334114885903E-2</v>
      </c>
      <c r="Q398">
        <v>6.9487953770719202E-2</v>
      </c>
      <c r="R398">
        <v>0.98293916403199799</v>
      </c>
      <c r="S398" t="s">
        <v>5949</v>
      </c>
      <c r="T398" t="s">
        <v>11100</v>
      </c>
      <c r="U398" t="s">
        <v>11100</v>
      </c>
      <c r="V398" t="s">
        <v>11100</v>
      </c>
      <c r="W398" t="s">
        <v>11494</v>
      </c>
      <c r="X398">
        <v>4</v>
      </c>
      <c r="Y398" t="s">
        <v>16989</v>
      </c>
      <c r="Z398" t="s">
        <v>22403</v>
      </c>
      <c r="AA398">
        <v>0.54421623195385538</v>
      </c>
      <c r="AB398" t="str">
        <f>HYPERLINK("Melting_Curves/meltCurve_E7EQR9_DMD.pdf", "Melting_Curves/meltCurve_E7EQR9_DMD.pdf")</f>
        <v>Melting_Curves/meltCurve_E7EQR9_DMD.pdf</v>
      </c>
    </row>
    <row r="399" spans="1:28" x14ac:dyDescent="0.25">
      <c r="A399" t="s">
        <v>403</v>
      </c>
      <c r="B399">
        <v>0.99299721793515405</v>
      </c>
      <c r="C399">
        <v>0.90068380740230103</v>
      </c>
      <c r="D399">
        <v>0.92995702367895094</v>
      </c>
      <c r="E399">
        <v>0.83418170913649203</v>
      </c>
      <c r="F399">
        <v>0.73087929787751005</v>
      </c>
      <c r="G399">
        <v>0.57711205712749902</v>
      </c>
      <c r="H399">
        <v>0.56045094684792196</v>
      </c>
      <c r="I399">
        <v>0.63634121504585195</v>
      </c>
      <c r="J399">
        <v>0.69076972533802306</v>
      </c>
      <c r="K399">
        <v>0.52131484389396698</v>
      </c>
      <c r="L399">
        <v>700.18115570813097</v>
      </c>
      <c r="M399">
        <v>14.824986721195801</v>
      </c>
      <c r="O399">
        <v>46.395413227791401</v>
      </c>
      <c r="P399">
        <v>-3.3445383595191003E-2</v>
      </c>
      <c r="Q399">
        <v>0.58136940146071603</v>
      </c>
      <c r="R399">
        <v>0.88513267566791498</v>
      </c>
      <c r="S399" t="s">
        <v>5950</v>
      </c>
      <c r="T399" t="s">
        <v>11100</v>
      </c>
      <c r="U399" t="s">
        <v>11100</v>
      </c>
      <c r="V399" t="s">
        <v>11100</v>
      </c>
      <c r="W399" t="s">
        <v>11495</v>
      </c>
      <c r="X399">
        <v>19</v>
      </c>
      <c r="Y399" t="s">
        <v>16990</v>
      </c>
      <c r="Z399" t="s">
        <v>22404</v>
      </c>
      <c r="AA399">
        <v>0.73369210340290181</v>
      </c>
      <c r="AB399" t="str">
        <f>HYPERLINK("Melting_Curves/meltCurve_E7EQT4_ACIN1.pdf", "Melting_Curves/meltCurve_E7EQT4_ACIN1.pdf")</f>
        <v>Melting_Curves/meltCurve_E7EQT4_ACIN1.pdf</v>
      </c>
    </row>
    <row r="400" spans="1:28" x14ac:dyDescent="0.25">
      <c r="A400" t="s">
        <v>404</v>
      </c>
      <c r="B400">
        <v>0.99299721793515405</v>
      </c>
      <c r="C400">
        <v>0.95694751299834802</v>
      </c>
      <c r="D400">
        <v>0.89607739202412295</v>
      </c>
      <c r="E400">
        <v>0.55055639689797697</v>
      </c>
      <c r="F400">
        <v>0.38286513090003998</v>
      </c>
      <c r="G400">
        <v>0.20469712965644801</v>
      </c>
      <c r="H400">
        <v>0.201844034246352</v>
      </c>
      <c r="I400">
        <v>0.219174042773921</v>
      </c>
      <c r="J400">
        <v>0.24896330839789799</v>
      </c>
      <c r="K400">
        <v>0.20693591309335799</v>
      </c>
      <c r="L400">
        <v>999.72147717855296</v>
      </c>
      <c r="M400">
        <v>21.597028895217001</v>
      </c>
      <c r="N400">
        <v>47.4982883199539</v>
      </c>
      <c r="O400">
        <v>45.898394830921397</v>
      </c>
      <c r="P400">
        <v>-9.2771136674939705E-2</v>
      </c>
      <c r="Q400">
        <v>0.211383606364097</v>
      </c>
      <c r="R400">
        <v>0.99262608163262001</v>
      </c>
      <c r="S400" t="s">
        <v>5951</v>
      </c>
      <c r="T400" t="s">
        <v>11100</v>
      </c>
      <c r="U400" t="s">
        <v>11100</v>
      </c>
      <c r="V400" t="s">
        <v>11100</v>
      </c>
      <c r="W400" t="s">
        <v>11496</v>
      </c>
      <c r="X400">
        <v>2</v>
      </c>
      <c r="Y400" t="s">
        <v>16991</v>
      </c>
      <c r="Z400" t="s">
        <v>22405</v>
      </c>
      <c r="AA400">
        <v>0.46441584819453952</v>
      </c>
      <c r="AB400" t="str">
        <f>HYPERLINK("Melting_Curves/meltCurve_E7EQX7_TP53.pdf", "Melting_Curves/meltCurve_E7EQX7_TP53.pdf")</f>
        <v>Melting_Curves/meltCurve_E7EQX7_TP53.pdf</v>
      </c>
    </row>
    <row r="401" spans="1:28" x14ac:dyDescent="0.25">
      <c r="A401" t="s">
        <v>405</v>
      </c>
      <c r="B401">
        <v>0.99299721793515405</v>
      </c>
      <c r="C401">
        <v>0.95065453116325205</v>
      </c>
      <c r="D401">
        <v>0.95420211926973897</v>
      </c>
      <c r="E401">
        <v>0.85004248835046003</v>
      </c>
      <c r="F401">
        <v>0.77698965179259205</v>
      </c>
      <c r="G401">
        <v>0.53360272073663195</v>
      </c>
      <c r="H401">
        <v>0.47849745429543</v>
      </c>
      <c r="I401">
        <v>0.52165537242561699</v>
      </c>
      <c r="J401">
        <v>0.56370612322274705</v>
      </c>
      <c r="K401">
        <v>0.54443894417579697</v>
      </c>
      <c r="L401">
        <v>997.96060621874403</v>
      </c>
      <c r="M401">
        <v>20.28689490835</v>
      </c>
      <c r="O401">
        <v>48.721872544403702</v>
      </c>
      <c r="P401">
        <v>-5.05755077676006E-2</v>
      </c>
      <c r="Q401">
        <v>0.51415775861950497</v>
      </c>
      <c r="R401">
        <v>0.95490686290977</v>
      </c>
      <c r="S401" t="s">
        <v>5952</v>
      </c>
      <c r="T401" t="s">
        <v>11100</v>
      </c>
      <c r="U401" t="s">
        <v>11100</v>
      </c>
      <c r="V401" t="s">
        <v>11100</v>
      </c>
      <c r="W401" t="s">
        <v>11497</v>
      </c>
      <c r="X401">
        <v>14</v>
      </c>
      <c r="Y401" t="s">
        <v>16992</v>
      </c>
      <c r="Z401" t="s">
        <v>22406</v>
      </c>
      <c r="AA401">
        <v>0.71784903388271881</v>
      </c>
      <c r="AB401" t="str">
        <f>HYPERLINK("Melting_Curves/meltCurve_E7EQY1_FAM136A.pdf", "Melting_Curves/meltCurve_E7EQY1_FAM136A.pdf")</f>
        <v>Melting_Curves/meltCurve_E7EQY1_FAM136A.pdf</v>
      </c>
    </row>
    <row r="402" spans="1:28" x14ac:dyDescent="0.25">
      <c r="A402" t="s">
        <v>406</v>
      </c>
      <c r="B402">
        <v>0.99299721793515405</v>
      </c>
      <c r="C402">
        <v>1.00446003115979</v>
      </c>
      <c r="D402">
        <v>0.80294012580868901</v>
      </c>
      <c r="E402">
        <v>0.86570035597494099</v>
      </c>
      <c r="F402">
        <v>0.64223539168438004</v>
      </c>
      <c r="G402">
        <v>0.34036280110470601</v>
      </c>
      <c r="H402">
        <v>0.29647944977198099</v>
      </c>
      <c r="I402">
        <v>0.25498681486819602</v>
      </c>
      <c r="J402">
        <v>0.23783284068935201</v>
      </c>
      <c r="K402">
        <v>0.157808854078267</v>
      </c>
      <c r="L402">
        <v>700.440413826248</v>
      </c>
      <c r="M402">
        <v>13.8555812792923</v>
      </c>
      <c r="N402">
        <v>52.004225054117903</v>
      </c>
      <c r="O402">
        <v>49.534786582453599</v>
      </c>
      <c r="P402">
        <v>-5.8724180507766899E-2</v>
      </c>
      <c r="Q402">
        <v>0.160341229031226</v>
      </c>
      <c r="R402">
        <v>0.96940510214641396</v>
      </c>
      <c r="S402" t="s">
        <v>5953</v>
      </c>
      <c r="T402" t="s">
        <v>11100</v>
      </c>
      <c r="U402" t="s">
        <v>11100</v>
      </c>
      <c r="V402" t="s">
        <v>11100</v>
      </c>
      <c r="W402" t="s">
        <v>11498</v>
      </c>
      <c r="X402">
        <v>2</v>
      </c>
      <c r="Y402" t="s">
        <v>16993</v>
      </c>
      <c r="Z402" t="s">
        <v>22407</v>
      </c>
      <c r="AA402">
        <v>0.55878510971500561</v>
      </c>
      <c r="AB402" t="str">
        <f>HYPERLINK("Melting_Curves/meltCurve_E7ER60_SYNJ2.pdf", "Melting_Curves/meltCurve_E7ER60_SYNJ2.pdf")</f>
        <v>Melting_Curves/meltCurve_E7ER60_SYNJ2.pdf</v>
      </c>
    </row>
    <row r="403" spans="1:28" x14ac:dyDescent="0.25">
      <c r="A403" t="s">
        <v>407</v>
      </c>
      <c r="B403">
        <v>0.99299721793515405</v>
      </c>
      <c r="C403">
        <v>0.83712136778004897</v>
      </c>
      <c r="D403">
        <v>1.04756653648446</v>
      </c>
      <c r="E403">
        <v>0.73817498769844803</v>
      </c>
      <c r="F403">
        <v>0.74330827754665596</v>
      </c>
      <c r="G403">
        <v>0.498853384122462</v>
      </c>
      <c r="H403">
        <v>0.442231961091896</v>
      </c>
      <c r="I403">
        <v>0.56894656275011901</v>
      </c>
      <c r="J403">
        <v>0.516324302066408</v>
      </c>
      <c r="K403">
        <v>0.38347335611749001</v>
      </c>
      <c r="L403">
        <v>721.49126871054796</v>
      </c>
      <c r="M403">
        <v>14.8206441475036</v>
      </c>
      <c r="N403">
        <v>57.508857057235304</v>
      </c>
      <c r="O403">
        <v>47.8209850381688</v>
      </c>
      <c r="P403">
        <v>-4.2727170548816501E-2</v>
      </c>
      <c r="Q403">
        <v>0.44859645643235502</v>
      </c>
      <c r="R403">
        <v>0.85549450337599797</v>
      </c>
      <c r="S403" t="s">
        <v>5954</v>
      </c>
      <c r="T403" t="s">
        <v>11100</v>
      </c>
      <c r="U403" t="s">
        <v>11100</v>
      </c>
      <c r="V403" t="s">
        <v>11100</v>
      </c>
      <c r="W403" t="s">
        <v>11499</v>
      </c>
      <c r="X403">
        <v>7</v>
      </c>
      <c r="Y403" t="s">
        <v>16994</v>
      </c>
      <c r="Z403" t="s">
        <v>22408</v>
      </c>
      <c r="AA403">
        <v>0.67549224554415421</v>
      </c>
      <c r="AB403" t="str">
        <f>HYPERLINK("Melting_Curves/meltCurve_E7ER77_ERMP1.pdf", "Melting_Curves/meltCurve_E7ER77_ERMP1.pdf")</f>
        <v>Melting_Curves/meltCurve_E7ER77_ERMP1.pdf</v>
      </c>
    </row>
    <row r="404" spans="1:28" x14ac:dyDescent="0.25">
      <c r="A404" t="s">
        <v>408</v>
      </c>
      <c r="B404">
        <v>0.99299721793515405</v>
      </c>
      <c r="C404">
        <v>0.98206275548586397</v>
      </c>
      <c r="D404">
        <v>0.91446971077615002</v>
      </c>
      <c r="E404">
        <v>0.86081300358018398</v>
      </c>
      <c r="F404">
        <v>0.71118289652376898</v>
      </c>
      <c r="G404">
        <v>0.57107473346611703</v>
      </c>
      <c r="H404">
        <v>0.25336022073130798</v>
      </c>
      <c r="I404">
        <v>0.15670953091734599</v>
      </c>
      <c r="J404">
        <v>0.15285522954127401</v>
      </c>
      <c r="K404">
        <v>0.127756420770649</v>
      </c>
      <c r="L404">
        <v>707.23281144844304</v>
      </c>
      <c r="M404">
        <v>13.2394290248529</v>
      </c>
      <c r="N404">
        <v>53.754248809225999</v>
      </c>
      <c r="O404">
        <v>52.244072357948902</v>
      </c>
      <c r="P404">
        <v>-6.0850949109989498E-2</v>
      </c>
      <c r="Q404">
        <v>3.9663011207639397E-2</v>
      </c>
      <c r="R404">
        <v>0.98820575738671601</v>
      </c>
      <c r="S404" t="s">
        <v>5955</v>
      </c>
      <c r="T404" t="s">
        <v>11100</v>
      </c>
      <c r="U404" t="s">
        <v>11100</v>
      </c>
      <c r="V404" t="s">
        <v>11100</v>
      </c>
      <c r="W404" t="s">
        <v>11500</v>
      </c>
      <c r="X404">
        <v>21</v>
      </c>
      <c r="Y404" t="s">
        <v>16995</v>
      </c>
      <c r="Z404" t="s">
        <v>22409</v>
      </c>
      <c r="AA404">
        <v>0.58336577328173456</v>
      </c>
      <c r="AB404" t="str">
        <f>HYPERLINK("Melting_Curves/meltCurve_E7ER89_PAPSS2.pdf", "Melting_Curves/meltCurve_E7ER89_PAPSS2.pdf")</f>
        <v>Melting_Curves/meltCurve_E7ER89_PAPSS2.pdf</v>
      </c>
    </row>
    <row r="405" spans="1:28" x14ac:dyDescent="0.25">
      <c r="A405" t="s">
        <v>409</v>
      </c>
      <c r="B405">
        <v>0.99299721793515405</v>
      </c>
      <c r="C405">
        <v>1.0650593954274801</v>
      </c>
      <c r="D405">
        <v>0.89866118110495896</v>
      </c>
      <c r="E405">
        <v>1.04109311676434</v>
      </c>
      <c r="F405">
        <v>0.83079233649793804</v>
      </c>
      <c r="G405">
        <v>0.23749501780819501</v>
      </c>
      <c r="H405">
        <v>0.25235679323791899</v>
      </c>
      <c r="I405">
        <v>0.33716086125077199</v>
      </c>
      <c r="J405">
        <v>0.29632735443749803</v>
      </c>
      <c r="K405">
        <v>0.129796707690503</v>
      </c>
      <c r="L405">
        <v>12611.855724250099</v>
      </c>
      <c r="M405">
        <v>250</v>
      </c>
      <c r="N405">
        <v>50.588191299922599</v>
      </c>
      <c r="O405">
        <v>50.444194824357297</v>
      </c>
      <c r="P405">
        <v>-0.92846744393151504</v>
      </c>
      <c r="Q405">
        <v>0.25062732218633399</v>
      </c>
      <c r="R405">
        <v>0.96974683557799601</v>
      </c>
      <c r="S405" t="s">
        <v>5956</v>
      </c>
      <c r="T405" t="s">
        <v>11100</v>
      </c>
      <c r="U405" t="s">
        <v>11100</v>
      </c>
      <c r="V405" t="s">
        <v>11100</v>
      </c>
      <c r="W405" t="s">
        <v>11501</v>
      </c>
      <c r="X405">
        <v>2</v>
      </c>
      <c r="Y405" t="s">
        <v>16996</v>
      </c>
      <c r="Z405" t="s">
        <v>22410</v>
      </c>
      <c r="AA405">
        <v>0.58659804434551732</v>
      </c>
      <c r="AB405" t="str">
        <f>HYPERLINK("Melting_Curves/meltCurve_E7ERB7_GMIP.pdf", "Melting_Curves/meltCurve_E7ERB7_GMIP.pdf")</f>
        <v>Melting_Curves/meltCurve_E7ERB7_GMIP.pdf</v>
      </c>
    </row>
    <row r="406" spans="1:28" x14ac:dyDescent="0.25">
      <c r="A406" t="s">
        <v>410</v>
      </c>
      <c r="B406">
        <v>0.99299721793515405</v>
      </c>
      <c r="C406">
        <v>0.88798994073300297</v>
      </c>
      <c r="D406">
        <v>0.83174161351712905</v>
      </c>
      <c r="E406">
        <v>0.82818330012581298</v>
      </c>
      <c r="F406">
        <v>0.720542916285416</v>
      </c>
      <c r="G406">
        <v>0.58548483493386805</v>
      </c>
      <c r="H406">
        <v>0.46756372071010099</v>
      </c>
      <c r="I406">
        <v>0.26009830646637</v>
      </c>
      <c r="J406">
        <v>0.21220641181699501</v>
      </c>
      <c r="K406">
        <v>0.17899022325980901</v>
      </c>
      <c r="L406">
        <v>451.85659162718798</v>
      </c>
      <c r="M406">
        <v>8.1928937392720602</v>
      </c>
      <c r="N406">
        <v>55.152258371535702</v>
      </c>
      <c r="O406">
        <v>52.158795157279201</v>
      </c>
      <c r="P406">
        <v>-3.9309634652691897E-2</v>
      </c>
      <c r="Q406">
        <v>0</v>
      </c>
      <c r="R406">
        <v>0.97640419908379406</v>
      </c>
      <c r="S406" t="s">
        <v>5957</v>
      </c>
      <c r="T406" t="s">
        <v>11100</v>
      </c>
      <c r="U406" t="s">
        <v>11100</v>
      </c>
      <c r="V406" t="s">
        <v>11100</v>
      </c>
      <c r="W406" t="s">
        <v>11502</v>
      </c>
      <c r="X406">
        <v>12</v>
      </c>
      <c r="Y406" t="s">
        <v>16997</v>
      </c>
      <c r="Z406" t="s">
        <v>22411</v>
      </c>
      <c r="AA406">
        <v>0.6113687170422496</v>
      </c>
      <c r="AB406" t="str">
        <f>HYPERLINK("Melting_Curves/meltCurve_E7ERC6_ATP2C1.pdf", "Melting_Curves/meltCurve_E7ERC6_ATP2C1.pdf")</f>
        <v>Melting_Curves/meltCurve_E7ERC6_ATP2C1.pdf</v>
      </c>
    </row>
    <row r="407" spans="1:28" x14ac:dyDescent="0.25">
      <c r="A407" t="s">
        <v>411</v>
      </c>
      <c r="B407">
        <v>0.99299721793515405</v>
      </c>
      <c r="C407">
        <v>1.0340970339389199</v>
      </c>
      <c r="D407">
        <v>0.97666510423847697</v>
      </c>
      <c r="E407">
        <v>0.87425425688055203</v>
      </c>
      <c r="F407">
        <v>0.68402458173432101</v>
      </c>
      <c r="G407">
        <v>0.37704797947843399</v>
      </c>
      <c r="H407">
        <v>0.205940035914254</v>
      </c>
      <c r="I407">
        <v>0.151254890280172</v>
      </c>
      <c r="J407">
        <v>0.124039896995429</v>
      </c>
      <c r="K407">
        <v>0.109089776841358</v>
      </c>
      <c r="L407">
        <v>978.52988740235799</v>
      </c>
      <c r="M407">
        <v>18.962073494409498</v>
      </c>
      <c r="N407">
        <v>52.211778456783499</v>
      </c>
      <c r="O407">
        <v>51.040918949722901</v>
      </c>
      <c r="P407">
        <v>-8.3689816182200005E-2</v>
      </c>
      <c r="Q407">
        <v>9.8952230737941099E-2</v>
      </c>
      <c r="R407">
        <v>0.99829432431276799</v>
      </c>
      <c r="S407" t="s">
        <v>5958</v>
      </c>
      <c r="T407" t="s">
        <v>11100</v>
      </c>
      <c r="U407" t="s">
        <v>11100</v>
      </c>
      <c r="V407" t="s">
        <v>11100</v>
      </c>
      <c r="W407" t="s">
        <v>11503</v>
      </c>
      <c r="X407">
        <v>12</v>
      </c>
      <c r="Y407" t="s">
        <v>16998</v>
      </c>
      <c r="Z407" t="s">
        <v>22412</v>
      </c>
      <c r="AA407">
        <v>0.55033861730954081</v>
      </c>
      <c r="AB407" t="str">
        <f>HYPERLINK("Melting_Curves/meltCurve_E7ERI8_CLASP2.pdf", "Melting_Curves/meltCurve_E7ERI8_CLASP2.pdf")</f>
        <v>Melting_Curves/meltCurve_E7ERI8_CLASP2.pdf</v>
      </c>
    </row>
    <row r="408" spans="1:28" x14ac:dyDescent="0.25">
      <c r="A408" t="s">
        <v>412</v>
      </c>
      <c r="B408">
        <v>0.99299721793515405</v>
      </c>
      <c r="C408">
        <v>0.36729466611071698</v>
      </c>
      <c r="D408">
        <v>0.53080787289176001</v>
      </c>
      <c r="E408">
        <v>0.91096956492199499</v>
      </c>
      <c r="F408">
        <v>0.311808231937098</v>
      </c>
      <c r="G408">
        <v>0.38265367241695802</v>
      </c>
      <c r="H408">
        <v>0.14469531338328201</v>
      </c>
      <c r="I408">
        <v>0</v>
      </c>
      <c r="J408">
        <v>0</v>
      </c>
      <c r="K408">
        <v>0</v>
      </c>
      <c r="L408">
        <v>329.53729414083801</v>
      </c>
      <c r="M408">
        <v>7.1632182839162599</v>
      </c>
      <c r="N408">
        <v>46.004084241599898</v>
      </c>
      <c r="O408">
        <v>42.8236142315629</v>
      </c>
      <c r="P408">
        <v>-4.1889392929007202E-2</v>
      </c>
      <c r="Q408">
        <v>0</v>
      </c>
      <c r="R408">
        <v>0.63615472350676106</v>
      </c>
      <c r="S408" t="s">
        <v>5959</v>
      </c>
      <c r="T408" t="s">
        <v>11100</v>
      </c>
      <c r="U408" t="s">
        <v>11100</v>
      </c>
      <c r="V408" t="s">
        <v>11100</v>
      </c>
      <c r="W408" t="s">
        <v>11504</v>
      </c>
      <c r="X408">
        <v>3</v>
      </c>
      <c r="Y408" t="s">
        <v>16999</v>
      </c>
      <c r="Z408" t="s">
        <v>22413</v>
      </c>
      <c r="AA408">
        <v>0.37185764418685763</v>
      </c>
      <c r="AB408" t="str">
        <f>HYPERLINK("Melting_Curves/meltCurve_E7ERK9_EIF2B4.pdf", "Melting_Curves/meltCurve_E7ERK9_EIF2B4.pdf")</f>
        <v>Melting_Curves/meltCurve_E7ERK9_EIF2B4.pdf</v>
      </c>
    </row>
    <row r="409" spans="1:28" x14ac:dyDescent="0.25">
      <c r="A409" t="s">
        <v>413</v>
      </c>
      <c r="B409">
        <v>0.99299721793515405</v>
      </c>
      <c r="C409">
        <v>0.94145653682659802</v>
      </c>
      <c r="D409">
        <v>0.98977169396533504</v>
      </c>
      <c r="E409">
        <v>0.95982944630659595</v>
      </c>
      <c r="F409">
        <v>0.63737479781922701</v>
      </c>
      <c r="G409">
        <v>0.54649935856251097</v>
      </c>
      <c r="H409">
        <v>0.36457069215710203</v>
      </c>
      <c r="I409">
        <v>0.48964473915319601</v>
      </c>
      <c r="J409">
        <v>0.298992907574539</v>
      </c>
      <c r="K409">
        <v>0.493650572528196</v>
      </c>
      <c r="L409">
        <v>1417.0584181224499</v>
      </c>
      <c r="M409">
        <v>28.482431960112802</v>
      </c>
      <c r="N409">
        <v>53.142382817276001</v>
      </c>
      <c r="O409">
        <v>49.508722449198402</v>
      </c>
      <c r="P409">
        <v>-8.3598745095561394E-2</v>
      </c>
      <c r="Q409">
        <v>0.41875296844647097</v>
      </c>
      <c r="R409">
        <v>0.94151395725471698</v>
      </c>
      <c r="S409" t="s">
        <v>5960</v>
      </c>
      <c r="T409" t="s">
        <v>11100</v>
      </c>
      <c r="U409" t="s">
        <v>11100</v>
      </c>
      <c r="V409" t="s">
        <v>11100</v>
      </c>
      <c r="W409" t="s">
        <v>11505</v>
      </c>
      <c r="X409">
        <v>2</v>
      </c>
      <c r="Y409" t="s">
        <v>17000</v>
      </c>
      <c r="Z409" t="s">
        <v>22414</v>
      </c>
      <c r="AA409">
        <v>0.66975681754454919</v>
      </c>
      <c r="AB409" t="str">
        <f>HYPERLINK("Melting_Curves/meltCurve_E7ERL6_MAST2.pdf", "Melting_Curves/meltCurve_E7ERL6_MAST2.pdf")</f>
        <v>Melting_Curves/meltCurve_E7ERL6_MAST2.pdf</v>
      </c>
    </row>
    <row r="410" spans="1:28" x14ac:dyDescent="0.25">
      <c r="A410" t="s">
        <v>414</v>
      </c>
      <c r="B410">
        <v>0.99299721793515405</v>
      </c>
      <c r="C410">
        <v>1.01826645608012</v>
      </c>
      <c r="D410">
        <v>0.95367792621915304</v>
      </c>
      <c r="E410">
        <v>0.86544061537758799</v>
      </c>
      <c r="F410">
        <v>0.89289229114393598</v>
      </c>
      <c r="G410">
        <v>0.60656427553119696</v>
      </c>
      <c r="H410">
        <v>0.52955555276805699</v>
      </c>
      <c r="I410">
        <v>0.553331012146833</v>
      </c>
      <c r="J410">
        <v>0.73209325058291697</v>
      </c>
      <c r="K410">
        <v>0.59155699053051403</v>
      </c>
      <c r="L410">
        <v>3094.5798659085999</v>
      </c>
      <c r="M410">
        <v>60.691989640694402</v>
      </c>
      <c r="O410">
        <v>50.933006452379601</v>
      </c>
      <c r="P410">
        <v>-0.119295910499394</v>
      </c>
      <c r="Q410">
        <v>0.59954537781575201</v>
      </c>
      <c r="R410">
        <v>0.86489464252449899</v>
      </c>
      <c r="S410" t="s">
        <v>5961</v>
      </c>
      <c r="T410" t="s">
        <v>11100</v>
      </c>
      <c r="U410" t="s">
        <v>11100</v>
      </c>
      <c r="V410" t="s">
        <v>11100</v>
      </c>
      <c r="W410" t="s">
        <v>11506</v>
      </c>
      <c r="X410">
        <v>3</v>
      </c>
      <c r="Y410" t="s">
        <v>17001</v>
      </c>
      <c r="Z410" t="s">
        <v>22415</v>
      </c>
      <c r="AA410">
        <v>0.78687786228203693</v>
      </c>
      <c r="AB410" t="str">
        <f>HYPERLINK("Melting_Curves/meltCurve_E7ERS3_ZC3H18.pdf", "Melting_Curves/meltCurve_E7ERS3_ZC3H18.pdf")</f>
        <v>Melting_Curves/meltCurve_E7ERS3_ZC3H18.pdf</v>
      </c>
    </row>
    <row r="411" spans="1:28" x14ac:dyDescent="0.25">
      <c r="A411" t="s">
        <v>415</v>
      </c>
      <c r="B411">
        <v>0.99299721793515405</v>
      </c>
      <c r="C411">
        <v>0.93069987924712805</v>
      </c>
      <c r="D411">
        <v>0.87263944711385499</v>
      </c>
      <c r="E411">
        <v>0.81364314143816496</v>
      </c>
      <c r="F411">
        <v>0.69823222844356603</v>
      </c>
      <c r="G411">
        <v>0.43158587415071997</v>
      </c>
      <c r="H411">
        <v>0.30031548705893801</v>
      </c>
      <c r="I411">
        <v>0.18665572869014199</v>
      </c>
      <c r="J411">
        <v>0.173932418866724</v>
      </c>
      <c r="K411">
        <v>0.154596681972197</v>
      </c>
      <c r="L411">
        <v>580.02949898105499</v>
      </c>
      <c r="M411">
        <v>11.0798457791659</v>
      </c>
      <c r="N411">
        <v>52.899436342190597</v>
      </c>
      <c r="O411">
        <v>50.731434085688697</v>
      </c>
      <c r="P411">
        <v>-5.1649560879814899E-2</v>
      </c>
      <c r="Q411">
        <v>5.4356212667692298E-2</v>
      </c>
      <c r="R411">
        <v>0.99021345283584805</v>
      </c>
      <c r="S411" t="s">
        <v>5962</v>
      </c>
      <c r="T411" t="s">
        <v>11100</v>
      </c>
      <c r="U411" t="s">
        <v>11100</v>
      </c>
      <c r="V411" t="s">
        <v>11100</v>
      </c>
      <c r="W411" t="s">
        <v>11507</v>
      </c>
      <c r="X411">
        <v>6</v>
      </c>
      <c r="Y411" t="s">
        <v>17002</v>
      </c>
      <c r="Z411" t="s">
        <v>22416</v>
      </c>
      <c r="AA411">
        <v>0.56094796198446051</v>
      </c>
      <c r="AB411" t="str">
        <f>HYPERLINK("Melting_Curves/meltCurve_E7ES35_TTC38.pdf", "Melting_Curves/meltCurve_E7ES35_TTC38.pdf")</f>
        <v>Melting_Curves/meltCurve_E7ES35_TTC38.pdf</v>
      </c>
    </row>
    <row r="412" spans="1:28" x14ac:dyDescent="0.25">
      <c r="A412" t="s">
        <v>416</v>
      </c>
      <c r="B412">
        <v>0.99299721793515405</v>
      </c>
      <c r="C412">
        <v>1.07691520024964</v>
      </c>
      <c r="D412">
        <v>1.0129882050930701</v>
      </c>
      <c r="E412">
        <v>1.01344256399494</v>
      </c>
      <c r="F412">
        <v>0.84809009179879202</v>
      </c>
      <c r="G412">
        <v>0.53150278051220501</v>
      </c>
      <c r="H412">
        <v>0.20113344704252001</v>
      </c>
      <c r="I412">
        <v>0.16487897291433501</v>
      </c>
      <c r="J412">
        <v>0.132527722021412</v>
      </c>
      <c r="K412">
        <v>0.101820524608755</v>
      </c>
      <c r="L412">
        <v>1464.98720911244</v>
      </c>
      <c r="M412">
        <v>27.427203024585101</v>
      </c>
      <c r="N412">
        <v>53.920986427462402</v>
      </c>
      <c r="O412">
        <v>53.132128225808302</v>
      </c>
      <c r="P412">
        <v>-0.114376637951439</v>
      </c>
      <c r="Q412">
        <v>0.113724044709872</v>
      </c>
      <c r="R412">
        <v>0.99412868578912195</v>
      </c>
      <c r="S412" t="s">
        <v>5963</v>
      </c>
      <c r="T412" t="s">
        <v>11100</v>
      </c>
      <c r="U412" t="s">
        <v>11100</v>
      </c>
      <c r="V412" t="s">
        <v>11100</v>
      </c>
      <c r="W412" t="s">
        <v>11508</v>
      </c>
      <c r="X412">
        <v>56</v>
      </c>
      <c r="Y412" t="s">
        <v>17003</v>
      </c>
      <c r="Z412" t="s">
        <v>22417</v>
      </c>
      <c r="AA412">
        <v>0.60527434592380558</v>
      </c>
      <c r="AB412" t="str">
        <f>HYPERLINK("Melting_Curves/meltCurve_E7ES43_HSPA4L.pdf", "Melting_Curves/meltCurve_E7ES43_HSPA4L.pdf")</f>
        <v>Melting_Curves/meltCurve_E7ES43_HSPA4L.pdf</v>
      </c>
    </row>
    <row r="413" spans="1:28" x14ac:dyDescent="0.25">
      <c r="A413" t="s">
        <v>417</v>
      </c>
      <c r="B413">
        <v>0.99299721793515405</v>
      </c>
      <c r="C413">
        <v>0.84463367095082997</v>
      </c>
      <c r="D413">
        <v>0.83254409508162697</v>
      </c>
      <c r="E413">
        <v>0.76959533623071297</v>
      </c>
      <c r="F413">
        <v>0.79759282309020696</v>
      </c>
      <c r="G413">
        <v>0.55532767079502499</v>
      </c>
      <c r="H413">
        <v>0.49522817867114799</v>
      </c>
      <c r="I413">
        <v>0.54671490680531498</v>
      </c>
      <c r="J413">
        <v>0.52150406079704004</v>
      </c>
      <c r="K413">
        <v>0.47187324158377397</v>
      </c>
      <c r="L413">
        <v>337.44400905732101</v>
      </c>
      <c r="M413">
        <v>6.7275094401489701</v>
      </c>
      <c r="N413">
        <v>63.371387270613702</v>
      </c>
      <c r="O413">
        <v>46.2849186492084</v>
      </c>
      <c r="P413">
        <v>-2.2685785184245199E-2</v>
      </c>
      <c r="Q413">
        <v>0.37702716041650902</v>
      </c>
      <c r="R413">
        <v>0.90776977710470597</v>
      </c>
      <c r="S413" t="s">
        <v>5964</v>
      </c>
      <c r="T413" t="s">
        <v>11100</v>
      </c>
      <c r="U413" t="s">
        <v>11100</v>
      </c>
      <c r="V413" t="s">
        <v>11100</v>
      </c>
      <c r="W413" t="s">
        <v>11509</v>
      </c>
      <c r="X413">
        <v>1</v>
      </c>
      <c r="Y413" t="s">
        <v>17004</v>
      </c>
      <c r="Z413" t="s">
        <v>22418</v>
      </c>
      <c r="AA413">
        <v>0.67773800980606647</v>
      </c>
      <c r="AB413" t="str">
        <f>HYPERLINK("Melting_Curves/meltCurve_E7ES96_PSEN1.pdf", "Melting_Curves/meltCurve_E7ES96_PSEN1.pdf")</f>
        <v>Melting_Curves/meltCurve_E7ES96_PSEN1.pdf</v>
      </c>
    </row>
    <row r="414" spans="1:28" x14ac:dyDescent="0.25">
      <c r="A414" t="s">
        <v>418</v>
      </c>
      <c r="B414">
        <v>0.99299721793515405</v>
      </c>
      <c r="C414">
        <v>0.86121193945942598</v>
      </c>
      <c r="D414">
        <v>0.99273235792394499</v>
      </c>
      <c r="E414">
        <v>0.85055430620664596</v>
      </c>
      <c r="F414">
        <v>0.72956963505077899</v>
      </c>
      <c r="G414">
        <v>0.56117716802836703</v>
      </c>
      <c r="H414">
        <v>0.50543932007716896</v>
      </c>
      <c r="I414">
        <v>0.59010843996484397</v>
      </c>
      <c r="J414">
        <v>0.63720606432343396</v>
      </c>
      <c r="K414">
        <v>0.62387125049754499</v>
      </c>
      <c r="L414">
        <v>1170.5532330272199</v>
      </c>
      <c r="M414">
        <v>24.376715045674398</v>
      </c>
      <c r="O414">
        <v>47.699658248591902</v>
      </c>
      <c r="P414">
        <v>-5.3460336849568302E-2</v>
      </c>
      <c r="Q414">
        <v>0.58156759483716103</v>
      </c>
      <c r="R414">
        <v>0.87931341963770904</v>
      </c>
      <c r="S414" t="s">
        <v>5965</v>
      </c>
      <c r="T414" t="s">
        <v>11100</v>
      </c>
      <c r="U414" t="s">
        <v>11100</v>
      </c>
      <c r="V414" t="s">
        <v>11100</v>
      </c>
      <c r="W414" t="s">
        <v>11510</v>
      </c>
      <c r="X414">
        <v>13</v>
      </c>
      <c r="Y414" t="s">
        <v>17005</v>
      </c>
      <c r="Z414" t="s">
        <v>22419</v>
      </c>
      <c r="AA414">
        <v>0.73901129304999225</v>
      </c>
      <c r="AB414" t="str">
        <f>HYPERLINK("Melting_Curves/meltCurve_E7ESG2_CLSPN.pdf", "Melting_Curves/meltCurve_E7ESG2_CLSPN.pdf")</f>
        <v>Melting_Curves/meltCurve_E7ESG2_CLSPN.pdf</v>
      </c>
    </row>
    <row r="415" spans="1:28" x14ac:dyDescent="0.25">
      <c r="A415" t="s">
        <v>419</v>
      </c>
      <c r="B415">
        <v>0.99299721793515405</v>
      </c>
      <c r="C415">
        <v>0.90092493875573199</v>
      </c>
      <c r="D415">
        <v>0.80159684825549604</v>
      </c>
      <c r="E415">
        <v>0.82191495069478004</v>
      </c>
      <c r="F415">
        <v>0.83551143721007504</v>
      </c>
      <c r="G415">
        <v>0.68060459440215204</v>
      </c>
      <c r="H415">
        <v>0.70970334973548399</v>
      </c>
      <c r="I415">
        <v>0.74121869780496297</v>
      </c>
      <c r="J415">
        <v>0.64674100818133795</v>
      </c>
      <c r="K415">
        <v>0.41932486399681801</v>
      </c>
      <c r="L415">
        <v>215.62570895496</v>
      </c>
      <c r="M415">
        <v>2.99434649535818</v>
      </c>
      <c r="O415">
        <v>52.977763498770898</v>
      </c>
      <c r="P415">
        <v>-1.4569072416003401E-2</v>
      </c>
      <c r="Q415">
        <v>0</v>
      </c>
      <c r="R415">
        <v>0.77991123659901096</v>
      </c>
      <c r="S415" t="s">
        <v>5966</v>
      </c>
      <c r="T415" t="s">
        <v>11100</v>
      </c>
      <c r="U415" t="s">
        <v>11100</v>
      </c>
      <c r="V415" t="s">
        <v>11100</v>
      </c>
      <c r="W415" t="s">
        <v>11511</v>
      </c>
      <c r="X415">
        <v>3</v>
      </c>
      <c r="Y415" t="s">
        <v>17006</v>
      </c>
      <c r="Z415" t="s">
        <v>22420</v>
      </c>
      <c r="AA415">
        <v>0.75723607799624559</v>
      </c>
      <c r="AB415" t="str">
        <f>HYPERLINK("Melting_Curves/meltCurve_E7ESP4_ITGA2.pdf", "Melting_Curves/meltCurve_E7ESP4_ITGA2.pdf")</f>
        <v>Melting_Curves/meltCurve_E7ESP4_ITGA2.pdf</v>
      </c>
    </row>
    <row r="416" spans="1:28" x14ac:dyDescent="0.25">
      <c r="A416" t="s">
        <v>420</v>
      </c>
      <c r="B416">
        <v>0.99299721793515405</v>
      </c>
      <c r="C416">
        <v>0.92170974361871305</v>
      </c>
      <c r="D416">
        <v>0.99500278777780804</v>
      </c>
      <c r="E416">
        <v>0.83803405964797095</v>
      </c>
      <c r="F416">
        <v>0.71990477511266404</v>
      </c>
      <c r="G416">
        <v>1.2477175463444301</v>
      </c>
      <c r="H416">
        <v>1.3661116890387</v>
      </c>
      <c r="I416">
        <v>0.99991624113900801</v>
      </c>
      <c r="J416">
        <v>0.76208502869707295</v>
      </c>
      <c r="K416">
        <v>0.64392465494408202</v>
      </c>
      <c r="L416">
        <v>11531.1321272326</v>
      </c>
      <c r="M416">
        <v>180.59210661817701</v>
      </c>
      <c r="O416">
        <v>63.843978156663297</v>
      </c>
      <c r="P416">
        <v>-0.25185486332159501</v>
      </c>
      <c r="Q416">
        <v>0.64385119380480305</v>
      </c>
      <c r="R416">
        <v>0.33904748525545497</v>
      </c>
      <c r="S416" t="s">
        <v>5967</v>
      </c>
      <c r="T416" t="s">
        <v>11100</v>
      </c>
      <c r="U416" t="s">
        <v>11100</v>
      </c>
      <c r="V416" t="s">
        <v>11100</v>
      </c>
      <c r="W416" t="s">
        <v>11512</v>
      </c>
      <c r="X416">
        <v>59</v>
      </c>
      <c r="Y416" t="s">
        <v>17007</v>
      </c>
      <c r="Z416" t="s">
        <v>22421</v>
      </c>
      <c r="AA416">
        <v>0.9627013461732381</v>
      </c>
      <c r="AB416" t="str">
        <f>HYPERLINK("Melting_Curves/meltCurve_E7ESP9_NEFM.pdf", "Melting_Curves/meltCurve_E7ESP9_NEFM.pdf")</f>
        <v>Melting_Curves/meltCurve_E7ESP9_NEFM.pdf</v>
      </c>
    </row>
    <row r="417" spans="1:28" x14ac:dyDescent="0.25">
      <c r="A417" t="s">
        <v>421</v>
      </c>
      <c r="B417">
        <v>0.99299721793515405</v>
      </c>
      <c r="C417">
        <v>1.04623591964886</v>
      </c>
      <c r="D417">
        <v>0.95986094055987803</v>
      </c>
      <c r="E417">
        <v>0.93837710434364296</v>
      </c>
      <c r="F417">
        <v>0.82201984881684798</v>
      </c>
      <c r="G417">
        <v>0.47258956487027498</v>
      </c>
      <c r="H417">
        <v>0.23904281657648199</v>
      </c>
      <c r="I417">
        <v>0.15986102533808</v>
      </c>
      <c r="J417">
        <v>0.131641078615201</v>
      </c>
      <c r="K417">
        <v>0.11366903277753</v>
      </c>
      <c r="L417">
        <v>1216.09179476128</v>
      </c>
      <c r="M417">
        <v>22.952815286924601</v>
      </c>
      <c r="N417">
        <v>53.574438972565702</v>
      </c>
      <c r="O417">
        <v>52.584996502997498</v>
      </c>
      <c r="P417">
        <v>-9.6897999937565496E-2</v>
      </c>
      <c r="Q417">
        <v>0.112041853339735</v>
      </c>
      <c r="R417">
        <v>0.99684983614934097</v>
      </c>
      <c r="S417" t="s">
        <v>5968</v>
      </c>
      <c r="T417" t="s">
        <v>11100</v>
      </c>
      <c r="U417" t="s">
        <v>11100</v>
      </c>
      <c r="V417" t="s">
        <v>11100</v>
      </c>
      <c r="W417" t="s">
        <v>11311</v>
      </c>
      <c r="X417">
        <v>14</v>
      </c>
      <c r="Y417" t="s">
        <v>17008</v>
      </c>
      <c r="Z417" t="s">
        <v>22422</v>
      </c>
      <c r="AA417">
        <v>0.59414894054839806</v>
      </c>
      <c r="AB417" t="str">
        <f>HYPERLINK("Melting_Curves/meltCurve_E7EST9_USP19.pdf", "Melting_Curves/meltCurve_E7EST9_USP19.pdf")</f>
        <v>Melting_Curves/meltCurve_E7EST9_USP19.pdf</v>
      </c>
    </row>
    <row r="418" spans="1:28" x14ac:dyDescent="0.25">
      <c r="A418" t="s">
        <v>422</v>
      </c>
      <c r="B418">
        <v>0.99299721793515405</v>
      </c>
      <c r="C418">
        <v>1.1493983053405401</v>
      </c>
      <c r="D418">
        <v>0.91361341109674499</v>
      </c>
      <c r="E418">
        <v>0.95267334761866995</v>
      </c>
      <c r="F418">
        <v>0.57461408395824798</v>
      </c>
      <c r="G418">
        <v>0.27934699067805802</v>
      </c>
      <c r="H418">
        <v>0.15806899485492901</v>
      </c>
      <c r="I418">
        <v>0.14270581177571101</v>
      </c>
      <c r="J418">
        <v>0.11051507645849</v>
      </c>
      <c r="K418">
        <v>0.10047891276656699</v>
      </c>
      <c r="L418">
        <v>1329.52135024308</v>
      </c>
      <c r="M418">
        <v>26.314912431793001</v>
      </c>
      <c r="N418">
        <v>51.038972680469499</v>
      </c>
      <c r="O418">
        <v>50.2344544237382</v>
      </c>
      <c r="P418">
        <v>-0.11567987485362299</v>
      </c>
      <c r="Q418">
        <v>0.11669112464853</v>
      </c>
      <c r="R418">
        <v>0.98072234337747</v>
      </c>
      <c r="S418" t="s">
        <v>5969</v>
      </c>
      <c r="T418" t="s">
        <v>11100</v>
      </c>
      <c r="U418" t="s">
        <v>11100</v>
      </c>
      <c r="V418" t="s">
        <v>11100</v>
      </c>
      <c r="W418" t="s">
        <v>11513</v>
      </c>
      <c r="X418">
        <v>5</v>
      </c>
      <c r="Y418" t="s">
        <v>17009</v>
      </c>
      <c r="Z418" t="s">
        <v>22423</v>
      </c>
      <c r="AA418">
        <v>0.52191700921881412</v>
      </c>
      <c r="AB418" t="str">
        <f>HYPERLINK("Melting_Curves/meltCurve_E7ESZ7_NDUFA10.pdf", "Melting_Curves/meltCurve_E7ESZ7_NDUFA10.pdf")</f>
        <v>Melting_Curves/meltCurve_E7ESZ7_NDUFA10.pdf</v>
      </c>
    </row>
    <row r="419" spans="1:28" x14ac:dyDescent="0.25">
      <c r="A419" t="s">
        <v>423</v>
      </c>
      <c r="B419">
        <v>0.99299721793515405</v>
      </c>
      <c r="C419">
        <v>1.1420766193012299</v>
      </c>
      <c r="D419">
        <v>0.36363446245224101</v>
      </c>
      <c r="E419">
        <v>1.5593779353664301</v>
      </c>
      <c r="F419">
        <v>0.83684277628081005</v>
      </c>
      <c r="G419">
        <v>0.438448333219988</v>
      </c>
      <c r="H419">
        <v>0.59163693152564301</v>
      </c>
      <c r="I419">
        <v>0.409143357197361</v>
      </c>
      <c r="J419">
        <v>0.19977180589575999</v>
      </c>
      <c r="K419">
        <v>0.20964158529562299</v>
      </c>
      <c r="L419">
        <v>2347.91052856132</v>
      </c>
      <c r="M419">
        <v>45.3718630999916</v>
      </c>
      <c r="N419">
        <v>53.1389227330491</v>
      </c>
      <c r="O419">
        <v>51.647939161345903</v>
      </c>
      <c r="P419">
        <v>-0.14330152308606001</v>
      </c>
      <c r="Q419">
        <v>0.34750585855403299</v>
      </c>
      <c r="R419">
        <v>0.53086171986477604</v>
      </c>
      <c r="S419" t="s">
        <v>5970</v>
      </c>
      <c r="T419" t="s">
        <v>11100</v>
      </c>
      <c r="U419" t="s">
        <v>11100</v>
      </c>
      <c r="V419" t="s">
        <v>11100</v>
      </c>
      <c r="W419" t="s">
        <v>11514</v>
      </c>
      <c r="X419">
        <v>4</v>
      </c>
      <c r="Y419" t="s">
        <v>17010</v>
      </c>
      <c r="Z419" t="s">
        <v>22424</v>
      </c>
      <c r="AA419">
        <v>0.67008500887444855</v>
      </c>
      <c r="AB419" t="str">
        <f>HYPERLINK("Melting_Curves/meltCurve_E7ET49_DAGLB.pdf", "Melting_Curves/meltCurve_E7ET49_DAGLB.pdf")</f>
        <v>Melting_Curves/meltCurve_E7ET49_DAGLB.pdf</v>
      </c>
    </row>
    <row r="420" spans="1:28" x14ac:dyDescent="0.25">
      <c r="A420" t="s">
        <v>424</v>
      </c>
      <c r="B420">
        <v>0.99299721793515405</v>
      </c>
      <c r="C420">
        <v>0.94797808197873001</v>
      </c>
      <c r="D420">
        <v>1.15251255463288</v>
      </c>
      <c r="E420">
        <v>0.62762603691170604</v>
      </c>
      <c r="F420">
        <v>0.253874244850332</v>
      </c>
      <c r="G420">
        <v>0.123793819375748</v>
      </c>
      <c r="H420">
        <v>0.109211858903919</v>
      </c>
      <c r="I420">
        <v>0.100237208274679</v>
      </c>
      <c r="J420">
        <v>9.6665186697327293E-2</v>
      </c>
      <c r="K420">
        <v>0.113397280564229</v>
      </c>
      <c r="L420">
        <v>1779.26730536473</v>
      </c>
      <c r="M420">
        <v>37.685107462540202</v>
      </c>
      <c r="N420">
        <v>47.542106151620601</v>
      </c>
      <c r="O420">
        <v>47.081710678962303</v>
      </c>
      <c r="P420">
        <v>-0.177196723539599</v>
      </c>
      <c r="Q420">
        <v>0.11448279995831501</v>
      </c>
      <c r="R420">
        <v>0.97758918760331404</v>
      </c>
      <c r="S420" t="s">
        <v>5971</v>
      </c>
      <c r="T420" t="s">
        <v>11100</v>
      </c>
      <c r="U420" t="s">
        <v>11100</v>
      </c>
      <c r="V420" t="s">
        <v>11100</v>
      </c>
      <c r="W420" t="s">
        <v>11515</v>
      </c>
      <c r="X420">
        <v>1</v>
      </c>
      <c r="Y420" t="s">
        <v>17011</v>
      </c>
      <c r="Z420" t="s">
        <v>22425</v>
      </c>
      <c r="AA420">
        <v>0.41923395526970619</v>
      </c>
      <c r="AB420" t="str">
        <f>HYPERLINK("Melting_Curves/meltCurve_E7ET89_DTX2.pdf", "Melting_Curves/meltCurve_E7ET89_DTX2.pdf")</f>
        <v>Melting_Curves/meltCurve_E7ET89_DTX2.pdf</v>
      </c>
    </row>
    <row r="421" spans="1:28" x14ac:dyDescent="0.25">
      <c r="A421" t="s">
        <v>425</v>
      </c>
      <c r="B421">
        <v>0.99299721793515405</v>
      </c>
      <c r="C421">
        <v>0.79698409621272304</v>
      </c>
      <c r="D421">
        <v>0.70240332469844502</v>
      </c>
      <c r="E421">
        <v>0.81798144076892298</v>
      </c>
      <c r="F421">
        <v>0.61341950109657595</v>
      </c>
      <c r="G421">
        <v>0.54423193525721003</v>
      </c>
      <c r="H421">
        <v>0.98915735209241495</v>
      </c>
      <c r="I421">
        <v>1.09829269273512</v>
      </c>
      <c r="J421">
        <v>1.34217685296447</v>
      </c>
      <c r="K421">
        <v>1.06697680814822</v>
      </c>
      <c r="L421">
        <v>15000</v>
      </c>
      <c r="M421">
        <v>245.82355956435501</v>
      </c>
      <c r="O421">
        <v>61.015336538936801</v>
      </c>
      <c r="P421">
        <v>0.20605321517859801</v>
      </c>
      <c r="Q421">
        <v>1.2045760995399599</v>
      </c>
      <c r="R421">
        <v>-2.5421844675107601E-2</v>
      </c>
      <c r="S421" t="s">
        <v>5972</v>
      </c>
      <c r="T421" t="s">
        <v>11100</v>
      </c>
      <c r="U421" t="s">
        <v>11100</v>
      </c>
      <c r="V421" t="s">
        <v>11100</v>
      </c>
      <c r="W421" t="s">
        <v>11516</v>
      </c>
      <c r="X421">
        <v>4</v>
      </c>
      <c r="Y421" t="s">
        <v>17012</v>
      </c>
      <c r="Z421" t="s">
        <v>22426</v>
      </c>
      <c r="AA421">
        <v>1.0407604383147191</v>
      </c>
      <c r="AB421" t="str">
        <f>HYPERLINK("Melting_Curves/meltCurve_E7ETB3_DNPEP.pdf", "Melting_Curves/meltCurve_E7ETB3_DNPEP.pdf")</f>
        <v>Melting_Curves/meltCurve_E7ETB3_DNPEP.pdf</v>
      </c>
    </row>
    <row r="422" spans="1:28" x14ac:dyDescent="0.25">
      <c r="A422" t="s">
        <v>426</v>
      </c>
      <c r="B422">
        <v>0.99299721793515405</v>
      </c>
      <c r="C422">
        <v>0.92093527736134795</v>
      </c>
      <c r="D422">
        <v>0.89952458051001105</v>
      </c>
      <c r="E422">
        <v>0.82229310221575402</v>
      </c>
      <c r="F422">
        <v>0.61903880928320698</v>
      </c>
      <c r="G422">
        <v>0.37620551637726901</v>
      </c>
      <c r="H422">
        <v>0.35599492878551298</v>
      </c>
      <c r="I422">
        <v>0.35590457366919398</v>
      </c>
      <c r="J422">
        <v>0.303055683904699</v>
      </c>
      <c r="K422">
        <v>0.22243822762801099</v>
      </c>
      <c r="L422">
        <v>689.87078983194601</v>
      </c>
      <c r="M422">
        <v>13.8814103518646</v>
      </c>
      <c r="N422">
        <v>52.289026996350501</v>
      </c>
      <c r="O422">
        <v>48.700147053849797</v>
      </c>
      <c r="P422">
        <v>-5.3544018880411402E-2</v>
      </c>
      <c r="Q422">
        <v>0.24870893007227399</v>
      </c>
      <c r="R422">
        <v>0.98081556637731804</v>
      </c>
      <c r="S422" t="s">
        <v>5973</v>
      </c>
      <c r="T422" t="s">
        <v>11100</v>
      </c>
      <c r="U422" t="s">
        <v>11100</v>
      </c>
      <c r="V422" t="s">
        <v>11100</v>
      </c>
      <c r="W422" t="s">
        <v>11517</v>
      </c>
      <c r="X422">
        <v>2</v>
      </c>
      <c r="Y422" t="s">
        <v>17013</v>
      </c>
      <c r="Z422" t="s">
        <v>22427</v>
      </c>
      <c r="AA422">
        <v>0.58441617348256547</v>
      </c>
      <c r="AB422" t="str">
        <f>HYPERLINK("Melting_Curves/meltCurve_E7ETE0_METTL8.pdf", "Melting_Curves/meltCurve_E7ETE0_METTL8.pdf")</f>
        <v>Melting_Curves/meltCurve_E7ETE0_METTL8.pdf</v>
      </c>
    </row>
    <row r="423" spans="1:28" x14ac:dyDescent="0.25">
      <c r="A423" t="s">
        <v>427</v>
      </c>
      <c r="B423">
        <v>0.99299721793515405</v>
      </c>
      <c r="C423">
        <v>0.98003560927449396</v>
      </c>
      <c r="D423">
        <v>1.1575529034512999</v>
      </c>
      <c r="E423">
        <v>0.84452022206813404</v>
      </c>
      <c r="F423">
        <v>0.69960833018018598</v>
      </c>
      <c r="G423">
        <v>0.53245668955596004</v>
      </c>
      <c r="H423">
        <v>0.38637673150441598</v>
      </c>
      <c r="I423">
        <v>0.34539786847935999</v>
      </c>
      <c r="J423">
        <v>0.283711683332037</v>
      </c>
      <c r="K423">
        <v>0.38614791041368202</v>
      </c>
      <c r="L423">
        <v>994.28330078764498</v>
      </c>
      <c r="M423">
        <v>19.543508737496602</v>
      </c>
      <c r="N423">
        <v>53.808669071068898</v>
      </c>
      <c r="O423">
        <v>50.351691955958103</v>
      </c>
      <c r="P423">
        <v>-6.5238771260081901E-2</v>
      </c>
      <c r="Q423">
        <v>0.32770201822091299</v>
      </c>
      <c r="R423">
        <v>0.95368522822462198</v>
      </c>
      <c r="S423" t="s">
        <v>5974</v>
      </c>
      <c r="T423" t="s">
        <v>11100</v>
      </c>
      <c r="U423" t="s">
        <v>11100</v>
      </c>
      <c r="V423" t="s">
        <v>11100</v>
      </c>
      <c r="W423" t="s">
        <v>11518</v>
      </c>
      <c r="X423">
        <v>2</v>
      </c>
      <c r="Y423" t="s">
        <v>17014</v>
      </c>
      <c r="Z423" t="s">
        <v>22428</v>
      </c>
      <c r="AA423">
        <v>0.64780541308269624</v>
      </c>
      <c r="AB423" t="str">
        <f>HYPERLINK("Melting_Curves/meltCurve_E7ETU5_RBMS1.pdf", "Melting_Curves/meltCurve_E7ETU5_RBMS1.pdf")</f>
        <v>Melting_Curves/meltCurve_E7ETU5_RBMS1.pdf</v>
      </c>
    </row>
    <row r="424" spans="1:28" x14ac:dyDescent="0.25">
      <c r="A424" t="s">
        <v>428</v>
      </c>
      <c r="B424">
        <v>0.99299721793515405</v>
      </c>
      <c r="C424">
        <v>0.97767323441581</v>
      </c>
      <c r="D424">
        <v>0.882420596295447</v>
      </c>
      <c r="E424">
        <v>0.82431789754374796</v>
      </c>
      <c r="F424">
        <v>0.72113311908429201</v>
      </c>
      <c r="G424">
        <v>0.45596560749885001</v>
      </c>
      <c r="H424">
        <v>0.419481624984545</v>
      </c>
      <c r="I424">
        <v>0.31584512233136403</v>
      </c>
      <c r="J424">
        <v>0.28902712209369702</v>
      </c>
      <c r="K424">
        <v>0.25297314107963798</v>
      </c>
      <c r="L424">
        <v>573.93352371036895</v>
      </c>
      <c r="M424">
        <v>11.0779885464109</v>
      </c>
      <c r="N424">
        <v>54.216430412858898</v>
      </c>
      <c r="O424">
        <v>50.206164682091803</v>
      </c>
      <c r="P424">
        <v>-4.4458772025856297E-2</v>
      </c>
      <c r="Q424">
        <v>0.19430434874986599</v>
      </c>
      <c r="R424">
        <v>0.98888617811187496</v>
      </c>
      <c r="S424" t="s">
        <v>5975</v>
      </c>
      <c r="T424" t="s">
        <v>11100</v>
      </c>
      <c r="U424" t="s">
        <v>11100</v>
      </c>
      <c r="V424" t="s">
        <v>11100</v>
      </c>
      <c r="W424" t="s">
        <v>11519</v>
      </c>
      <c r="X424">
        <v>10</v>
      </c>
      <c r="Y424" t="s">
        <v>17015</v>
      </c>
      <c r="Z424" t="s">
        <v>22429</v>
      </c>
      <c r="AA424">
        <v>0.61275002054456096</v>
      </c>
      <c r="AB424" t="str">
        <f>HYPERLINK("Melting_Curves/meltCurve_E7ETU9_PLOD2.pdf", "Melting_Curves/meltCurve_E7ETU9_PLOD2.pdf")</f>
        <v>Melting_Curves/meltCurve_E7ETU9_PLOD2.pdf</v>
      </c>
    </row>
    <row r="425" spans="1:28" x14ac:dyDescent="0.25">
      <c r="A425" t="s">
        <v>429</v>
      </c>
      <c r="B425">
        <v>0.99299721793515405</v>
      </c>
      <c r="C425">
        <v>0.97654901079059198</v>
      </c>
      <c r="D425">
        <v>0.88249685225105701</v>
      </c>
      <c r="E425">
        <v>0.72185300300488697</v>
      </c>
      <c r="F425">
        <v>0.53533174306828601</v>
      </c>
      <c r="G425">
        <v>0.26276074860182003</v>
      </c>
      <c r="H425">
        <v>0.17673259157596199</v>
      </c>
      <c r="I425">
        <v>0.19732965123219301</v>
      </c>
      <c r="J425">
        <v>0.170908788060538</v>
      </c>
      <c r="K425">
        <v>6.0891454705748797E-2</v>
      </c>
      <c r="L425">
        <v>701.41878684248604</v>
      </c>
      <c r="M425">
        <v>14.207232506230801</v>
      </c>
      <c r="N425">
        <v>50.093378618307099</v>
      </c>
      <c r="O425">
        <v>48.423291277233098</v>
      </c>
      <c r="P425">
        <v>-6.6559551653351798E-2</v>
      </c>
      <c r="Q425">
        <v>9.2679020613092994E-2</v>
      </c>
      <c r="R425">
        <v>0.99020124130130605</v>
      </c>
      <c r="S425" t="s">
        <v>5976</v>
      </c>
      <c r="T425" t="s">
        <v>11100</v>
      </c>
      <c r="U425" t="s">
        <v>11100</v>
      </c>
      <c r="V425" t="s">
        <v>11100</v>
      </c>
      <c r="W425" t="s">
        <v>11520</v>
      </c>
      <c r="X425">
        <v>2</v>
      </c>
      <c r="Y425" t="s">
        <v>17016</v>
      </c>
      <c r="Z425" t="s">
        <v>22430</v>
      </c>
      <c r="AA425">
        <v>0.48777538197607462</v>
      </c>
      <c r="AB425" t="str">
        <f>HYPERLINK("Melting_Curves/meltCurve_E7ETY4_MARK2.pdf", "Melting_Curves/meltCurve_E7ETY4_MARK2.pdf")</f>
        <v>Melting_Curves/meltCurve_E7ETY4_MARK2.pdf</v>
      </c>
    </row>
    <row r="426" spans="1:28" x14ac:dyDescent="0.25">
      <c r="A426" t="s">
        <v>430</v>
      </c>
      <c r="B426">
        <v>0.99299721793515405</v>
      </c>
      <c r="C426">
        <v>0.98649490774440596</v>
      </c>
      <c r="D426">
        <v>0.97407639634724497</v>
      </c>
      <c r="E426">
        <v>0.82620627480665698</v>
      </c>
      <c r="F426">
        <v>0.65461066695084102</v>
      </c>
      <c r="G426">
        <v>0.345279081080407</v>
      </c>
      <c r="H426">
        <v>0.24610001618628499</v>
      </c>
      <c r="I426">
        <v>0.18912659864561801</v>
      </c>
      <c r="J426">
        <v>0.15797272497949399</v>
      </c>
      <c r="K426">
        <v>0.140640136137901</v>
      </c>
      <c r="L426">
        <v>882.56580788195504</v>
      </c>
      <c r="M426">
        <v>17.339997625721299</v>
      </c>
      <c r="N426">
        <v>51.819944672534596</v>
      </c>
      <c r="O426">
        <v>50.235217947709899</v>
      </c>
      <c r="P426">
        <v>-7.4841510417490195E-2</v>
      </c>
      <c r="Q426">
        <v>0.13276466526738101</v>
      </c>
      <c r="R426">
        <v>0.99723039633058796</v>
      </c>
      <c r="S426" t="s">
        <v>5977</v>
      </c>
      <c r="T426" t="s">
        <v>11100</v>
      </c>
      <c r="U426" t="s">
        <v>11100</v>
      </c>
      <c r="V426" t="s">
        <v>11100</v>
      </c>
      <c r="W426" t="s">
        <v>11521</v>
      </c>
      <c r="X426">
        <v>4</v>
      </c>
      <c r="Y426" t="s">
        <v>17017</v>
      </c>
      <c r="Z426" t="s">
        <v>22431</v>
      </c>
      <c r="AA426">
        <v>0.54878950312192365</v>
      </c>
      <c r="AB426" t="str">
        <f>HYPERLINK("Melting_Curves/meltCurve_E7ETY7_GPX8.pdf", "Melting_Curves/meltCurve_E7ETY7_GPX8.pdf")</f>
        <v>Melting_Curves/meltCurve_E7ETY7_GPX8.pdf</v>
      </c>
    </row>
    <row r="427" spans="1:28" x14ac:dyDescent="0.25">
      <c r="A427" t="s">
        <v>431</v>
      </c>
      <c r="B427">
        <v>0.99299721793515405</v>
      </c>
      <c r="C427">
        <v>1.0866090351348101</v>
      </c>
      <c r="D427">
        <v>0.97930963672098503</v>
      </c>
      <c r="E427">
        <v>0.96264513007202501</v>
      </c>
      <c r="F427">
        <v>0.84360782572460402</v>
      </c>
      <c r="G427">
        <v>0.62273257819925698</v>
      </c>
      <c r="H427">
        <v>0.78221678384612003</v>
      </c>
      <c r="I427">
        <v>0.94420613341023996</v>
      </c>
      <c r="J427">
        <v>1.15374976043337</v>
      </c>
      <c r="K427">
        <v>0.944372508419139</v>
      </c>
      <c r="L427">
        <v>11685.970324833301</v>
      </c>
      <c r="M427">
        <v>250</v>
      </c>
      <c r="O427">
        <v>46.7408900136762</v>
      </c>
      <c r="P427">
        <v>-0.15803311522955499</v>
      </c>
      <c r="Q427">
        <v>0.88181426485123204</v>
      </c>
      <c r="R427">
        <v>0.183976342708013</v>
      </c>
      <c r="S427" t="s">
        <v>5978</v>
      </c>
      <c r="T427" t="s">
        <v>11100</v>
      </c>
      <c r="U427" t="s">
        <v>11100</v>
      </c>
      <c r="V427" t="s">
        <v>11100</v>
      </c>
      <c r="W427" t="s">
        <v>11522</v>
      </c>
      <c r="X427">
        <v>10</v>
      </c>
      <c r="Y427" t="s">
        <v>17018</v>
      </c>
      <c r="Z427" t="s">
        <v>22432</v>
      </c>
      <c r="AA427">
        <v>0.92021021934464298</v>
      </c>
      <c r="AB427" t="str">
        <f>HYPERLINK("Melting_Curves/meltCurve_E7ETZ0_CALM1.pdf", "Melting_Curves/meltCurve_E7ETZ0_CALM1.pdf")</f>
        <v>Melting_Curves/meltCurve_E7ETZ0_CALM1.pdf</v>
      </c>
    </row>
    <row r="428" spans="1:28" x14ac:dyDescent="0.25">
      <c r="A428" t="s">
        <v>432</v>
      </c>
      <c r="B428">
        <v>0.99299721793515405</v>
      </c>
      <c r="C428">
        <v>1.05206927402016</v>
      </c>
      <c r="D428">
        <v>1.1183361519325401</v>
      </c>
      <c r="E428">
        <v>0.90364846885875505</v>
      </c>
      <c r="F428">
        <v>0.81531162905439003</v>
      </c>
      <c r="G428">
        <v>0.57037758975134101</v>
      </c>
      <c r="H428">
        <v>0.18317612775086201</v>
      </c>
      <c r="I428">
        <v>0.144448916269767</v>
      </c>
      <c r="J428">
        <v>0.14097078623076301</v>
      </c>
      <c r="K428">
        <v>0.109469687264549</v>
      </c>
      <c r="L428">
        <v>1259.84934793347</v>
      </c>
      <c r="M428">
        <v>23.562025735300601</v>
      </c>
      <c r="N428">
        <v>53.9650335624899</v>
      </c>
      <c r="O428">
        <v>53.0887930906393</v>
      </c>
      <c r="P428">
        <v>-0.10016337597902</v>
      </c>
      <c r="Q428">
        <v>9.7282570434731805E-2</v>
      </c>
      <c r="R428">
        <v>0.98084744594246698</v>
      </c>
      <c r="S428" t="s">
        <v>5979</v>
      </c>
      <c r="T428" t="s">
        <v>11100</v>
      </c>
      <c r="U428" t="s">
        <v>11100</v>
      </c>
      <c r="V428" t="s">
        <v>11100</v>
      </c>
      <c r="W428" t="s">
        <v>11523</v>
      </c>
      <c r="X428">
        <v>12</v>
      </c>
      <c r="Y428" t="s">
        <v>17019</v>
      </c>
      <c r="Z428" t="s">
        <v>22433</v>
      </c>
      <c r="AA428">
        <v>0.60161246628663501</v>
      </c>
      <c r="AB428" t="str">
        <f>HYPERLINK("Melting_Curves/meltCurve_E7ETZ4_BZW2.pdf", "Melting_Curves/meltCurve_E7ETZ4_BZW2.pdf")</f>
        <v>Melting_Curves/meltCurve_E7ETZ4_BZW2.pdf</v>
      </c>
    </row>
    <row r="429" spans="1:28" x14ac:dyDescent="0.25">
      <c r="A429" t="s">
        <v>433</v>
      </c>
      <c r="B429">
        <v>0.99299721793515405</v>
      </c>
      <c r="C429">
        <v>1.0450398515832799</v>
      </c>
      <c r="D429">
        <v>0.94101129843839804</v>
      </c>
      <c r="E429">
        <v>0.79249945055995397</v>
      </c>
      <c r="F429">
        <v>0.49459062980804902</v>
      </c>
      <c r="G429">
        <v>0.17399574741469501</v>
      </c>
      <c r="H429">
        <v>0.21234640352971301</v>
      </c>
      <c r="I429">
        <v>0.19313000476108499</v>
      </c>
      <c r="J429">
        <v>0.17858054743876001</v>
      </c>
      <c r="K429">
        <v>0.100841765745161</v>
      </c>
      <c r="L429">
        <v>1146.9115877970301</v>
      </c>
      <c r="M429">
        <v>23.406663161119099</v>
      </c>
      <c r="N429">
        <v>49.758070833883899</v>
      </c>
      <c r="O429">
        <v>48.645934563553098</v>
      </c>
      <c r="P429">
        <v>-0.102239525516855</v>
      </c>
      <c r="Q429">
        <v>0.15007992819997301</v>
      </c>
      <c r="R429">
        <v>0.98889464823776496</v>
      </c>
      <c r="S429" t="s">
        <v>5980</v>
      </c>
      <c r="T429" t="s">
        <v>11100</v>
      </c>
      <c r="U429" t="s">
        <v>11100</v>
      </c>
      <c r="V429" t="s">
        <v>11100</v>
      </c>
      <c r="W429" t="s">
        <v>11524</v>
      </c>
      <c r="X429">
        <v>2</v>
      </c>
      <c r="Y429" t="s">
        <v>17020</v>
      </c>
      <c r="Z429" t="s">
        <v>22434</v>
      </c>
      <c r="AA429">
        <v>0.49837000316157481</v>
      </c>
      <c r="AB429" t="str">
        <f>HYPERLINK("Melting_Curves/meltCurve_E7EU09_FGFR1.pdf", "Melting_Curves/meltCurve_E7EU09_FGFR1.pdf")</f>
        <v>Melting_Curves/meltCurve_E7EU09_FGFR1.pdf</v>
      </c>
    </row>
    <row r="430" spans="1:28" x14ac:dyDescent="0.25">
      <c r="A430" t="s">
        <v>434</v>
      </c>
      <c r="B430">
        <v>0.99299721793515405</v>
      </c>
      <c r="C430">
        <v>0.98934452573486797</v>
      </c>
      <c r="D430">
        <v>1.03076066454613</v>
      </c>
      <c r="E430">
        <v>0.96275837974943401</v>
      </c>
      <c r="F430">
        <v>0.79951349552984796</v>
      </c>
      <c r="G430">
        <v>0.79064124749786302</v>
      </c>
      <c r="H430">
        <v>0.52987958482805697</v>
      </c>
      <c r="I430">
        <v>0.31662100408628802</v>
      </c>
      <c r="J430">
        <v>0.129264054616336</v>
      </c>
      <c r="K430">
        <v>0.103377556586032</v>
      </c>
      <c r="L430">
        <v>862.69149499775006</v>
      </c>
      <c r="M430">
        <v>14.9807716952894</v>
      </c>
      <c r="N430">
        <v>57.586585882620199</v>
      </c>
      <c r="O430">
        <v>56.589678234269698</v>
      </c>
      <c r="P430">
        <v>-6.6188275976442598E-2</v>
      </c>
      <c r="Q430">
        <v>0</v>
      </c>
      <c r="R430">
        <v>0.98575825199770095</v>
      </c>
      <c r="S430" t="s">
        <v>5981</v>
      </c>
      <c r="T430" t="s">
        <v>11100</v>
      </c>
      <c r="U430" t="s">
        <v>11100</v>
      </c>
      <c r="V430" t="s">
        <v>11100</v>
      </c>
      <c r="W430" t="s">
        <v>11525</v>
      </c>
      <c r="X430">
        <v>46</v>
      </c>
      <c r="Y430" t="s">
        <v>17021</v>
      </c>
      <c r="Z430" t="s">
        <v>22435</v>
      </c>
      <c r="AA430">
        <v>0.69212463511380795</v>
      </c>
      <c r="AB430" t="str">
        <f>HYPERLINK("Melting_Curves/meltCurve_E7EU23_GDI2.pdf", "Melting_Curves/meltCurve_E7EU23_GDI2.pdf")</f>
        <v>Melting_Curves/meltCurve_E7EU23_GDI2.pdf</v>
      </c>
    </row>
    <row r="431" spans="1:28" x14ac:dyDescent="0.25">
      <c r="A431" t="s">
        <v>435</v>
      </c>
      <c r="B431">
        <v>0.99299721793515405</v>
      </c>
      <c r="C431">
        <v>0.94260897359419005</v>
      </c>
      <c r="D431">
        <v>0.93321867846077999</v>
      </c>
      <c r="E431">
        <v>0.800456756663675</v>
      </c>
      <c r="F431">
        <v>0.67210385063843903</v>
      </c>
      <c r="G431">
        <v>0.73527185302635201</v>
      </c>
      <c r="H431">
        <v>0.44708543046548699</v>
      </c>
      <c r="I431">
        <v>0.25129674555263898</v>
      </c>
      <c r="J431">
        <v>0.14751846207607899</v>
      </c>
      <c r="K431">
        <v>0.100130364458274</v>
      </c>
      <c r="L431">
        <v>572.82742073325596</v>
      </c>
      <c r="M431">
        <v>10.318708087204801</v>
      </c>
      <c r="N431">
        <v>55.513469345494201</v>
      </c>
      <c r="O431">
        <v>53.549824787688102</v>
      </c>
      <c r="P431">
        <v>-4.8194177127440702E-2</v>
      </c>
      <c r="Q431">
        <v>0</v>
      </c>
      <c r="R431">
        <v>0.95752121406102397</v>
      </c>
      <c r="S431" t="s">
        <v>5982</v>
      </c>
      <c r="T431" t="s">
        <v>11100</v>
      </c>
      <c r="U431" t="s">
        <v>11100</v>
      </c>
      <c r="V431" t="s">
        <v>11100</v>
      </c>
      <c r="W431" t="s">
        <v>11526</v>
      </c>
      <c r="X431">
        <v>8</v>
      </c>
      <c r="Y431" t="s">
        <v>17022</v>
      </c>
      <c r="Z431" t="s">
        <v>22436</v>
      </c>
      <c r="AA431">
        <v>0.62689501844546314</v>
      </c>
      <c r="AB431" t="str">
        <f>HYPERLINK("Melting_Curves/meltCurve_E7EU96_CSNK2A1.pdf", "Melting_Curves/meltCurve_E7EU96_CSNK2A1.pdf")</f>
        <v>Melting_Curves/meltCurve_E7EU96_CSNK2A1.pdf</v>
      </c>
    </row>
    <row r="432" spans="1:28" x14ac:dyDescent="0.25">
      <c r="A432" t="s">
        <v>436</v>
      </c>
      <c r="B432">
        <v>0.99299721793515405</v>
      </c>
      <c r="C432">
        <v>0.89496799117632497</v>
      </c>
      <c r="D432">
        <v>0.80176439251929299</v>
      </c>
      <c r="E432">
        <v>0.80001408695781495</v>
      </c>
      <c r="F432">
        <v>0.72135390032638902</v>
      </c>
      <c r="G432">
        <v>1.6073331452791899</v>
      </c>
      <c r="H432">
        <v>2.5148960978304</v>
      </c>
      <c r="I432">
        <v>0.68960692834250703</v>
      </c>
      <c r="J432">
        <v>0.20893156974778501</v>
      </c>
      <c r="K432">
        <v>0.19660412284980999</v>
      </c>
      <c r="L432">
        <v>15000</v>
      </c>
      <c r="M432">
        <v>245.45153028350001</v>
      </c>
      <c r="N432">
        <v>61.2416031378078</v>
      </c>
      <c r="O432">
        <v>61.1077976429467</v>
      </c>
      <c r="P432">
        <v>-0.80056444104740199</v>
      </c>
      <c r="Q432">
        <v>0.20276340543827101</v>
      </c>
      <c r="R432">
        <v>0.32035887601438401</v>
      </c>
      <c r="S432" t="s">
        <v>5983</v>
      </c>
      <c r="T432" t="s">
        <v>11100</v>
      </c>
      <c r="U432" t="s">
        <v>11100</v>
      </c>
      <c r="V432" t="s">
        <v>11100</v>
      </c>
      <c r="W432" t="s">
        <v>11527</v>
      </c>
      <c r="X432">
        <v>10</v>
      </c>
      <c r="Y432" t="s">
        <v>17023</v>
      </c>
      <c r="Z432" t="s">
        <v>22437</v>
      </c>
      <c r="AA432">
        <v>0.84361406169233921</v>
      </c>
      <c r="AB432" t="str">
        <f>HYPERLINK("Melting_Curves/meltCurve_E7EUC7_UGP2.pdf", "Melting_Curves/meltCurve_E7EUC7_UGP2.pdf")</f>
        <v>Melting_Curves/meltCurve_E7EUC7_UGP2.pdf</v>
      </c>
    </row>
    <row r="433" spans="1:28" x14ac:dyDescent="0.25">
      <c r="A433" t="s">
        <v>437</v>
      </c>
      <c r="B433">
        <v>0.99299721793515405</v>
      </c>
      <c r="C433">
        <v>0.94292962830226001</v>
      </c>
      <c r="D433">
        <v>0.99605771921104203</v>
      </c>
      <c r="E433">
        <v>0.83118511723077204</v>
      </c>
      <c r="F433">
        <v>0.50477293255310796</v>
      </c>
      <c r="G433">
        <v>0.30177975296725601</v>
      </c>
      <c r="H433">
        <v>0.31712355635573097</v>
      </c>
      <c r="I433">
        <v>0.264000318714811</v>
      </c>
      <c r="J433">
        <v>0.35708302896013699</v>
      </c>
      <c r="K433">
        <v>0.25702530882305102</v>
      </c>
      <c r="L433">
        <v>1399.72472674966</v>
      </c>
      <c r="M433">
        <v>28.811327229538499</v>
      </c>
      <c r="N433">
        <v>50.097729841730001</v>
      </c>
      <c r="O433">
        <v>48.350179561677201</v>
      </c>
      <c r="P433">
        <v>-0.105647888249463</v>
      </c>
      <c r="Q433">
        <v>0.29082647076589502</v>
      </c>
      <c r="R433">
        <v>0.98829596105226802</v>
      </c>
      <c r="S433" t="s">
        <v>5984</v>
      </c>
      <c r="T433" t="s">
        <v>11100</v>
      </c>
      <c r="U433" t="s">
        <v>11100</v>
      </c>
      <c r="V433" t="s">
        <v>11100</v>
      </c>
      <c r="W433" t="s">
        <v>11528</v>
      </c>
      <c r="X433">
        <v>1</v>
      </c>
      <c r="Y433" t="s">
        <v>17024</v>
      </c>
      <c r="Z433" t="s">
        <v>22438</v>
      </c>
      <c r="AA433">
        <v>0.56922767393769336</v>
      </c>
      <c r="AB433" t="str">
        <f>HYPERLINK("Melting_Curves/meltCurve_E7EUL7_SSFA2.pdf", "Melting_Curves/meltCurve_E7EUL7_SSFA2.pdf")</f>
        <v>Melting_Curves/meltCurve_E7EUL7_SSFA2.pdf</v>
      </c>
    </row>
    <row r="434" spans="1:28" x14ac:dyDescent="0.25">
      <c r="A434" t="s">
        <v>438</v>
      </c>
      <c r="B434">
        <v>0.99299721793515405</v>
      </c>
      <c r="C434">
        <v>1.0037747725294299</v>
      </c>
      <c r="D434">
        <v>0.92933073374050001</v>
      </c>
      <c r="E434">
        <v>0.89716714851663104</v>
      </c>
      <c r="F434">
        <v>0.70434734183192405</v>
      </c>
      <c r="G434">
        <v>0.42636775020520401</v>
      </c>
      <c r="H434">
        <v>0.241206841163908</v>
      </c>
      <c r="I434">
        <v>0.25373171636797798</v>
      </c>
      <c r="J434">
        <v>0.21914992868809299</v>
      </c>
      <c r="K434">
        <v>0.16276062298886201</v>
      </c>
      <c r="L434">
        <v>981.68861558626702</v>
      </c>
      <c r="M434">
        <v>19.074841252689001</v>
      </c>
      <c r="N434">
        <v>52.686997933801997</v>
      </c>
      <c r="O434">
        <v>50.9094542234835</v>
      </c>
      <c r="P434">
        <v>-7.6930211502473797E-2</v>
      </c>
      <c r="Q434">
        <v>0.17874599103527899</v>
      </c>
      <c r="R434">
        <v>0.99388760893886496</v>
      </c>
      <c r="S434" t="s">
        <v>5985</v>
      </c>
      <c r="T434" t="s">
        <v>11100</v>
      </c>
      <c r="U434" t="s">
        <v>11100</v>
      </c>
      <c r="V434" t="s">
        <v>11100</v>
      </c>
      <c r="W434" t="s">
        <v>11529</v>
      </c>
      <c r="X434">
        <v>10</v>
      </c>
      <c r="Y434" t="s">
        <v>17025</v>
      </c>
      <c r="Z434" t="s">
        <v>22439</v>
      </c>
      <c r="AA434">
        <v>0.58626515241951738</v>
      </c>
      <c r="AB434" t="str">
        <f>HYPERLINK("Melting_Curves/meltCurve_E7EUM5_NUP54.pdf", "Melting_Curves/meltCurve_E7EUM5_NUP54.pdf")</f>
        <v>Melting_Curves/meltCurve_E7EUM5_NUP54.pdf</v>
      </c>
    </row>
    <row r="435" spans="1:28" x14ac:dyDescent="0.25">
      <c r="A435" t="s">
        <v>439</v>
      </c>
      <c r="B435">
        <v>0.99299721793515405</v>
      </c>
      <c r="C435">
        <v>0.99085279563684303</v>
      </c>
      <c r="D435">
        <v>0.97933002447415096</v>
      </c>
      <c r="E435">
        <v>0.82968669119716298</v>
      </c>
      <c r="F435">
        <v>0.564009465632891</v>
      </c>
      <c r="G435">
        <v>0.219270233405155</v>
      </c>
      <c r="H435">
        <v>0.167719543754241</v>
      </c>
      <c r="I435">
        <v>0.14988558477422601</v>
      </c>
      <c r="J435">
        <v>0.14214994518833199</v>
      </c>
      <c r="K435">
        <v>0.11756091319895801</v>
      </c>
      <c r="L435">
        <v>1159.94556873889</v>
      </c>
      <c r="M435">
        <v>23.257912488924401</v>
      </c>
      <c r="N435">
        <v>50.494226061502097</v>
      </c>
      <c r="O435">
        <v>49.508847158607999</v>
      </c>
      <c r="P435">
        <v>-0.102836171898738</v>
      </c>
      <c r="Q435">
        <v>0.124391072293096</v>
      </c>
      <c r="R435">
        <v>0.99706814138475797</v>
      </c>
      <c r="S435" t="s">
        <v>5986</v>
      </c>
      <c r="T435" t="s">
        <v>11100</v>
      </c>
      <c r="U435" t="s">
        <v>11100</v>
      </c>
      <c r="V435" t="s">
        <v>11100</v>
      </c>
      <c r="W435" t="s">
        <v>11530</v>
      </c>
      <c r="X435">
        <v>53</v>
      </c>
      <c r="Y435" t="s">
        <v>17026</v>
      </c>
      <c r="Z435" t="s">
        <v>22440</v>
      </c>
      <c r="AA435">
        <v>0.50888593767345269</v>
      </c>
      <c r="AB435" t="str">
        <f>HYPERLINK("Melting_Curves/meltCurve_E7EUU4_EIF4G1.pdf", "Melting_Curves/meltCurve_E7EUU4_EIF4G1.pdf")</f>
        <v>Melting_Curves/meltCurve_E7EUU4_EIF4G1.pdf</v>
      </c>
    </row>
    <row r="436" spans="1:28" x14ac:dyDescent="0.25">
      <c r="A436" t="s">
        <v>440</v>
      </c>
      <c r="B436">
        <v>0.99299721793515405</v>
      </c>
      <c r="C436">
        <v>0.84581370259327304</v>
      </c>
      <c r="D436">
        <v>0.78224780550752004</v>
      </c>
      <c r="E436">
        <v>0.72321020401732194</v>
      </c>
      <c r="F436">
        <v>0.600034109633927</v>
      </c>
      <c r="G436">
        <v>0.50875636476827102</v>
      </c>
      <c r="H436">
        <v>1.23679111807053</v>
      </c>
      <c r="I436">
        <v>1.0534628246415301</v>
      </c>
      <c r="J436">
        <v>0.44245701962130302</v>
      </c>
      <c r="K436">
        <v>0.21771325496292601</v>
      </c>
      <c r="L436">
        <v>167.983690606045</v>
      </c>
      <c r="M436">
        <v>2.18549599311552</v>
      </c>
      <c r="O436">
        <v>48.136134378234203</v>
      </c>
      <c r="P436">
        <v>-1.21714950435936E-2</v>
      </c>
      <c r="Q436">
        <v>0</v>
      </c>
      <c r="R436">
        <v>0.14501468147443899</v>
      </c>
      <c r="S436" t="s">
        <v>5987</v>
      </c>
      <c r="T436" t="s">
        <v>11100</v>
      </c>
      <c r="U436" t="s">
        <v>11100</v>
      </c>
      <c r="V436" t="s">
        <v>11100</v>
      </c>
      <c r="W436" t="s">
        <v>11531</v>
      </c>
      <c r="X436">
        <v>3</v>
      </c>
      <c r="Y436" t="s">
        <v>17027</v>
      </c>
      <c r="Z436" t="s">
        <v>22441</v>
      </c>
      <c r="AA436">
        <v>0.74267725469023838</v>
      </c>
      <c r="AB436" t="str">
        <f>HYPERLINK("Melting_Curves/meltCurve_E7EUY3_PCCB.pdf", "Melting_Curves/meltCurve_E7EUY3_PCCB.pdf")</f>
        <v>Melting_Curves/meltCurve_E7EUY3_PCCB.pdf</v>
      </c>
    </row>
    <row r="437" spans="1:28" x14ac:dyDescent="0.25">
      <c r="A437" t="s">
        <v>441</v>
      </c>
      <c r="B437">
        <v>0.99299721793515405</v>
      </c>
      <c r="C437">
        <v>0.99799451233868397</v>
      </c>
      <c r="D437">
        <v>0.93661030065372997</v>
      </c>
      <c r="E437">
        <v>0.92774868037168101</v>
      </c>
      <c r="F437">
        <v>0.73612316118728605</v>
      </c>
      <c r="G437">
        <v>0.58496102238837999</v>
      </c>
      <c r="H437">
        <v>0.54514474978418603</v>
      </c>
      <c r="I437">
        <v>0.39921712458684699</v>
      </c>
      <c r="J437">
        <v>0.35740164812804898</v>
      </c>
      <c r="K437">
        <v>0.25709528356094802</v>
      </c>
      <c r="L437">
        <v>526.38643454567205</v>
      </c>
      <c r="M437">
        <v>9.5264445082949205</v>
      </c>
      <c r="N437">
        <v>57.456056392837603</v>
      </c>
      <c r="O437">
        <v>52.984900163871401</v>
      </c>
      <c r="P437">
        <v>-3.8100071859131397E-2</v>
      </c>
      <c r="Q437">
        <v>0.15286444835804</v>
      </c>
      <c r="R437">
        <v>0.98683963935263197</v>
      </c>
      <c r="S437" t="s">
        <v>5988</v>
      </c>
      <c r="T437" t="s">
        <v>11100</v>
      </c>
      <c r="U437" t="s">
        <v>11100</v>
      </c>
      <c r="V437" t="s">
        <v>11100</v>
      </c>
      <c r="W437" t="s">
        <v>11532</v>
      </c>
      <c r="X437">
        <v>3</v>
      </c>
      <c r="Y437" t="s">
        <v>17028</v>
      </c>
      <c r="Z437" t="s">
        <v>22442</v>
      </c>
      <c r="AA437">
        <v>0.67653400708799449</v>
      </c>
      <c r="AB437" t="str">
        <f>HYPERLINK("Melting_Curves/meltCurve_E7EV56_PCM1.pdf", "Melting_Curves/meltCurve_E7EV56_PCM1.pdf")</f>
        <v>Melting_Curves/meltCurve_E7EV56_PCM1.pdf</v>
      </c>
    </row>
    <row r="438" spans="1:28" x14ac:dyDescent="0.25">
      <c r="A438" t="s">
        <v>442</v>
      </c>
      <c r="B438">
        <v>0.99299721793515405</v>
      </c>
      <c r="C438">
        <v>1.0122463160803701</v>
      </c>
      <c r="D438">
        <v>1.00221459170863</v>
      </c>
      <c r="E438">
        <v>0.88764641162508795</v>
      </c>
      <c r="F438">
        <v>0.75803878574307904</v>
      </c>
      <c r="G438">
        <v>0.52726128655373194</v>
      </c>
      <c r="H438">
        <v>0.56512526777236605</v>
      </c>
      <c r="I438">
        <v>0.627585351696483</v>
      </c>
      <c r="J438">
        <v>0.65663739174452695</v>
      </c>
      <c r="K438">
        <v>0.50177010485084905</v>
      </c>
      <c r="L438">
        <v>1389.10623059559</v>
      </c>
      <c r="M438">
        <v>28.375461301451899</v>
      </c>
      <c r="O438">
        <v>48.713282666282701</v>
      </c>
      <c r="P438">
        <v>-6.2099962203072699E-2</v>
      </c>
      <c r="Q438">
        <v>0.57356556909207601</v>
      </c>
      <c r="R438">
        <v>0.93668643476375202</v>
      </c>
      <c r="S438" t="s">
        <v>5989</v>
      </c>
      <c r="T438" t="s">
        <v>11100</v>
      </c>
      <c r="U438" t="s">
        <v>11100</v>
      </c>
      <c r="V438" t="s">
        <v>11100</v>
      </c>
      <c r="W438" t="s">
        <v>11533</v>
      </c>
      <c r="X438">
        <v>41</v>
      </c>
      <c r="Y438" t="s">
        <v>17029</v>
      </c>
      <c r="Z438" t="s">
        <v>22443</v>
      </c>
      <c r="AA438">
        <v>0.74636338175645578</v>
      </c>
      <c r="AB438" t="str">
        <f>HYPERLINK("Melting_Curves/meltCurve_E7EVA0_MAP4.pdf", "Melting_Curves/meltCurve_E7EVA0_MAP4.pdf")</f>
        <v>Melting_Curves/meltCurve_E7EVA0_MAP4.pdf</v>
      </c>
    </row>
    <row r="439" spans="1:28" x14ac:dyDescent="0.25">
      <c r="A439" t="s">
        <v>443</v>
      </c>
      <c r="B439">
        <v>0.99299721793515405</v>
      </c>
      <c r="C439">
        <v>1.03461363086615</v>
      </c>
      <c r="D439">
        <v>0.94399198046494504</v>
      </c>
      <c r="E439">
        <v>0.89093280255459495</v>
      </c>
      <c r="F439">
        <v>0.816868693539059</v>
      </c>
      <c r="G439">
        <v>0.66504640180295604</v>
      </c>
      <c r="H439">
        <v>0.65258038176335198</v>
      </c>
      <c r="I439">
        <v>0.34535829183453898</v>
      </c>
      <c r="J439">
        <v>0.23820526854905899</v>
      </c>
      <c r="K439">
        <v>0.16982950708024899</v>
      </c>
      <c r="L439">
        <v>615.59572591390497</v>
      </c>
      <c r="M439">
        <v>10.601933939440601</v>
      </c>
      <c r="N439">
        <v>58.064474818828501</v>
      </c>
      <c r="O439">
        <v>56.112893866252598</v>
      </c>
      <c r="P439">
        <v>-4.7253202427269297E-2</v>
      </c>
      <c r="Q439">
        <v>0</v>
      </c>
      <c r="R439">
        <v>0.97451553667653501</v>
      </c>
      <c r="S439" t="s">
        <v>5990</v>
      </c>
      <c r="T439" t="s">
        <v>11100</v>
      </c>
      <c r="U439" t="s">
        <v>11100</v>
      </c>
      <c r="V439" t="s">
        <v>11100</v>
      </c>
      <c r="W439" t="s">
        <v>11534</v>
      </c>
      <c r="X439">
        <v>9</v>
      </c>
      <c r="Y439" t="s">
        <v>17030</v>
      </c>
      <c r="Z439" t="s">
        <v>22444</v>
      </c>
      <c r="AA439">
        <v>0.69567824455634797</v>
      </c>
      <c r="AB439" t="str">
        <f>HYPERLINK("Melting_Curves/meltCurve_E7EVC7_ATG16L1.pdf", "Melting_Curves/meltCurve_E7EVC7_ATG16L1.pdf")</f>
        <v>Melting_Curves/meltCurve_E7EVC7_ATG16L1.pdf</v>
      </c>
    </row>
    <row r="440" spans="1:28" x14ac:dyDescent="0.25">
      <c r="A440" t="s">
        <v>444</v>
      </c>
      <c r="B440">
        <v>0.99299721793515405</v>
      </c>
      <c r="C440">
        <v>1.0572034609527801</v>
      </c>
      <c r="D440">
        <v>0.93571451526838501</v>
      </c>
      <c r="E440">
        <v>0.86688308602124398</v>
      </c>
      <c r="F440">
        <v>0.76477513267342001</v>
      </c>
      <c r="G440">
        <v>0.631793001554394</v>
      </c>
      <c r="H440">
        <v>0.56559803279448895</v>
      </c>
      <c r="I440">
        <v>0.44422562430851398</v>
      </c>
      <c r="J440">
        <v>0.26276858351764398</v>
      </c>
      <c r="K440">
        <v>0.22078583396322601</v>
      </c>
      <c r="L440">
        <v>489.64939873916501</v>
      </c>
      <c r="M440">
        <v>8.4531369940453303</v>
      </c>
      <c r="N440">
        <v>57.9251647335727</v>
      </c>
      <c r="O440">
        <v>54.955934390629103</v>
      </c>
      <c r="P440">
        <v>-3.84895364789999E-2</v>
      </c>
      <c r="Q440">
        <v>0</v>
      </c>
      <c r="R440">
        <v>0.98161935006426104</v>
      </c>
      <c r="S440" t="s">
        <v>5991</v>
      </c>
      <c r="T440" t="s">
        <v>11100</v>
      </c>
      <c r="U440" t="s">
        <v>11100</v>
      </c>
      <c r="V440" t="s">
        <v>11100</v>
      </c>
      <c r="W440" t="s">
        <v>11535</v>
      </c>
      <c r="X440">
        <v>2</v>
      </c>
      <c r="Y440" t="s">
        <v>17031</v>
      </c>
      <c r="Z440" t="s">
        <v>22445</v>
      </c>
      <c r="AA440">
        <v>0.68072249144639152</v>
      </c>
      <c r="AB440" t="str">
        <f>HYPERLINK("Melting_Curves/meltCurve_E7EVD6_LPHN3.pdf", "Melting_Curves/meltCurve_E7EVD6_LPHN3.pdf")</f>
        <v>Melting_Curves/meltCurve_E7EVD6_LPHN3.pdf</v>
      </c>
    </row>
    <row r="441" spans="1:28" x14ac:dyDescent="0.25">
      <c r="A441" t="s">
        <v>445</v>
      </c>
      <c r="B441">
        <v>0.99299721793515405</v>
      </c>
      <c r="C441">
        <v>0.96824906748417905</v>
      </c>
      <c r="D441">
        <v>1.3653841811149601</v>
      </c>
      <c r="E441">
        <v>1.10106083319002</v>
      </c>
      <c r="F441">
        <v>0.67957820586634998</v>
      </c>
      <c r="G441">
        <v>0.35209934207796201</v>
      </c>
      <c r="H441">
        <v>0.27333665053081502</v>
      </c>
      <c r="I441">
        <v>0.17290021414214801</v>
      </c>
      <c r="J441">
        <v>0.308521411409379</v>
      </c>
      <c r="K441">
        <v>7.07937066424279E-2</v>
      </c>
      <c r="L441">
        <v>1809.46389420522</v>
      </c>
      <c r="M441">
        <v>35.4325001900514</v>
      </c>
      <c r="N441">
        <v>51.845387652273999</v>
      </c>
      <c r="O441">
        <v>50.906071289467199</v>
      </c>
      <c r="P441">
        <v>-0.138147443929829</v>
      </c>
      <c r="Q441">
        <v>0.20609391002941899</v>
      </c>
      <c r="R441">
        <v>0.89848205227468503</v>
      </c>
      <c r="S441" t="s">
        <v>5992</v>
      </c>
      <c r="T441" t="s">
        <v>11100</v>
      </c>
      <c r="U441" t="s">
        <v>11100</v>
      </c>
      <c r="V441" t="s">
        <v>11100</v>
      </c>
      <c r="W441" t="s">
        <v>11536</v>
      </c>
      <c r="X441">
        <v>18</v>
      </c>
      <c r="Y441" t="s">
        <v>17032</v>
      </c>
      <c r="Z441" t="s">
        <v>22446</v>
      </c>
      <c r="AA441">
        <v>0.58194647122274434</v>
      </c>
      <c r="AB441" t="str">
        <f>HYPERLINK("Melting_Curves/meltCurve_E7EVH7_KLC1.pdf", "Melting_Curves/meltCurve_E7EVH7_KLC1.pdf")</f>
        <v>Melting_Curves/meltCurve_E7EVH7_KLC1.pdf</v>
      </c>
    </row>
    <row r="442" spans="1:28" x14ac:dyDescent="0.25">
      <c r="A442" t="s">
        <v>446</v>
      </c>
      <c r="B442">
        <v>0.99299721793515405</v>
      </c>
      <c r="C442">
        <v>0.92547811990996098</v>
      </c>
      <c r="D442">
        <v>0.793898040894913</v>
      </c>
      <c r="E442">
        <v>0.71042897320229403</v>
      </c>
      <c r="F442">
        <v>0.65105649314914404</v>
      </c>
      <c r="G442">
        <v>0.46053911601518199</v>
      </c>
      <c r="H442">
        <v>0.51014216998411799</v>
      </c>
      <c r="I442">
        <v>0.42683473552602502</v>
      </c>
      <c r="J442">
        <v>0.26588877687075302</v>
      </c>
      <c r="K442">
        <v>0.21355473626412899</v>
      </c>
      <c r="L442">
        <v>320.00238021176898</v>
      </c>
      <c r="M442">
        <v>5.8330992924181997</v>
      </c>
      <c r="N442">
        <v>54.859751937613602</v>
      </c>
      <c r="O442">
        <v>49.443925789898103</v>
      </c>
      <c r="P442">
        <v>-2.9599105749788801E-2</v>
      </c>
      <c r="Q442">
        <v>0</v>
      </c>
      <c r="R442">
        <v>0.96192977435946803</v>
      </c>
      <c r="S442" t="s">
        <v>5993</v>
      </c>
      <c r="T442" t="s">
        <v>11100</v>
      </c>
      <c r="U442" t="s">
        <v>11100</v>
      </c>
      <c r="V442" t="s">
        <v>11100</v>
      </c>
      <c r="W442" t="s">
        <v>11537</v>
      </c>
      <c r="X442">
        <v>3</v>
      </c>
      <c r="Y442" t="s">
        <v>17033</v>
      </c>
      <c r="Z442" t="s">
        <v>22447</v>
      </c>
      <c r="AA442">
        <v>0.59115510472450272</v>
      </c>
      <c r="AB442" t="str">
        <f>HYPERLINK("Melting_Curves/meltCurve_E7EVH9_HDHD1.pdf", "Melting_Curves/meltCurve_E7EVH9_HDHD1.pdf")</f>
        <v>Melting_Curves/meltCurve_E7EVH9_HDHD1.pdf</v>
      </c>
    </row>
    <row r="443" spans="1:28" x14ac:dyDescent="0.25">
      <c r="A443" t="s">
        <v>447</v>
      </c>
      <c r="B443">
        <v>0.99299721793515405</v>
      </c>
      <c r="C443">
        <v>0.93239400008453999</v>
      </c>
      <c r="D443">
        <v>0.86804833037794304</v>
      </c>
      <c r="E443">
        <v>0.83182478110466795</v>
      </c>
      <c r="F443">
        <v>0.66103257073058697</v>
      </c>
      <c r="G443">
        <v>1.03903989321975</v>
      </c>
      <c r="H443">
        <v>0.69598496962161205</v>
      </c>
      <c r="I443">
        <v>0.20910569608677099</v>
      </c>
      <c r="J443">
        <v>0.115270177977303</v>
      </c>
      <c r="K443">
        <v>0.10756497377171501</v>
      </c>
      <c r="L443">
        <v>2796.03854289742</v>
      </c>
      <c r="M443">
        <v>48.014576943383297</v>
      </c>
      <c r="N443">
        <v>58.531980780075699</v>
      </c>
      <c r="O443">
        <v>58.1323728392533</v>
      </c>
      <c r="P443">
        <v>-0.18404084771152401</v>
      </c>
      <c r="Q443">
        <v>0.108710647929266</v>
      </c>
      <c r="R443">
        <v>0.86050359359398698</v>
      </c>
      <c r="S443" t="s">
        <v>5994</v>
      </c>
      <c r="T443" t="s">
        <v>11100</v>
      </c>
      <c r="U443" t="s">
        <v>11100</v>
      </c>
      <c r="V443" t="s">
        <v>11100</v>
      </c>
      <c r="W443" t="s">
        <v>11538</v>
      </c>
      <c r="X443">
        <v>5</v>
      </c>
      <c r="Y443" t="s">
        <v>17034</v>
      </c>
      <c r="Z443" t="s">
        <v>22448</v>
      </c>
      <c r="AA443">
        <v>0.74192929274723263</v>
      </c>
      <c r="AB443" t="str">
        <f>HYPERLINK("Melting_Curves/meltCurve_E7EVJ5_CYFIP2.pdf", "Melting_Curves/meltCurve_E7EVJ5_CYFIP2.pdf")</f>
        <v>Melting_Curves/meltCurve_E7EVJ5_CYFIP2.pdf</v>
      </c>
    </row>
    <row r="444" spans="1:28" x14ac:dyDescent="0.25">
      <c r="A444" t="s">
        <v>448</v>
      </c>
      <c r="B444">
        <v>0.99299721793515405</v>
      </c>
      <c r="C444">
        <v>0.96243983646869502</v>
      </c>
      <c r="D444">
        <v>1.0080104143615201</v>
      </c>
      <c r="E444">
        <v>0.69261458254350095</v>
      </c>
      <c r="F444">
        <v>0.21938785004244701</v>
      </c>
      <c r="G444">
        <v>0.26165502444512401</v>
      </c>
      <c r="H444">
        <v>0.16308605651167099</v>
      </c>
      <c r="I444">
        <v>0.11015896792754799</v>
      </c>
      <c r="J444">
        <v>7.8273534182813104E-2</v>
      </c>
      <c r="K444">
        <v>8.0608851857253097E-2</v>
      </c>
      <c r="L444">
        <v>1625.42481971086</v>
      </c>
      <c r="M444">
        <v>34.276170388691902</v>
      </c>
      <c r="N444">
        <v>47.844434748660703</v>
      </c>
      <c r="O444">
        <v>47.260891505551498</v>
      </c>
      <c r="P444">
        <v>-0.15761331479026799</v>
      </c>
      <c r="Q444">
        <v>0.130717890924298</v>
      </c>
      <c r="R444">
        <v>0.98441744517867702</v>
      </c>
      <c r="S444" t="s">
        <v>5995</v>
      </c>
      <c r="T444" t="s">
        <v>11100</v>
      </c>
      <c r="U444" t="s">
        <v>11100</v>
      </c>
      <c r="V444" t="s">
        <v>11100</v>
      </c>
      <c r="W444" t="s">
        <v>11539</v>
      </c>
      <c r="X444">
        <v>3</v>
      </c>
      <c r="Y444" t="s">
        <v>17035</v>
      </c>
      <c r="Z444" t="s">
        <v>22449</v>
      </c>
      <c r="AA444">
        <v>0.43658167832751588</v>
      </c>
      <c r="AB444" t="str">
        <f>HYPERLINK("Melting_Curves/meltCurve_E7EVX8_PRPF31.pdf", "Melting_Curves/meltCurve_E7EVX8_PRPF31.pdf")</f>
        <v>Melting_Curves/meltCurve_E7EVX8_PRPF31.pdf</v>
      </c>
    </row>
    <row r="445" spans="1:28" x14ac:dyDescent="0.25">
      <c r="A445" t="s">
        <v>449</v>
      </c>
      <c r="B445">
        <v>0.99299721793515405</v>
      </c>
      <c r="C445">
        <v>0.81457458469017796</v>
      </c>
      <c r="D445">
        <v>1.20702856215151</v>
      </c>
      <c r="E445">
        <v>0.86002322140285503</v>
      </c>
      <c r="F445">
        <v>0.66463360681220895</v>
      </c>
      <c r="G445">
        <v>0.299943522431173</v>
      </c>
      <c r="H445">
        <v>0.225272366636942</v>
      </c>
      <c r="I445">
        <v>0.214993971116203</v>
      </c>
      <c r="J445">
        <v>0.175895418665099</v>
      </c>
      <c r="K445">
        <v>0.19895892679101701</v>
      </c>
      <c r="L445">
        <v>1380.30265903601</v>
      </c>
      <c r="M445">
        <v>27.2881986351961</v>
      </c>
      <c r="N445">
        <v>51.487249127283398</v>
      </c>
      <c r="O445">
        <v>50.3130982875605</v>
      </c>
      <c r="P445">
        <v>-0.109766151960052</v>
      </c>
      <c r="Q445">
        <v>0.19047456223553</v>
      </c>
      <c r="R445">
        <v>0.93588309355260102</v>
      </c>
      <c r="S445" t="s">
        <v>5996</v>
      </c>
      <c r="T445" t="s">
        <v>11100</v>
      </c>
      <c r="U445" t="s">
        <v>11100</v>
      </c>
      <c r="V445" t="s">
        <v>11100</v>
      </c>
      <c r="W445" t="s">
        <v>11540</v>
      </c>
      <c r="X445">
        <v>2</v>
      </c>
      <c r="Y445" t="s">
        <v>17036</v>
      </c>
      <c r="Z445" t="s">
        <v>22450</v>
      </c>
      <c r="AA445">
        <v>0.56301101550897958</v>
      </c>
      <c r="AB445" t="str">
        <f>HYPERLINK("Melting_Curves/meltCurve_E7EW05_SDAD1.pdf", "Melting_Curves/meltCurve_E7EW05_SDAD1.pdf")</f>
        <v>Melting_Curves/meltCurve_E7EW05_SDAD1.pdf</v>
      </c>
    </row>
    <row r="446" spans="1:28" x14ac:dyDescent="0.25">
      <c r="A446" t="s">
        <v>450</v>
      </c>
      <c r="B446">
        <v>0.99299721793515405</v>
      </c>
      <c r="C446">
        <v>1.0016529030305901</v>
      </c>
      <c r="D446">
        <v>1.0214089257051</v>
      </c>
      <c r="E446">
        <v>0.93230499103855002</v>
      </c>
      <c r="F446">
        <v>0.82140897302707605</v>
      </c>
      <c r="G446">
        <v>0.75575049170582798</v>
      </c>
      <c r="H446">
        <v>0.25152165123818798</v>
      </c>
      <c r="I446">
        <v>0.231538011676752</v>
      </c>
      <c r="J446">
        <v>0.210667002960262</v>
      </c>
      <c r="K446">
        <v>0.15976842119074999</v>
      </c>
      <c r="L446">
        <v>1526.6785013854201</v>
      </c>
      <c r="M446">
        <v>27.960519652803701</v>
      </c>
      <c r="N446">
        <v>55.401526093527799</v>
      </c>
      <c r="O446">
        <v>54.3242145389695</v>
      </c>
      <c r="P446">
        <v>-0.10729646534647699</v>
      </c>
      <c r="Q446">
        <v>0.16614625816013601</v>
      </c>
      <c r="R446">
        <v>0.97371478874367401</v>
      </c>
      <c r="S446" t="s">
        <v>5997</v>
      </c>
      <c r="T446" t="s">
        <v>11100</v>
      </c>
      <c r="U446" t="s">
        <v>11100</v>
      </c>
      <c r="V446" t="s">
        <v>11100</v>
      </c>
      <c r="W446" t="s">
        <v>11541</v>
      </c>
      <c r="X446">
        <v>28</v>
      </c>
      <c r="Y446" t="s">
        <v>17037</v>
      </c>
      <c r="Z446" t="s">
        <v>22451</v>
      </c>
      <c r="AA446">
        <v>0.66137020002706726</v>
      </c>
      <c r="AB446" t="str">
        <f>HYPERLINK("Melting_Curves/meltCurve_E7EW20_MYO6.pdf", "Melting_Curves/meltCurve_E7EW20_MYO6.pdf")</f>
        <v>Melting_Curves/meltCurve_E7EW20_MYO6.pdf</v>
      </c>
    </row>
    <row r="447" spans="1:28" x14ac:dyDescent="0.25">
      <c r="A447" t="s">
        <v>451</v>
      </c>
      <c r="B447">
        <v>0.99299721793515405</v>
      </c>
      <c r="C447">
        <v>0.73201866395088899</v>
      </c>
      <c r="D447">
        <v>0.97365845991002997</v>
      </c>
      <c r="E447">
        <v>0.55729099084531897</v>
      </c>
      <c r="F447">
        <v>0.61188341286876502</v>
      </c>
      <c r="G447">
        <v>0.644107084875293</v>
      </c>
      <c r="H447">
        <v>0.33050584857723603</v>
      </c>
      <c r="I447">
        <v>0.165144800208785</v>
      </c>
      <c r="J447">
        <v>9.1926100015973802E-2</v>
      </c>
      <c r="K447">
        <v>0.112453558300389</v>
      </c>
      <c r="L447">
        <v>415.81794244856701</v>
      </c>
      <c r="M447">
        <v>7.9743416609954698</v>
      </c>
      <c r="N447">
        <v>52.144485386099099</v>
      </c>
      <c r="O447">
        <v>49.171544373458097</v>
      </c>
      <c r="P447">
        <v>-4.0589904479128497E-2</v>
      </c>
      <c r="Q447">
        <v>0</v>
      </c>
      <c r="R447">
        <v>0.86333877591669395</v>
      </c>
      <c r="S447" t="s">
        <v>5998</v>
      </c>
      <c r="T447" t="s">
        <v>11100</v>
      </c>
      <c r="U447" t="s">
        <v>11100</v>
      </c>
      <c r="V447" t="s">
        <v>11100</v>
      </c>
      <c r="W447" t="s">
        <v>11542</v>
      </c>
      <c r="X447">
        <v>2</v>
      </c>
      <c r="Y447" t="s">
        <v>17038</v>
      </c>
      <c r="Z447" t="s">
        <v>22452</v>
      </c>
      <c r="AA447">
        <v>0.53243591598840423</v>
      </c>
      <c r="AB447" t="str">
        <f>HYPERLINK("Melting_Curves/meltCurve_E7EW32_MON1B.pdf", "Melting_Curves/meltCurve_E7EW32_MON1B.pdf")</f>
        <v>Melting_Curves/meltCurve_E7EW32_MON1B.pdf</v>
      </c>
    </row>
    <row r="448" spans="1:28" x14ac:dyDescent="0.25">
      <c r="A448" t="s">
        <v>452</v>
      </c>
      <c r="B448">
        <v>0.99299721793515405</v>
      </c>
      <c r="C448">
        <v>0.77968551905626704</v>
      </c>
      <c r="D448">
        <v>0.76204784572725703</v>
      </c>
      <c r="E448">
        <v>0.83670946243108202</v>
      </c>
      <c r="F448">
        <v>0.57530882340259504</v>
      </c>
      <c r="G448">
        <v>0.25328030616318797</v>
      </c>
      <c r="H448">
        <v>0.321275984392067</v>
      </c>
      <c r="I448">
        <v>0.41348344938173998</v>
      </c>
      <c r="J448">
        <v>0.44406201574531501</v>
      </c>
      <c r="K448">
        <v>0.31823580466031898</v>
      </c>
      <c r="L448">
        <v>497.141001768801</v>
      </c>
      <c r="M448">
        <v>10.607728456381301</v>
      </c>
      <c r="N448">
        <v>51.4279373132917</v>
      </c>
      <c r="O448">
        <v>45.2923619556557</v>
      </c>
      <c r="P448">
        <v>-4.0716223733580498E-2</v>
      </c>
      <c r="Q448">
        <v>0.30487713216088602</v>
      </c>
      <c r="R448">
        <v>0.82211309685606904</v>
      </c>
      <c r="S448" t="s">
        <v>5999</v>
      </c>
      <c r="T448" t="s">
        <v>11100</v>
      </c>
      <c r="U448" t="s">
        <v>11100</v>
      </c>
      <c r="V448" t="s">
        <v>11100</v>
      </c>
      <c r="W448" t="s">
        <v>11543</v>
      </c>
      <c r="X448">
        <v>2</v>
      </c>
      <c r="Y448" t="s">
        <v>17039</v>
      </c>
      <c r="Z448" t="s">
        <v>22453</v>
      </c>
      <c r="AA448">
        <v>0.56128275776589198</v>
      </c>
      <c r="AB448" t="str">
        <f>HYPERLINK("Melting_Curves/meltCurve_E7EW59_SALL2.pdf", "Melting_Curves/meltCurve_E7EW59_SALL2.pdf")</f>
        <v>Melting_Curves/meltCurve_E7EW59_SALL2.pdf</v>
      </c>
    </row>
    <row r="449" spans="1:28" x14ac:dyDescent="0.25">
      <c r="A449" t="s">
        <v>453</v>
      </c>
      <c r="B449">
        <v>0.99299721793515405</v>
      </c>
      <c r="C449">
        <v>1.1220518527476899</v>
      </c>
      <c r="D449">
        <v>0.90593511500635304</v>
      </c>
      <c r="E449">
        <v>1.0387940948496801</v>
      </c>
      <c r="F449">
        <v>0.81132879975140404</v>
      </c>
      <c r="G449">
        <v>0.90776614967769598</v>
      </c>
      <c r="H449">
        <v>1.06894716870069</v>
      </c>
      <c r="I449">
        <v>0.61842109238916798</v>
      </c>
      <c r="J449">
        <v>0.19407503178781799</v>
      </c>
      <c r="K449">
        <v>5.3781782061334597E-2</v>
      </c>
      <c r="L449">
        <v>3244.3307224814098</v>
      </c>
      <c r="M449">
        <v>52.726066135926203</v>
      </c>
      <c r="N449">
        <v>61.689279627337598</v>
      </c>
      <c r="O449">
        <v>61.443495101540002</v>
      </c>
      <c r="P449">
        <v>-0.20102444649563</v>
      </c>
      <c r="Q449">
        <v>6.2957869650991594E-2</v>
      </c>
      <c r="R449">
        <v>0.93634952798746196</v>
      </c>
      <c r="S449" t="s">
        <v>6000</v>
      </c>
      <c r="T449" t="s">
        <v>11100</v>
      </c>
      <c r="U449" t="s">
        <v>11100</v>
      </c>
      <c r="V449" t="s">
        <v>11100</v>
      </c>
      <c r="W449" t="s">
        <v>11544</v>
      </c>
      <c r="X449">
        <v>8</v>
      </c>
      <c r="Y449" t="s">
        <v>17040</v>
      </c>
      <c r="Z449" t="s">
        <v>22454</v>
      </c>
      <c r="AA449">
        <v>0.83088231313412941</v>
      </c>
      <c r="AB449" t="str">
        <f>HYPERLINK("Melting_Curves/meltCurve_E7EW69_SEPT10.pdf", "Melting_Curves/meltCurve_E7EW69_SEPT10.pdf")</f>
        <v>Melting_Curves/meltCurve_E7EW69_SEPT10.pdf</v>
      </c>
    </row>
    <row r="450" spans="1:28" x14ac:dyDescent="0.25">
      <c r="A450" t="s">
        <v>454</v>
      </c>
      <c r="B450">
        <v>0.99299721793515405</v>
      </c>
      <c r="C450">
        <v>0.92571371679777303</v>
      </c>
      <c r="D450">
        <v>0.77563933204250202</v>
      </c>
      <c r="E450">
        <v>0.83552022849006002</v>
      </c>
      <c r="F450">
        <v>0.61876817979270105</v>
      </c>
      <c r="G450">
        <v>0.89032082942169999</v>
      </c>
      <c r="H450">
        <v>1.06771123533166</v>
      </c>
      <c r="I450">
        <v>0.82150658922173803</v>
      </c>
      <c r="J450">
        <v>0.76498793799365095</v>
      </c>
      <c r="K450">
        <v>0.51168556465958603</v>
      </c>
      <c r="L450">
        <v>133.19929454892201</v>
      </c>
      <c r="M450">
        <v>1.0502312494289801</v>
      </c>
      <c r="O450">
        <v>47.221669408413703</v>
      </c>
      <c r="P450">
        <v>-7.42587126068317E-3</v>
      </c>
      <c r="Q450">
        <v>0</v>
      </c>
      <c r="R450">
        <v>0.19335174363537699</v>
      </c>
      <c r="S450" t="s">
        <v>6001</v>
      </c>
      <c r="T450" t="s">
        <v>11100</v>
      </c>
      <c r="U450" t="s">
        <v>11100</v>
      </c>
      <c r="V450" t="s">
        <v>11100</v>
      </c>
      <c r="W450" t="s">
        <v>11545</v>
      </c>
      <c r="X450">
        <v>3</v>
      </c>
      <c r="Y450" t="s">
        <v>17041</v>
      </c>
      <c r="Z450" t="s">
        <v>22455</v>
      </c>
      <c r="AA450">
        <v>0.82078753698693263</v>
      </c>
      <c r="AB450" t="str">
        <f>HYPERLINK("Melting_Curves/meltCurve_E7EW77_ABI2.pdf", "Melting_Curves/meltCurve_E7EW77_ABI2.pdf")</f>
        <v>Melting_Curves/meltCurve_E7EW77_ABI2.pdf</v>
      </c>
    </row>
    <row r="451" spans="1:28" x14ac:dyDescent="0.25">
      <c r="A451" t="s">
        <v>455</v>
      </c>
      <c r="B451">
        <v>0.99299721793515405</v>
      </c>
      <c r="C451">
        <v>0.85997354670110904</v>
      </c>
      <c r="D451">
        <v>0.79306237633288101</v>
      </c>
      <c r="E451">
        <v>0.71817162910755805</v>
      </c>
      <c r="F451">
        <v>0.61380054537628903</v>
      </c>
      <c r="G451">
        <v>0.28394180287329501</v>
      </c>
      <c r="H451">
        <v>0.19391602512572101</v>
      </c>
      <c r="I451">
        <v>0.11873015894599501</v>
      </c>
      <c r="J451">
        <v>0.110673141328976</v>
      </c>
      <c r="K451">
        <v>3.1983966707681097E-2</v>
      </c>
      <c r="L451">
        <v>526.03132725331602</v>
      </c>
      <c r="M451">
        <v>10.452117183912801</v>
      </c>
      <c r="N451">
        <v>50.327727858307199</v>
      </c>
      <c r="O451">
        <v>48.590098097705898</v>
      </c>
      <c r="P451">
        <v>-5.3799061982859997E-2</v>
      </c>
      <c r="Q451">
        <v>0</v>
      </c>
      <c r="R451">
        <v>0.97630442270052298</v>
      </c>
      <c r="S451" t="s">
        <v>6002</v>
      </c>
      <c r="T451" t="s">
        <v>11100</v>
      </c>
      <c r="U451" t="s">
        <v>11100</v>
      </c>
      <c r="V451" t="s">
        <v>11100</v>
      </c>
      <c r="W451" t="s">
        <v>11546</v>
      </c>
      <c r="X451">
        <v>6</v>
      </c>
      <c r="Y451" t="s">
        <v>17042</v>
      </c>
      <c r="Z451" t="s">
        <v>22456</v>
      </c>
      <c r="AA451">
        <v>0.47580058021685362</v>
      </c>
      <c r="AB451" t="str">
        <f>HYPERLINK("Melting_Curves/meltCurve_E7EW84_EXOC6.pdf", "Melting_Curves/meltCurve_E7EW84_EXOC6.pdf")</f>
        <v>Melting_Curves/meltCurve_E7EW84_EXOC6.pdf</v>
      </c>
    </row>
    <row r="452" spans="1:28" x14ac:dyDescent="0.25">
      <c r="A452" t="s">
        <v>456</v>
      </c>
      <c r="B452">
        <v>0.99299721793515405</v>
      </c>
      <c r="C452">
        <v>0.91131813362056602</v>
      </c>
      <c r="D452">
        <v>1.00820644430059</v>
      </c>
      <c r="E452">
        <v>0.93494291879260805</v>
      </c>
      <c r="F452">
        <v>0.69156975288191302</v>
      </c>
      <c r="G452">
        <v>0.53865191432843096</v>
      </c>
      <c r="H452">
        <v>0.55087302689732398</v>
      </c>
      <c r="I452">
        <v>0.28671876448033501</v>
      </c>
      <c r="J452">
        <v>0.22000220122716599</v>
      </c>
      <c r="K452">
        <v>0.227929820898705</v>
      </c>
      <c r="L452">
        <v>575.50589411772501</v>
      </c>
      <c r="M452">
        <v>10.4941196039413</v>
      </c>
      <c r="N452">
        <v>55.895483372288403</v>
      </c>
      <c r="O452">
        <v>52.961618209926101</v>
      </c>
      <c r="P452">
        <v>-4.5105200065264597E-2</v>
      </c>
      <c r="Q452">
        <v>8.9821830030778205E-2</v>
      </c>
      <c r="R452">
        <v>0.96398777327371699</v>
      </c>
      <c r="S452" t="s">
        <v>6003</v>
      </c>
      <c r="T452" t="s">
        <v>11100</v>
      </c>
      <c r="U452" t="s">
        <v>11100</v>
      </c>
      <c r="V452" t="s">
        <v>11100</v>
      </c>
      <c r="W452" t="s">
        <v>11547</v>
      </c>
      <c r="X452">
        <v>3</v>
      </c>
      <c r="Y452" t="s">
        <v>17043</v>
      </c>
      <c r="Z452" t="s">
        <v>22457</v>
      </c>
      <c r="AA452">
        <v>0.64360401268732403</v>
      </c>
      <c r="AB452" t="str">
        <f>HYPERLINK("Melting_Curves/meltCurve_E7EWM3_ZMIZ2.pdf", "Melting_Curves/meltCurve_E7EWM3_ZMIZ2.pdf")</f>
        <v>Melting_Curves/meltCurve_E7EWM3_ZMIZ2.pdf</v>
      </c>
    </row>
    <row r="453" spans="1:28" x14ac:dyDescent="0.25">
      <c r="A453" t="s">
        <v>457</v>
      </c>
      <c r="B453">
        <v>0.99299721793515405</v>
      </c>
      <c r="C453">
        <v>0.94724585376648396</v>
      </c>
      <c r="D453">
        <v>0.88107960256781503</v>
      </c>
      <c r="E453">
        <v>0.87644697152567597</v>
      </c>
      <c r="F453">
        <v>0.706060149082682</v>
      </c>
      <c r="G453">
        <v>0.60129782032605805</v>
      </c>
      <c r="H453">
        <v>0.64746791668853099</v>
      </c>
      <c r="I453">
        <v>0.72330005268495501</v>
      </c>
      <c r="J453">
        <v>0.64557667060829804</v>
      </c>
      <c r="K453">
        <v>0.35485801719637899</v>
      </c>
      <c r="L453">
        <v>248.98221420702399</v>
      </c>
      <c r="M453">
        <v>3.7340074461895001</v>
      </c>
      <c r="N453">
        <v>66.679624494837896</v>
      </c>
      <c r="O453">
        <v>53.506443049756399</v>
      </c>
      <c r="P453">
        <v>-1.7725487334403201E-2</v>
      </c>
      <c r="Q453">
        <v>0</v>
      </c>
      <c r="R453">
        <v>0.78725122882621601</v>
      </c>
      <c r="S453" t="s">
        <v>6004</v>
      </c>
      <c r="T453" t="s">
        <v>11100</v>
      </c>
      <c r="U453" t="s">
        <v>11100</v>
      </c>
      <c r="V453" t="s">
        <v>11100</v>
      </c>
      <c r="W453" t="s">
        <v>11548</v>
      </c>
      <c r="X453">
        <v>5</v>
      </c>
      <c r="Y453" t="s">
        <v>17044</v>
      </c>
      <c r="Z453" t="s">
        <v>22458</v>
      </c>
      <c r="AA453">
        <v>0.73630718963186148</v>
      </c>
      <c r="AB453" t="str">
        <f>HYPERLINK("Melting_Curves/meltCurve_E7EWP0_NDUFB5.pdf", "Melting_Curves/meltCurve_E7EWP0_NDUFB5.pdf")</f>
        <v>Melting_Curves/meltCurve_E7EWP0_NDUFB5.pdf</v>
      </c>
    </row>
    <row r="454" spans="1:28" x14ac:dyDescent="0.25">
      <c r="A454" t="s">
        <v>458</v>
      </c>
      <c r="B454">
        <v>0.99299721793515405</v>
      </c>
      <c r="C454">
        <v>0.97797176387622298</v>
      </c>
      <c r="D454">
        <v>0.96501003658843898</v>
      </c>
      <c r="E454">
        <v>0.83031746002846396</v>
      </c>
      <c r="F454">
        <v>0.63198477458956404</v>
      </c>
      <c r="G454">
        <v>0.31981186555438201</v>
      </c>
      <c r="H454">
        <v>0.213050113818718</v>
      </c>
      <c r="I454">
        <v>0.20472955802679799</v>
      </c>
      <c r="J454">
        <v>0.189120985597166</v>
      </c>
      <c r="K454">
        <v>0.131721051617011</v>
      </c>
      <c r="L454">
        <v>959.81201409008804</v>
      </c>
      <c r="M454">
        <v>19.022345341193901</v>
      </c>
      <c r="N454">
        <v>51.419184255044598</v>
      </c>
      <c r="O454">
        <v>49.909356672866799</v>
      </c>
      <c r="P454">
        <v>-8.10200321897043E-2</v>
      </c>
      <c r="Q454">
        <v>0.14973707569863801</v>
      </c>
      <c r="R454">
        <v>0.99579296746081503</v>
      </c>
      <c r="S454" t="s">
        <v>6005</v>
      </c>
      <c r="T454" t="s">
        <v>11100</v>
      </c>
      <c r="U454" t="s">
        <v>11100</v>
      </c>
      <c r="V454" t="s">
        <v>11100</v>
      </c>
      <c r="W454" t="s">
        <v>11549</v>
      </c>
      <c r="X454">
        <v>14</v>
      </c>
      <c r="Y454" t="s">
        <v>17045</v>
      </c>
      <c r="Z454" t="s">
        <v>22459</v>
      </c>
      <c r="AA454">
        <v>0.54330248766001843</v>
      </c>
      <c r="AB454" t="str">
        <f>HYPERLINK("Melting_Curves/meltCurve_E7EX01_MPP2.pdf", "Melting_Curves/meltCurve_E7EX01_MPP2.pdf")</f>
        <v>Melting_Curves/meltCurve_E7EX01_MPP2.pdf</v>
      </c>
    </row>
    <row r="455" spans="1:28" x14ac:dyDescent="0.25">
      <c r="A455" t="s">
        <v>459</v>
      </c>
      <c r="B455">
        <v>0.99299721793515405</v>
      </c>
      <c r="C455">
        <v>0.97084849204902002</v>
      </c>
      <c r="D455">
        <v>1.24573780053828</v>
      </c>
      <c r="E455">
        <v>0.91780841963452098</v>
      </c>
      <c r="F455">
        <v>0.776734634642403</v>
      </c>
      <c r="G455">
        <v>0.81921154933839502</v>
      </c>
      <c r="H455">
        <v>1.0204661601101701</v>
      </c>
      <c r="I455">
        <v>0.79111342114302896</v>
      </c>
      <c r="J455">
        <v>0.68185538045039995</v>
      </c>
      <c r="K455">
        <v>0.73209548673374703</v>
      </c>
      <c r="L455">
        <v>408.05050320981297</v>
      </c>
      <c r="M455">
        <v>6.1037891808210496</v>
      </c>
      <c r="O455">
        <v>60.741553605017003</v>
      </c>
      <c r="P455">
        <v>-1.4479650695619999E-2</v>
      </c>
      <c r="Q455">
        <v>0.42537592088751303</v>
      </c>
      <c r="R455">
        <v>0.46387751320391202</v>
      </c>
      <c r="S455" t="s">
        <v>6006</v>
      </c>
      <c r="T455" t="s">
        <v>11100</v>
      </c>
      <c r="U455" t="s">
        <v>11100</v>
      </c>
      <c r="V455" t="s">
        <v>11100</v>
      </c>
      <c r="W455" t="s">
        <v>11550</v>
      </c>
      <c r="X455">
        <v>1</v>
      </c>
      <c r="Y455" t="s">
        <v>17046</v>
      </c>
      <c r="Z455" t="s">
        <v>22460</v>
      </c>
      <c r="AA455">
        <v>0.89144382613110562</v>
      </c>
      <c r="AB455" t="str">
        <f>HYPERLINK("Melting_Curves/meltCurve_E7EX53_RPL15.pdf", "Melting_Curves/meltCurve_E7EX53_RPL15.pdf")</f>
        <v>Melting_Curves/meltCurve_E7EX53_RPL15.pdf</v>
      </c>
    </row>
    <row r="456" spans="1:28" x14ac:dyDescent="0.25">
      <c r="A456" t="s">
        <v>460</v>
      </c>
      <c r="B456">
        <v>0.99299721793515405</v>
      </c>
      <c r="C456">
        <v>0.89703825591557496</v>
      </c>
      <c r="D456">
        <v>0.89594251635865396</v>
      </c>
      <c r="E456">
        <v>0.79310198357390604</v>
      </c>
      <c r="F456">
        <v>0.56497409073246496</v>
      </c>
      <c r="G456">
        <v>0.820735404656187</v>
      </c>
      <c r="H456">
        <v>0.70396116962089705</v>
      </c>
      <c r="I456">
        <v>0.54863877385147997</v>
      </c>
      <c r="J456">
        <v>0.49923870752161997</v>
      </c>
      <c r="K456">
        <v>0.441158589343151</v>
      </c>
      <c r="L456">
        <v>240.63227685276399</v>
      </c>
      <c r="M456">
        <v>3.6953815515014599</v>
      </c>
      <c r="N456">
        <v>65.117048987292904</v>
      </c>
      <c r="O456">
        <v>52.063798700086203</v>
      </c>
      <c r="P456">
        <v>-1.8037578134156601E-2</v>
      </c>
      <c r="Q456">
        <v>0</v>
      </c>
      <c r="R456">
        <v>0.80550743981565398</v>
      </c>
      <c r="S456" t="s">
        <v>6007</v>
      </c>
      <c r="T456" t="s">
        <v>11100</v>
      </c>
      <c r="U456" t="s">
        <v>11100</v>
      </c>
      <c r="V456" t="s">
        <v>11100</v>
      </c>
      <c r="W456" t="s">
        <v>11551</v>
      </c>
      <c r="X456">
        <v>3</v>
      </c>
      <c r="Y456" t="s">
        <v>17047</v>
      </c>
      <c r="Z456" t="s">
        <v>22461</v>
      </c>
      <c r="AA456">
        <v>0.71550198355218397</v>
      </c>
      <c r="AB456" t="str">
        <f>HYPERLINK("Melting_Curves/meltCurve_E7EX90_DCTN1.pdf", "Melting_Curves/meltCurve_E7EX90_DCTN1.pdf")</f>
        <v>Melting_Curves/meltCurve_E7EX90_DCTN1.pdf</v>
      </c>
    </row>
    <row r="457" spans="1:28" x14ac:dyDescent="0.25">
      <c r="A457" t="s">
        <v>461</v>
      </c>
      <c r="B457">
        <v>0.99299721793515405</v>
      </c>
      <c r="C457">
        <v>0.90426096457063099</v>
      </c>
      <c r="D457">
        <v>0.89448857288926698</v>
      </c>
      <c r="E457">
        <v>0.82474706300945</v>
      </c>
      <c r="F457">
        <v>0.42791713230793998</v>
      </c>
      <c r="G457">
        <v>0.18329528194331601</v>
      </c>
      <c r="H457">
        <v>0.15774070892679101</v>
      </c>
      <c r="I457">
        <v>0.14009438880680999</v>
      </c>
      <c r="J457">
        <v>0.12387101683464399</v>
      </c>
      <c r="K457">
        <v>9.6571232068622198E-2</v>
      </c>
      <c r="L457">
        <v>1136.3397193993001</v>
      </c>
      <c r="M457">
        <v>23.2112932248276</v>
      </c>
      <c r="N457">
        <v>49.503368923103402</v>
      </c>
      <c r="O457">
        <v>48.597292593570899</v>
      </c>
      <c r="P457">
        <v>-0.105900793146617</v>
      </c>
      <c r="Q457">
        <v>0.113121551536361</v>
      </c>
      <c r="R457">
        <v>0.98758165820351995</v>
      </c>
      <c r="S457" t="s">
        <v>6008</v>
      </c>
      <c r="T457" t="s">
        <v>11100</v>
      </c>
      <c r="U457" t="s">
        <v>11100</v>
      </c>
      <c r="V457" t="s">
        <v>11100</v>
      </c>
      <c r="W457" t="s">
        <v>11552</v>
      </c>
      <c r="X457">
        <v>12</v>
      </c>
      <c r="Y457" t="s">
        <v>17048</v>
      </c>
      <c r="Z457" t="s">
        <v>22462</v>
      </c>
      <c r="AA457">
        <v>0.47542156072186198</v>
      </c>
      <c r="AB457" t="str">
        <f>HYPERLINK("Melting_Curves/meltCurve_E9PAU2_RAVER1.pdf", "Melting_Curves/meltCurve_E9PAU2_RAVER1.pdf")</f>
        <v>Melting_Curves/meltCurve_E9PAU2_RAVER1.pdf</v>
      </c>
    </row>
    <row r="458" spans="1:28" x14ac:dyDescent="0.25">
      <c r="A458" t="s">
        <v>462</v>
      </c>
      <c r="B458">
        <v>0.99299721793515405</v>
      </c>
      <c r="C458">
        <v>0.90973106593549002</v>
      </c>
      <c r="D458">
        <v>0.89060716689783503</v>
      </c>
      <c r="E458">
        <v>0.61616562327299795</v>
      </c>
      <c r="F458">
        <v>0.46243126284136699</v>
      </c>
      <c r="G458">
        <v>0.26131592835281903</v>
      </c>
      <c r="H458">
        <v>0.21524781054883901</v>
      </c>
      <c r="I458">
        <v>0.19729121444089401</v>
      </c>
      <c r="J458">
        <v>0.29273055519324997</v>
      </c>
      <c r="K458">
        <v>0.14336421766420199</v>
      </c>
      <c r="L458">
        <v>732.44678174342698</v>
      </c>
      <c r="M458">
        <v>15.4805031508194</v>
      </c>
      <c r="N458">
        <v>48.778331469013203</v>
      </c>
      <c r="O458">
        <v>46.545697360324802</v>
      </c>
      <c r="P458">
        <v>-6.7701374233734596E-2</v>
      </c>
      <c r="Q458">
        <v>0.18583355335869001</v>
      </c>
      <c r="R458">
        <v>0.98113633321246796</v>
      </c>
      <c r="S458" t="s">
        <v>6009</v>
      </c>
      <c r="T458" t="s">
        <v>11100</v>
      </c>
      <c r="U458" t="s">
        <v>11100</v>
      </c>
      <c r="V458" t="s">
        <v>11100</v>
      </c>
      <c r="W458" t="s">
        <v>11553</v>
      </c>
      <c r="X458">
        <v>2</v>
      </c>
      <c r="Y458" t="s">
        <v>17049</v>
      </c>
      <c r="Z458" t="s">
        <v>22463</v>
      </c>
      <c r="AA458">
        <v>0.48296195994754432</v>
      </c>
      <c r="AB458" t="str">
        <f>HYPERLINK("Melting_Curves/meltCurve_E9PAV9_GPATCH4.pdf", "Melting_Curves/meltCurve_E9PAV9_GPATCH4.pdf")</f>
        <v>Melting_Curves/meltCurve_E9PAV9_GPATCH4.pdf</v>
      </c>
    </row>
    <row r="459" spans="1:28" x14ac:dyDescent="0.25">
      <c r="A459" t="s">
        <v>463</v>
      </c>
      <c r="B459">
        <v>0.99299721793515405</v>
      </c>
      <c r="C459">
        <v>0.81073471015620802</v>
      </c>
      <c r="D459">
        <v>0.79427578842688895</v>
      </c>
      <c r="E459">
        <v>0.717517984875367</v>
      </c>
      <c r="F459">
        <v>0.60479847027035405</v>
      </c>
      <c r="G459">
        <v>0.339801353311386</v>
      </c>
      <c r="H459">
        <v>0.52307899761329402</v>
      </c>
      <c r="I459">
        <v>0.62113127006681601</v>
      </c>
      <c r="J459">
        <v>0.65548597982156698</v>
      </c>
      <c r="K459">
        <v>0.50735422216252202</v>
      </c>
      <c r="L459">
        <v>609.340812725467</v>
      </c>
      <c r="M459">
        <v>14.160070085130901</v>
      </c>
      <c r="O459">
        <v>42.2013672687225</v>
      </c>
      <c r="P459">
        <v>-3.9152164667393602E-2</v>
      </c>
      <c r="Q459">
        <v>0.53331720047692799</v>
      </c>
      <c r="R459">
        <v>0.73040145929399802</v>
      </c>
      <c r="S459" t="s">
        <v>6010</v>
      </c>
      <c r="T459" t="s">
        <v>11100</v>
      </c>
      <c r="U459" t="s">
        <v>11100</v>
      </c>
      <c r="V459" t="s">
        <v>11100</v>
      </c>
      <c r="W459" t="s">
        <v>11554</v>
      </c>
      <c r="X459">
        <v>1</v>
      </c>
      <c r="Y459" t="s">
        <v>17050</v>
      </c>
      <c r="Z459" t="s">
        <v>22464</v>
      </c>
      <c r="AA459">
        <v>0.64104915414684571</v>
      </c>
      <c r="AB459" t="str">
        <f>HYPERLINK("Melting_Curves/meltCurve_E9PB28_HES4.pdf", "Melting_Curves/meltCurve_E9PB28_HES4.pdf")</f>
        <v>Melting_Curves/meltCurve_E9PB28_HES4.pdf</v>
      </c>
    </row>
    <row r="460" spans="1:28" x14ac:dyDescent="0.25">
      <c r="A460" t="s">
        <v>464</v>
      </c>
      <c r="B460">
        <v>0.99299721793515405</v>
      </c>
      <c r="C460">
        <v>0.95319755678374696</v>
      </c>
      <c r="D460">
        <v>1.01687555329646</v>
      </c>
      <c r="E460">
        <v>1.0698718633996001</v>
      </c>
      <c r="F460">
        <v>0.87069099572812803</v>
      </c>
      <c r="G460">
        <v>0.99948396234907499</v>
      </c>
      <c r="H460">
        <v>0.49923130980708602</v>
      </c>
      <c r="I460">
        <v>0.38836697098154599</v>
      </c>
      <c r="J460">
        <v>0.35368623415200701</v>
      </c>
      <c r="K460">
        <v>0.294887822273943</v>
      </c>
      <c r="L460">
        <v>4760.7179297374196</v>
      </c>
      <c r="M460">
        <v>84.107388213210001</v>
      </c>
      <c r="N460">
        <v>57.401552379538103</v>
      </c>
      <c r="O460">
        <v>56.5708750134146</v>
      </c>
      <c r="P460">
        <v>-0.24350837622363</v>
      </c>
      <c r="Q460">
        <v>0.34486229095037702</v>
      </c>
      <c r="R460">
        <v>0.968597012477738</v>
      </c>
      <c r="S460" t="s">
        <v>6011</v>
      </c>
      <c r="T460" t="s">
        <v>11100</v>
      </c>
      <c r="U460" t="s">
        <v>11100</v>
      </c>
      <c r="V460" t="s">
        <v>11100</v>
      </c>
      <c r="W460" t="s">
        <v>11555</v>
      </c>
      <c r="X460">
        <v>5</v>
      </c>
      <c r="Y460" t="s">
        <v>17051</v>
      </c>
      <c r="Z460" t="s">
        <v>22465</v>
      </c>
      <c r="AA460">
        <v>0.77352378484705586</v>
      </c>
      <c r="AB460" t="str">
        <f>HYPERLINK("Melting_Curves/meltCurve_E9PB61_ALYREF.pdf", "Melting_Curves/meltCurve_E9PB61_ALYREF.pdf")</f>
        <v>Melting_Curves/meltCurve_E9PB61_ALYREF.pdf</v>
      </c>
    </row>
    <row r="461" spans="1:28" x14ac:dyDescent="0.25">
      <c r="A461" t="s">
        <v>465</v>
      </c>
      <c r="B461">
        <v>0.99299721793515405</v>
      </c>
      <c r="C461">
        <v>1.0871936103775</v>
      </c>
      <c r="D461">
        <v>0.96092119806582998</v>
      </c>
      <c r="E461">
        <v>0.85615710989231697</v>
      </c>
      <c r="F461">
        <v>0.41111080683227602</v>
      </c>
      <c r="G461">
        <v>0.24806867844047201</v>
      </c>
      <c r="H461">
        <v>0.16043381788257699</v>
      </c>
      <c r="I461">
        <v>0.13421761807062699</v>
      </c>
      <c r="J461">
        <v>0.104332450403954</v>
      </c>
      <c r="K461">
        <v>7.4863936889536395E-2</v>
      </c>
      <c r="L461">
        <v>1254.17558720737</v>
      </c>
      <c r="M461">
        <v>25.490266991746498</v>
      </c>
      <c r="N461">
        <v>49.713811111381403</v>
      </c>
      <c r="O461">
        <v>48.902310501217599</v>
      </c>
      <c r="P461">
        <v>-0.115277994581289</v>
      </c>
      <c r="Q461">
        <v>0.115381550896741</v>
      </c>
      <c r="R461">
        <v>0.990610240989233</v>
      </c>
      <c r="S461" t="s">
        <v>6012</v>
      </c>
      <c r="T461" t="s">
        <v>11100</v>
      </c>
      <c r="U461" t="s">
        <v>11100</v>
      </c>
      <c r="V461" t="s">
        <v>11100</v>
      </c>
      <c r="W461" t="s">
        <v>11556</v>
      </c>
      <c r="X461">
        <v>24</v>
      </c>
      <c r="Y461" t="s">
        <v>17052</v>
      </c>
      <c r="Z461" t="s">
        <v>22466</v>
      </c>
      <c r="AA461">
        <v>0.48257009730189709</v>
      </c>
      <c r="AB461" t="str">
        <f>HYPERLINK("Melting_Curves/meltCurve_E9PB90_HK2.pdf", "Melting_Curves/meltCurve_E9PB90_HK2.pdf")</f>
        <v>Melting_Curves/meltCurve_E9PB90_HK2.pdf</v>
      </c>
    </row>
    <row r="462" spans="1:28" x14ac:dyDescent="0.25">
      <c r="A462" t="s">
        <v>466</v>
      </c>
      <c r="B462">
        <v>0.99299721793515405</v>
      </c>
      <c r="C462">
        <v>0.97051396080203201</v>
      </c>
      <c r="D462">
        <v>1.1420884028662299</v>
      </c>
      <c r="E462">
        <v>0.923162905743939</v>
      </c>
      <c r="F462">
        <v>0.78617995341874403</v>
      </c>
      <c r="G462">
        <v>0.75472898121724297</v>
      </c>
      <c r="H462">
        <v>0.45980236526271201</v>
      </c>
      <c r="I462">
        <v>0.26603408394472899</v>
      </c>
      <c r="J462">
        <v>0.18708527935445099</v>
      </c>
      <c r="K462">
        <v>0.160639164550646</v>
      </c>
      <c r="L462">
        <v>813.91546061199404</v>
      </c>
      <c r="M462">
        <v>14.431169671699299</v>
      </c>
      <c r="N462">
        <v>56.841160821866801</v>
      </c>
      <c r="O462">
        <v>55.350007742659201</v>
      </c>
      <c r="P462">
        <v>-6.1734098731396202E-2</v>
      </c>
      <c r="Q462">
        <v>5.2999486357757301E-2</v>
      </c>
      <c r="R462">
        <v>0.96908814559576095</v>
      </c>
      <c r="S462" t="s">
        <v>6013</v>
      </c>
      <c r="T462" t="s">
        <v>11100</v>
      </c>
      <c r="U462" t="s">
        <v>11100</v>
      </c>
      <c r="V462" t="s">
        <v>11100</v>
      </c>
      <c r="W462" t="s">
        <v>11557</v>
      </c>
      <c r="X462">
        <v>15</v>
      </c>
      <c r="Y462" t="s">
        <v>17053</v>
      </c>
      <c r="Z462" t="s">
        <v>22467</v>
      </c>
      <c r="AA462">
        <v>0.67488983026509997</v>
      </c>
      <c r="AB462" t="str">
        <f>HYPERLINK("Melting_Curves/meltCurve_E9PC15_AGK.pdf", "Melting_Curves/meltCurve_E9PC15_AGK.pdf")</f>
        <v>Melting_Curves/meltCurve_E9PC15_AGK.pdf</v>
      </c>
    </row>
    <row r="463" spans="1:28" x14ac:dyDescent="0.25">
      <c r="A463" t="s">
        <v>467</v>
      </c>
      <c r="B463">
        <v>0.99299721793515405</v>
      </c>
      <c r="C463">
        <v>0.92015016865092103</v>
      </c>
      <c r="D463">
        <v>0.95210584131992504</v>
      </c>
      <c r="E463">
        <v>0.882717913721215</v>
      </c>
      <c r="F463">
        <v>0.69587094807806704</v>
      </c>
      <c r="G463">
        <v>0.26605382219469298</v>
      </c>
      <c r="H463">
        <v>0.20397536837128999</v>
      </c>
      <c r="I463">
        <v>0.191836652554328</v>
      </c>
      <c r="J463">
        <v>0.17772299903045799</v>
      </c>
      <c r="K463">
        <v>0.13711769434151</v>
      </c>
      <c r="L463">
        <v>1410.29093541988</v>
      </c>
      <c r="M463">
        <v>27.7347123923727</v>
      </c>
      <c r="N463">
        <v>51.566409628412401</v>
      </c>
      <c r="O463">
        <v>50.587155056714003</v>
      </c>
      <c r="P463">
        <v>-0.115133761070099</v>
      </c>
      <c r="Q463">
        <v>0.16000750328285701</v>
      </c>
      <c r="R463">
        <v>0.98704523065947503</v>
      </c>
      <c r="S463" t="s">
        <v>6014</v>
      </c>
      <c r="T463" t="s">
        <v>11100</v>
      </c>
      <c r="U463" t="s">
        <v>11100</v>
      </c>
      <c r="V463" t="s">
        <v>11100</v>
      </c>
      <c r="W463" t="s">
        <v>11558</v>
      </c>
      <c r="X463">
        <v>9</v>
      </c>
      <c r="Y463" t="s">
        <v>17054</v>
      </c>
      <c r="Z463" t="s">
        <v>22468</v>
      </c>
      <c r="AA463">
        <v>0.55386531687341067</v>
      </c>
      <c r="AB463" t="str">
        <f>HYPERLINK("Melting_Curves/meltCurve_E9PC47_LIMK1.pdf", "Melting_Curves/meltCurve_E9PC47_LIMK1.pdf")</f>
        <v>Melting_Curves/meltCurve_E9PC47_LIMK1.pdf</v>
      </c>
    </row>
    <row r="464" spans="1:28" x14ac:dyDescent="0.25">
      <c r="A464" t="s">
        <v>468</v>
      </c>
      <c r="B464">
        <v>0.99299721793515405</v>
      </c>
      <c r="C464">
        <v>0.87721915122917204</v>
      </c>
      <c r="D464">
        <v>0.73635113104611805</v>
      </c>
      <c r="E464">
        <v>0.73141549104661796</v>
      </c>
      <c r="F464">
        <v>0.62132594761282001</v>
      </c>
      <c r="G464">
        <v>0.82595832577663997</v>
      </c>
      <c r="H464">
        <v>0.38357476159356702</v>
      </c>
      <c r="I464">
        <v>0.31334347731567302</v>
      </c>
      <c r="J464">
        <v>0.207819420604274</v>
      </c>
      <c r="K464">
        <v>0.157246123084198</v>
      </c>
      <c r="L464">
        <v>369.18333288487798</v>
      </c>
      <c r="M464">
        <v>6.7268209689170799</v>
      </c>
      <c r="N464">
        <v>54.882271700364399</v>
      </c>
      <c r="O464">
        <v>50.642809736403002</v>
      </c>
      <c r="P464">
        <v>-3.3278390349533199E-2</v>
      </c>
      <c r="Q464">
        <v>0</v>
      </c>
      <c r="R464">
        <v>0.84959086280468099</v>
      </c>
      <c r="S464" t="s">
        <v>6015</v>
      </c>
      <c r="T464" t="s">
        <v>11100</v>
      </c>
      <c r="U464" t="s">
        <v>11100</v>
      </c>
      <c r="V464" t="s">
        <v>11100</v>
      </c>
      <c r="W464" t="s">
        <v>11559</v>
      </c>
      <c r="X464">
        <v>3</v>
      </c>
      <c r="Y464" t="s">
        <v>17055</v>
      </c>
      <c r="Z464" t="s">
        <v>22469</v>
      </c>
      <c r="AA464">
        <v>0.59773595668118462</v>
      </c>
      <c r="AB464" t="str">
        <f>HYPERLINK("Melting_Curves/meltCurve_E9PC74_EIF2B5.pdf", "Melting_Curves/meltCurve_E9PC74_EIF2B5.pdf")</f>
        <v>Melting_Curves/meltCurve_E9PC74_EIF2B5.pdf</v>
      </c>
    </row>
    <row r="465" spans="1:28" x14ac:dyDescent="0.25">
      <c r="A465" t="s">
        <v>469</v>
      </c>
      <c r="B465">
        <v>0.99299721793515405</v>
      </c>
      <c r="C465">
        <v>0.97124698061267101</v>
      </c>
      <c r="D465">
        <v>0.87936422524769797</v>
      </c>
      <c r="E465">
        <v>0.78309909935571198</v>
      </c>
      <c r="F465">
        <v>0.59772673997035397</v>
      </c>
      <c r="G465">
        <v>0.31781730374529599</v>
      </c>
      <c r="H465">
        <v>0.32678989605727199</v>
      </c>
      <c r="I465">
        <v>0.28636114670895402</v>
      </c>
      <c r="J465">
        <v>0.25212292540249398</v>
      </c>
      <c r="K465">
        <v>0.14792364038460401</v>
      </c>
      <c r="L465">
        <v>667.11552089542204</v>
      </c>
      <c r="M465">
        <v>13.416449179812499</v>
      </c>
      <c r="N465">
        <v>51.4449684162648</v>
      </c>
      <c r="O465">
        <v>48.6579920459166</v>
      </c>
      <c r="P465">
        <v>-5.6475878850935801E-2</v>
      </c>
      <c r="Q465">
        <v>0.18083435694216399</v>
      </c>
      <c r="R465">
        <v>0.98332058972216496</v>
      </c>
      <c r="S465" t="s">
        <v>6016</v>
      </c>
      <c r="T465" t="s">
        <v>11100</v>
      </c>
      <c r="U465" t="s">
        <v>11100</v>
      </c>
      <c r="V465" t="s">
        <v>11100</v>
      </c>
      <c r="W465" t="s">
        <v>11560</v>
      </c>
      <c r="X465">
        <v>4</v>
      </c>
      <c r="Y465" t="s">
        <v>17056</v>
      </c>
      <c r="Z465" t="s">
        <v>22470</v>
      </c>
      <c r="AA465">
        <v>0.54848922838181413</v>
      </c>
      <c r="AB465" t="str">
        <f>HYPERLINK("Melting_Curves/meltCurve_E9PC84_TNC.pdf", "Melting_Curves/meltCurve_E9PC84_TNC.pdf")</f>
        <v>Melting_Curves/meltCurve_E9PC84_TNC.pdf</v>
      </c>
    </row>
    <row r="466" spans="1:28" x14ac:dyDescent="0.25">
      <c r="A466" t="s">
        <v>470</v>
      </c>
      <c r="B466">
        <v>0.99299721793515405</v>
      </c>
      <c r="C466">
        <v>0.87211545878776098</v>
      </c>
      <c r="D466">
        <v>0.814896375093626</v>
      </c>
      <c r="E466">
        <v>0.85544938583958197</v>
      </c>
      <c r="F466">
        <v>0.47114084110518001</v>
      </c>
      <c r="G466">
        <v>0.33769229335824402</v>
      </c>
      <c r="H466">
        <v>0.21297253316772</v>
      </c>
      <c r="I466">
        <v>0.17658336825597101</v>
      </c>
      <c r="J466">
        <v>0.20919386231186601</v>
      </c>
      <c r="K466">
        <v>0.11442032448643601</v>
      </c>
      <c r="L466">
        <v>630.55620357905798</v>
      </c>
      <c r="M466">
        <v>12.7063916201579</v>
      </c>
      <c r="N466">
        <v>50.5523077298852</v>
      </c>
      <c r="O466">
        <v>48.444120657507398</v>
      </c>
      <c r="P466">
        <v>-5.8767969967078802E-2</v>
      </c>
      <c r="Q466">
        <v>0.10394292066883901</v>
      </c>
      <c r="R466">
        <v>0.96500090025090801</v>
      </c>
      <c r="S466" t="s">
        <v>6017</v>
      </c>
      <c r="T466" t="s">
        <v>11100</v>
      </c>
      <c r="U466" t="s">
        <v>11100</v>
      </c>
      <c r="V466" t="s">
        <v>11100</v>
      </c>
      <c r="W466" t="s">
        <v>11561</v>
      </c>
      <c r="X466">
        <v>5</v>
      </c>
      <c r="Y466" t="s">
        <v>17057</v>
      </c>
      <c r="Z466" t="s">
        <v>22471</v>
      </c>
      <c r="AA466">
        <v>0.50492915044712872</v>
      </c>
      <c r="AB466" t="str">
        <f>HYPERLINK("Melting_Curves/meltCurve_E9PCH4_FNIP1.pdf", "Melting_Curves/meltCurve_E9PCH4_FNIP1.pdf")</f>
        <v>Melting_Curves/meltCurve_E9PCH4_FNIP1.pdf</v>
      </c>
    </row>
    <row r="467" spans="1:28" x14ac:dyDescent="0.25">
      <c r="A467" t="s">
        <v>471</v>
      </c>
      <c r="B467">
        <v>0.99299721793515405</v>
      </c>
      <c r="C467">
        <v>0.91402512066555097</v>
      </c>
      <c r="D467">
        <v>0.79792999906758999</v>
      </c>
      <c r="E467">
        <v>0.77058483812797196</v>
      </c>
      <c r="F467">
        <v>0.70324978065374599</v>
      </c>
      <c r="G467">
        <v>0.41211758886871203</v>
      </c>
      <c r="H467">
        <v>0.491103913001738</v>
      </c>
      <c r="I467">
        <v>0.44474983024105202</v>
      </c>
      <c r="J467">
        <v>0.41700226235624599</v>
      </c>
      <c r="K467">
        <v>0.23591499152329901</v>
      </c>
      <c r="L467">
        <v>356.13938499296103</v>
      </c>
      <c r="M467">
        <v>6.8034682100203403</v>
      </c>
      <c r="N467">
        <v>55.556432054821997</v>
      </c>
      <c r="O467">
        <v>48.382722265698099</v>
      </c>
      <c r="P467">
        <v>-2.95021987290634E-2</v>
      </c>
      <c r="Q467">
        <v>0.16250602754267399</v>
      </c>
      <c r="R467">
        <v>0.92942148669153402</v>
      </c>
      <c r="S467" t="s">
        <v>6018</v>
      </c>
      <c r="T467" t="s">
        <v>11100</v>
      </c>
      <c r="U467" t="s">
        <v>11100</v>
      </c>
      <c r="V467" t="s">
        <v>11100</v>
      </c>
      <c r="W467" t="s">
        <v>11562</v>
      </c>
      <c r="X467">
        <v>1</v>
      </c>
      <c r="Y467" t="s">
        <v>17058</v>
      </c>
      <c r="Z467" t="s">
        <v>22472</v>
      </c>
      <c r="AA467">
        <v>0.61244072444845832</v>
      </c>
      <c r="AB467" t="str">
        <f>HYPERLINK("Melting_Curves/meltCurve_E9PCN2_GUCY1B3.pdf", "Melting_Curves/meltCurve_E9PCN2_GUCY1B3.pdf")</f>
        <v>Melting_Curves/meltCurve_E9PCN2_GUCY1B3.pdf</v>
      </c>
    </row>
    <row r="468" spans="1:28" x14ac:dyDescent="0.25">
      <c r="A468" t="s">
        <v>472</v>
      </c>
      <c r="B468">
        <v>0.99299721793515405</v>
      </c>
      <c r="C468">
        <v>1.2065941141311201</v>
      </c>
      <c r="D468">
        <v>1.5794688770115499</v>
      </c>
      <c r="E468">
        <v>1.1535398188011201</v>
      </c>
      <c r="F468">
        <v>0.80299584653683798</v>
      </c>
      <c r="G468">
        <v>0.49353906273097298</v>
      </c>
      <c r="H468">
        <v>0.71692502904470601</v>
      </c>
      <c r="I468">
        <v>0.52433054464597195</v>
      </c>
      <c r="J468">
        <v>0.40994882880783901</v>
      </c>
      <c r="K468">
        <v>0.28686006963038202</v>
      </c>
      <c r="L468">
        <v>10977.240357458801</v>
      </c>
      <c r="M468">
        <v>218.19547384241801</v>
      </c>
      <c r="N468">
        <v>51.152883871302599</v>
      </c>
      <c r="O468">
        <v>50.304965149470902</v>
      </c>
      <c r="P468">
        <v>-0.55701503790490003</v>
      </c>
      <c r="Q468">
        <v>0.48632062960040201</v>
      </c>
      <c r="R468">
        <v>0.67048501240542102</v>
      </c>
      <c r="S468" t="s">
        <v>6019</v>
      </c>
      <c r="T468" t="s">
        <v>11100</v>
      </c>
      <c r="U468" t="s">
        <v>11100</v>
      </c>
      <c r="V468" t="s">
        <v>11100</v>
      </c>
      <c r="W468" t="s">
        <v>11563</v>
      </c>
      <c r="X468">
        <v>8</v>
      </c>
      <c r="Y468" t="s">
        <v>17059</v>
      </c>
      <c r="Z468" t="s">
        <v>22473</v>
      </c>
      <c r="AA468">
        <v>0.71426893761533838</v>
      </c>
      <c r="AB468" t="str">
        <f>HYPERLINK("Melting_Curves/meltCurve_E9PCW1_GOSR1.pdf", "Melting_Curves/meltCurve_E9PCW1_GOSR1.pdf")</f>
        <v>Melting_Curves/meltCurve_E9PCW1_GOSR1.pdf</v>
      </c>
    </row>
    <row r="469" spans="1:28" x14ac:dyDescent="0.25">
      <c r="A469" t="s">
        <v>473</v>
      </c>
      <c r="B469">
        <v>0.99299721793515405</v>
      </c>
      <c r="C469">
        <v>0.890829309851628</v>
      </c>
      <c r="D469">
        <v>0.77475784499277001</v>
      </c>
      <c r="E469">
        <v>0.63438204069927695</v>
      </c>
      <c r="F469">
        <v>0.46948090370699302</v>
      </c>
      <c r="G469">
        <v>0.204199158185738</v>
      </c>
      <c r="H469">
        <v>0.15671016776969399</v>
      </c>
      <c r="I469">
        <v>0.159332002394556</v>
      </c>
      <c r="J469">
        <v>0.151843445193138</v>
      </c>
      <c r="K469">
        <v>8.7719819583720104E-2</v>
      </c>
      <c r="L469">
        <v>553.59488811179494</v>
      </c>
      <c r="M469">
        <v>11.545695547939699</v>
      </c>
      <c r="N469">
        <v>48.541653151570202</v>
      </c>
      <c r="O469">
        <v>46.577440693623998</v>
      </c>
      <c r="P469">
        <v>-5.7907372309745901E-2</v>
      </c>
      <c r="Q469">
        <v>6.5825883520725006E-2</v>
      </c>
      <c r="R469">
        <v>0.98766039199359701</v>
      </c>
      <c r="S469" t="s">
        <v>6020</v>
      </c>
      <c r="T469" t="s">
        <v>11100</v>
      </c>
      <c r="U469" t="s">
        <v>11100</v>
      </c>
      <c r="V469" t="s">
        <v>11100</v>
      </c>
      <c r="W469" t="s">
        <v>11564</v>
      </c>
      <c r="X469">
        <v>3</v>
      </c>
      <c r="Y469" t="s">
        <v>17060</v>
      </c>
      <c r="Z469" t="s">
        <v>22474</v>
      </c>
      <c r="AA469">
        <v>0.43775149828810539</v>
      </c>
      <c r="AB469" t="str">
        <f>HYPERLINK("Melting_Curves/meltCurve_E9PCX3_ELF2.pdf", "Melting_Curves/meltCurve_E9PCX3_ELF2.pdf")</f>
        <v>Melting_Curves/meltCurve_E9PCX3_ELF2.pdf</v>
      </c>
    </row>
    <row r="470" spans="1:28" x14ac:dyDescent="0.25">
      <c r="A470" t="s">
        <v>474</v>
      </c>
      <c r="B470">
        <v>0.99299721793515405</v>
      </c>
      <c r="C470">
        <v>1.05862199990515</v>
      </c>
      <c r="D470">
        <v>0.97949377397460002</v>
      </c>
      <c r="E470">
        <v>0.88918230254033803</v>
      </c>
      <c r="F470">
        <v>0.62486250605553795</v>
      </c>
      <c r="G470">
        <v>0.26415680316016898</v>
      </c>
      <c r="H470">
        <v>0.18957665173124599</v>
      </c>
      <c r="I470">
        <v>0.142894781675518</v>
      </c>
      <c r="J470">
        <v>0.133690495539209</v>
      </c>
      <c r="K470">
        <v>9.6956241503804497E-2</v>
      </c>
      <c r="L470">
        <v>1227.7035345663101</v>
      </c>
      <c r="M470">
        <v>24.239184734886901</v>
      </c>
      <c r="N470">
        <v>51.224646246307898</v>
      </c>
      <c r="O470">
        <v>50.3085760614359</v>
      </c>
      <c r="P470">
        <v>-0.10610529120718699</v>
      </c>
      <c r="Q470">
        <v>0.119124674767429</v>
      </c>
      <c r="R470">
        <v>0.99587984008137898</v>
      </c>
      <c r="S470" t="s">
        <v>6021</v>
      </c>
      <c r="T470" t="s">
        <v>11100</v>
      </c>
      <c r="U470" t="s">
        <v>11100</v>
      </c>
      <c r="V470" t="s">
        <v>11100</v>
      </c>
      <c r="W470" t="s">
        <v>11565</v>
      </c>
      <c r="X470">
        <v>14</v>
      </c>
      <c r="Y470" t="s">
        <v>17061</v>
      </c>
      <c r="Z470" t="s">
        <v>22475</v>
      </c>
      <c r="AA470">
        <v>0.52812069623560465</v>
      </c>
      <c r="AB470" t="str">
        <f>HYPERLINK("Melting_Curves/meltCurve_E9PCY7_HNRNPH1.pdf", "Melting_Curves/meltCurve_E9PCY7_HNRNPH1.pdf")</f>
        <v>Melting_Curves/meltCurve_E9PCY7_HNRNPH1.pdf</v>
      </c>
    </row>
    <row r="471" spans="1:28" x14ac:dyDescent="0.25">
      <c r="A471" t="s">
        <v>475</v>
      </c>
      <c r="B471">
        <v>0.99299721793515405</v>
      </c>
      <c r="C471">
        <v>0.90705574670300504</v>
      </c>
      <c r="D471">
        <v>0.81284012868990696</v>
      </c>
      <c r="E471">
        <v>0.70029908443950395</v>
      </c>
      <c r="F471">
        <v>0.59690968527608301</v>
      </c>
      <c r="G471">
        <v>0.30285472407936698</v>
      </c>
      <c r="H471">
        <v>0.19615734942251101</v>
      </c>
      <c r="I471">
        <v>0.18798435391904</v>
      </c>
      <c r="J471">
        <v>0.122928591709048</v>
      </c>
      <c r="K471">
        <v>7.7758916693923499E-2</v>
      </c>
      <c r="L471">
        <v>494.795577087087</v>
      </c>
      <c r="M471">
        <v>9.7872238501807693</v>
      </c>
      <c r="N471">
        <v>50.555251943190399</v>
      </c>
      <c r="O471">
        <v>48.5802299855294</v>
      </c>
      <c r="P471">
        <v>-5.0392881261734301E-2</v>
      </c>
      <c r="Q471">
        <v>0</v>
      </c>
      <c r="R471">
        <v>0.98709561690575498</v>
      </c>
      <c r="S471" t="s">
        <v>6022</v>
      </c>
      <c r="T471" t="s">
        <v>11100</v>
      </c>
      <c r="U471" t="s">
        <v>11100</v>
      </c>
      <c r="V471" t="s">
        <v>11100</v>
      </c>
      <c r="W471" t="s">
        <v>11566</v>
      </c>
      <c r="X471">
        <v>7</v>
      </c>
      <c r="Y471" t="s">
        <v>17062</v>
      </c>
      <c r="Z471" t="s">
        <v>22476</v>
      </c>
      <c r="AA471">
        <v>0.48446945514825351</v>
      </c>
      <c r="AB471" t="str">
        <f>HYPERLINK("Melting_Curves/meltCurve_E9PD53_SMC4.pdf", "Melting_Curves/meltCurve_E9PD53_SMC4.pdf")</f>
        <v>Melting_Curves/meltCurve_E9PD53_SMC4.pdf</v>
      </c>
    </row>
    <row r="472" spans="1:28" x14ac:dyDescent="0.25">
      <c r="A472" t="s">
        <v>476</v>
      </c>
      <c r="B472">
        <v>0.99299721793515405</v>
      </c>
      <c r="C472">
        <v>0.97699837242897403</v>
      </c>
      <c r="D472">
        <v>0.89488013141859302</v>
      </c>
      <c r="E472">
        <v>0.71668354104172305</v>
      </c>
      <c r="F472">
        <v>0.67078351138066195</v>
      </c>
      <c r="G472">
        <v>0.32741316193438802</v>
      </c>
      <c r="H472">
        <v>0.206286960751838</v>
      </c>
      <c r="I472">
        <v>0.189699789827383</v>
      </c>
      <c r="J472">
        <v>0.228977030665134</v>
      </c>
      <c r="K472">
        <v>0.11205388695555001</v>
      </c>
      <c r="L472">
        <v>656.47602993094301</v>
      </c>
      <c r="M472">
        <v>13.026744071509199</v>
      </c>
      <c r="N472">
        <v>51.328638276594702</v>
      </c>
      <c r="O472">
        <v>49.251260947761899</v>
      </c>
      <c r="P472">
        <v>-5.9155828802583299E-2</v>
      </c>
      <c r="Q472">
        <v>0.105535972089475</v>
      </c>
      <c r="R472">
        <v>0.97728673301042901</v>
      </c>
      <c r="S472" t="s">
        <v>6023</v>
      </c>
      <c r="T472" t="s">
        <v>11100</v>
      </c>
      <c r="U472" t="s">
        <v>11100</v>
      </c>
      <c r="V472" t="s">
        <v>11100</v>
      </c>
      <c r="W472" t="s">
        <v>11567</v>
      </c>
      <c r="X472">
        <v>2</v>
      </c>
      <c r="Y472" t="s">
        <v>17063</v>
      </c>
      <c r="Z472" t="s">
        <v>22477</v>
      </c>
      <c r="AA472">
        <v>0.52706613989598161</v>
      </c>
      <c r="AB472" t="str">
        <f>HYPERLINK("Melting_Curves/meltCurve_E9PD90_CKAP2.pdf", "Melting_Curves/meltCurve_E9PD90_CKAP2.pdf")</f>
        <v>Melting_Curves/meltCurve_E9PD90_CKAP2.pdf</v>
      </c>
    </row>
    <row r="473" spans="1:28" x14ac:dyDescent="0.25">
      <c r="A473" t="s">
        <v>477</v>
      </c>
      <c r="B473">
        <v>0.99299721793515405</v>
      </c>
      <c r="C473">
        <v>0.830834404463762</v>
      </c>
      <c r="D473">
        <v>0.81230417446340997</v>
      </c>
      <c r="E473">
        <v>0.65691701780629896</v>
      </c>
      <c r="F473">
        <v>0.44775176639078001</v>
      </c>
      <c r="G473">
        <v>0.27182370585916898</v>
      </c>
      <c r="H473">
        <v>0.16242539505728201</v>
      </c>
      <c r="I473">
        <v>0.17557030413105301</v>
      </c>
      <c r="J473">
        <v>0.111773224775172</v>
      </c>
      <c r="K473">
        <v>9.9320310963043903E-2</v>
      </c>
      <c r="L473">
        <v>502.53309636114898</v>
      </c>
      <c r="M473">
        <v>10.350599094896801</v>
      </c>
      <c r="N473">
        <v>48.942464072254602</v>
      </c>
      <c r="O473">
        <v>46.843690588996303</v>
      </c>
      <c r="P473">
        <v>-5.30687723149171E-2</v>
      </c>
      <c r="Q473">
        <v>3.9716305950310199E-2</v>
      </c>
      <c r="R473">
        <v>0.98899235708590905</v>
      </c>
      <c r="S473" t="s">
        <v>6024</v>
      </c>
      <c r="T473" t="s">
        <v>11100</v>
      </c>
      <c r="U473" t="s">
        <v>11100</v>
      </c>
      <c r="V473" t="s">
        <v>11100</v>
      </c>
      <c r="W473" t="s">
        <v>11568</v>
      </c>
      <c r="X473">
        <v>1</v>
      </c>
      <c r="Y473" t="s">
        <v>17064</v>
      </c>
      <c r="Z473" t="s">
        <v>22478</v>
      </c>
      <c r="AA473">
        <v>0.44492898509913098</v>
      </c>
      <c r="AB473" t="str">
        <f>HYPERLINK("Melting_Curves/meltCurve_E9PD99_LRCH3.pdf", "Melting_Curves/meltCurve_E9PD99_LRCH3.pdf")</f>
        <v>Melting_Curves/meltCurve_E9PD99_LRCH3.pdf</v>
      </c>
    </row>
    <row r="474" spans="1:28" x14ac:dyDescent="0.25">
      <c r="A474" t="s">
        <v>478</v>
      </c>
      <c r="B474">
        <v>0.99299721793515405</v>
      </c>
      <c r="C474">
        <v>1.0234090004332701</v>
      </c>
      <c r="D474">
        <v>0.97631273222855897</v>
      </c>
      <c r="E474">
        <v>0.79449494953090005</v>
      </c>
      <c r="F474">
        <v>0.62083433866396098</v>
      </c>
      <c r="G474">
        <v>0.38217167528840401</v>
      </c>
      <c r="H474">
        <v>0.22942067650440601</v>
      </c>
      <c r="I474">
        <v>0.227059779008945</v>
      </c>
      <c r="J474">
        <v>0.16627496477345199</v>
      </c>
      <c r="K474">
        <v>0.140879251995017</v>
      </c>
      <c r="L474">
        <v>804.069819187284</v>
      </c>
      <c r="M474">
        <v>15.865958722037499</v>
      </c>
      <c r="N474">
        <v>51.725770611869301</v>
      </c>
      <c r="O474">
        <v>49.894338972157598</v>
      </c>
      <c r="P474">
        <v>-6.8586374068522998E-2</v>
      </c>
      <c r="Q474">
        <v>0.13732437147027601</v>
      </c>
      <c r="R474">
        <v>0.995620687392472</v>
      </c>
      <c r="S474" t="s">
        <v>6025</v>
      </c>
      <c r="T474" t="s">
        <v>11100</v>
      </c>
      <c r="U474" t="s">
        <v>11100</v>
      </c>
      <c r="V474" t="s">
        <v>11100</v>
      </c>
      <c r="W474" t="s">
        <v>11569</v>
      </c>
      <c r="X474">
        <v>15</v>
      </c>
      <c r="Y474" t="s">
        <v>17065</v>
      </c>
      <c r="Z474" t="s">
        <v>22479</v>
      </c>
      <c r="AA474">
        <v>0.54695039215312691</v>
      </c>
      <c r="AB474" t="str">
        <f>HYPERLINK("Melting_Curves/meltCurve_E9PDF6_MYO1B.pdf", "Melting_Curves/meltCurve_E9PDF6_MYO1B.pdf")</f>
        <v>Melting_Curves/meltCurve_E9PDF6_MYO1B.pdf</v>
      </c>
    </row>
    <row r="475" spans="1:28" x14ac:dyDescent="0.25">
      <c r="A475" t="s">
        <v>479</v>
      </c>
      <c r="B475">
        <v>0.99299721793515405</v>
      </c>
      <c r="C475">
        <v>0.841376853678523</v>
      </c>
      <c r="D475">
        <v>0.863861516244255</v>
      </c>
      <c r="E475">
        <v>0.71947895297906805</v>
      </c>
      <c r="F475">
        <v>0.58008151168170596</v>
      </c>
      <c r="G475">
        <v>0.44506977195400899</v>
      </c>
      <c r="H475">
        <v>0.27599938872590501</v>
      </c>
      <c r="I475">
        <v>0.227247732326751</v>
      </c>
      <c r="J475">
        <v>0.23654112603789501</v>
      </c>
      <c r="K475">
        <v>0.187249798126192</v>
      </c>
      <c r="L475">
        <v>441.25234463901802</v>
      </c>
      <c r="M475">
        <v>8.6880014517522302</v>
      </c>
      <c r="N475">
        <v>51.776364024584197</v>
      </c>
      <c r="O475">
        <v>48.313141049902903</v>
      </c>
      <c r="P475">
        <v>-4.1558199545134601E-2</v>
      </c>
      <c r="Q475">
        <v>7.6361805711153904E-2</v>
      </c>
      <c r="R475">
        <v>0.9851581697781</v>
      </c>
      <c r="S475" t="s">
        <v>6026</v>
      </c>
      <c r="T475" t="s">
        <v>11100</v>
      </c>
      <c r="U475" t="s">
        <v>11100</v>
      </c>
      <c r="V475" t="s">
        <v>11100</v>
      </c>
      <c r="W475" t="s">
        <v>11570</v>
      </c>
      <c r="X475">
        <v>16</v>
      </c>
      <c r="Y475" t="s">
        <v>17066</v>
      </c>
      <c r="Z475" t="s">
        <v>22480</v>
      </c>
      <c r="AA475">
        <v>0.53271488949280454</v>
      </c>
      <c r="AB475" t="str">
        <f>HYPERLINK("Melting_Curves/meltCurve_E9PDJ1_CACNA1C.pdf", "Melting_Curves/meltCurve_E9PDJ1_CACNA1C.pdf")</f>
        <v>Melting_Curves/meltCurve_E9PDJ1_CACNA1C.pdf</v>
      </c>
    </row>
    <row r="476" spans="1:28" x14ac:dyDescent="0.25">
      <c r="A476" t="s">
        <v>480</v>
      </c>
      <c r="B476">
        <v>0.99299721793515405</v>
      </c>
      <c r="C476">
        <v>0.88208834097641897</v>
      </c>
      <c r="D476">
        <v>1.2486431674642899</v>
      </c>
      <c r="E476">
        <v>1.0749463830193999</v>
      </c>
      <c r="F476">
        <v>0.821620696206528</v>
      </c>
      <c r="G476">
        <v>0.64124332507094195</v>
      </c>
      <c r="H476">
        <v>0.55031527867616603</v>
      </c>
      <c r="I476">
        <v>0.66488706275496801</v>
      </c>
      <c r="J476">
        <v>0.78952546260324696</v>
      </c>
      <c r="K476">
        <v>0.66084806553040598</v>
      </c>
      <c r="L476">
        <v>12544.6218568653</v>
      </c>
      <c r="M476">
        <v>250</v>
      </c>
      <c r="O476">
        <v>50.175252259259103</v>
      </c>
      <c r="P476">
        <v>-0.42181651488080102</v>
      </c>
      <c r="Q476">
        <v>0.66136383601424298</v>
      </c>
      <c r="R476">
        <v>0.74634962975639496</v>
      </c>
      <c r="S476" t="s">
        <v>6027</v>
      </c>
      <c r="T476" t="s">
        <v>11100</v>
      </c>
      <c r="U476" t="s">
        <v>11100</v>
      </c>
      <c r="V476" t="s">
        <v>11100</v>
      </c>
      <c r="W476" t="s">
        <v>11571</v>
      </c>
      <c r="X476">
        <v>1</v>
      </c>
      <c r="Y476" t="s">
        <v>17067</v>
      </c>
      <c r="Z476" t="s">
        <v>22481</v>
      </c>
      <c r="AA476">
        <v>0.81015073813507377</v>
      </c>
      <c r="AB476" t="str">
        <f>HYPERLINK("Melting_Curves/meltCurve_E9PE47_SLC2A13.pdf", "Melting_Curves/meltCurve_E9PE47_SLC2A13.pdf")</f>
        <v>Melting_Curves/meltCurve_E9PE47_SLC2A13.pdf</v>
      </c>
    </row>
    <row r="477" spans="1:28" x14ac:dyDescent="0.25">
      <c r="A477" t="s">
        <v>481</v>
      </c>
      <c r="B477">
        <v>0.99299721793515405</v>
      </c>
      <c r="C477">
        <v>1.06894235288075</v>
      </c>
      <c r="D477">
        <v>0.90914700871724796</v>
      </c>
      <c r="E477">
        <v>0.92741029060329405</v>
      </c>
      <c r="F477">
        <v>0.72305137722596602</v>
      </c>
      <c r="G477">
        <v>0.70197917780359897</v>
      </c>
      <c r="H477">
        <v>0.62893206462401896</v>
      </c>
      <c r="I477">
        <v>0.55196873061106499</v>
      </c>
      <c r="J477">
        <v>0.37323184757807298</v>
      </c>
      <c r="K477">
        <v>0.218707498105146</v>
      </c>
      <c r="L477">
        <v>464.597356835737</v>
      </c>
      <c r="M477">
        <v>7.7538127043485403</v>
      </c>
      <c r="N477">
        <v>59.918565732732901</v>
      </c>
      <c r="O477">
        <v>56.324412552519398</v>
      </c>
      <c r="P477">
        <v>-3.4459594289413899E-2</v>
      </c>
      <c r="Q477">
        <v>0</v>
      </c>
      <c r="R477">
        <v>0.94621330863631203</v>
      </c>
      <c r="S477" t="s">
        <v>6028</v>
      </c>
      <c r="T477" t="s">
        <v>11100</v>
      </c>
      <c r="U477" t="s">
        <v>11100</v>
      </c>
      <c r="V477" t="s">
        <v>11100</v>
      </c>
      <c r="W477" t="s">
        <v>11572</v>
      </c>
      <c r="X477">
        <v>2</v>
      </c>
      <c r="Y477" t="s">
        <v>17068</v>
      </c>
      <c r="Z477" t="s">
        <v>22482</v>
      </c>
      <c r="AA477">
        <v>0.71897418307198313</v>
      </c>
      <c r="AB477" t="str">
        <f>HYPERLINK("Melting_Curves/meltCurve_E9PE82_ACADS.pdf", "Melting_Curves/meltCurve_E9PE82_ACADS.pdf")</f>
        <v>Melting_Curves/meltCurve_E9PE82_ACADS.pdf</v>
      </c>
    </row>
    <row r="478" spans="1:28" x14ac:dyDescent="0.25">
      <c r="A478" t="s">
        <v>482</v>
      </c>
      <c r="B478">
        <v>0.99299721793515405</v>
      </c>
      <c r="C478">
        <v>0.95476187337431695</v>
      </c>
      <c r="D478">
        <v>0.97342401476032903</v>
      </c>
      <c r="E478">
        <v>0.79881522445909103</v>
      </c>
      <c r="F478">
        <v>0.684969819660595</v>
      </c>
      <c r="G478">
        <v>0.65655021666001001</v>
      </c>
      <c r="H478">
        <v>0.66612725205009804</v>
      </c>
      <c r="I478">
        <v>0.552779960052458</v>
      </c>
      <c r="J478">
        <v>0.22377624604668001</v>
      </c>
      <c r="K478">
        <v>0.15546223845416299</v>
      </c>
      <c r="L478">
        <v>449.36366435170299</v>
      </c>
      <c r="M478">
        <v>7.7130268020278496</v>
      </c>
      <c r="N478">
        <v>58.260351884158503</v>
      </c>
      <c r="O478">
        <v>54.732220671739903</v>
      </c>
      <c r="P478">
        <v>-3.5276387599835597E-2</v>
      </c>
      <c r="Q478">
        <v>0</v>
      </c>
      <c r="R478">
        <v>0.89976472446880096</v>
      </c>
      <c r="S478" t="s">
        <v>6029</v>
      </c>
      <c r="T478" t="s">
        <v>11100</v>
      </c>
      <c r="U478" t="s">
        <v>11100</v>
      </c>
      <c r="V478" t="s">
        <v>11100</v>
      </c>
      <c r="W478" t="s">
        <v>11573</v>
      </c>
      <c r="X478">
        <v>6</v>
      </c>
      <c r="Y478" t="s">
        <v>17069</v>
      </c>
      <c r="Z478" t="s">
        <v>22483</v>
      </c>
      <c r="AA478">
        <v>0.68258294308393108</v>
      </c>
      <c r="AB478" t="str">
        <f>HYPERLINK("Melting_Curves/meltCurve_E9PEJ6_ATP11A.pdf", "Melting_Curves/meltCurve_E9PEJ6_ATP11A.pdf")</f>
        <v>Melting_Curves/meltCurve_E9PEJ6_ATP11A.pdf</v>
      </c>
    </row>
    <row r="479" spans="1:28" x14ac:dyDescent="0.25">
      <c r="A479" t="s">
        <v>483</v>
      </c>
      <c r="B479">
        <v>0.99299721793515405</v>
      </c>
      <c r="C479">
        <v>0.89883254219198705</v>
      </c>
      <c r="D479">
        <v>0.829074158520407</v>
      </c>
      <c r="E479">
        <v>0.90619914839293703</v>
      </c>
      <c r="F479">
        <v>0.70651666567893801</v>
      </c>
      <c r="G479">
        <v>0.72006559054352104</v>
      </c>
      <c r="H479">
        <v>0.50988138001864902</v>
      </c>
      <c r="I479">
        <v>0.39459649512886902</v>
      </c>
      <c r="J479">
        <v>0.56638205553898202</v>
      </c>
      <c r="K479">
        <v>0.24261067504883899</v>
      </c>
      <c r="L479">
        <v>340.082568010128</v>
      </c>
      <c r="M479">
        <v>5.71109545124731</v>
      </c>
      <c r="N479">
        <v>59.547704847734998</v>
      </c>
      <c r="O479">
        <v>53.456336724379099</v>
      </c>
      <c r="P479">
        <v>-2.68122140346546E-2</v>
      </c>
      <c r="Q479">
        <v>0</v>
      </c>
      <c r="R479">
        <v>0.87816342948043302</v>
      </c>
      <c r="S479" t="s">
        <v>6030</v>
      </c>
      <c r="T479" t="s">
        <v>11100</v>
      </c>
      <c r="U479" t="s">
        <v>11100</v>
      </c>
      <c r="V479" t="s">
        <v>11100</v>
      </c>
      <c r="W479" t="s">
        <v>11574</v>
      </c>
      <c r="X479">
        <v>2</v>
      </c>
      <c r="Y479" t="s">
        <v>17070</v>
      </c>
      <c r="Z479" t="s">
        <v>22484</v>
      </c>
      <c r="AA479">
        <v>0.68379185891196026</v>
      </c>
      <c r="AB479" t="str">
        <f>HYPERLINK("Melting_Curves/meltCurve_E9PEK8_ATF2.pdf", "Melting_Curves/meltCurve_E9PEK8_ATF2.pdf")</f>
        <v>Melting_Curves/meltCurve_E9PEK8_ATF2.pdf</v>
      </c>
    </row>
    <row r="480" spans="1:28" x14ac:dyDescent="0.25">
      <c r="A480" t="s">
        <v>484</v>
      </c>
      <c r="B480">
        <v>0.99299721793515405</v>
      </c>
      <c r="C480">
        <v>1.0296935132367</v>
      </c>
      <c r="D480">
        <v>0.91815977026101103</v>
      </c>
      <c r="E480">
        <v>0.87701764944883498</v>
      </c>
      <c r="F480">
        <v>0.72254871854461999</v>
      </c>
      <c r="G480">
        <v>0.51480251525910903</v>
      </c>
      <c r="H480">
        <v>0.31818000487567499</v>
      </c>
      <c r="I480">
        <v>0.14476559946253501</v>
      </c>
      <c r="J480">
        <v>0.121959518662212</v>
      </c>
      <c r="K480">
        <v>0.109700762872515</v>
      </c>
      <c r="L480">
        <v>707.95479878584695</v>
      </c>
      <c r="M480">
        <v>13.197506726529101</v>
      </c>
      <c r="N480">
        <v>53.810037528353803</v>
      </c>
      <c r="O480">
        <v>52.4562987276312</v>
      </c>
      <c r="P480">
        <v>-6.16460475323347E-2</v>
      </c>
      <c r="Q480">
        <v>2.0061919200239101E-2</v>
      </c>
      <c r="R480">
        <v>0.99512321842893303</v>
      </c>
      <c r="S480" t="s">
        <v>6031</v>
      </c>
      <c r="T480" t="s">
        <v>11100</v>
      </c>
      <c r="U480" t="s">
        <v>11100</v>
      </c>
      <c r="V480" t="s">
        <v>11100</v>
      </c>
      <c r="W480" t="s">
        <v>11575</v>
      </c>
      <c r="X480">
        <v>18</v>
      </c>
      <c r="Y480" t="s">
        <v>17071</v>
      </c>
      <c r="Z480" t="s">
        <v>22485</v>
      </c>
      <c r="AA480">
        <v>0.58168614103402849</v>
      </c>
      <c r="AB480" t="str">
        <f>HYPERLINK("Melting_Curves/meltCurve_E9PEN8_XPO7.pdf", "Melting_Curves/meltCurve_E9PEN8_XPO7.pdf")</f>
        <v>Melting_Curves/meltCurve_E9PEN8_XPO7.pdf</v>
      </c>
    </row>
    <row r="481" spans="1:28" x14ac:dyDescent="0.25">
      <c r="A481" t="s">
        <v>485</v>
      </c>
      <c r="B481">
        <v>0.99299721793515405</v>
      </c>
      <c r="C481">
        <v>0.825513521095108</v>
      </c>
      <c r="D481">
        <v>0.81256217911858497</v>
      </c>
      <c r="E481">
        <v>0.78926389389059204</v>
      </c>
      <c r="F481">
        <v>0.55022038418297303</v>
      </c>
      <c r="G481">
        <v>0.535835458437672</v>
      </c>
      <c r="H481">
        <v>0.68026503913769298</v>
      </c>
      <c r="I481">
        <v>0.58885826853135204</v>
      </c>
      <c r="J481">
        <v>0.397858123270382</v>
      </c>
      <c r="K481">
        <v>0.412985407417859</v>
      </c>
      <c r="L481">
        <v>289.178467353266</v>
      </c>
      <c r="M481">
        <v>5.7643785761303699</v>
      </c>
      <c r="N481">
        <v>61.059456592888097</v>
      </c>
      <c r="O481">
        <v>45.114119914683698</v>
      </c>
      <c r="P481">
        <v>-2.1763946023104899E-2</v>
      </c>
      <c r="Q481">
        <v>0.32120425404185698</v>
      </c>
      <c r="R481">
        <v>0.82512550505250704</v>
      </c>
      <c r="S481" t="s">
        <v>6032</v>
      </c>
      <c r="T481" t="s">
        <v>11100</v>
      </c>
      <c r="U481" t="s">
        <v>11100</v>
      </c>
      <c r="V481" t="s">
        <v>11100</v>
      </c>
      <c r="W481" t="s">
        <v>11576</v>
      </c>
      <c r="X481">
        <v>3</v>
      </c>
      <c r="Y481" t="s">
        <v>17072</v>
      </c>
      <c r="Z481" t="s">
        <v>22486</v>
      </c>
      <c r="AA481">
        <v>0.65113055109441464</v>
      </c>
      <c r="AB481" t="str">
        <f>HYPERLINK("Melting_Curves/meltCurve_E9PEP6_NRP1.pdf", "Melting_Curves/meltCurve_E9PEP6_NRP1.pdf")</f>
        <v>Melting_Curves/meltCurve_E9PEP6_NRP1.pdf</v>
      </c>
    </row>
    <row r="482" spans="1:28" x14ac:dyDescent="0.25">
      <c r="A482" t="s">
        <v>486</v>
      </c>
      <c r="B482">
        <v>0.99299721793515405</v>
      </c>
      <c r="C482">
        <v>0.92702179741431101</v>
      </c>
      <c r="D482">
        <v>0.777149710809663</v>
      </c>
      <c r="E482">
        <v>0.78321389923930795</v>
      </c>
      <c r="F482">
        <v>0.729277358963074</v>
      </c>
      <c r="G482">
        <v>0.81188598510967103</v>
      </c>
      <c r="H482">
        <v>0.83968892059378497</v>
      </c>
      <c r="I482">
        <v>0.94130224622385705</v>
      </c>
      <c r="J482">
        <v>0.88650092438735395</v>
      </c>
      <c r="K482">
        <v>0.70665180967454599</v>
      </c>
      <c r="L482">
        <v>9994.0248382436002</v>
      </c>
      <c r="M482">
        <v>250</v>
      </c>
      <c r="O482">
        <v>39.973533853412</v>
      </c>
      <c r="P482">
        <v>-0.29791760079159502</v>
      </c>
      <c r="Q482">
        <v>0.80945885654176997</v>
      </c>
      <c r="R482">
        <v>0.47158921899627898</v>
      </c>
      <c r="S482" t="s">
        <v>6033</v>
      </c>
      <c r="T482" t="s">
        <v>11100</v>
      </c>
      <c r="U482" t="s">
        <v>11100</v>
      </c>
      <c r="V482" t="s">
        <v>11100</v>
      </c>
      <c r="W482" t="s">
        <v>11577</v>
      </c>
      <c r="X482">
        <v>1</v>
      </c>
      <c r="Y482" t="s">
        <v>17073</v>
      </c>
      <c r="Z482" t="s">
        <v>22487</v>
      </c>
      <c r="AA482">
        <v>0.82837453687840279</v>
      </c>
      <c r="AB482" t="str">
        <f>HYPERLINK("Melting_Curves/meltCurve_E9PER1_DIP2A.pdf", "Melting_Curves/meltCurve_E9PER1_DIP2A.pdf")</f>
        <v>Melting_Curves/meltCurve_E9PER1_DIP2A.pdf</v>
      </c>
    </row>
    <row r="483" spans="1:28" x14ac:dyDescent="0.25">
      <c r="A483" t="s">
        <v>487</v>
      </c>
      <c r="B483">
        <v>0.99299721793515405</v>
      </c>
      <c r="C483">
        <v>1.04362699835658</v>
      </c>
      <c r="D483">
        <v>0.96039627558520002</v>
      </c>
      <c r="E483">
        <v>0.943858154005221</v>
      </c>
      <c r="F483">
        <v>0.76052225427285702</v>
      </c>
      <c r="G483">
        <v>0.42899251611196898</v>
      </c>
      <c r="H483">
        <v>0.27211460352283701</v>
      </c>
      <c r="I483">
        <v>0.25481627474791801</v>
      </c>
      <c r="J483">
        <v>0.230351826107347</v>
      </c>
      <c r="K483">
        <v>0.21022941695862801</v>
      </c>
      <c r="L483">
        <v>1302.93350831423</v>
      </c>
      <c r="M483">
        <v>25.1937927582977</v>
      </c>
      <c r="N483">
        <v>52.938264062577197</v>
      </c>
      <c r="O483">
        <v>51.3939191154792</v>
      </c>
      <c r="P483">
        <v>-9.5535409168799504E-2</v>
      </c>
      <c r="Q483">
        <v>0.22046274306760999</v>
      </c>
      <c r="R483">
        <v>0.99660564114879602</v>
      </c>
      <c r="S483" t="s">
        <v>6034</v>
      </c>
      <c r="T483" t="s">
        <v>11100</v>
      </c>
      <c r="U483" t="s">
        <v>11100</v>
      </c>
      <c r="V483" t="s">
        <v>11100</v>
      </c>
      <c r="W483" t="s">
        <v>11578</v>
      </c>
      <c r="X483">
        <v>8</v>
      </c>
      <c r="Y483" t="s">
        <v>17074</v>
      </c>
      <c r="Z483" t="s">
        <v>22488</v>
      </c>
      <c r="AA483">
        <v>0.6096691602779416</v>
      </c>
      <c r="AB483" t="str">
        <f>HYPERLINK("Melting_Curves/meltCurve_E9PER6_PDPK1.pdf", "Melting_Curves/meltCurve_E9PER6_PDPK1.pdf")</f>
        <v>Melting_Curves/meltCurve_E9PER6_PDPK1.pdf</v>
      </c>
    </row>
    <row r="484" spans="1:28" x14ac:dyDescent="0.25">
      <c r="A484" t="s">
        <v>488</v>
      </c>
      <c r="B484">
        <v>0.99299721793515405</v>
      </c>
      <c r="C484">
        <v>1.09562983701274</v>
      </c>
      <c r="D484">
        <v>1.12416678515601</v>
      </c>
      <c r="E484">
        <v>0.96536732636518896</v>
      </c>
      <c r="F484">
        <v>0.77920892345729098</v>
      </c>
      <c r="G484">
        <v>0.28377277359010999</v>
      </c>
      <c r="H484">
        <v>0.19170568002318</v>
      </c>
      <c r="I484">
        <v>0.15428973277008201</v>
      </c>
      <c r="J484">
        <v>0.124872087862357</v>
      </c>
      <c r="K484">
        <v>0.107862963324834</v>
      </c>
      <c r="L484">
        <v>1886.8658416103799</v>
      </c>
      <c r="M484">
        <v>36.555328089809898</v>
      </c>
      <c r="N484">
        <v>52.069127734077902</v>
      </c>
      <c r="O484">
        <v>51.462974959848502</v>
      </c>
      <c r="P484">
        <v>-0.153420450971474</v>
      </c>
      <c r="Q484">
        <v>0.136054935031722</v>
      </c>
      <c r="R484">
        <v>0.98439437171385602</v>
      </c>
      <c r="S484" t="s">
        <v>6035</v>
      </c>
      <c r="T484" t="s">
        <v>11100</v>
      </c>
      <c r="U484" t="s">
        <v>11100</v>
      </c>
      <c r="V484" t="s">
        <v>11100</v>
      </c>
      <c r="W484" t="s">
        <v>11579</v>
      </c>
      <c r="X484">
        <v>31</v>
      </c>
      <c r="Y484" t="s">
        <v>17075</v>
      </c>
      <c r="Z484" t="s">
        <v>22489</v>
      </c>
      <c r="AA484">
        <v>0.56067108964267498</v>
      </c>
      <c r="AB484" t="str">
        <f>HYPERLINK("Melting_Curves/meltCurve_E9PEZ3_DIAPH1.pdf", "Melting_Curves/meltCurve_E9PEZ3_DIAPH1.pdf")</f>
        <v>Melting_Curves/meltCurve_E9PEZ3_DIAPH1.pdf</v>
      </c>
    </row>
    <row r="485" spans="1:28" x14ac:dyDescent="0.25">
      <c r="A485" t="s">
        <v>489</v>
      </c>
      <c r="B485">
        <v>0.99299721793515405</v>
      </c>
      <c r="C485">
        <v>0.76004573552761601</v>
      </c>
      <c r="D485">
        <v>0.80967525593870204</v>
      </c>
      <c r="E485">
        <v>0.55503229971496604</v>
      </c>
      <c r="F485">
        <v>0.71082432240318805</v>
      </c>
      <c r="G485">
        <v>0.54918022045550297</v>
      </c>
      <c r="H485">
        <v>0.11595208234070099</v>
      </c>
      <c r="I485">
        <v>0.20109768217451299</v>
      </c>
      <c r="J485">
        <v>0.180492592873256</v>
      </c>
      <c r="K485">
        <v>0</v>
      </c>
      <c r="L485">
        <v>410.17243804553402</v>
      </c>
      <c r="M485">
        <v>8.0676874395656899</v>
      </c>
      <c r="N485">
        <v>50.841388956684099</v>
      </c>
      <c r="O485">
        <v>48.003374658468701</v>
      </c>
      <c r="P485">
        <v>-4.2062294235901701E-2</v>
      </c>
      <c r="Q485">
        <v>0</v>
      </c>
      <c r="R485">
        <v>0.86586005253253295</v>
      </c>
      <c r="S485" t="s">
        <v>6036</v>
      </c>
      <c r="T485" t="s">
        <v>11100</v>
      </c>
      <c r="U485" t="s">
        <v>11100</v>
      </c>
      <c r="V485" t="s">
        <v>11100</v>
      </c>
      <c r="W485" t="s">
        <v>11580</v>
      </c>
      <c r="X485">
        <v>1</v>
      </c>
      <c r="Y485" t="s">
        <v>17076</v>
      </c>
      <c r="Z485" t="s">
        <v>22490</v>
      </c>
      <c r="AA485">
        <v>0.49701381480895152</v>
      </c>
      <c r="AB485" t="str">
        <f>HYPERLINK("Melting_Curves/meltCurve_E9PEZ5_KIAA1107.pdf", "Melting_Curves/meltCurve_E9PEZ5_KIAA1107.pdf")</f>
        <v>Melting_Curves/meltCurve_E9PEZ5_KIAA1107.pdf</v>
      </c>
    </row>
    <row r="486" spans="1:28" x14ac:dyDescent="0.25">
      <c r="A486" t="s">
        <v>490</v>
      </c>
      <c r="B486">
        <v>0.99299721793515405</v>
      </c>
      <c r="C486">
        <v>0.98516505253013498</v>
      </c>
      <c r="D486">
        <v>0.91525204485259803</v>
      </c>
      <c r="E486">
        <v>0.813240964150311</v>
      </c>
      <c r="F486">
        <v>0.49526000435803502</v>
      </c>
      <c r="G486">
        <v>0.41403210492363002</v>
      </c>
      <c r="H486">
        <v>0.181156266014497</v>
      </c>
      <c r="I486">
        <v>0.148458722540352</v>
      </c>
      <c r="J486">
        <v>0.13839007266519199</v>
      </c>
      <c r="K486">
        <v>0.113974459791911</v>
      </c>
      <c r="L486">
        <v>724.15691462611005</v>
      </c>
      <c r="M486">
        <v>14.389909692576</v>
      </c>
      <c r="N486">
        <v>51.0079604447875</v>
      </c>
      <c r="O486">
        <v>49.382004898232303</v>
      </c>
      <c r="P486">
        <v>-6.6465517040053004E-2</v>
      </c>
      <c r="Q486">
        <v>8.7746827258193993E-2</v>
      </c>
      <c r="R486">
        <v>0.99140504482328995</v>
      </c>
      <c r="S486" t="s">
        <v>6037</v>
      </c>
      <c r="T486" t="s">
        <v>11100</v>
      </c>
      <c r="U486" t="s">
        <v>11100</v>
      </c>
      <c r="V486" t="s">
        <v>11100</v>
      </c>
      <c r="W486" t="s">
        <v>11581</v>
      </c>
      <c r="X486">
        <v>20</v>
      </c>
      <c r="Y486" t="s">
        <v>17077</v>
      </c>
      <c r="Z486" t="s">
        <v>22491</v>
      </c>
      <c r="AA486">
        <v>0.51287697036196167</v>
      </c>
      <c r="AB486" t="str">
        <f>HYPERLINK("Melting_Curves/meltCurve_E9PF10_NUP155.pdf", "Melting_Curves/meltCurve_E9PF10_NUP155.pdf")</f>
        <v>Melting_Curves/meltCurve_E9PF10_NUP155.pdf</v>
      </c>
    </row>
    <row r="487" spans="1:28" x14ac:dyDescent="0.25">
      <c r="A487" t="s">
        <v>491</v>
      </c>
      <c r="B487">
        <v>0.99299721793515405</v>
      </c>
      <c r="C487">
        <v>0.98608583148923001</v>
      </c>
      <c r="D487">
        <v>0.92833332905196198</v>
      </c>
      <c r="E487">
        <v>0.81569415823876301</v>
      </c>
      <c r="F487">
        <v>0.70049387702271204</v>
      </c>
      <c r="G487">
        <v>0.301825845831872</v>
      </c>
      <c r="H487">
        <v>0.234291707528761</v>
      </c>
      <c r="I487">
        <v>0.183782321188599</v>
      </c>
      <c r="J487">
        <v>0.15942343601693801</v>
      </c>
      <c r="K487">
        <v>0.139358485873955</v>
      </c>
      <c r="L487">
        <v>912.59380535250705</v>
      </c>
      <c r="M487">
        <v>17.9252930111372</v>
      </c>
      <c r="N487">
        <v>51.773116989353802</v>
      </c>
      <c r="O487">
        <v>50.290021187894403</v>
      </c>
      <c r="P487">
        <v>-7.7615110580958296E-2</v>
      </c>
      <c r="Q487">
        <v>0.12903635768593399</v>
      </c>
      <c r="R487">
        <v>0.98774562839807001</v>
      </c>
      <c r="S487" t="s">
        <v>6038</v>
      </c>
      <c r="T487" t="s">
        <v>11100</v>
      </c>
      <c r="U487" t="s">
        <v>11100</v>
      </c>
      <c r="V487" t="s">
        <v>11100</v>
      </c>
      <c r="W487" t="s">
        <v>11582</v>
      </c>
      <c r="X487">
        <v>13</v>
      </c>
      <c r="Y487" t="s">
        <v>17078</v>
      </c>
      <c r="Z487" t="s">
        <v>22492</v>
      </c>
      <c r="AA487">
        <v>0.5465200848100279</v>
      </c>
      <c r="AB487" t="str">
        <f>HYPERLINK("Melting_Curves/meltCurve_E9PF16_ACSF2.pdf", "Melting_Curves/meltCurve_E9PF16_ACSF2.pdf")</f>
        <v>Melting_Curves/meltCurve_E9PF16_ACSF2.pdf</v>
      </c>
    </row>
    <row r="488" spans="1:28" x14ac:dyDescent="0.25">
      <c r="A488" t="s">
        <v>492</v>
      </c>
      <c r="B488">
        <v>0.99299721793515405</v>
      </c>
      <c r="C488">
        <v>1.05949162607498</v>
      </c>
      <c r="D488">
        <v>1.2636311943851499</v>
      </c>
      <c r="E488">
        <v>0.97133370281175901</v>
      </c>
      <c r="F488">
        <v>0.86044263017953504</v>
      </c>
      <c r="G488">
        <v>0.87867264072540696</v>
      </c>
      <c r="H488">
        <v>0.40317800682301902</v>
      </c>
      <c r="I488">
        <v>0.18023929854884699</v>
      </c>
      <c r="J488">
        <v>0.138651901618735</v>
      </c>
      <c r="K488">
        <v>0.107427984465995</v>
      </c>
      <c r="L488">
        <v>1879.9500374204899</v>
      </c>
      <c r="M488">
        <v>33.397117360459198</v>
      </c>
      <c r="N488">
        <v>56.724832198521</v>
      </c>
      <c r="O488">
        <v>56.090120246333697</v>
      </c>
      <c r="P488">
        <v>-0.13207061778270901</v>
      </c>
      <c r="Q488">
        <v>0.112758837584909</v>
      </c>
      <c r="R488">
        <v>0.94604211611130795</v>
      </c>
      <c r="S488" t="s">
        <v>6039</v>
      </c>
      <c r="T488" t="s">
        <v>11100</v>
      </c>
      <c r="U488" t="s">
        <v>11100</v>
      </c>
      <c r="V488" t="s">
        <v>11100</v>
      </c>
      <c r="W488" t="s">
        <v>11583</v>
      </c>
      <c r="X488">
        <v>16</v>
      </c>
      <c r="Y488" t="s">
        <v>17079</v>
      </c>
      <c r="Z488" t="s">
        <v>22493</v>
      </c>
      <c r="AA488">
        <v>0.68788555539252028</v>
      </c>
      <c r="AB488" t="str">
        <f>HYPERLINK("Melting_Curves/meltCurve_E9PF18_HADH.pdf", "Melting_Curves/meltCurve_E9PF18_HADH.pdf")</f>
        <v>Melting_Curves/meltCurve_E9PF18_HADH.pdf</v>
      </c>
    </row>
    <row r="489" spans="1:28" x14ac:dyDescent="0.25">
      <c r="A489" t="s">
        <v>493</v>
      </c>
      <c r="B489">
        <v>0.99299721793515405</v>
      </c>
      <c r="C489">
        <v>0.99622385895104504</v>
      </c>
      <c r="D489">
        <v>1.1123310413974701</v>
      </c>
      <c r="E489">
        <v>0.78137295596692002</v>
      </c>
      <c r="F489">
        <v>0.67675500986551795</v>
      </c>
      <c r="G489">
        <v>0.29653329041191301</v>
      </c>
      <c r="H489">
        <v>0.19995712843695401</v>
      </c>
      <c r="I489">
        <v>0.23351628391531101</v>
      </c>
      <c r="J489">
        <v>0.248773955916407</v>
      </c>
      <c r="K489">
        <v>0.21127129799855399</v>
      </c>
      <c r="L489">
        <v>1182.68052371106</v>
      </c>
      <c r="M489">
        <v>23.563282504632401</v>
      </c>
      <c r="N489">
        <v>51.349790702489102</v>
      </c>
      <c r="O489">
        <v>49.834358635933398</v>
      </c>
      <c r="P489">
        <v>-9.3844591392082996E-2</v>
      </c>
      <c r="Q489">
        <v>0.20611983248670601</v>
      </c>
      <c r="R489">
        <v>0.96908107706745095</v>
      </c>
      <c r="S489" t="s">
        <v>6040</v>
      </c>
      <c r="T489" t="s">
        <v>11100</v>
      </c>
      <c r="U489" t="s">
        <v>11100</v>
      </c>
      <c r="V489" t="s">
        <v>11100</v>
      </c>
      <c r="W489" t="s">
        <v>11584</v>
      </c>
      <c r="X489">
        <v>3</v>
      </c>
      <c r="Y489" t="s">
        <v>17080</v>
      </c>
      <c r="Z489" t="s">
        <v>22494</v>
      </c>
      <c r="AA489">
        <v>0.56298192227637889</v>
      </c>
      <c r="AB489" t="str">
        <f>HYPERLINK("Melting_Curves/meltCurve_E9PF19_TBL2.pdf", "Melting_Curves/meltCurve_E9PF19_TBL2.pdf")</f>
        <v>Melting_Curves/meltCurve_E9PF19_TBL2.pdf</v>
      </c>
    </row>
    <row r="490" spans="1:28" x14ac:dyDescent="0.25">
      <c r="A490" t="s">
        <v>494</v>
      </c>
      <c r="B490">
        <v>0.99299721793515405</v>
      </c>
      <c r="C490">
        <v>0.91963742137715399</v>
      </c>
      <c r="D490">
        <v>0.98661712233364396</v>
      </c>
      <c r="E490">
        <v>0.74058610444148698</v>
      </c>
      <c r="F490">
        <v>0.71390142310263804</v>
      </c>
      <c r="G490">
        <v>0.52898748674892604</v>
      </c>
      <c r="H490">
        <v>0.26081133906910697</v>
      </c>
      <c r="I490">
        <v>0.19839450718125101</v>
      </c>
      <c r="J490">
        <v>0.19398959147290501</v>
      </c>
      <c r="K490">
        <v>0.14170384567587199</v>
      </c>
      <c r="L490">
        <v>584.42050867416901</v>
      </c>
      <c r="M490">
        <v>11.040474042649</v>
      </c>
      <c r="N490">
        <v>53.377775693019302</v>
      </c>
      <c r="O490">
        <v>51.286676789307897</v>
      </c>
      <c r="P490">
        <v>-5.1476481151841599E-2</v>
      </c>
      <c r="Q490">
        <v>4.3816539867361802E-2</v>
      </c>
      <c r="R490">
        <v>0.97718357161959502</v>
      </c>
      <c r="S490" t="s">
        <v>6041</v>
      </c>
      <c r="T490" t="s">
        <v>11100</v>
      </c>
      <c r="U490" t="s">
        <v>11100</v>
      </c>
      <c r="V490" t="s">
        <v>11100</v>
      </c>
      <c r="W490" t="s">
        <v>11585</v>
      </c>
      <c r="X490">
        <v>10</v>
      </c>
      <c r="Y490" t="s">
        <v>17081</v>
      </c>
      <c r="Z490" t="s">
        <v>22495</v>
      </c>
      <c r="AA490">
        <v>0.57281515574229003</v>
      </c>
      <c r="AB490" t="str">
        <f>HYPERLINK("Melting_Curves/meltCurve_E9PFD7_EGFR.pdf", "Melting_Curves/meltCurve_E9PFD7_EGFR.pdf")</f>
        <v>Melting_Curves/meltCurve_E9PFD7_EGFR.pdf</v>
      </c>
    </row>
    <row r="491" spans="1:28" x14ac:dyDescent="0.25">
      <c r="A491" t="s">
        <v>495</v>
      </c>
      <c r="B491">
        <v>0.99299721793515405</v>
      </c>
      <c r="C491">
        <v>1.0673821328733299</v>
      </c>
      <c r="D491">
        <v>0.92696476430566199</v>
      </c>
      <c r="E491">
        <v>0.89861573165498498</v>
      </c>
      <c r="F491">
        <v>0.79161931326479396</v>
      </c>
      <c r="G491">
        <v>0.41067136333919202</v>
      </c>
      <c r="H491">
        <v>0.154559880236319</v>
      </c>
      <c r="I491">
        <v>0.11929620510408701</v>
      </c>
      <c r="J491">
        <v>0.13149155984130401</v>
      </c>
      <c r="K491">
        <v>0.105545434346838</v>
      </c>
      <c r="L491">
        <v>1304.46205576581</v>
      </c>
      <c r="M491">
        <v>24.9160230266104</v>
      </c>
      <c r="N491">
        <v>52.816882278899897</v>
      </c>
      <c r="O491">
        <v>52.020592595988496</v>
      </c>
      <c r="P491">
        <v>-0.108005961615744</v>
      </c>
      <c r="Q491">
        <v>9.8016957317336395E-2</v>
      </c>
      <c r="R491">
        <v>0.98977075481366905</v>
      </c>
      <c r="S491" t="s">
        <v>6042</v>
      </c>
      <c r="T491" t="s">
        <v>11100</v>
      </c>
      <c r="U491" t="s">
        <v>11100</v>
      </c>
      <c r="V491" t="s">
        <v>11100</v>
      </c>
      <c r="W491" t="s">
        <v>11586</v>
      </c>
      <c r="X491">
        <v>9</v>
      </c>
      <c r="Y491" t="s">
        <v>17082</v>
      </c>
      <c r="Z491" t="s">
        <v>22496</v>
      </c>
      <c r="AA491">
        <v>0.56770085514934765</v>
      </c>
      <c r="AB491" t="str">
        <f>HYPERLINK("Melting_Curves/meltCurve_E9PFN5_GSTK1.pdf", "Melting_Curves/meltCurve_E9PFN5_GSTK1.pdf")</f>
        <v>Melting_Curves/meltCurve_E9PFN5_GSTK1.pdf</v>
      </c>
    </row>
    <row r="492" spans="1:28" x14ac:dyDescent="0.25">
      <c r="A492" t="s">
        <v>496</v>
      </c>
      <c r="B492">
        <v>0.99299721793515405</v>
      </c>
      <c r="C492">
        <v>1.0123090817081299</v>
      </c>
      <c r="D492">
        <v>0.92091755303687906</v>
      </c>
      <c r="E492">
        <v>0.86739309404801401</v>
      </c>
      <c r="F492">
        <v>0.66813184261657199</v>
      </c>
      <c r="G492">
        <v>0.256383504162497</v>
      </c>
      <c r="H492">
        <v>0.176726965450446</v>
      </c>
      <c r="I492">
        <v>0.17075357341616201</v>
      </c>
      <c r="J492">
        <v>0.16929863862806699</v>
      </c>
      <c r="K492">
        <v>0.14382403905573099</v>
      </c>
      <c r="L492">
        <v>1292.4608232077501</v>
      </c>
      <c r="M492">
        <v>25.5245362649394</v>
      </c>
      <c r="N492">
        <v>51.328910693751098</v>
      </c>
      <c r="O492">
        <v>50.328283177968203</v>
      </c>
      <c r="P492">
        <v>-0.108314086807852</v>
      </c>
      <c r="Q492">
        <v>0.14573282954719499</v>
      </c>
      <c r="R492">
        <v>0.99069703933779796</v>
      </c>
      <c r="S492" t="s">
        <v>6043</v>
      </c>
      <c r="T492" t="s">
        <v>11100</v>
      </c>
      <c r="U492" t="s">
        <v>11100</v>
      </c>
      <c r="V492" t="s">
        <v>11100</v>
      </c>
      <c r="W492" t="s">
        <v>11587</v>
      </c>
      <c r="X492">
        <v>18</v>
      </c>
      <c r="Y492" t="s">
        <v>17083</v>
      </c>
      <c r="Z492" t="s">
        <v>22497</v>
      </c>
      <c r="AA492">
        <v>0.54125424080655793</v>
      </c>
      <c r="AB492" t="str">
        <f>HYPERLINK("Melting_Curves/meltCurve_E9PFR3_PPP2R5D.pdf", "Melting_Curves/meltCurve_E9PFR3_PPP2R5D.pdf")</f>
        <v>Melting_Curves/meltCurve_E9PFR3_PPP2R5D.pdf</v>
      </c>
    </row>
    <row r="493" spans="1:28" x14ac:dyDescent="0.25">
      <c r="A493" t="s">
        <v>497</v>
      </c>
      <c r="B493">
        <v>0.99299721793515405</v>
      </c>
      <c r="C493">
        <v>0.92278521205320896</v>
      </c>
      <c r="D493">
        <v>0.92871379378369801</v>
      </c>
      <c r="E493">
        <v>1.0194310860736699</v>
      </c>
      <c r="F493">
        <v>0.80012857815434302</v>
      </c>
      <c r="G493">
        <v>0.65077229272570503</v>
      </c>
      <c r="H493">
        <v>0.64984309137616103</v>
      </c>
      <c r="I493">
        <v>0.51615905778793603</v>
      </c>
      <c r="J493">
        <v>0.42115041344330401</v>
      </c>
      <c r="K493">
        <v>0.25018484886365699</v>
      </c>
      <c r="L493">
        <v>481.43425359882599</v>
      </c>
      <c r="M493">
        <v>7.9671187245517396</v>
      </c>
      <c r="N493">
        <v>60.427645099115701</v>
      </c>
      <c r="O493">
        <v>56.976755626381397</v>
      </c>
      <c r="P493">
        <v>-3.4997907596474503E-2</v>
      </c>
      <c r="Q493">
        <v>0</v>
      </c>
      <c r="R493">
        <v>0.94879682290315903</v>
      </c>
      <c r="S493" t="s">
        <v>6044</v>
      </c>
      <c r="T493" t="s">
        <v>11100</v>
      </c>
      <c r="U493" t="s">
        <v>11100</v>
      </c>
      <c r="V493" t="s">
        <v>11100</v>
      </c>
      <c r="W493" t="s">
        <v>11588</v>
      </c>
      <c r="X493">
        <v>2</v>
      </c>
      <c r="Y493" t="s">
        <v>17084</v>
      </c>
      <c r="Z493" t="s">
        <v>22498</v>
      </c>
      <c r="AA493">
        <v>0.73191678083972433</v>
      </c>
      <c r="AB493" t="str">
        <f>HYPERLINK("Melting_Curves/meltCurve_E9PFW2_MANBA.pdf", "Melting_Curves/meltCurve_E9PFW2_MANBA.pdf")</f>
        <v>Melting_Curves/meltCurve_E9PFW2_MANBA.pdf</v>
      </c>
    </row>
    <row r="494" spans="1:28" x14ac:dyDescent="0.25">
      <c r="A494" t="s">
        <v>498</v>
      </c>
      <c r="B494">
        <v>0.99299721793515405</v>
      </c>
      <c r="C494">
        <v>1.1108261852792101</v>
      </c>
      <c r="D494">
        <v>0.78871899471634199</v>
      </c>
      <c r="E494">
        <v>0.785648014952536</v>
      </c>
      <c r="F494">
        <v>0.77768893634397895</v>
      </c>
      <c r="G494">
        <v>0.56353812279456605</v>
      </c>
      <c r="H494">
        <v>0.40507731346636899</v>
      </c>
      <c r="I494">
        <v>0.28662873809608003</v>
      </c>
      <c r="J494">
        <v>0.28168553294964799</v>
      </c>
      <c r="K494">
        <v>0.22809682661227201</v>
      </c>
      <c r="L494">
        <v>484.528183472428</v>
      </c>
      <c r="M494">
        <v>8.9208310073213806</v>
      </c>
      <c r="N494">
        <v>55.278549712261601</v>
      </c>
      <c r="O494">
        <v>51.792924188481102</v>
      </c>
      <c r="P494">
        <v>-3.9987249982322899E-2</v>
      </c>
      <c r="Q494">
        <v>7.2058383170433102E-2</v>
      </c>
      <c r="R494">
        <v>0.94480649771481795</v>
      </c>
      <c r="S494" t="s">
        <v>6045</v>
      </c>
      <c r="T494" t="s">
        <v>11100</v>
      </c>
      <c r="U494" t="s">
        <v>11100</v>
      </c>
      <c r="V494" t="s">
        <v>11100</v>
      </c>
      <c r="W494" t="s">
        <v>11589</v>
      </c>
      <c r="X494">
        <v>1</v>
      </c>
      <c r="Y494" t="s">
        <v>17085</v>
      </c>
      <c r="Z494" t="s">
        <v>22499</v>
      </c>
      <c r="AA494">
        <v>0.62098984717459182</v>
      </c>
      <c r="AB494" t="str">
        <f>HYPERLINK("Melting_Curves/meltCurve_E9PFW8_SQSTM1.pdf", "Melting_Curves/meltCurve_E9PFW8_SQSTM1.pdf")</f>
        <v>Melting_Curves/meltCurve_E9PFW8_SQSTM1.pdf</v>
      </c>
    </row>
    <row r="495" spans="1:28" x14ac:dyDescent="0.25">
      <c r="A495" t="s">
        <v>499</v>
      </c>
      <c r="B495">
        <v>0.99299721793515405</v>
      </c>
      <c r="C495">
        <v>0.645195861222845</v>
      </c>
      <c r="D495">
        <v>1.08231924298932</v>
      </c>
      <c r="E495">
        <v>0.63410647272015197</v>
      </c>
      <c r="F495">
        <v>0.67059626462709998</v>
      </c>
      <c r="G495">
        <v>0.39280125333314803</v>
      </c>
      <c r="H495">
        <v>0.31188487174648399</v>
      </c>
      <c r="I495">
        <v>0.15060306785522301</v>
      </c>
      <c r="J495">
        <v>0.41474245252372999</v>
      </c>
      <c r="K495">
        <v>0.104960758178978</v>
      </c>
      <c r="L495">
        <v>424.74475551892903</v>
      </c>
      <c r="M495">
        <v>8.2582836134186692</v>
      </c>
      <c r="N495">
        <v>52.230958494889499</v>
      </c>
      <c r="O495">
        <v>48.681191684395699</v>
      </c>
      <c r="P495">
        <v>-3.9935361238226601E-2</v>
      </c>
      <c r="Q495">
        <v>5.9295672286938599E-2</v>
      </c>
      <c r="R495">
        <v>0.78128281204624705</v>
      </c>
      <c r="S495" t="s">
        <v>6046</v>
      </c>
      <c r="T495" t="s">
        <v>11100</v>
      </c>
      <c r="U495" t="s">
        <v>11100</v>
      </c>
      <c r="V495" t="s">
        <v>11100</v>
      </c>
      <c r="W495" t="s">
        <v>11590</v>
      </c>
      <c r="X495">
        <v>1</v>
      </c>
      <c r="Y495" t="s">
        <v>17086</v>
      </c>
      <c r="Z495" t="s">
        <v>22500</v>
      </c>
      <c r="AA495">
        <v>0.54176926760991262</v>
      </c>
      <c r="AB495" t="str">
        <f>HYPERLINK("Melting_Curves/meltCurve_E9PG19_FCHSD2.pdf", "Melting_Curves/meltCurve_E9PG19_FCHSD2.pdf")</f>
        <v>Melting_Curves/meltCurve_E9PG19_FCHSD2.pdf</v>
      </c>
    </row>
    <row r="496" spans="1:28" x14ac:dyDescent="0.25">
      <c r="A496" t="s">
        <v>500</v>
      </c>
      <c r="B496">
        <v>0.99299721793515405</v>
      </c>
      <c r="C496">
        <v>0.95053303581279602</v>
      </c>
      <c r="D496">
        <v>0.89361302574318902</v>
      </c>
      <c r="E496">
        <v>0.79718230882851904</v>
      </c>
      <c r="F496">
        <v>0.65552795007999698</v>
      </c>
      <c r="G496">
        <v>0.239982944943367</v>
      </c>
      <c r="H496">
        <v>0.194538063788709</v>
      </c>
      <c r="I496">
        <v>0.212675257290972</v>
      </c>
      <c r="J496">
        <v>0.15328806237494499</v>
      </c>
      <c r="K496">
        <v>0.12902376980375099</v>
      </c>
      <c r="L496">
        <v>888.23497942961603</v>
      </c>
      <c r="M496">
        <v>17.6972470338908</v>
      </c>
      <c r="N496">
        <v>51.033798289907899</v>
      </c>
      <c r="O496">
        <v>49.562874173578898</v>
      </c>
      <c r="P496">
        <v>-7.7954591743027601E-2</v>
      </c>
      <c r="Q496">
        <v>0.12676818822504199</v>
      </c>
      <c r="R496">
        <v>0.97844428261741601</v>
      </c>
      <c r="S496" t="s">
        <v>6047</v>
      </c>
      <c r="T496" t="s">
        <v>11100</v>
      </c>
      <c r="U496" t="s">
        <v>11100</v>
      </c>
      <c r="V496" t="s">
        <v>11100</v>
      </c>
      <c r="W496" t="s">
        <v>11591</v>
      </c>
      <c r="X496">
        <v>3</v>
      </c>
      <c r="Y496" t="s">
        <v>17087</v>
      </c>
      <c r="Z496" t="s">
        <v>22501</v>
      </c>
      <c r="AA496">
        <v>0.52482318955996632</v>
      </c>
      <c r="AB496" t="str">
        <f>HYPERLINK("Melting_Curves/meltCurve_E9PG22_CEP97.pdf", "Melting_Curves/meltCurve_E9PG22_CEP97.pdf")</f>
        <v>Melting_Curves/meltCurve_E9PG22_CEP97.pdf</v>
      </c>
    </row>
    <row r="497" spans="1:28" x14ac:dyDescent="0.25">
      <c r="A497" t="s">
        <v>501</v>
      </c>
      <c r="B497">
        <v>0.99299721793515405</v>
      </c>
      <c r="C497">
        <v>0.95653478234151801</v>
      </c>
      <c r="D497">
        <v>1.15357680039921</v>
      </c>
      <c r="E497">
        <v>0.88345571246257004</v>
      </c>
      <c r="F497">
        <v>0.77014530822784799</v>
      </c>
      <c r="G497">
        <v>0.82077179202052597</v>
      </c>
      <c r="H497">
        <v>0.55121348536285597</v>
      </c>
      <c r="I497">
        <v>0.49919382968091802</v>
      </c>
      <c r="J497">
        <v>0.49087959246135099</v>
      </c>
      <c r="K497">
        <v>0.31790737526973301</v>
      </c>
      <c r="L497">
        <v>571.20778351783099</v>
      </c>
      <c r="M497">
        <v>9.9232234665141501</v>
      </c>
      <c r="N497">
        <v>60.891320255586898</v>
      </c>
      <c r="O497">
        <v>55.371361388144699</v>
      </c>
      <c r="P497">
        <v>-3.5441799950733703E-2</v>
      </c>
      <c r="Q497">
        <v>0.209338381301203</v>
      </c>
      <c r="R497">
        <v>0.906599822346144</v>
      </c>
      <c r="S497" t="s">
        <v>6048</v>
      </c>
      <c r="T497" t="s">
        <v>11100</v>
      </c>
      <c r="U497" t="s">
        <v>11100</v>
      </c>
      <c r="V497" t="s">
        <v>11100</v>
      </c>
      <c r="W497" t="s">
        <v>11592</v>
      </c>
      <c r="X497">
        <v>9</v>
      </c>
      <c r="Y497" t="s">
        <v>17088</v>
      </c>
      <c r="Z497" t="s">
        <v>22502</v>
      </c>
      <c r="AA497">
        <v>0.74699771966429629</v>
      </c>
      <c r="AB497" t="str">
        <f>HYPERLINK("Melting_Curves/meltCurve_E9PG40_APP.pdf", "Melting_Curves/meltCurve_E9PG40_APP.pdf")</f>
        <v>Melting_Curves/meltCurve_E9PG40_APP.pdf</v>
      </c>
    </row>
    <row r="498" spans="1:28" x14ac:dyDescent="0.25">
      <c r="A498" t="s">
        <v>502</v>
      </c>
      <c r="B498">
        <v>0.99299721793515405</v>
      </c>
      <c r="C498">
        <v>0.97662540286887101</v>
      </c>
      <c r="D498">
        <v>0.82494988490379695</v>
      </c>
      <c r="E498">
        <v>0.88141534983301995</v>
      </c>
      <c r="F498">
        <v>0.59542189433861603</v>
      </c>
      <c r="G498">
        <v>0.452070851660339</v>
      </c>
      <c r="H498">
        <v>0.282117714997692</v>
      </c>
      <c r="I498">
        <v>0.198442907335069</v>
      </c>
      <c r="J498">
        <v>0.234231252334372</v>
      </c>
      <c r="K498">
        <v>0.16679463727900201</v>
      </c>
      <c r="L498">
        <v>636.83736968124299</v>
      </c>
      <c r="M498">
        <v>12.4356331805984</v>
      </c>
      <c r="N498">
        <v>52.427046084244097</v>
      </c>
      <c r="O498">
        <v>49.940512680773899</v>
      </c>
      <c r="P498">
        <v>-5.4462640652550402E-2</v>
      </c>
      <c r="Q498">
        <v>0.12531332371179099</v>
      </c>
      <c r="R498">
        <v>0.97977081835512303</v>
      </c>
      <c r="S498" t="s">
        <v>6049</v>
      </c>
      <c r="T498" t="s">
        <v>11100</v>
      </c>
      <c r="U498" t="s">
        <v>11100</v>
      </c>
      <c r="V498" t="s">
        <v>11100</v>
      </c>
      <c r="W498" t="s">
        <v>11593</v>
      </c>
      <c r="X498">
        <v>4</v>
      </c>
      <c r="Y498" t="s">
        <v>17089</v>
      </c>
      <c r="Z498" t="s">
        <v>22503</v>
      </c>
      <c r="AA498">
        <v>0.56125284638683648</v>
      </c>
      <c r="AB498" t="str">
        <f>HYPERLINK("Melting_Curves/meltCurve_E9PG71_EPHA4.pdf", "Melting_Curves/meltCurve_E9PG71_EPHA4.pdf")</f>
        <v>Melting_Curves/meltCurve_E9PG71_EPHA4.pdf</v>
      </c>
    </row>
    <row r="499" spans="1:28" x14ac:dyDescent="0.25">
      <c r="A499" t="s">
        <v>503</v>
      </c>
      <c r="B499">
        <v>0.99299721793515405</v>
      </c>
      <c r="C499">
        <v>1.01437101795363</v>
      </c>
      <c r="D499">
        <v>0.92671390472041604</v>
      </c>
      <c r="E499">
        <v>0.92259550390325695</v>
      </c>
      <c r="F499">
        <v>0.80398864039011997</v>
      </c>
      <c r="G499">
        <v>0.29376671629151502</v>
      </c>
      <c r="H499">
        <v>0.19995433191350701</v>
      </c>
      <c r="I499">
        <v>0.18678354908284001</v>
      </c>
      <c r="J499">
        <v>0.18457659494579401</v>
      </c>
      <c r="K499">
        <v>0.13182929630336501</v>
      </c>
      <c r="L499">
        <v>2033.32357776869</v>
      </c>
      <c r="M499">
        <v>39.413131915147602</v>
      </c>
      <c r="N499">
        <v>52.136545139395402</v>
      </c>
      <c r="O499">
        <v>51.457725460142697</v>
      </c>
      <c r="P499">
        <v>-0.15907973607579401</v>
      </c>
      <c r="Q499">
        <v>0.16922477399590799</v>
      </c>
      <c r="R499">
        <v>0.99110564062177797</v>
      </c>
      <c r="S499" t="s">
        <v>6050</v>
      </c>
      <c r="T499" t="s">
        <v>11100</v>
      </c>
      <c r="U499" t="s">
        <v>11100</v>
      </c>
      <c r="V499" t="s">
        <v>11100</v>
      </c>
      <c r="W499" t="s">
        <v>11594</v>
      </c>
      <c r="X499">
        <v>3</v>
      </c>
      <c r="Y499" t="s">
        <v>17090</v>
      </c>
      <c r="Z499" t="s">
        <v>22504</v>
      </c>
      <c r="AA499">
        <v>0.57630411048177932</v>
      </c>
      <c r="AB499" t="str">
        <f>HYPERLINK("Melting_Curves/meltCurve_E9PGC0_RASA1.pdf", "Melting_Curves/meltCurve_E9PGC0_RASA1.pdf")</f>
        <v>Melting_Curves/meltCurve_E9PGC0_RASA1.pdf</v>
      </c>
    </row>
    <row r="500" spans="1:28" x14ac:dyDescent="0.25">
      <c r="A500" t="s">
        <v>504</v>
      </c>
      <c r="B500">
        <v>0.99299721793515405</v>
      </c>
      <c r="C500">
        <v>1.2096657833772999</v>
      </c>
      <c r="D500">
        <v>1.0315709649735501</v>
      </c>
      <c r="E500">
        <v>1.0343665745466799</v>
      </c>
      <c r="F500">
        <v>0.84333295302569899</v>
      </c>
      <c r="G500">
        <v>0.91920907942204</v>
      </c>
      <c r="H500">
        <v>0.53919277977961799</v>
      </c>
      <c r="I500">
        <v>0.68716510996473101</v>
      </c>
      <c r="J500">
        <v>0.80241932777236402</v>
      </c>
      <c r="K500">
        <v>0.67901036426073402</v>
      </c>
      <c r="L500">
        <v>1402.9007005441999</v>
      </c>
      <c r="M500">
        <v>26.695594436534801</v>
      </c>
      <c r="O500">
        <v>52.259548872244103</v>
      </c>
      <c r="P500">
        <v>-4.0061691283215198E-2</v>
      </c>
      <c r="Q500">
        <v>0.68630274597837104</v>
      </c>
      <c r="R500">
        <v>0.69213636405988699</v>
      </c>
      <c r="S500" t="s">
        <v>6051</v>
      </c>
      <c r="T500" t="s">
        <v>11100</v>
      </c>
      <c r="U500" t="s">
        <v>11100</v>
      </c>
      <c r="V500" t="s">
        <v>11100</v>
      </c>
      <c r="W500" t="s">
        <v>11595</v>
      </c>
      <c r="X500">
        <v>1</v>
      </c>
      <c r="Y500" t="s">
        <v>17091</v>
      </c>
      <c r="Z500" t="s">
        <v>22505</v>
      </c>
      <c r="AA500">
        <v>0.85139186986397208</v>
      </c>
      <c r="AB500" t="str">
        <f>HYPERLINK("Melting_Curves/meltCurve_E9PGQ0_SLC25A44.pdf", "Melting_Curves/meltCurve_E9PGQ0_SLC25A44.pdf")</f>
        <v>Melting_Curves/meltCurve_E9PGQ0_SLC25A44.pdf</v>
      </c>
    </row>
    <row r="501" spans="1:28" x14ac:dyDescent="0.25">
      <c r="A501" t="s">
        <v>505</v>
      </c>
      <c r="B501">
        <v>0.99299721793515405</v>
      </c>
      <c r="C501">
        <v>1.0177043076294801</v>
      </c>
      <c r="D501">
        <v>0.98463142040081697</v>
      </c>
      <c r="E501">
        <v>0.83843433030627401</v>
      </c>
      <c r="F501">
        <v>0.78191856127770898</v>
      </c>
      <c r="G501">
        <v>0.86144471329035699</v>
      </c>
      <c r="H501">
        <v>0.91461693692442803</v>
      </c>
      <c r="I501">
        <v>0.99867736431485499</v>
      </c>
      <c r="J501">
        <v>0.94023787968282302</v>
      </c>
      <c r="K501">
        <v>0.56195547518478095</v>
      </c>
      <c r="L501">
        <v>209.097715974252</v>
      </c>
      <c r="M501">
        <v>1.85318063397959</v>
      </c>
      <c r="O501">
        <v>63.868478371915103</v>
      </c>
      <c r="P501">
        <v>-8.0324749262806801E-3</v>
      </c>
      <c r="Q501">
        <v>0</v>
      </c>
      <c r="R501">
        <v>0.26095712563997497</v>
      </c>
      <c r="S501" t="s">
        <v>6052</v>
      </c>
      <c r="T501" t="s">
        <v>11100</v>
      </c>
      <c r="U501" t="s">
        <v>11100</v>
      </c>
      <c r="V501" t="s">
        <v>11100</v>
      </c>
      <c r="W501" t="s">
        <v>11596</v>
      </c>
      <c r="X501">
        <v>12</v>
      </c>
      <c r="Y501" t="s">
        <v>17092</v>
      </c>
      <c r="Z501" t="s">
        <v>22506</v>
      </c>
      <c r="AA501">
        <v>0.89124215710700705</v>
      </c>
      <c r="AB501" t="str">
        <f>HYPERLINK("Melting_Curves/meltCurve_E9PGT1_TSN.pdf", "Melting_Curves/meltCurve_E9PGT1_TSN.pdf")</f>
        <v>Melting_Curves/meltCurve_E9PGT1_TSN.pdf</v>
      </c>
    </row>
    <row r="502" spans="1:28" x14ac:dyDescent="0.25">
      <c r="A502" t="s">
        <v>506</v>
      </c>
      <c r="B502">
        <v>0.99299721793515405</v>
      </c>
      <c r="C502">
        <v>1.0875482154532501</v>
      </c>
      <c r="D502">
        <v>0.91822417884487295</v>
      </c>
      <c r="E502">
        <v>0.88168194540308598</v>
      </c>
      <c r="F502">
        <v>0.778593322756299</v>
      </c>
      <c r="G502">
        <v>0.313105591610576</v>
      </c>
      <c r="H502">
        <v>0.15003522041226799</v>
      </c>
      <c r="I502">
        <v>0.11198953593158301</v>
      </c>
      <c r="J502">
        <v>9.9673478347677702E-2</v>
      </c>
      <c r="K502">
        <v>9.1590810203682302E-2</v>
      </c>
      <c r="L502">
        <v>1428.4461135623001</v>
      </c>
      <c r="M502">
        <v>27.5436394689245</v>
      </c>
      <c r="N502">
        <v>52.241199738759498</v>
      </c>
      <c r="O502">
        <v>51.590118060797003</v>
      </c>
      <c r="P502">
        <v>-0.121357535552838</v>
      </c>
      <c r="Q502">
        <v>9.0781793805186195E-2</v>
      </c>
      <c r="R502">
        <v>0.986015860737946</v>
      </c>
      <c r="S502" t="s">
        <v>6053</v>
      </c>
      <c r="T502" t="s">
        <v>11100</v>
      </c>
      <c r="U502" t="s">
        <v>11100</v>
      </c>
      <c r="V502" t="s">
        <v>11100</v>
      </c>
      <c r="W502" t="s">
        <v>11597</v>
      </c>
      <c r="X502">
        <v>14</v>
      </c>
      <c r="Y502" t="s">
        <v>17093</v>
      </c>
      <c r="Z502" t="s">
        <v>22507</v>
      </c>
      <c r="AA502">
        <v>0.54792078702569091</v>
      </c>
      <c r="AB502" t="str">
        <f>HYPERLINK("Melting_Curves/meltCurve_E9PGT3_RPS6KA1.pdf", "Melting_Curves/meltCurve_E9PGT3_RPS6KA1.pdf")</f>
        <v>Melting_Curves/meltCurve_E9PGT3_RPS6KA1.pdf</v>
      </c>
    </row>
    <row r="503" spans="1:28" x14ac:dyDescent="0.25">
      <c r="A503" t="s">
        <v>507</v>
      </c>
      <c r="B503">
        <v>0.99299721793515405</v>
      </c>
      <c r="C503">
        <v>1.01361125309267</v>
      </c>
      <c r="D503">
        <v>0.85870967045944302</v>
      </c>
      <c r="E503">
        <v>0.80789680044157597</v>
      </c>
      <c r="F503">
        <v>0.79620959205569797</v>
      </c>
      <c r="G503">
        <v>0.81907469031163505</v>
      </c>
      <c r="H503">
        <v>1.4068670945387201</v>
      </c>
      <c r="I503">
        <v>1.0546140233155199</v>
      </c>
      <c r="J503">
        <v>2.0520353608051698</v>
      </c>
      <c r="K503">
        <v>1.2267564882345801</v>
      </c>
      <c r="L503">
        <v>2010.5478055173701</v>
      </c>
      <c r="M503">
        <v>34.823278958883698</v>
      </c>
      <c r="O503">
        <v>57.546339336688199</v>
      </c>
      <c r="P503">
        <v>7.5642094494677306E-2</v>
      </c>
      <c r="Q503">
        <v>1.5</v>
      </c>
      <c r="R503">
        <v>0.46936192399510701</v>
      </c>
      <c r="S503" t="s">
        <v>6054</v>
      </c>
      <c r="T503" t="s">
        <v>11100</v>
      </c>
      <c r="U503" t="s">
        <v>11100</v>
      </c>
      <c r="V503" t="s">
        <v>11100</v>
      </c>
      <c r="W503" t="s">
        <v>11598</v>
      </c>
      <c r="X503">
        <v>6</v>
      </c>
      <c r="Y503" t="s">
        <v>17094</v>
      </c>
      <c r="Z503" t="s">
        <v>22508</v>
      </c>
      <c r="AA503">
        <v>1.152086053072038</v>
      </c>
      <c r="AB503" t="str">
        <f>HYPERLINK("Melting_Curves/meltCurve_E9PGT6_COPS8.pdf", "Melting_Curves/meltCurve_E9PGT6_COPS8.pdf")</f>
        <v>Melting_Curves/meltCurve_E9PGT6_COPS8.pdf</v>
      </c>
    </row>
    <row r="504" spans="1:28" x14ac:dyDescent="0.25">
      <c r="A504" t="s">
        <v>508</v>
      </c>
      <c r="B504">
        <v>0.99299721793515405</v>
      </c>
      <c r="C504">
        <v>0.90132569908599003</v>
      </c>
      <c r="D504">
        <v>0.975340796843991</v>
      </c>
      <c r="E504">
        <v>0.76972698736964396</v>
      </c>
      <c r="F504">
        <v>0.63024903428420997</v>
      </c>
      <c r="G504">
        <v>0.46634921197220602</v>
      </c>
      <c r="H504">
        <v>0.456246459667704</v>
      </c>
      <c r="I504">
        <v>0.50051526475213004</v>
      </c>
      <c r="J504">
        <v>0.278507612881432</v>
      </c>
      <c r="K504">
        <v>0.264529776352463</v>
      </c>
      <c r="L504">
        <v>498.25025548506301</v>
      </c>
      <c r="M504">
        <v>9.7816055821648895</v>
      </c>
      <c r="N504">
        <v>54.651376567077399</v>
      </c>
      <c r="O504">
        <v>48.945379576045603</v>
      </c>
      <c r="P504">
        <v>-3.7851578419931697E-2</v>
      </c>
      <c r="Q504">
        <v>0.24279097896753399</v>
      </c>
      <c r="R504">
        <v>0.94609227785667105</v>
      </c>
      <c r="S504" t="s">
        <v>6055</v>
      </c>
      <c r="T504" t="s">
        <v>11100</v>
      </c>
      <c r="U504" t="s">
        <v>11100</v>
      </c>
      <c r="V504" t="s">
        <v>11100</v>
      </c>
      <c r="W504" t="s">
        <v>11599</v>
      </c>
      <c r="X504">
        <v>6</v>
      </c>
      <c r="Y504" t="s">
        <v>17095</v>
      </c>
      <c r="Z504" t="s">
        <v>22509</v>
      </c>
      <c r="AA504">
        <v>0.61820940952262482</v>
      </c>
      <c r="AB504" t="str">
        <f>HYPERLINK("Melting_Curves/meltCurve_E9PGW7_MED22.pdf", "Melting_Curves/meltCurve_E9PGW7_MED22.pdf")</f>
        <v>Melting_Curves/meltCurve_E9PGW7_MED22.pdf</v>
      </c>
    </row>
    <row r="505" spans="1:28" x14ac:dyDescent="0.25">
      <c r="A505" t="s">
        <v>509</v>
      </c>
      <c r="B505">
        <v>0.99299721793515405</v>
      </c>
      <c r="C505">
        <v>1.04226354712761</v>
      </c>
      <c r="D505">
        <v>0.95623891663212102</v>
      </c>
      <c r="E505">
        <v>0.88529965770791497</v>
      </c>
      <c r="F505">
        <v>0.80163914973043204</v>
      </c>
      <c r="G505">
        <v>0.88436219212665101</v>
      </c>
      <c r="H505">
        <v>1.0794248444709</v>
      </c>
      <c r="I505">
        <v>1.5166456423653101</v>
      </c>
      <c r="J505">
        <v>0.68370290161762604</v>
      </c>
      <c r="K505">
        <v>0.294195998090716</v>
      </c>
      <c r="L505">
        <v>15000</v>
      </c>
      <c r="M505">
        <v>233.800999172345</v>
      </c>
      <c r="N505">
        <v>64.401593094759605</v>
      </c>
      <c r="O505">
        <v>64.152424220827797</v>
      </c>
      <c r="P505">
        <v>-0.64310243898249897</v>
      </c>
      <c r="Q505">
        <v>0.294158964162967</v>
      </c>
      <c r="R505">
        <v>0.60433516431098</v>
      </c>
      <c r="S505" t="s">
        <v>6056</v>
      </c>
      <c r="T505" t="s">
        <v>11100</v>
      </c>
      <c r="U505" t="s">
        <v>11100</v>
      </c>
      <c r="V505" t="s">
        <v>11100</v>
      </c>
      <c r="W505" t="s">
        <v>11600</v>
      </c>
      <c r="X505">
        <v>13</v>
      </c>
      <c r="Y505" t="s">
        <v>17096</v>
      </c>
      <c r="Z505" t="s">
        <v>22510</v>
      </c>
      <c r="AA505">
        <v>0.93320326787876906</v>
      </c>
      <c r="AB505" t="str">
        <f>HYPERLINK("Melting_Curves/meltCurve_E9PH29_PRDX3.pdf", "Melting_Curves/meltCurve_E9PH29_PRDX3.pdf")</f>
        <v>Melting_Curves/meltCurve_E9PH29_PRDX3.pdf</v>
      </c>
    </row>
    <row r="506" spans="1:28" x14ac:dyDescent="0.25">
      <c r="A506" t="s">
        <v>510</v>
      </c>
      <c r="B506">
        <v>0.99299721793515405</v>
      </c>
      <c r="C506">
        <v>0.95137124864796896</v>
      </c>
      <c r="D506">
        <v>0.88624651070293703</v>
      </c>
      <c r="E506">
        <v>0.78229301555989095</v>
      </c>
      <c r="F506">
        <v>0.73177253402702502</v>
      </c>
      <c r="G506">
        <v>0.31677696169242398</v>
      </c>
      <c r="H506">
        <v>0.34998702304801599</v>
      </c>
      <c r="I506">
        <v>0.29380482424888399</v>
      </c>
      <c r="J506">
        <v>0.230932413564128</v>
      </c>
      <c r="K506">
        <v>0.194288938692118</v>
      </c>
      <c r="L506">
        <v>645.01038943201604</v>
      </c>
      <c r="M506">
        <v>12.699766466459799</v>
      </c>
      <c r="N506">
        <v>52.522308666038597</v>
      </c>
      <c r="O506">
        <v>49.5792399504125</v>
      </c>
      <c r="P506">
        <v>-5.30865558895861E-2</v>
      </c>
      <c r="Q506">
        <v>0.17117152904744601</v>
      </c>
      <c r="R506">
        <v>0.96409896310355203</v>
      </c>
      <c r="S506" t="s">
        <v>6057</v>
      </c>
      <c r="T506" t="s">
        <v>11100</v>
      </c>
      <c r="U506" t="s">
        <v>11100</v>
      </c>
      <c r="V506" t="s">
        <v>11100</v>
      </c>
      <c r="W506" t="s">
        <v>11601</v>
      </c>
      <c r="X506">
        <v>6</v>
      </c>
      <c r="Y506" t="s">
        <v>17097</v>
      </c>
      <c r="Z506" t="s">
        <v>22511</v>
      </c>
      <c r="AA506">
        <v>0.57277899212256078</v>
      </c>
      <c r="AB506" t="str">
        <f>HYPERLINK("Melting_Curves/meltCurve_E9PHA2_NCAPH.pdf", "Melting_Curves/meltCurve_E9PHA2_NCAPH.pdf")</f>
        <v>Melting_Curves/meltCurve_E9PHA2_NCAPH.pdf</v>
      </c>
    </row>
    <row r="507" spans="1:28" x14ac:dyDescent="0.25">
      <c r="A507" t="s">
        <v>511</v>
      </c>
      <c r="B507">
        <v>0.99299721793515405</v>
      </c>
      <c r="C507">
        <v>1.20204324659741</v>
      </c>
      <c r="D507">
        <v>0.88060348505390096</v>
      </c>
      <c r="E507">
        <v>0.91481139101276898</v>
      </c>
      <c r="F507">
        <v>1.04538843127412</v>
      </c>
      <c r="G507">
        <v>0.78107253861414006</v>
      </c>
      <c r="H507">
        <v>0.61199950111940205</v>
      </c>
      <c r="I507">
        <v>0.37223860388812302</v>
      </c>
      <c r="J507">
        <v>0.129695372321464</v>
      </c>
      <c r="K507">
        <v>0.110065525959066</v>
      </c>
      <c r="L507">
        <v>1055.5324785304001</v>
      </c>
      <c r="M507">
        <v>17.982877515030498</v>
      </c>
      <c r="N507">
        <v>58.696531423252097</v>
      </c>
      <c r="O507">
        <v>57.985119903744497</v>
      </c>
      <c r="P507">
        <v>-7.7536134234475904E-2</v>
      </c>
      <c r="Q507">
        <v>0</v>
      </c>
      <c r="R507">
        <v>0.94277655589540799</v>
      </c>
      <c r="S507" t="s">
        <v>6058</v>
      </c>
      <c r="T507" t="s">
        <v>11100</v>
      </c>
      <c r="U507" t="s">
        <v>11100</v>
      </c>
      <c r="V507" t="s">
        <v>11100</v>
      </c>
      <c r="W507" t="s">
        <v>11602</v>
      </c>
      <c r="X507">
        <v>1</v>
      </c>
      <c r="Y507" t="s">
        <v>17098</v>
      </c>
      <c r="Z507" t="s">
        <v>22512</v>
      </c>
      <c r="AA507">
        <v>0.7271826787785225</v>
      </c>
      <c r="AB507" t="str">
        <f>HYPERLINK("Melting_Curves/meltCurve_E9PHG5_CYP20A1.pdf", "Melting_Curves/meltCurve_E9PHG5_CYP20A1.pdf")</f>
        <v>Melting_Curves/meltCurve_E9PHG5_CYP20A1.pdf</v>
      </c>
    </row>
    <row r="508" spans="1:28" x14ac:dyDescent="0.25">
      <c r="A508" t="s">
        <v>512</v>
      </c>
      <c r="B508">
        <v>0.99299721793515405</v>
      </c>
      <c r="C508">
        <v>0.98270911700374697</v>
      </c>
      <c r="D508">
        <v>1.21134279143549</v>
      </c>
      <c r="E508">
        <v>0.86869896293190996</v>
      </c>
      <c r="F508">
        <v>0.72670977707966899</v>
      </c>
      <c r="G508">
        <v>0.69234164259464603</v>
      </c>
      <c r="H508">
        <v>0.420975590845305</v>
      </c>
      <c r="I508">
        <v>0.36841246049985499</v>
      </c>
      <c r="J508">
        <v>0.310013694694799</v>
      </c>
      <c r="K508">
        <v>0.302810023354802</v>
      </c>
      <c r="L508">
        <v>800.39554312093196</v>
      </c>
      <c r="M508">
        <v>14.9783683824938</v>
      </c>
      <c r="N508">
        <v>56.232796652603298</v>
      </c>
      <c r="O508">
        <v>52.511392351059499</v>
      </c>
      <c r="P508">
        <v>-5.2591089961013603E-2</v>
      </c>
      <c r="Q508">
        <v>0.26257613076615999</v>
      </c>
      <c r="R508">
        <v>0.927383345033713</v>
      </c>
      <c r="S508" t="s">
        <v>6059</v>
      </c>
      <c r="T508" t="s">
        <v>11100</v>
      </c>
      <c r="U508" t="s">
        <v>11100</v>
      </c>
      <c r="V508" t="s">
        <v>11100</v>
      </c>
      <c r="W508" t="s">
        <v>11603</v>
      </c>
      <c r="X508">
        <v>42</v>
      </c>
      <c r="Y508" t="s">
        <v>17099</v>
      </c>
      <c r="Z508" t="s">
        <v>22513</v>
      </c>
      <c r="AA508">
        <v>0.6792869014371854</v>
      </c>
      <c r="AB508" t="str">
        <f>HYPERLINK("Melting_Curves/meltCurve_E9PHK9_TCOF1.pdf", "Melting_Curves/meltCurve_E9PHK9_TCOF1.pdf")</f>
        <v>Melting_Curves/meltCurve_E9PHK9_TCOF1.pdf</v>
      </c>
    </row>
    <row r="509" spans="1:28" x14ac:dyDescent="0.25">
      <c r="A509" t="s">
        <v>513</v>
      </c>
      <c r="B509">
        <v>0.99299721793515405</v>
      </c>
      <c r="C509">
        <v>0.96328795891736296</v>
      </c>
      <c r="D509">
        <v>1.0500774759639799</v>
      </c>
      <c r="E509">
        <v>1.02627034507098</v>
      </c>
      <c r="F509">
        <v>0.87622578855214694</v>
      </c>
      <c r="G509">
        <v>0.63596388057803999</v>
      </c>
      <c r="H509">
        <v>0.26213752097127802</v>
      </c>
      <c r="I509">
        <v>0.220143943493635</v>
      </c>
      <c r="J509">
        <v>0.18288418647375901</v>
      </c>
      <c r="K509">
        <v>0.15740284398311299</v>
      </c>
      <c r="L509">
        <v>1537.3754479931599</v>
      </c>
      <c r="M509">
        <v>28.452935434149602</v>
      </c>
      <c r="N509">
        <v>54.804223264399901</v>
      </c>
      <c r="O509">
        <v>53.767436966154897</v>
      </c>
      <c r="P509">
        <v>-0.11045432995657301</v>
      </c>
      <c r="Q509">
        <v>0.165105699356208</v>
      </c>
      <c r="R509">
        <v>0.99307070072257198</v>
      </c>
      <c r="S509" t="s">
        <v>6060</v>
      </c>
      <c r="T509" t="s">
        <v>11100</v>
      </c>
      <c r="U509" t="s">
        <v>11100</v>
      </c>
      <c r="V509" t="s">
        <v>11100</v>
      </c>
      <c r="W509" t="s">
        <v>11604</v>
      </c>
      <c r="X509">
        <v>3</v>
      </c>
      <c r="Y509" t="s">
        <v>17100</v>
      </c>
      <c r="Z509" t="s">
        <v>22514</v>
      </c>
      <c r="AA509">
        <v>0.64496623623805716</v>
      </c>
      <c r="AB509" t="str">
        <f>HYPERLINK("Melting_Curves/meltCurve_E9PHN7_GSTM2.pdf", "Melting_Curves/meltCurve_E9PHN7_GSTM2.pdf")</f>
        <v>Melting_Curves/meltCurve_E9PHN7_GSTM2.pdf</v>
      </c>
    </row>
    <row r="510" spans="1:28" x14ac:dyDescent="0.25">
      <c r="A510" t="s">
        <v>514</v>
      </c>
      <c r="B510">
        <v>0.99299721793515405</v>
      </c>
      <c r="C510">
        <v>0.90346871769535397</v>
      </c>
      <c r="D510">
        <v>1.2039755969580299</v>
      </c>
      <c r="E510">
        <v>0.86666237221301401</v>
      </c>
      <c r="F510">
        <v>0.80268635609922101</v>
      </c>
      <c r="G510">
        <v>0.93440546341395203</v>
      </c>
      <c r="H510">
        <v>0.75309470707954496</v>
      </c>
      <c r="I510">
        <v>0.84614383180656505</v>
      </c>
      <c r="J510">
        <v>0.81424370902421495</v>
      </c>
      <c r="K510">
        <v>0.60749261739976801</v>
      </c>
      <c r="L510">
        <v>320.01611587294201</v>
      </c>
      <c r="M510">
        <v>3.99536224708568</v>
      </c>
      <c r="O510">
        <v>65.731765387230297</v>
      </c>
      <c r="P510">
        <v>-1.53917591813518E-2</v>
      </c>
      <c r="Q510">
        <v>0</v>
      </c>
      <c r="R510">
        <v>0.51704919881260503</v>
      </c>
      <c r="S510" t="s">
        <v>6061</v>
      </c>
      <c r="T510" t="s">
        <v>11100</v>
      </c>
      <c r="U510" t="s">
        <v>11100</v>
      </c>
      <c r="V510" t="s">
        <v>11100</v>
      </c>
      <c r="W510" t="s">
        <v>11605</v>
      </c>
      <c r="X510">
        <v>6</v>
      </c>
      <c r="Y510" t="s">
        <v>17101</v>
      </c>
      <c r="Z510" t="s">
        <v>22515</v>
      </c>
      <c r="AA510">
        <v>0.87579101321919106</v>
      </c>
      <c r="AB510" t="str">
        <f>HYPERLINK("Melting_Curves/meltCurve_E9PHV4_POLR2D.pdf", "Melting_Curves/meltCurve_E9PHV4_POLR2D.pdf")</f>
        <v>Melting_Curves/meltCurve_E9PHV4_POLR2D.pdf</v>
      </c>
    </row>
    <row r="511" spans="1:28" x14ac:dyDescent="0.25">
      <c r="A511" t="s">
        <v>515</v>
      </c>
      <c r="B511">
        <v>0.99299721793515405</v>
      </c>
      <c r="C511">
        <v>1.17316351615028</v>
      </c>
      <c r="D511">
        <v>0.893532203940821</v>
      </c>
      <c r="E511">
        <v>0.84329151405496405</v>
      </c>
      <c r="F511">
        <v>0.86032050312613095</v>
      </c>
      <c r="G511">
        <v>0.53842114339766001</v>
      </c>
      <c r="H511">
        <v>0.69552961633056498</v>
      </c>
      <c r="I511">
        <v>0.79531158453030604</v>
      </c>
      <c r="J511">
        <v>0.77630363651296597</v>
      </c>
      <c r="K511">
        <v>0.19817490869462201</v>
      </c>
      <c r="L511">
        <v>339.59713822042198</v>
      </c>
      <c r="M511">
        <v>5.1477495674582503</v>
      </c>
      <c r="N511">
        <v>65.9700248024579</v>
      </c>
      <c r="O511">
        <v>57.961609330390402</v>
      </c>
      <c r="P511">
        <v>-2.2326373264567798E-2</v>
      </c>
      <c r="Q511">
        <v>0</v>
      </c>
      <c r="R511">
        <v>0.56663354817284795</v>
      </c>
      <c r="S511" t="s">
        <v>6062</v>
      </c>
      <c r="T511" t="s">
        <v>11100</v>
      </c>
      <c r="U511" t="s">
        <v>11100</v>
      </c>
      <c r="V511" t="s">
        <v>11100</v>
      </c>
      <c r="W511" t="s">
        <v>11606</v>
      </c>
      <c r="X511">
        <v>7</v>
      </c>
      <c r="Y511" t="s">
        <v>17102</v>
      </c>
      <c r="Z511" t="s">
        <v>22516</v>
      </c>
      <c r="AA511">
        <v>0.77486206938096447</v>
      </c>
      <c r="AB511" t="str">
        <f>HYPERLINK("Melting_Curves/meltCurve_E9PIE4_MTCH2.pdf", "Melting_Curves/meltCurve_E9PIE4_MTCH2.pdf")</f>
        <v>Melting_Curves/meltCurve_E9PIE4_MTCH2.pdf</v>
      </c>
    </row>
    <row r="512" spans="1:28" x14ac:dyDescent="0.25">
      <c r="A512" t="s">
        <v>516</v>
      </c>
      <c r="B512">
        <v>0.99299721793515405</v>
      </c>
      <c r="C512">
        <v>0.96663598856996202</v>
      </c>
      <c r="D512">
        <v>0.85291424193312804</v>
      </c>
      <c r="E512">
        <v>0.87505585481324</v>
      </c>
      <c r="F512">
        <v>0.77761932351014296</v>
      </c>
      <c r="G512">
        <v>0.57176688489669703</v>
      </c>
      <c r="H512">
        <v>0.51380634011527004</v>
      </c>
      <c r="I512">
        <v>0.28117849956161101</v>
      </c>
      <c r="J512">
        <v>9.7862989123648603E-2</v>
      </c>
      <c r="K512">
        <v>7.2384853214214506E-2</v>
      </c>
      <c r="L512">
        <v>628.19278377571095</v>
      </c>
      <c r="M512">
        <v>11.3075436022377</v>
      </c>
      <c r="N512">
        <v>55.555194484028</v>
      </c>
      <c r="O512">
        <v>53.902709015405598</v>
      </c>
      <c r="P512">
        <v>-5.24601401647194E-2</v>
      </c>
      <c r="Q512">
        <v>0</v>
      </c>
      <c r="R512">
        <v>0.968431791064023</v>
      </c>
      <c r="S512" t="s">
        <v>6063</v>
      </c>
      <c r="T512" t="s">
        <v>11100</v>
      </c>
      <c r="U512" t="s">
        <v>11100</v>
      </c>
      <c r="V512" t="s">
        <v>11100</v>
      </c>
      <c r="W512" t="s">
        <v>11607</v>
      </c>
      <c r="X512">
        <v>1</v>
      </c>
      <c r="Y512" t="s">
        <v>17103</v>
      </c>
      <c r="Z512" t="s">
        <v>22517</v>
      </c>
      <c r="AA512">
        <v>0.62961473619674779</v>
      </c>
      <c r="AB512" t="str">
        <f>HYPERLINK("Melting_Curves/meltCurve_E9PIN3_NXF1.pdf", "Melting_Curves/meltCurve_E9PIN3_NXF1.pdf")</f>
        <v>Melting_Curves/meltCurve_E9PIN3_NXF1.pdf</v>
      </c>
    </row>
    <row r="513" spans="1:28" x14ac:dyDescent="0.25">
      <c r="A513" t="s">
        <v>517</v>
      </c>
      <c r="B513">
        <v>0.99299721793515405</v>
      </c>
      <c r="C513">
        <v>1.03470970723755</v>
      </c>
      <c r="D513">
        <v>1.24988346536217</v>
      </c>
      <c r="E513">
        <v>1.21492869288898</v>
      </c>
      <c r="F513">
        <v>1.2752180931009101</v>
      </c>
      <c r="G513">
        <v>1.1049006405028201</v>
      </c>
      <c r="H513">
        <v>0.62124372694854502</v>
      </c>
      <c r="I513">
        <v>0.37042933719908799</v>
      </c>
      <c r="J513">
        <v>0.34581343477380699</v>
      </c>
      <c r="K513">
        <v>0.26989480699604601</v>
      </c>
      <c r="L513">
        <v>11374.5667934837</v>
      </c>
      <c r="M513">
        <v>198.42148740263201</v>
      </c>
      <c r="N513">
        <v>57.636448504578297</v>
      </c>
      <c r="O513">
        <v>57.319472317801903</v>
      </c>
      <c r="P513">
        <v>-0.58094684363177396</v>
      </c>
      <c r="Q513">
        <v>0.32871068834810502</v>
      </c>
      <c r="R513">
        <v>0.86216137603420995</v>
      </c>
      <c r="S513" t="s">
        <v>6064</v>
      </c>
      <c r="T513" t="s">
        <v>11100</v>
      </c>
      <c r="U513" t="s">
        <v>11100</v>
      </c>
      <c r="V513" t="s">
        <v>11100</v>
      </c>
      <c r="W513" t="s">
        <v>11608</v>
      </c>
      <c r="X513">
        <v>15</v>
      </c>
      <c r="Y513" t="s">
        <v>17104</v>
      </c>
      <c r="Z513" t="s">
        <v>22518</v>
      </c>
      <c r="AA513">
        <v>0.78362262569019414</v>
      </c>
      <c r="AB513" t="str">
        <f>HYPERLINK("Melting_Curves/meltCurve_E9PIR7_TXNRD1.pdf", "Melting_Curves/meltCurve_E9PIR7_TXNRD1.pdf")</f>
        <v>Melting_Curves/meltCurve_E9PIR7_TXNRD1.pdf</v>
      </c>
    </row>
    <row r="514" spans="1:28" x14ac:dyDescent="0.25">
      <c r="A514" t="s">
        <v>518</v>
      </c>
      <c r="B514">
        <v>0.99299721793515405</v>
      </c>
      <c r="C514">
        <v>1.0188018229970099</v>
      </c>
      <c r="D514">
        <v>0.74550647011357596</v>
      </c>
      <c r="E514">
        <v>0.91688699949559804</v>
      </c>
      <c r="F514">
        <v>0.77779849070695695</v>
      </c>
      <c r="G514">
        <v>0.35286528363502401</v>
      </c>
      <c r="H514">
        <v>0.200940058600618</v>
      </c>
      <c r="I514">
        <v>0.16654632610302</v>
      </c>
      <c r="J514">
        <v>7.1012031201991704E-2</v>
      </c>
      <c r="K514">
        <v>9.0340668489524503E-2</v>
      </c>
      <c r="L514">
        <v>1041.8318445371001</v>
      </c>
      <c r="M514">
        <v>19.961301660697199</v>
      </c>
      <c r="N514">
        <v>52.620362706522897</v>
      </c>
      <c r="O514">
        <v>51.6772527239442</v>
      </c>
      <c r="P514">
        <v>-8.9337516475822498E-2</v>
      </c>
      <c r="Q514">
        <v>7.4897212361577495E-2</v>
      </c>
      <c r="R514">
        <v>0.95067213411115203</v>
      </c>
      <c r="S514" t="s">
        <v>6065</v>
      </c>
      <c r="T514" t="s">
        <v>11100</v>
      </c>
      <c r="U514" t="s">
        <v>11100</v>
      </c>
      <c r="V514" t="s">
        <v>11100</v>
      </c>
      <c r="W514" t="s">
        <v>11609</v>
      </c>
      <c r="X514">
        <v>2</v>
      </c>
      <c r="Y514" t="s">
        <v>17105</v>
      </c>
      <c r="Z514" t="s">
        <v>22519</v>
      </c>
      <c r="AA514">
        <v>0.5553243722796497</v>
      </c>
      <c r="AB514" t="str">
        <f>HYPERLINK("Melting_Curves/meltCurve_E9PJ55_TCP11L1.pdf", "Melting_Curves/meltCurve_E9PJ55_TCP11L1.pdf")</f>
        <v>Melting_Curves/meltCurve_E9PJ55_TCP11L1.pdf</v>
      </c>
    </row>
    <row r="515" spans="1:28" x14ac:dyDescent="0.25">
      <c r="A515" t="s">
        <v>519</v>
      </c>
      <c r="B515">
        <v>0.99299721793515405</v>
      </c>
      <c r="C515">
        <v>0.96516051136788195</v>
      </c>
      <c r="D515">
        <v>1.38895271926245</v>
      </c>
      <c r="E515">
        <v>1.04859100747052</v>
      </c>
      <c r="F515">
        <v>0.87126987924007904</v>
      </c>
      <c r="G515">
        <v>0.59724314062016903</v>
      </c>
      <c r="H515">
        <v>0.29877978343643902</v>
      </c>
      <c r="I515">
        <v>0.2720773334221</v>
      </c>
      <c r="J515">
        <v>0.22795963133289601</v>
      </c>
      <c r="K515">
        <v>0.22096669613294401</v>
      </c>
      <c r="L515">
        <v>1578.79992132137</v>
      </c>
      <c r="M515">
        <v>29.512145331918799</v>
      </c>
      <c r="N515">
        <v>54.616151546073397</v>
      </c>
      <c r="O515">
        <v>53.252792688266801</v>
      </c>
      <c r="P515">
        <v>-0.10710502591288699</v>
      </c>
      <c r="Q515">
        <v>0.22694850363668201</v>
      </c>
      <c r="R515">
        <v>0.89999318666713302</v>
      </c>
      <c r="S515" t="s">
        <v>6066</v>
      </c>
      <c r="T515" t="s">
        <v>11100</v>
      </c>
      <c r="U515" t="s">
        <v>11100</v>
      </c>
      <c r="V515" t="s">
        <v>11100</v>
      </c>
      <c r="W515" t="s">
        <v>11610</v>
      </c>
      <c r="X515">
        <v>21</v>
      </c>
      <c r="Y515" t="s">
        <v>17106</v>
      </c>
      <c r="Z515" t="s">
        <v>22520</v>
      </c>
      <c r="AA515">
        <v>0.65712269089267772</v>
      </c>
      <c r="AB515" t="str">
        <f>HYPERLINK("Melting_Curves/meltCurve_E9PJ81_UBXN1.pdf", "Melting_Curves/meltCurve_E9PJ81_UBXN1.pdf")</f>
        <v>Melting_Curves/meltCurve_E9PJ81_UBXN1.pdf</v>
      </c>
    </row>
    <row r="516" spans="1:28" x14ac:dyDescent="0.25">
      <c r="A516" t="s">
        <v>520</v>
      </c>
      <c r="B516">
        <v>0.99299721793515405</v>
      </c>
      <c r="C516">
        <v>0.86485580053193201</v>
      </c>
      <c r="D516">
        <v>0.83344052969450999</v>
      </c>
      <c r="E516">
        <v>0.83199954984728797</v>
      </c>
      <c r="F516">
        <v>0.71239304777493895</v>
      </c>
      <c r="G516">
        <v>0.52765142729206005</v>
      </c>
      <c r="H516">
        <v>0.59074856853369795</v>
      </c>
      <c r="I516">
        <v>0.55201309406773003</v>
      </c>
      <c r="J516">
        <v>0.57550286733270595</v>
      </c>
      <c r="K516">
        <v>0.52319554873808205</v>
      </c>
      <c r="L516">
        <v>427.20274276047002</v>
      </c>
      <c r="M516">
        <v>9.0384644621545398</v>
      </c>
      <c r="O516">
        <v>45.123438400821698</v>
      </c>
      <c r="P516">
        <v>-2.52409404422804E-2</v>
      </c>
      <c r="Q516">
        <v>0.4963106006768</v>
      </c>
      <c r="R516">
        <v>0.92164363477907396</v>
      </c>
      <c r="S516" t="s">
        <v>6067</v>
      </c>
      <c r="T516" t="s">
        <v>11100</v>
      </c>
      <c r="U516" t="s">
        <v>11100</v>
      </c>
      <c r="V516" t="s">
        <v>11100</v>
      </c>
      <c r="W516" t="s">
        <v>11611</v>
      </c>
      <c r="X516">
        <v>3</v>
      </c>
      <c r="Y516" t="s">
        <v>17107</v>
      </c>
      <c r="Z516" t="s">
        <v>22521</v>
      </c>
      <c r="AA516">
        <v>0.69301313429219991</v>
      </c>
      <c r="AB516" t="str">
        <f>HYPERLINK("Melting_Curves/meltCurve_E9PJB8_VIMP.pdf", "Melting_Curves/meltCurve_E9PJB8_VIMP.pdf")</f>
        <v>Melting_Curves/meltCurve_E9PJB8_VIMP.pdf</v>
      </c>
    </row>
    <row r="517" spans="1:28" x14ac:dyDescent="0.25">
      <c r="A517" t="s">
        <v>521</v>
      </c>
      <c r="B517">
        <v>0.99299721793515405</v>
      </c>
      <c r="C517">
        <v>0.916389330130154</v>
      </c>
      <c r="D517">
        <v>0.85325049232075501</v>
      </c>
      <c r="E517">
        <v>0.82254682860022399</v>
      </c>
      <c r="F517">
        <v>0.73768784662035802</v>
      </c>
      <c r="G517">
        <v>0.53299972202201595</v>
      </c>
      <c r="H517">
        <v>0.40054846712195602</v>
      </c>
      <c r="I517">
        <v>0.35774427495892702</v>
      </c>
      <c r="J517">
        <v>0.23578969021899401</v>
      </c>
      <c r="K517">
        <v>0.157923446584782</v>
      </c>
      <c r="L517">
        <v>442.695627851231</v>
      </c>
      <c r="M517">
        <v>8.0340726154170206</v>
      </c>
      <c r="N517">
        <v>55.102269240541098</v>
      </c>
      <c r="O517">
        <v>52.002970216574802</v>
      </c>
      <c r="P517">
        <v>-3.8666137153086103E-2</v>
      </c>
      <c r="Q517">
        <v>0</v>
      </c>
      <c r="R517">
        <v>0.98666113144285905</v>
      </c>
      <c r="S517" t="s">
        <v>6068</v>
      </c>
      <c r="T517" t="s">
        <v>11100</v>
      </c>
      <c r="U517" t="s">
        <v>11100</v>
      </c>
      <c r="V517" t="s">
        <v>11100</v>
      </c>
      <c r="W517" t="s">
        <v>11612</v>
      </c>
      <c r="X517">
        <v>6</v>
      </c>
      <c r="Y517" t="s">
        <v>17108</v>
      </c>
      <c r="Z517" t="s">
        <v>22522</v>
      </c>
      <c r="AA517">
        <v>0.6094812846933404</v>
      </c>
      <c r="AB517" t="str">
        <f>HYPERLINK("Melting_Curves/meltCurve_E9PJD7_CYHR1.pdf", "Melting_Curves/meltCurve_E9PJD7_CYHR1.pdf")</f>
        <v>Melting_Curves/meltCurve_E9PJD7_CYHR1.pdf</v>
      </c>
    </row>
    <row r="518" spans="1:28" x14ac:dyDescent="0.25">
      <c r="A518" t="s">
        <v>522</v>
      </c>
      <c r="B518">
        <v>0.99299721793515405</v>
      </c>
      <c r="C518">
        <v>1.1777177472188101</v>
      </c>
      <c r="D518">
        <v>1.06321800283283</v>
      </c>
      <c r="E518">
        <v>1.0585531567242801</v>
      </c>
      <c r="F518">
        <v>0.66269947670427498</v>
      </c>
      <c r="G518">
        <v>0.42561353198354002</v>
      </c>
      <c r="H518">
        <v>0.34747330114620101</v>
      </c>
      <c r="I518">
        <v>0.19356681261918801</v>
      </c>
      <c r="J518">
        <v>0.122247587343063</v>
      </c>
      <c r="K518">
        <v>6.8769650606325297E-2</v>
      </c>
      <c r="L518">
        <v>1004.7812478963</v>
      </c>
      <c r="M518">
        <v>19.121612784664102</v>
      </c>
      <c r="N518">
        <v>53.236053304508197</v>
      </c>
      <c r="O518">
        <v>51.9822954018288</v>
      </c>
      <c r="P518">
        <v>-8.18826273900332E-2</v>
      </c>
      <c r="Q518">
        <v>0.109639574126783</v>
      </c>
      <c r="R518">
        <v>0.95594463804563301</v>
      </c>
      <c r="S518" t="s">
        <v>6069</v>
      </c>
      <c r="T518" t="s">
        <v>11100</v>
      </c>
      <c r="U518" t="s">
        <v>11100</v>
      </c>
      <c r="V518" t="s">
        <v>11100</v>
      </c>
      <c r="W518" t="s">
        <v>11613</v>
      </c>
      <c r="X518">
        <v>3</v>
      </c>
      <c r="Y518" t="s">
        <v>17109</v>
      </c>
      <c r="Z518" t="s">
        <v>22523</v>
      </c>
      <c r="AA518">
        <v>0.58318770069455517</v>
      </c>
      <c r="AB518" t="str">
        <f>HYPERLINK("Melting_Curves/meltCurve_E9PJH1_MKNK1.pdf", "Melting_Curves/meltCurve_E9PJH1_MKNK1.pdf")</f>
        <v>Melting_Curves/meltCurve_E9PJH1_MKNK1.pdf</v>
      </c>
    </row>
    <row r="519" spans="1:28" x14ac:dyDescent="0.25">
      <c r="A519" t="s">
        <v>523</v>
      </c>
      <c r="B519">
        <v>0.99299721793515405</v>
      </c>
      <c r="C519">
        <v>1.00818768871063</v>
      </c>
      <c r="D519">
        <v>0.99030175029886103</v>
      </c>
      <c r="E519">
        <v>0.88419610011156902</v>
      </c>
      <c r="F519">
        <v>0.70397420209155503</v>
      </c>
      <c r="G519">
        <v>0.521456798553667</v>
      </c>
      <c r="H519">
        <v>0.46864111912001499</v>
      </c>
      <c r="I519">
        <v>0.54186891938506399</v>
      </c>
      <c r="J519">
        <v>0.58165024224761597</v>
      </c>
      <c r="K519">
        <v>0.56669401809937603</v>
      </c>
      <c r="L519">
        <v>1418.60384290147</v>
      </c>
      <c r="M519">
        <v>29.0930247261728</v>
      </c>
      <c r="O519">
        <v>48.532304638169499</v>
      </c>
      <c r="P519">
        <v>-7.00240161547412E-2</v>
      </c>
      <c r="Q519">
        <v>0.53275356149128505</v>
      </c>
      <c r="R519">
        <v>0.97368751251868302</v>
      </c>
      <c r="S519" t="s">
        <v>6070</v>
      </c>
      <c r="T519" t="s">
        <v>11100</v>
      </c>
      <c r="U519" t="s">
        <v>11100</v>
      </c>
      <c r="V519" t="s">
        <v>11100</v>
      </c>
      <c r="W519" t="s">
        <v>11614</v>
      </c>
      <c r="X519">
        <v>4</v>
      </c>
      <c r="Y519" t="s">
        <v>17110</v>
      </c>
      <c r="Z519" t="s">
        <v>22524</v>
      </c>
      <c r="AA519">
        <v>0.71891258179121109</v>
      </c>
      <c r="AB519" t="str">
        <f>HYPERLINK("Melting_Curves/meltCurve_E9PJK1_CD81.pdf", "Melting_Curves/meltCurve_E9PJK1_CD81.pdf")</f>
        <v>Melting_Curves/meltCurve_E9PJK1_CD81.pdf</v>
      </c>
    </row>
    <row r="520" spans="1:28" x14ac:dyDescent="0.25">
      <c r="A520" t="s">
        <v>524</v>
      </c>
      <c r="B520">
        <v>0.99299721793515405</v>
      </c>
      <c r="C520">
        <v>1.01220817187367</v>
      </c>
      <c r="D520">
        <v>0.99482570211851296</v>
      </c>
      <c r="E520">
        <v>0.849697454155943</v>
      </c>
      <c r="F520">
        <v>0.58123389949413196</v>
      </c>
      <c r="G520">
        <v>0.26888309974872998</v>
      </c>
      <c r="H520">
        <v>0.18894155433278001</v>
      </c>
      <c r="I520">
        <v>0.154652988610607</v>
      </c>
      <c r="J520">
        <v>0.14346698818449999</v>
      </c>
      <c r="K520">
        <v>0.128293768281322</v>
      </c>
      <c r="L520">
        <v>1129.603314148</v>
      </c>
      <c r="M520">
        <v>22.516359973368399</v>
      </c>
      <c r="N520">
        <v>50.866762414160803</v>
      </c>
      <c r="O520">
        <v>49.777426982338199</v>
      </c>
      <c r="P520">
        <v>-9.8046483862442399E-2</v>
      </c>
      <c r="Q520">
        <v>0.133003324508258</v>
      </c>
      <c r="R520">
        <v>0.99877011836777496</v>
      </c>
      <c r="S520" t="s">
        <v>6071</v>
      </c>
      <c r="T520" t="s">
        <v>11100</v>
      </c>
      <c r="U520" t="s">
        <v>11100</v>
      </c>
      <c r="V520" t="s">
        <v>11100</v>
      </c>
      <c r="W520" t="s">
        <v>11615</v>
      </c>
      <c r="X520">
        <v>9</v>
      </c>
      <c r="Y520" t="s">
        <v>17111</v>
      </c>
      <c r="Z520" t="s">
        <v>22525</v>
      </c>
      <c r="AA520">
        <v>0.52279420771286444</v>
      </c>
      <c r="AB520" t="str">
        <f>HYPERLINK("Melting_Curves/meltCurve_E9PJW9_OSBPL9.pdf", "Melting_Curves/meltCurve_E9PJW9_OSBPL9.pdf")</f>
        <v>Melting_Curves/meltCurve_E9PJW9_OSBPL9.pdf</v>
      </c>
    </row>
    <row r="521" spans="1:28" x14ac:dyDescent="0.25">
      <c r="A521" t="s">
        <v>525</v>
      </c>
      <c r="B521">
        <v>0.99299721793515405</v>
      </c>
      <c r="C521">
        <v>0.96262500503059201</v>
      </c>
      <c r="D521">
        <v>0.93062626796711601</v>
      </c>
      <c r="E521">
        <v>0.87906142344512594</v>
      </c>
      <c r="F521">
        <v>0.79459382925003996</v>
      </c>
      <c r="G521">
        <v>0.80935713889090999</v>
      </c>
      <c r="H521">
        <v>0.48508458471823002</v>
      </c>
      <c r="I521">
        <v>0.49516274747259598</v>
      </c>
      <c r="J521">
        <v>0.88049827710960504</v>
      </c>
      <c r="K521">
        <v>0.68679543529514597</v>
      </c>
      <c r="L521">
        <v>787.47839238303095</v>
      </c>
      <c r="M521">
        <v>16.266422518297698</v>
      </c>
      <c r="O521">
        <v>47.697353112217598</v>
      </c>
      <c r="P521">
        <v>-2.9697424311250602E-2</v>
      </c>
      <c r="Q521">
        <v>0.65170352113715402</v>
      </c>
      <c r="R521">
        <v>0.57143364052297896</v>
      </c>
      <c r="S521" t="s">
        <v>6072</v>
      </c>
      <c r="T521" t="s">
        <v>11100</v>
      </c>
      <c r="U521" t="s">
        <v>11100</v>
      </c>
      <c r="V521" t="s">
        <v>11100</v>
      </c>
      <c r="W521" t="s">
        <v>11616</v>
      </c>
      <c r="X521">
        <v>6</v>
      </c>
      <c r="Y521" t="s">
        <v>17112</v>
      </c>
      <c r="Z521" t="s">
        <v>22526</v>
      </c>
      <c r="AA521">
        <v>0.79082297553102376</v>
      </c>
      <c r="AB521" t="str">
        <f>HYPERLINK("Melting_Curves/meltCurve_E9PK01_EEF1D.pdf", "Melting_Curves/meltCurve_E9PK01_EEF1D.pdf")</f>
        <v>Melting_Curves/meltCurve_E9PK01_EEF1D.pdf</v>
      </c>
    </row>
    <row r="522" spans="1:28" x14ac:dyDescent="0.25">
      <c r="A522" t="s">
        <v>526</v>
      </c>
      <c r="B522">
        <v>0.99299721793515405</v>
      </c>
      <c r="C522">
        <v>0.87954624037127804</v>
      </c>
      <c r="D522">
        <v>0.840432213269527</v>
      </c>
      <c r="E522">
        <v>0.92237255595534695</v>
      </c>
      <c r="F522">
        <v>0.69206728493161396</v>
      </c>
      <c r="G522">
        <v>0.41207289571984701</v>
      </c>
      <c r="H522">
        <v>0.428119993566488</v>
      </c>
      <c r="I522">
        <v>0.32094703453871198</v>
      </c>
      <c r="J522">
        <v>0.23115031628559701</v>
      </c>
      <c r="K522">
        <v>0.23570406477435701</v>
      </c>
      <c r="L522">
        <v>538.79434765061205</v>
      </c>
      <c r="M522">
        <v>10.2882818698137</v>
      </c>
      <c r="N522">
        <v>54.114204026779397</v>
      </c>
      <c r="O522">
        <v>50.506922710488503</v>
      </c>
      <c r="P522">
        <v>-4.3756792608805002E-2</v>
      </c>
      <c r="Q522">
        <v>0.141136579889104</v>
      </c>
      <c r="R522">
        <v>0.95206430281528398</v>
      </c>
      <c r="S522" t="s">
        <v>6073</v>
      </c>
      <c r="T522" t="s">
        <v>11100</v>
      </c>
      <c r="U522" t="s">
        <v>11100</v>
      </c>
      <c r="V522" t="s">
        <v>11100</v>
      </c>
      <c r="W522" t="s">
        <v>11617</v>
      </c>
      <c r="X522">
        <v>1</v>
      </c>
      <c r="Y522" t="s">
        <v>17113</v>
      </c>
      <c r="Z522" t="s">
        <v>22527</v>
      </c>
      <c r="AA522">
        <v>0.60250418595672239</v>
      </c>
      <c r="AB522" t="str">
        <f>HYPERLINK("Melting_Curves/meltCurve_E9PK12_FUZ.pdf", "Melting_Curves/meltCurve_E9PK12_FUZ.pdf")</f>
        <v>Melting_Curves/meltCurve_E9PK12_FUZ.pdf</v>
      </c>
    </row>
    <row r="523" spans="1:28" x14ac:dyDescent="0.25">
      <c r="A523" t="s">
        <v>527</v>
      </c>
      <c r="B523">
        <v>0.99299721793515405</v>
      </c>
      <c r="C523">
        <v>0.782605455953166</v>
      </c>
      <c r="D523">
        <v>0.82172708690442298</v>
      </c>
      <c r="E523">
        <v>0.791056239489762</v>
      </c>
      <c r="F523">
        <v>0.57145548483042596</v>
      </c>
      <c r="G523">
        <v>0.46139283966904698</v>
      </c>
      <c r="H523">
        <v>0.29736866485932001</v>
      </c>
      <c r="I523">
        <v>0.24587774173500901</v>
      </c>
      <c r="J523">
        <v>0.22089696852546101</v>
      </c>
      <c r="K523">
        <v>0.17247225436691499</v>
      </c>
      <c r="L523">
        <v>380.82778650566598</v>
      </c>
      <c r="M523">
        <v>7.2860237606635598</v>
      </c>
      <c r="N523">
        <v>52.268260278394401</v>
      </c>
      <c r="O523">
        <v>48.762460103214899</v>
      </c>
      <c r="P523">
        <v>-3.7414447210402803E-2</v>
      </c>
      <c r="Q523">
        <v>0</v>
      </c>
      <c r="R523">
        <v>0.96698118618655504</v>
      </c>
      <c r="S523" t="s">
        <v>6074</v>
      </c>
      <c r="T523" t="s">
        <v>11100</v>
      </c>
      <c r="U523" t="s">
        <v>11100</v>
      </c>
      <c r="V523" t="s">
        <v>11100</v>
      </c>
      <c r="W523" t="s">
        <v>11618</v>
      </c>
      <c r="X523">
        <v>9</v>
      </c>
      <c r="Y523" t="s">
        <v>17114</v>
      </c>
      <c r="Z523" t="s">
        <v>22528</v>
      </c>
      <c r="AA523">
        <v>0.53562055830971034</v>
      </c>
      <c r="AB523" t="str">
        <f>HYPERLINK("Melting_Curves/meltCurve_E9PK91_BCLAF1.pdf", "Melting_Curves/meltCurve_E9PK91_BCLAF1.pdf")</f>
        <v>Melting_Curves/meltCurve_E9PK91_BCLAF1.pdf</v>
      </c>
    </row>
    <row r="524" spans="1:28" x14ac:dyDescent="0.25">
      <c r="A524" t="s">
        <v>528</v>
      </c>
      <c r="B524">
        <v>0.99299721793515405</v>
      </c>
      <c r="C524">
        <v>0.73510274025714795</v>
      </c>
      <c r="D524">
        <v>0.76461427631759504</v>
      </c>
      <c r="E524">
        <v>0.93468433832101805</v>
      </c>
      <c r="F524">
        <v>0.64582876654488697</v>
      </c>
      <c r="G524">
        <v>0.54068135782915705</v>
      </c>
      <c r="H524">
        <v>0.69654353107523204</v>
      </c>
      <c r="I524">
        <v>0.53072122970207802</v>
      </c>
      <c r="J524">
        <v>0.32467918654184103</v>
      </c>
      <c r="K524">
        <v>0.29165216535460903</v>
      </c>
      <c r="L524">
        <v>266.58466083224602</v>
      </c>
      <c r="M524">
        <v>4.5142863245716303</v>
      </c>
      <c r="N524">
        <v>59.053560455710802</v>
      </c>
      <c r="O524">
        <v>50.232026329478998</v>
      </c>
      <c r="P524">
        <v>-2.2661615599528701E-2</v>
      </c>
      <c r="Q524">
        <v>0</v>
      </c>
      <c r="R524">
        <v>0.76229318172275795</v>
      </c>
      <c r="S524" t="s">
        <v>6075</v>
      </c>
      <c r="T524" t="s">
        <v>11100</v>
      </c>
      <c r="U524" t="s">
        <v>11100</v>
      </c>
      <c r="V524" t="s">
        <v>11100</v>
      </c>
      <c r="W524" t="s">
        <v>11619</v>
      </c>
      <c r="X524">
        <v>1</v>
      </c>
      <c r="Y524" t="s">
        <v>17115</v>
      </c>
      <c r="Z524" t="s">
        <v>22529</v>
      </c>
      <c r="AA524">
        <v>0.65207534727639382</v>
      </c>
      <c r="AB524" t="str">
        <f>HYPERLINK("Melting_Curves/meltCurve_E9PKA7_RCE1.pdf", "Melting_Curves/meltCurve_E9PKA7_RCE1.pdf")</f>
        <v>Melting_Curves/meltCurve_E9PKA7_RCE1.pdf</v>
      </c>
    </row>
    <row r="525" spans="1:28" x14ac:dyDescent="0.25">
      <c r="A525" t="s">
        <v>529</v>
      </c>
      <c r="B525">
        <v>0.99299721793515405</v>
      </c>
      <c r="C525">
        <v>0.90318574959560105</v>
      </c>
      <c r="D525">
        <v>0.94470875107306695</v>
      </c>
      <c r="E525">
        <v>0.90876675279388097</v>
      </c>
      <c r="F525">
        <v>0.81877417651825402</v>
      </c>
      <c r="G525">
        <v>1.10614221281803</v>
      </c>
      <c r="H525">
        <v>0.44880877292152299</v>
      </c>
      <c r="I525">
        <v>0.29714967414833499</v>
      </c>
      <c r="J525">
        <v>0.31305810531178302</v>
      </c>
      <c r="K525">
        <v>0.21509362882201399</v>
      </c>
      <c r="L525">
        <v>14283.720047999899</v>
      </c>
      <c r="M525">
        <v>250</v>
      </c>
      <c r="N525">
        <v>57.318042926110699</v>
      </c>
      <c r="O525">
        <v>57.131224685545398</v>
      </c>
      <c r="P525">
        <v>-0.79302037130398095</v>
      </c>
      <c r="Q525">
        <v>0.27510041011393099</v>
      </c>
      <c r="R525">
        <v>0.93091714173450102</v>
      </c>
      <c r="S525" t="s">
        <v>6076</v>
      </c>
      <c r="T525" t="s">
        <v>11100</v>
      </c>
      <c r="U525" t="s">
        <v>11100</v>
      </c>
      <c r="V525" t="s">
        <v>11100</v>
      </c>
      <c r="W525" t="s">
        <v>11620</v>
      </c>
      <c r="X525">
        <v>4</v>
      </c>
      <c r="Y525" t="s">
        <v>17116</v>
      </c>
      <c r="Z525" t="s">
        <v>22530</v>
      </c>
      <c r="AA525">
        <v>0.76169864284708411</v>
      </c>
      <c r="AB525" t="str">
        <f>HYPERLINK("Melting_Curves/meltCurve_E9PKG1_PRMT1.pdf", "Melting_Curves/meltCurve_E9PKG1_PRMT1.pdf")</f>
        <v>Melting_Curves/meltCurve_E9PKG1_PRMT1.pdf</v>
      </c>
    </row>
    <row r="526" spans="1:28" x14ac:dyDescent="0.25">
      <c r="A526" t="s">
        <v>530</v>
      </c>
      <c r="B526">
        <v>0.99299721793515405</v>
      </c>
      <c r="C526">
        <v>1.2350307406168901</v>
      </c>
      <c r="D526">
        <v>0.97859819418695504</v>
      </c>
      <c r="E526">
        <v>0.993473289390852</v>
      </c>
      <c r="F526">
        <v>0.65757014188744101</v>
      </c>
      <c r="G526">
        <v>0.57185576746371303</v>
      </c>
      <c r="H526">
        <v>0.50869090404156303</v>
      </c>
      <c r="I526">
        <v>0.31458516911954099</v>
      </c>
      <c r="J526">
        <v>0.18469507590106099</v>
      </c>
      <c r="K526">
        <v>0.105494238725964</v>
      </c>
      <c r="L526">
        <v>620.13357338444303</v>
      </c>
      <c r="M526">
        <v>11.0808252649939</v>
      </c>
      <c r="N526">
        <v>55.964565704937598</v>
      </c>
      <c r="O526">
        <v>54.234596543530898</v>
      </c>
      <c r="P526">
        <v>-5.1094988446619902E-2</v>
      </c>
      <c r="Q526">
        <v>0</v>
      </c>
      <c r="R526">
        <v>0.92974660110235097</v>
      </c>
      <c r="S526" t="s">
        <v>6077</v>
      </c>
      <c r="T526" t="s">
        <v>11100</v>
      </c>
      <c r="U526" t="s">
        <v>11100</v>
      </c>
      <c r="V526" t="s">
        <v>11100</v>
      </c>
      <c r="W526" t="s">
        <v>11621</v>
      </c>
      <c r="X526">
        <v>2</v>
      </c>
      <c r="Y526" t="s">
        <v>17117</v>
      </c>
      <c r="Z526" t="s">
        <v>22531</v>
      </c>
      <c r="AA526">
        <v>0.64078876111688488</v>
      </c>
      <c r="AB526" t="str">
        <f>HYPERLINK("Melting_Curves/meltCurve_E9PKS9_TRAPPC4.pdf", "Melting_Curves/meltCurve_E9PKS9_TRAPPC4.pdf")</f>
        <v>Melting_Curves/meltCurve_E9PKS9_TRAPPC4.pdf</v>
      </c>
    </row>
    <row r="527" spans="1:28" x14ac:dyDescent="0.25">
      <c r="A527" t="s">
        <v>531</v>
      </c>
      <c r="B527">
        <v>0.99299721793515405</v>
      </c>
      <c r="C527">
        <v>0.86781995351487995</v>
      </c>
      <c r="D527">
        <v>0.881321912484336</v>
      </c>
      <c r="E527">
        <v>0.85000533417618596</v>
      </c>
      <c r="F527">
        <v>0.70710661807910602</v>
      </c>
      <c r="G527">
        <v>0.56230229830281797</v>
      </c>
      <c r="H527">
        <v>0.54853252180110201</v>
      </c>
      <c r="I527">
        <v>0.55005557545066097</v>
      </c>
      <c r="J527">
        <v>0.41104893425044298</v>
      </c>
      <c r="K527">
        <v>0.314865658628113</v>
      </c>
      <c r="L527">
        <v>302.00928764594801</v>
      </c>
      <c r="M527">
        <v>5.0825946767591601</v>
      </c>
      <c r="N527">
        <v>59.4202982585347</v>
      </c>
      <c r="O527">
        <v>52.056995754615002</v>
      </c>
      <c r="P527">
        <v>-2.45502013994029E-2</v>
      </c>
      <c r="Q527">
        <v>0</v>
      </c>
      <c r="R527">
        <v>0.955261308935348</v>
      </c>
      <c r="S527" t="s">
        <v>6078</v>
      </c>
      <c r="T527" t="s">
        <v>11100</v>
      </c>
      <c r="U527" t="s">
        <v>11100</v>
      </c>
      <c r="V527" t="s">
        <v>11100</v>
      </c>
      <c r="W527" t="s">
        <v>11622</v>
      </c>
      <c r="X527">
        <v>2</v>
      </c>
      <c r="Y527" t="s">
        <v>17118</v>
      </c>
      <c r="Z527" t="s">
        <v>22532</v>
      </c>
      <c r="AA527">
        <v>0.67003486163043569</v>
      </c>
      <c r="AB527" t="str">
        <f>HYPERLINK("Melting_Curves/meltCurve_E9PKT4_TMEM123.pdf", "Melting_Curves/meltCurve_E9PKT4_TMEM123.pdf")</f>
        <v>Melting_Curves/meltCurve_E9PKT4_TMEM123.pdf</v>
      </c>
    </row>
    <row r="528" spans="1:28" x14ac:dyDescent="0.25">
      <c r="A528" t="s">
        <v>532</v>
      </c>
      <c r="B528">
        <v>0.99299721793515405</v>
      </c>
      <c r="C528">
        <v>0.91445866588051805</v>
      </c>
      <c r="D528">
        <v>1.01689212314258</v>
      </c>
      <c r="E528">
        <v>0.84571674198976399</v>
      </c>
      <c r="F528">
        <v>0.669200110963455</v>
      </c>
      <c r="G528">
        <v>0.381947014176098</v>
      </c>
      <c r="H528">
        <v>0.16115513995205899</v>
      </c>
      <c r="I528">
        <v>0.113890479866882</v>
      </c>
      <c r="J528">
        <v>0.114871290428706</v>
      </c>
      <c r="K528">
        <v>9.4689119965748206E-2</v>
      </c>
      <c r="L528">
        <v>945.48228247239297</v>
      </c>
      <c r="M528">
        <v>18.333541281728301</v>
      </c>
      <c r="N528">
        <v>52.0110103898459</v>
      </c>
      <c r="O528">
        <v>50.969361146299001</v>
      </c>
      <c r="P528">
        <v>-8.34708692616489E-2</v>
      </c>
      <c r="Q528">
        <v>7.18081658454469E-2</v>
      </c>
      <c r="R528">
        <v>0.99139378329892802</v>
      </c>
      <c r="S528" t="s">
        <v>6079</v>
      </c>
      <c r="T528" t="s">
        <v>11100</v>
      </c>
      <c r="U528" t="s">
        <v>11100</v>
      </c>
      <c r="V528" t="s">
        <v>11100</v>
      </c>
      <c r="W528" t="s">
        <v>11623</v>
      </c>
      <c r="X528">
        <v>9</v>
      </c>
      <c r="Y528" t="s">
        <v>17119</v>
      </c>
      <c r="Z528" t="s">
        <v>22533</v>
      </c>
      <c r="AA528">
        <v>0.5364607802670619</v>
      </c>
      <c r="AB528" t="str">
        <f>HYPERLINK("Melting_Curves/meltCurve_E9PKV8_TTC9C.pdf", "Melting_Curves/meltCurve_E9PKV8_TTC9C.pdf")</f>
        <v>Melting_Curves/meltCurve_E9PKV8_TTC9C.pdf</v>
      </c>
    </row>
    <row r="529" spans="1:28" x14ac:dyDescent="0.25">
      <c r="A529" t="s">
        <v>533</v>
      </c>
      <c r="B529">
        <v>0.99299721793515405</v>
      </c>
      <c r="C529">
        <v>0.91020631232453897</v>
      </c>
      <c r="D529">
        <v>1.10834048292875</v>
      </c>
      <c r="E529">
        <v>0.87763468375994402</v>
      </c>
      <c r="F529">
        <v>0.86654498197906005</v>
      </c>
      <c r="G529">
        <v>1.4306496430389399</v>
      </c>
      <c r="H529">
        <v>0.68699333746128199</v>
      </c>
      <c r="I529">
        <v>0.49093423504474598</v>
      </c>
      <c r="J529">
        <v>0.34543598110281398</v>
      </c>
      <c r="K529">
        <v>0.37755869597875402</v>
      </c>
      <c r="L529">
        <v>14336.6889442391</v>
      </c>
      <c r="M529">
        <v>249.87118420168099</v>
      </c>
      <c r="N529">
        <v>57.759363901048303</v>
      </c>
      <c r="O529">
        <v>57.372644210512597</v>
      </c>
      <c r="P529">
        <v>-0.64823048723103904</v>
      </c>
      <c r="Q529">
        <v>0.404642081098885</v>
      </c>
      <c r="R529">
        <v>0.76103724584871502</v>
      </c>
      <c r="S529" t="s">
        <v>6080</v>
      </c>
      <c r="T529" t="s">
        <v>11100</v>
      </c>
      <c r="U529" t="s">
        <v>11100</v>
      </c>
      <c r="V529" t="s">
        <v>11100</v>
      </c>
      <c r="W529" t="s">
        <v>11624</v>
      </c>
      <c r="X529">
        <v>10</v>
      </c>
      <c r="Y529" t="s">
        <v>17120</v>
      </c>
      <c r="Z529" t="s">
        <v>22534</v>
      </c>
      <c r="AA529">
        <v>0.80907553494057616</v>
      </c>
      <c r="AB529" t="str">
        <f>HYPERLINK("Melting_Curves/meltCurve_E9PKZ0_RPL8.pdf", "Melting_Curves/meltCurve_E9PKZ0_RPL8.pdf")</f>
        <v>Melting_Curves/meltCurve_E9PKZ0_RPL8.pdf</v>
      </c>
    </row>
    <row r="530" spans="1:28" x14ac:dyDescent="0.25">
      <c r="A530" t="s">
        <v>534</v>
      </c>
      <c r="B530">
        <v>0.99299721793515405</v>
      </c>
      <c r="C530">
        <v>1.04110311965837</v>
      </c>
      <c r="D530">
        <v>1.33065163072731</v>
      </c>
      <c r="E530">
        <v>1.01278330514069</v>
      </c>
      <c r="F530">
        <v>0.832043519040082</v>
      </c>
      <c r="G530">
        <v>0.76696041782761504</v>
      </c>
      <c r="H530">
        <v>0.24391125679856099</v>
      </c>
      <c r="I530">
        <v>0.18239032705304101</v>
      </c>
      <c r="J530">
        <v>0.139240180771115</v>
      </c>
      <c r="K530">
        <v>0.113756125117861</v>
      </c>
      <c r="L530">
        <v>1852.74763572397</v>
      </c>
      <c r="M530">
        <v>33.707087980963202</v>
      </c>
      <c r="N530">
        <v>55.42871083867</v>
      </c>
      <c r="O530">
        <v>54.773732176499898</v>
      </c>
      <c r="P530">
        <v>-0.13498529720538599</v>
      </c>
      <c r="Q530">
        <v>0.122603813450818</v>
      </c>
      <c r="R530">
        <v>0.92653293597217201</v>
      </c>
      <c r="S530" t="s">
        <v>6081</v>
      </c>
      <c r="T530" t="s">
        <v>11100</v>
      </c>
      <c r="U530" t="s">
        <v>11100</v>
      </c>
      <c r="V530" t="s">
        <v>11100</v>
      </c>
      <c r="W530" t="s">
        <v>11625</v>
      </c>
      <c r="X530">
        <v>8</v>
      </c>
      <c r="Y530" t="s">
        <v>17121</v>
      </c>
      <c r="Z530" t="s">
        <v>22535</v>
      </c>
      <c r="AA530">
        <v>0.65258381169003987</v>
      </c>
      <c r="AB530" t="str">
        <f>HYPERLINK("Melting_Curves/meltCurve_E9PL01_SPCS2.pdf", "Melting_Curves/meltCurve_E9PL01_SPCS2.pdf")</f>
        <v>Melting_Curves/meltCurve_E9PL01_SPCS2.pdf</v>
      </c>
    </row>
    <row r="531" spans="1:28" x14ac:dyDescent="0.25">
      <c r="A531" t="s">
        <v>535</v>
      </c>
      <c r="B531">
        <v>0.99299721793515405</v>
      </c>
      <c r="C531">
        <v>0.89839525911637996</v>
      </c>
      <c r="D531">
        <v>0.93400942988683</v>
      </c>
      <c r="E531">
        <v>0.82436659977268101</v>
      </c>
      <c r="F531">
        <v>0.72129143313273403</v>
      </c>
      <c r="G531">
        <v>0.51993591950430196</v>
      </c>
      <c r="H531">
        <v>0.496903465735068</v>
      </c>
      <c r="I531">
        <v>0.63357585412408801</v>
      </c>
      <c r="J531">
        <v>0.807576436310532</v>
      </c>
      <c r="K531">
        <v>0.97755800670204496</v>
      </c>
      <c r="L531">
        <v>1167.31622899024</v>
      </c>
      <c r="M531">
        <v>25.742405701480699</v>
      </c>
      <c r="O531">
        <v>45.075048213530202</v>
      </c>
      <c r="P531">
        <v>-4.4125452817932898E-2</v>
      </c>
      <c r="Q531">
        <v>0.69094837073527804</v>
      </c>
      <c r="R531">
        <v>0.40204266791326498</v>
      </c>
      <c r="S531" t="s">
        <v>6082</v>
      </c>
      <c r="T531" t="s">
        <v>11100</v>
      </c>
      <c r="U531" t="s">
        <v>11100</v>
      </c>
      <c r="V531" t="s">
        <v>11100</v>
      </c>
      <c r="W531" t="s">
        <v>11626</v>
      </c>
      <c r="X531">
        <v>3</v>
      </c>
      <c r="Y531" t="s">
        <v>17122</v>
      </c>
      <c r="Z531" t="s">
        <v>22536</v>
      </c>
      <c r="AA531">
        <v>0.77932014981372177</v>
      </c>
      <c r="AB531" t="str">
        <f>HYPERLINK("Melting_Curves/meltCurve_E9PL10_BTF3L4.pdf", "Melting_Curves/meltCurve_E9PL10_BTF3L4.pdf")</f>
        <v>Melting_Curves/meltCurve_E9PL10_BTF3L4.pdf</v>
      </c>
    </row>
    <row r="532" spans="1:28" x14ac:dyDescent="0.25">
      <c r="A532" t="s">
        <v>536</v>
      </c>
      <c r="B532">
        <v>0.99299721793515405</v>
      </c>
      <c r="C532">
        <v>0.92099584441984605</v>
      </c>
      <c r="D532">
        <v>0.91427316461146502</v>
      </c>
      <c r="E532">
        <v>0.73703258612101497</v>
      </c>
      <c r="F532">
        <v>0.22124648039107001</v>
      </c>
      <c r="G532">
        <v>5.9594626269621198E-2</v>
      </c>
      <c r="H532">
        <v>4.5733228472474803E-2</v>
      </c>
      <c r="I532">
        <v>6.3393548324404303E-2</v>
      </c>
      <c r="J532">
        <v>0</v>
      </c>
      <c r="K532">
        <v>0</v>
      </c>
      <c r="L532">
        <v>1398.3924750174001</v>
      </c>
      <c r="M532">
        <v>29.120088613179401</v>
      </c>
      <c r="N532">
        <v>48.094793126785298</v>
      </c>
      <c r="O532">
        <v>47.796816919130301</v>
      </c>
      <c r="P532">
        <v>-0.14901100369899301</v>
      </c>
      <c r="Q532">
        <v>2.1678897113548899E-2</v>
      </c>
      <c r="R532">
        <v>0.99275034033125897</v>
      </c>
      <c r="S532" t="s">
        <v>6083</v>
      </c>
      <c r="T532" t="s">
        <v>11100</v>
      </c>
      <c r="U532" t="s">
        <v>11100</v>
      </c>
      <c r="V532" t="s">
        <v>11100</v>
      </c>
      <c r="W532" t="s">
        <v>11627</v>
      </c>
      <c r="X532">
        <v>1</v>
      </c>
      <c r="Y532" t="s">
        <v>17123</v>
      </c>
      <c r="Z532" t="s">
        <v>22537</v>
      </c>
      <c r="AA532">
        <v>0.38725339033211731</v>
      </c>
      <c r="AB532" t="str">
        <f>HYPERLINK("Melting_Curves/meltCurve_E9PL17_CLP1.pdf", "Melting_Curves/meltCurve_E9PL17_CLP1.pdf")</f>
        <v>Melting_Curves/meltCurve_E9PL17_CLP1.pdf</v>
      </c>
    </row>
    <row r="533" spans="1:28" x14ac:dyDescent="0.25">
      <c r="A533" t="s">
        <v>537</v>
      </c>
      <c r="B533">
        <v>0.99299721793515405</v>
      </c>
      <c r="C533">
        <v>1.0214447864017799</v>
      </c>
      <c r="D533">
        <v>1.09667891510979</v>
      </c>
      <c r="E533">
        <v>0.86585819850462098</v>
      </c>
      <c r="F533">
        <v>0.66454676435785498</v>
      </c>
      <c r="G533">
        <v>0.38137598964559299</v>
      </c>
      <c r="H533">
        <v>0.31938421638208703</v>
      </c>
      <c r="I533">
        <v>0.239407830813928</v>
      </c>
      <c r="J533">
        <v>0.21250849483371401</v>
      </c>
      <c r="K533">
        <v>0.20531591731623799</v>
      </c>
      <c r="L533">
        <v>1077.79031143116</v>
      </c>
      <c r="M533">
        <v>21.215518610484001</v>
      </c>
      <c r="N533">
        <v>52.1886905670288</v>
      </c>
      <c r="O533">
        <v>50.3570779537039</v>
      </c>
      <c r="P533">
        <v>-8.2634540063957498E-2</v>
      </c>
      <c r="Q533">
        <v>0.21545603648120101</v>
      </c>
      <c r="R533">
        <v>0.98607931976546404</v>
      </c>
      <c r="S533" t="s">
        <v>6084</v>
      </c>
      <c r="T533" t="s">
        <v>11100</v>
      </c>
      <c r="U533" t="s">
        <v>11100</v>
      </c>
      <c r="V533" t="s">
        <v>11100</v>
      </c>
      <c r="W533" t="s">
        <v>11628</v>
      </c>
      <c r="X533">
        <v>36</v>
      </c>
      <c r="Y533" t="s">
        <v>17124</v>
      </c>
      <c r="Z533" t="s">
        <v>22538</v>
      </c>
      <c r="AA533">
        <v>0.58569832070400696</v>
      </c>
      <c r="AB533" t="str">
        <f>HYPERLINK("Melting_Curves/meltCurve_E9PL22_HYOU1.pdf", "Melting_Curves/meltCurve_E9PL22_HYOU1.pdf")</f>
        <v>Melting_Curves/meltCurve_E9PL22_HYOU1.pdf</v>
      </c>
    </row>
    <row r="534" spans="1:28" x14ac:dyDescent="0.25">
      <c r="A534" t="s">
        <v>538</v>
      </c>
      <c r="B534">
        <v>0.99299721793515405</v>
      </c>
      <c r="C534">
        <v>1.0135887136502699</v>
      </c>
      <c r="D534">
        <v>0.914686989058073</v>
      </c>
      <c r="E534">
        <v>0.94036588961916501</v>
      </c>
      <c r="F534">
        <v>0.75363437175894799</v>
      </c>
      <c r="G534">
        <v>0.70354506155436103</v>
      </c>
      <c r="H534">
        <v>0.51937314717597904</v>
      </c>
      <c r="I534">
        <v>0.55693298004166103</v>
      </c>
      <c r="J534">
        <v>0.51410043358418001</v>
      </c>
      <c r="K534">
        <v>0.41743980346206799</v>
      </c>
      <c r="L534">
        <v>609.01842225456096</v>
      </c>
      <c r="M534">
        <v>11.560039058163399</v>
      </c>
      <c r="N534">
        <v>62.045154340893298</v>
      </c>
      <c r="O534">
        <v>51.180558504535902</v>
      </c>
      <c r="P534">
        <v>-3.3176952046189999E-2</v>
      </c>
      <c r="Q534">
        <v>0.412617223892634</v>
      </c>
      <c r="R534">
        <v>0.96590687986231905</v>
      </c>
      <c r="S534" t="s">
        <v>6085</v>
      </c>
      <c r="T534" t="s">
        <v>11100</v>
      </c>
      <c r="U534" t="s">
        <v>11100</v>
      </c>
      <c r="V534" t="s">
        <v>11100</v>
      </c>
      <c r="W534" t="s">
        <v>11629</v>
      </c>
      <c r="X534">
        <v>3</v>
      </c>
      <c r="Y534" t="s">
        <v>17125</v>
      </c>
      <c r="Z534" t="s">
        <v>22539</v>
      </c>
      <c r="AA534">
        <v>0.73287226007563644</v>
      </c>
      <c r="AB534" t="str">
        <f>HYPERLINK("Melting_Curves/meltCurve_E9PL40_TSPAN18.pdf", "Melting_Curves/meltCurve_E9PL40_TSPAN18.pdf")</f>
        <v>Melting_Curves/meltCurve_E9PL40_TSPAN18.pdf</v>
      </c>
    </row>
    <row r="535" spans="1:28" x14ac:dyDescent="0.25">
      <c r="A535" t="s">
        <v>539</v>
      </c>
      <c r="B535">
        <v>0.99299721793515405</v>
      </c>
      <c r="C535">
        <v>0.95214787712456705</v>
      </c>
      <c r="D535">
        <v>0.99432440807724398</v>
      </c>
      <c r="E535">
        <v>0.83325463591208604</v>
      </c>
      <c r="F535">
        <v>0.80451068320123098</v>
      </c>
      <c r="G535">
        <v>0.61050811413829498</v>
      </c>
      <c r="H535">
        <v>0.522728910363357</v>
      </c>
      <c r="I535">
        <v>0.537998020894496</v>
      </c>
      <c r="J535">
        <v>0.48363949614014001</v>
      </c>
      <c r="K535">
        <v>0.33338989165573002</v>
      </c>
      <c r="L535">
        <v>500.27066145168698</v>
      </c>
      <c r="M535">
        <v>9.2748292652591093</v>
      </c>
      <c r="N535">
        <v>59.847577542816097</v>
      </c>
      <c r="O535">
        <v>51.608948690938298</v>
      </c>
      <c r="P535">
        <v>-3.1475125124545797E-2</v>
      </c>
      <c r="Q535">
        <v>0.29989171801937903</v>
      </c>
      <c r="R535">
        <v>0.96146400826892597</v>
      </c>
      <c r="S535" t="s">
        <v>6086</v>
      </c>
      <c r="T535" t="s">
        <v>11100</v>
      </c>
      <c r="U535" t="s">
        <v>11100</v>
      </c>
      <c r="V535" t="s">
        <v>11100</v>
      </c>
      <c r="W535" t="s">
        <v>11630</v>
      </c>
      <c r="X535">
        <v>9</v>
      </c>
      <c r="Y535" t="s">
        <v>17126</v>
      </c>
      <c r="Z535" t="s">
        <v>22540</v>
      </c>
      <c r="AA535">
        <v>0.70727458464150994</v>
      </c>
      <c r="AB535" t="str">
        <f>HYPERLINK("Melting_Curves/meltCurve_E9PL57_NEDD8_MDP1.pdf", "Melting_Curves/meltCurve_E9PL57_NEDD8_MDP1.pdf")</f>
        <v>Melting_Curves/meltCurve_E9PL57_NEDD8_MDP1.pdf</v>
      </c>
    </row>
    <row r="536" spans="1:28" x14ac:dyDescent="0.25">
      <c r="A536" t="s">
        <v>540</v>
      </c>
      <c r="B536">
        <v>0.99299721793515405</v>
      </c>
      <c r="C536">
        <v>0.96678386438064501</v>
      </c>
      <c r="D536">
        <v>0.76622851523160096</v>
      </c>
      <c r="E536">
        <v>0.75440190548499397</v>
      </c>
      <c r="F536">
        <v>0.58566443713865901</v>
      </c>
      <c r="G536">
        <v>0.66379378461184602</v>
      </c>
      <c r="H536">
        <v>0.442670681991437</v>
      </c>
      <c r="I536">
        <v>0.39325437111146999</v>
      </c>
      <c r="J536">
        <v>0.24225071326712799</v>
      </c>
      <c r="K536">
        <v>0.20897078329857399</v>
      </c>
      <c r="L536">
        <v>347.36937688988701</v>
      </c>
      <c r="M536">
        <v>6.29390425910512</v>
      </c>
      <c r="N536">
        <v>55.1913831638837</v>
      </c>
      <c r="O536">
        <v>50.4054867069651</v>
      </c>
      <c r="P536">
        <v>-3.1301539512251897E-2</v>
      </c>
      <c r="Q536">
        <v>0</v>
      </c>
      <c r="R536">
        <v>0.94642416684758301</v>
      </c>
      <c r="S536" t="s">
        <v>6087</v>
      </c>
      <c r="T536" t="s">
        <v>11100</v>
      </c>
      <c r="U536" t="s">
        <v>11100</v>
      </c>
      <c r="V536" t="s">
        <v>11100</v>
      </c>
      <c r="W536" t="s">
        <v>11631</v>
      </c>
      <c r="X536">
        <v>2</v>
      </c>
      <c r="Y536" t="s">
        <v>17127</v>
      </c>
      <c r="Z536" t="s">
        <v>22541</v>
      </c>
      <c r="AA536">
        <v>0.60190061629186253</v>
      </c>
      <c r="AB536" t="str">
        <f>HYPERLINK("Melting_Curves/meltCurve_E9PLB8_EI24.pdf", "Melting_Curves/meltCurve_E9PLB8_EI24.pdf")</f>
        <v>Melting_Curves/meltCurve_E9PLB8_EI24.pdf</v>
      </c>
    </row>
    <row r="537" spans="1:28" x14ac:dyDescent="0.25">
      <c r="A537" t="s">
        <v>541</v>
      </c>
      <c r="B537">
        <v>0.99299721793515405</v>
      </c>
      <c r="C537">
        <v>1.05972011291141</v>
      </c>
      <c r="D537">
        <v>1.0003859828436501</v>
      </c>
      <c r="E537">
        <v>0.95131058586443695</v>
      </c>
      <c r="F537">
        <v>0.814253251051127</v>
      </c>
      <c r="G537">
        <v>0.73322372468565</v>
      </c>
      <c r="H537">
        <v>0.63859387445635596</v>
      </c>
      <c r="I537">
        <v>0.59042907719702797</v>
      </c>
      <c r="J537">
        <v>0.33081774116731799</v>
      </c>
      <c r="K537">
        <v>0.143939892734924</v>
      </c>
      <c r="L537">
        <v>628.497499977747</v>
      </c>
      <c r="M537">
        <v>10.461636277175099</v>
      </c>
      <c r="N537">
        <v>60.0764052087031</v>
      </c>
      <c r="O537">
        <v>58.005754629149003</v>
      </c>
      <c r="P537">
        <v>-4.5107231728778903E-2</v>
      </c>
      <c r="Q537">
        <v>0</v>
      </c>
      <c r="R537">
        <v>0.95155543614275895</v>
      </c>
      <c r="S537" t="s">
        <v>6088</v>
      </c>
      <c r="T537" t="s">
        <v>11100</v>
      </c>
      <c r="U537" t="s">
        <v>11100</v>
      </c>
      <c r="V537" t="s">
        <v>11100</v>
      </c>
      <c r="W537" t="s">
        <v>11299</v>
      </c>
      <c r="X537">
        <v>49</v>
      </c>
      <c r="Y537" t="s">
        <v>16793</v>
      </c>
      <c r="Z537" t="s">
        <v>22542</v>
      </c>
      <c r="AA537">
        <v>0.74443733428307968</v>
      </c>
      <c r="AB537" t="str">
        <f>HYPERLINK("Melting_Curves/meltCurve_E9PLK3_NPEPPS.pdf", "Melting_Curves/meltCurve_E9PLK3_NPEPPS.pdf")</f>
        <v>Melting_Curves/meltCurve_E9PLK3_NPEPPS.pdf</v>
      </c>
    </row>
    <row r="538" spans="1:28" x14ac:dyDescent="0.25">
      <c r="A538" t="s">
        <v>542</v>
      </c>
      <c r="B538">
        <v>0.99299721793515405</v>
      </c>
      <c r="C538">
        <v>0.82681091908302495</v>
      </c>
      <c r="D538">
        <v>0.72435995293808197</v>
      </c>
      <c r="E538">
        <v>0.699055561665477</v>
      </c>
      <c r="F538">
        <v>0.64004331855843699</v>
      </c>
      <c r="G538">
        <v>0.46752761791083702</v>
      </c>
      <c r="H538">
        <v>0.43436859004559802</v>
      </c>
      <c r="I538">
        <v>0.301528719966624</v>
      </c>
      <c r="J538">
        <v>0.168613068795682</v>
      </c>
      <c r="K538">
        <v>0.19795617072183899</v>
      </c>
      <c r="L538">
        <v>326.36314468151397</v>
      </c>
      <c r="M538">
        <v>6.1948063184969602</v>
      </c>
      <c r="N538">
        <v>52.683349215225398</v>
      </c>
      <c r="O538">
        <v>47.988511504493097</v>
      </c>
      <c r="P538">
        <v>-3.2365561224285903E-2</v>
      </c>
      <c r="Q538">
        <v>0</v>
      </c>
      <c r="R538">
        <v>0.96115781834860703</v>
      </c>
      <c r="S538" t="s">
        <v>6089</v>
      </c>
      <c r="T538" t="s">
        <v>11100</v>
      </c>
      <c r="U538" t="s">
        <v>11100</v>
      </c>
      <c r="V538" t="s">
        <v>11100</v>
      </c>
      <c r="W538" t="s">
        <v>11632</v>
      </c>
      <c r="X538">
        <v>2</v>
      </c>
      <c r="Y538" t="s">
        <v>17128</v>
      </c>
      <c r="Z538" t="s">
        <v>22543</v>
      </c>
      <c r="AA538">
        <v>0.54427083410558219</v>
      </c>
      <c r="AB538" t="str">
        <f>HYPERLINK("Melting_Curves/meltCurve_E9PLL6_RPL27A.pdf", "Melting_Curves/meltCurve_E9PLL6_RPL27A.pdf")</f>
        <v>Melting_Curves/meltCurve_E9PLL6_RPL27A.pdf</v>
      </c>
    </row>
    <row r="539" spans="1:28" x14ac:dyDescent="0.25">
      <c r="A539" t="s">
        <v>543</v>
      </c>
      <c r="B539">
        <v>0.99299721793515405</v>
      </c>
      <c r="C539">
        <v>0.904050815225803</v>
      </c>
      <c r="D539">
        <v>1.0123181926790199</v>
      </c>
      <c r="E539">
        <v>0.804948195802768</v>
      </c>
      <c r="F539">
        <v>0.73208572024501395</v>
      </c>
      <c r="G539">
        <v>0.73283129615160503</v>
      </c>
      <c r="H539">
        <v>0.48428137358963302</v>
      </c>
      <c r="I539">
        <v>0.34488464236774802</v>
      </c>
      <c r="J539">
        <v>0.337216025395431</v>
      </c>
      <c r="K539">
        <v>0.34301958066247401</v>
      </c>
      <c r="L539">
        <v>491.30228524128802</v>
      </c>
      <c r="M539">
        <v>8.8780098895541606</v>
      </c>
      <c r="N539">
        <v>57.689436132994501</v>
      </c>
      <c r="O539">
        <v>52.747392343233997</v>
      </c>
      <c r="P539">
        <v>-3.5720003422372602E-2</v>
      </c>
      <c r="Q539">
        <v>0.15174808821587299</v>
      </c>
      <c r="R539">
        <v>0.95161732542678001</v>
      </c>
      <c r="S539" t="s">
        <v>6090</v>
      </c>
      <c r="T539" t="s">
        <v>11100</v>
      </c>
      <c r="U539" t="s">
        <v>11100</v>
      </c>
      <c r="V539" t="s">
        <v>11100</v>
      </c>
      <c r="W539" t="s">
        <v>11633</v>
      </c>
      <c r="X539">
        <v>2</v>
      </c>
      <c r="Y539" t="s">
        <v>17129</v>
      </c>
      <c r="Z539" t="s">
        <v>22544</v>
      </c>
      <c r="AA539">
        <v>0.67646763054296044</v>
      </c>
      <c r="AB539" t="str">
        <f>HYPERLINK("Melting_Curves/meltCurve_E9PLV6_GPAA1.pdf", "Melting_Curves/meltCurve_E9PLV6_GPAA1.pdf")</f>
        <v>Melting_Curves/meltCurve_E9PLV6_GPAA1.pdf</v>
      </c>
    </row>
    <row r="540" spans="1:28" x14ac:dyDescent="0.25">
      <c r="A540" t="s">
        <v>544</v>
      </c>
      <c r="B540">
        <v>0.99299721793515405</v>
      </c>
      <c r="C540">
        <v>1.04105420941992</v>
      </c>
      <c r="D540">
        <v>0.86808333151096495</v>
      </c>
      <c r="E540">
        <v>0.86779404628555001</v>
      </c>
      <c r="F540">
        <v>0.62804848836124105</v>
      </c>
      <c r="G540">
        <v>0.30807110767314</v>
      </c>
      <c r="H540">
        <v>0.27991590027520902</v>
      </c>
      <c r="I540">
        <v>0.274359485777596</v>
      </c>
      <c r="J540">
        <v>0.24670204312576599</v>
      </c>
      <c r="K540">
        <v>0.18509369989893301</v>
      </c>
      <c r="L540">
        <v>1015.41304080425</v>
      </c>
      <c r="M540">
        <v>20.311089422676101</v>
      </c>
      <c r="N540">
        <v>51.434910451429197</v>
      </c>
      <c r="O540">
        <v>49.515993622777103</v>
      </c>
      <c r="P540">
        <v>-8.0291276065893896E-2</v>
      </c>
      <c r="Q540">
        <v>0.217062073050414</v>
      </c>
      <c r="R540">
        <v>0.98024535193292195</v>
      </c>
      <c r="S540" t="s">
        <v>6091</v>
      </c>
      <c r="T540" t="s">
        <v>11100</v>
      </c>
      <c r="U540" t="s">
        <v>11100</v>
      </c>
      <c r="V540" t="s">
        <v>11100</v>
      </c>
      <c r="W540" t="s">
        <v>11311</v>
      </c>
      <c r="X540">
        <v>14</v>
      </c>
      <c r="Y540" t="s">
        <v>17130</v>
      </c>
      <c r="Z540" t="s">
        <v>22545</v>
      </c>
      <c r="AA540">
        <v>0.56618826229990271</v>
      </c>
      <c r="AB540" t="str">
        <f>HYPERLINK("Melting_Curves/meltCurve_E9PM46_USP47.pdf", "Melting_Curves/meltCurve_E9PM46_USP47.pdf")</f>
        <v>Melting_Curves/meltCurve_E9PM46_USP47.pdf</v>
      </c>
    </row>
    <row r="541" spans="1:28" x14ac:dyDescent="0.25">
      <c r="A541" t="s">
        <v>545</v>
      </c>
      <c r="B541">
        <v>0.99299721793515405</v>
      </c>
      <c r="C541">
        <v>1.0377063807848499</v>
      </c>
      <c r="D541">
        <v>0.94090464801037299</v>
      </c>
      <c r="E541">
        <v>0.92354852443212598</v>
      </c>
      <c r="F541">
        <v>0.74137155978888403</v>
      </c>
      <c r="G541">
        <v>0.44803375839332299</v>
      </c>
      <c r="H541">
        <v>0.40555615211373602</v>
      </c>
      <c r="I541">
        <v>0.38572094797904299</v>
      </c>
      <c r="J541">
        <v>0.356595738056322</v>
      </c>
      <c r="K541">
        <v>0.27695041134578802</v>
      </c>
      <c r="L541">
        <v>1135.6806182364701</v>
      </c>
      <c r="M541">
        <v>22.297515135575502</v>
      </c>
      <c r="N541">
        <v>53.536693053995997</v>
      </c>
      <c r="O541">
        <v>50.528698214429198</v>
      </c>
      <c r="P541">
        <v>-7.3812365902646698E-2</v>
      </c>
      <c r="Q541">
        <v>0.330945469120632</v>
      </c>
      <c r="R541">
        <v>0.98602417963331201</v>
      </c>
      <c r="S541" t="s">
        <v>6092</v>
      </c>
      <c r="T541" t="s">
        <v>11100</v>
      </c>
      <c r="U541" t="s">
        <v>11100</v>
      </c>
      <c r="V541" t="s">
        <v>11100</v>
      </c>
      <c r="W541" t="s">
        <v>11634</v>
      </c>
      <c r="X541">
        <v>6</v>
      </c>
      <c r="Y541" t="s">
        <v>17131</v>
      </c>
      <c r="Z541" t="s">
        <v>22546</v>
      </c>
      <c r="AA541">
        <v>0.648943783291686</v>
      </c>
      <c r="AB541" t="str">
        <f>HYPERLINK("Melting_Curves/meltCurve_E9PMI6_CLNS1A.pdf", "Melting_Curves/meltCurve_E9PMI6_CLNS1A.pdf")</f>
        <v>Melting_Curves/meltCurve_E9PMI6_CLNS1A.pdf</v>
      </c>
    </row>
    <row r="542" spans="1:28" x14ac:dyDescent="0.25">
      <c r="A542" t="s">
        <v>546</v>
      </c>
      <c r="B542">
        <v>0.99299721793515405</v>
      </c>
      <c r="C542">
        <v>0.88941509044617695</v>
      </c>
      <c r="D542">
        <v>1.35947338610596</v>
      </c>
      <c r="E542">
        <v>0.81653822595889503</v>
      </c>
      <c r="F542">
        <v>0.77829185080143903</v>
      </c>
      <c r="G542">
        <v>0.25210492812915303</v>
      </c>
      <c r="H542">
        <v>0.133937672428009</v>
      </c>
      <c r="I542">
        <v>8.6407311711398205E-2</v>
      </c>
      <c r="J542">
        <v>7.0748067487568497E-2</v>
      </c>
      <c r="K542">
        <v>8.6317424919880301E-2</v>
      </c>
      <c r="L542">
        <v>1628.60903446716</v>
      </c>
      <c r="M542">
        <v>31.5293566923588</v>
      </c>
      <c r="N542">
        <v>51.934407415200504</v>
      </c>
      <c r="O542">
        <v>51.447276626789403</v>
      </c>
      <c r="P542">
        <v>-0.141210914914143</v>
      </c>
      <c r="Q542">
        <v>7.8334735144449594E-2</v>
      </c>
      <c r="R542">
        <v>0.91567029309071002</v>
      </c>
      <c r="S542" t="s">
        <v>6093</v>
      </c>
      <c r="T542" t="s">
        <v>11100</v>
      </c>
      <c r="U542" t="s">
        <v>11100</v>
      </c>
      <c r="V542" t="s">
        <v>11100</v>
      </c>
      <c r="W542" t="s">
        <v>11635</v>
      </c>
      <c r="X542">
        <v>7</v>
      </c>
      <c r="Y542" t="s">
        <v>17132</v>
      </c>
      <c r="Z542" t="s">
        <v>22547</v>
      </c>
      <c r="AA542">
        <v>0.53378891647490745</v>
      </c>
      <c r="AB542" t="str">
        <f>HYPERLINK("Melting_Curves/meltCurve_E9PMJ2_FAM118B.pdf", "Melting_Curves/meltCurve_E9PMJ2_FAM118B.pdf")</f>
        <v>Melting_Curves/meltCurve_E9PMJ2_FAM118B.pdf</v>
      </c>
    </row>
    <row r="543" spans="1:28" x14ac:dyDescent="0.25">
      <c r="A543" t="s">
        <v>547</v>
      </c>
      <c r="B543">
        <v>0.99299721793515405</v>
      </c>
      <c r="C543">
        <v>1.1220259130461701</v>
      </c>
      <c r="D543">
        <v>0.88221149832692303</v>
      </c>
      <c r="E543">
        <v>0.85382247544446099</v>
      </c>
      <c r="F543">
        <v>0.50002599576885798</v>
      </c>
      <c r="G543">
        <v>0.15544582963749101</v>
      </c>
      <c r="H543">
        <v>0.15074885127120899</v>
      </c>
      <c r="I543">
        <v>0.104560450234959</v>
      </c>
      <c r="J543">
        <v>0.12104143210090899</v>
      </c>
      <c r="K543">
        <v>8.0411371195591899E-2</v>
      </c>
      <c r="L543">
        <v>1262.1417500505299</v>
      </c>
      <c r="M543">
        <v>25.4606268919439</v>
      </c>
      <c r="N543">
        <v>49.993592997419</v>
      </c>
      <c r="O543">
        <v>49.269518921921197</v>
      </c>
      <c r="P543">
        <v>-0.116718743902003</v>
      </c>
      <c r="Q543">
        <v>9.6549436494346302E-2</v>
      </c>
      <c r="R543">
        <v>0.98160824736569696</v>
      </c>
      <c r="S543" t="s">
        <v>6094</v>
      </c>
      <c r="T543" t="s">
        <v>11100</v>
      </c>
      <c r="U543" t="s">
        <v>11100</v>
      </c>
      <c r="V543" t="s">
        <v>11100</v>
      </c>
      <c r="W543" t="s">
        <v>11636</v>
      </c>
      <c r="X543">
        <v>2</v>
      </c>
      <c r="Y543" t="s">
        <v>17133</v>
      </c>
      <c r="Z543" t="s">
        <v>22548</v>
      </c>
      <c r="AA543">
        <v>0.482755666308537</v>
      </c>
      <c r="AB543" t="str">
        <f>HYPERLINK("Melting_Curves/meltCurve_E9PMQ6_HSF1.pdf", "Melting_Curves/meltCurve_E9PMQ6_HSF1.pdf")</f>
        <v>Melting_Curves/meltCurve_E9PMQ6_HSF1.pdf</v>
      </c>
    </row>
    <row r="544" spans="1:28" x14ac:dyDescent="0.25">
      <c r="A544" t="s">
        <v>548</v>
      </c>
      <c r="B544">
        <v>0.99299721793515405</v>
      </c>
      <c r="C544">
        <v>1.0221440240792099</v>
      </c>
      <c r="D544">
        <v>1.9213424626911999</v>
      </c>
      <c r="E544">
        <v>0.87995378569877003</v>
      </c>
      <c r="F544">
        <v>0.75743886738089805</v>
      </c>
      <c r="G544">
        <v>0.58706712535514305</v>
      </c>
      <c r="H544">
        <v>0.50165820844019204</v>
      </c>
      <c r="I544">
        <v>0.37562873360530602</v>
      </c>
      <c r="J544">
        <v>0.33201061429586598</v>
      </c>
      <c r="K544">
        <v>0.23643909881606801</v>
      </c>
      <c r="L544">
        <v>1040.7483713945701</v>
      </c>
      <c r="M544">
        <v>19.6134070537105</v>
      </c>
      <c r="N544">
        <v>55.643120526724502</v>
      </c>
      <c r="O544">
        <v>52.520731948453701</v>
      </c>
      <c r="P544">
        <v>-6.5483309962383995E-2</v>
      </c>
      <c r="Q544">
        <v>0.29862052575609399</v>
      </c>
      <c r="R544">
        <v>0.59543611857970202</v>
      </c>
      <c r="S544" t="s">
        <v>6095</v>
      </c>
      <c r="T544" t="s">
        <v>11100</v>
      </c>
      <c r="U544" t="s">
        <v>11100</v>
      </c>
      <c r="V544" t="s">
        <v>11100</v>
      </c>
      <c r="W544" t="s">
        <v>11637</v>
      </c>
      <c r="X544">
        <v>2</v>
      </c>
      <c r="Y544" t="s">
        <v>17134</v>
      </c>
      <c r="Z544" t="s">
        <v>22549</v>
      </c>
      <c r="AA544">
        <v>0.68322954347814036</v>
      </c>
      <c r="AB544" t="str">
        <f>HYPERLINK("Melting_Curves/meltCurve_E9PMR5_MBP.pdf", "Melting_Curves/meltCurve_E9PMR5_MBP.pdf")</f>
        <v>Melting_Curves/meltCurve_E9PMR5_MBP.pdf</v>
      </c>
    </row>
    <row r="545" spans="1:28" x14ac:dyDescent="0.25">
      <c r="A545" t="s">
        <v>549</v>
      </c>
      <c r="B545">
        <v>0.99299721793515405</v>
      </c>
      <c r="C545">
        <v>0.80479340352977202</v>
      </c>
      <c r="D545">
        <v>0.92337677861655598</v>
      </c>
      <c r="E545">
        <v>0.86351010945948703</v>
      </c>
      <c r="F545">
        <v>0.80487278983070099</v>
      </c>
      <c r="G545">
        <v>0.610911994363182</v>
      </c>
      <c r="H545">
        <v>0.51968713855448601</v>
      </c>
      <c r="I545">
        <v>0.55430426208222505</v>
      </c>
      <c r="J545">
        <v>0.47990625662359498</v>
      </c>
      <c r="K545">
        <v>0.43446662098672001</v>
      </c>
      <c r="L545">
        <v>327.45803391081</v>
      </c>
      <c r="M545">
        <v>5.7974637625362</v>
      </c>
      <c r="N545">
        <v>62.145828026773103</v>
      </c>
      <c r="O545">
        <v>50.8490068966194</v>
      </c>
      <c r="P545">
        <v>-2.2737636078646199E-2</v>
      </c>
      <c r="Q545">
        <v>0.205189435328647</v>
      </c>
      <c r="R545">
        <v>0.91038377128942405</v>
      </c>
      <c r="S545" t="s">
        <v>6096</v>
      </c>
      <c r="T545" t="s">
        <v>11100</v>
      </c>
      <c r="U545" t="s">
        <v>11100</v>
      </c>
      <c r="V545" t="s">
        <v>11100</v>
      </c>
      <c r="W545" t="s">
        <v>11638</v>
      </c>
      <c r="X545">
        <v>3</v>
      </c>
      <c r="Y545" t="s">
        <v>17135</v>
      </c>
      <c r="Z545" t="s">
        <v>22550</v>
      </c>
      <c r="AA545">
        <v>0.70191675421397082</v>
      </c>
      <c r="AB545" t="str">
        <f>HYPERLINK("Melting_Curves/meltCurve_E9PND3_EBAG9.pdf", "Melting_Curves/meltCurve_E9PND3_EBAG9.pdf")</f>
        <v>Melting_Curves/meltCurve_E9PND3_EBAG9.pdf</v>
      </c>
    </row>
    <row r="546" spans="1:28" x14ac:dyDescent="0.25">
      <c r="A546" t="s">
        <v>550</v>
      </c>
      <c r="B546">
        <v>0.99299721793515405</v>
      </c>
      <c r="C546">
        <v>1.0027305123102499</v>
      </c>
      <c r="D546">
        <v>0.95389464574131799</v>
      </c>
      <c r="E546">
        <v>0.88813277396156398</v>
      </c>
      <c r="F546">
        <v>0.73694226178105104</v>
      </c>
      <c r="G546">
        <v>0.52469207768697201</v>
      </c>
      <c r="H546">
        <v>0.52393069583722396</v>
      </c>
      <c r="I546">
        <v>0.62259862462374604</v>
      </c>
      <c r="J546">
        <v>0.73327819287306995</v>
      </c>
      <c r="K546">
        <v>0.57156908389633099</v>
      </c>
      <c r="L546">
        <v>1451.2076595589001</v>
      </c>
      <c r="M546">
        <v>30.026531628575398</v>
      </c>
      <c r="O546">
        <v>48.1179931923715</v>
      </c>
      <c r="P546">
        <v>-6.2881051316191802E-2</v>
      </c>
      <c r="Q546">
        <v>0.59693108765408898</v>
      </c>
      <c r="R546">
        <v>0.88905425709539798</v>
      </c>
      <c r="S546" t="s">
        <v>6097</v>
      </c>
      <c r="T546" t="s">
        <v>11100</v>
      </c>
      <c r="U546" t="s">
        <v>11100</v>
      </c>
      <c r="V546" t="s">
        <v>11100</v>
      </c>
      <c r="W546" t="s">
        <v>11639</v>
      </c>
      <c r="X546">
        <v>8</v>
      </c>
      <c r="Y546" t="s">
        <v>17136</v>
      </c>
      <c r="Z546" t="s">
        <v>22551</v>
      </c>
      <c r="AA546">
        <v>0.75156578412923047</v>
      </c>
      <c r="AB546" t="str">
        <f>HYPERLINK("Melting_Curves/meltCurve_E9PNK6_TPD52L1.pdf", "Melting_Curves/meltCurve_E9PNK6_TPD52L1.pdf")</f>
        <v>Melting_Curves/meltCurve_E9PNK6_TPD52L1.pdf</v>
      </c>
    </row>
    <row r="547" spans="1:28" x14ac:dyDescent="0.25">
      <c r="A547" t="s">
        <v>551</v>
      </c>
      <c r="B547">
        <v>0.99299721793515405</v>
      </c>
      <c r="C547">
        <v>0.89260518196366101</v>
      </c>
      <c r="D547">
        <v>0.826476308727081</v>
      </c>
      <c r="E547">
        <v>0.977961542410415</v>
      </c>
      <c r="F547">
        <v>0.67302274485116298</v>
      </c>
      <c r="G547">
        <v>0.45897608224851499</v>
      </c>
      <c r="H547">
        <v>0.48000927929244502</v>
      </c>
      <c r="I547">
        <v>0.48504749992638202</v>
      </c>
      <c r="J547">
        <v>0.30623719191592702</v>
      </c>
      <c r="K547">
        <v>0.165684462912398</v>
      </c>
      <c r="L547">
        <v>398.54203797090997</v>
      </c>
      <c r="M547">
        <v>7.0839090742454296</v>
      </c>
      <c r="N547">
        <v>56.260185716384001</v>
      </c>
      <c r="O547">
        <v>52.293033995989603</v>
      </c>
      <c r="P547">
        <v>-3.3926518794570301E-2</v>
      </c>
      <c r="Q547">
        <v>0</v>
      </c>
      <c r="R547">
        <v>0.90468995823509801</v>
      </c>
      <c r="S547" t="s">
        <v>6098</v>
      </c>
      <c r="T547" t="s">
        <v>11100</v>
      </c>
      <c r="U547" t="s">
        <v>11100</v>
      </c>
      <c r="V547" t="s">
        <v>11100</v>
      </c>
      <c r="W547" t="s">
        <v>11640</v>
      </c>
      <c r="X547">
        <v>3</v>
      </c>
      <c r="Y547" t="s">
        <v>17137</v>
      </c>
      <c r="Z547" t="s">
        <v>22552</v>
      </c>
      <c r="AA547">
        <v>0.63198166001096767</v>
      </c>
      <c r="AB547" t="str">
        <f>HYPERLINK("Melting_Curves/meltCurve_E9PNN3_PTS.pdf", "Melting_Curves/meltCurve_E9PNN3_PTS.pdf")</f>
        <v>Melting_Curves/meltCurve_E9PNN3_PTS.pdf</v>
      </c>
    </row>
    <row r="548" spans="1:28" x14ac:dyDescent="0.25">
      <c r="A548" t="s">
        <v>552</v>
      </c>
      <c r="B548">
        <v>0.99299721793515405</v>
      </c>
      <c r="C548">
        <v>0.91612008913108101</v>
      </c>
      <c r="D548">
        <v>0.924876226500152</v>
      </c>
      <c r="E548">
        <v>0.76215629902481397</v>
      </c>
      <c r="F548">
        <v>0.70558724446397603</v>
      </c>
      <c r="G548">
        <v>0.43942562387803102</v>
      </c>
      <c r="H548">
        <v>0.44748446576157702</v>
      </c>
      <c r="I548">
        <v>0.52109430972595905</v>
      </c>
      <c r="J548">
        <v>0.58196192587685402</v>
      </c>
      <c r="K548">
        <v>0.493683979416705</v>
      </c>
      <c r="L548">
        <v>823.672629034941</v>
      </c>
      <c r="M548">
        <v>17.4643556709342</v>
      </c>
      <c r="N548">
        <v>61.696676366817698</v>
      </c>
      <c r="O548">
        <v>46.557722545578699</v>
      </c>
      <c r="P548">
        <v>-4.7657894888837198E-2</v>
      </c>
      <c r="Q548">
        <v>0.49182888922979701</v>
      </c>
      <c r="R548">
        <v>0.915375027411098</v>
      </c>
      <c r="S548" t="s">
        <v>6099</v>
      </c>
      <c r="T548" t="s">
        <v>11100</v>
      </c>
      <c r="U548" t="s">
        <v>11100</v>
      </c>
      <c r="V548" t="s">
        <v>11100</v>
      </c>
      <c r="W548" t="s">
        <v>11641</v>
      </c>
      <c r="X548">
        <v>8</v>
      </c>
      <c r="Y548" t="s">
        <v>17138</v>
      </c>
      <c r="Z548" t="s">
        <v>22553</v>
      </c>
      <c r="AA548">
        <v>0.67261152598747065</v>
      </c>
      <c r="AB548" t="str">
        <f>HYPERLINK("Melting_Curves/meltCurve_E9PNP3_AAMDC.pdf", "Melting_Curves/meltCurve_E9PNP3_AAMDC.pdf")</f>
        <v>Melting_Curves/meltCurve_E9PNP3_AAMDC.pdf</v>
      </c>
    </row>
    <row r="549" spans="1:28" x14ac:dyDescent="0.25">
      <c r="A549" t="s">
        <v>553</v>
      </c>
      <c r="B549">
        <v>0.99299721793515405</v>
      </c>
      <c r="C549">
        <v>1.15378783954532</v>
      </c>
      <c r="D549">
        <v>1.0836648000183899</v>
      </c>
      <c r="E549">
        <v>1.07598558361429</v>
      </c>
      <c r="F549">
        <v>0.85276196597184994</v>
      </c>
      <c r="G549">
        <v>0.47858565408734899</v>
      </c>
      <c r="H549">
        <v>0.366019470453883</v>
      </c>
      <c r="I549">
        <v>0.28783173630159398</v>
      </c>
      <c r="J549">
        <v>0.30594683595347</v>
      </c>
      <c r="K549">
        <v>0.21826257594213899</v>
      </c>
      <c r="L549">
        <v>1726.1618083496601</v>
      </c>
      <c r="M549">
        <v>32.959577798269997</v>
      </c>
      <c r="N549">
        <v>53.7084426477454</v>
      </c>
      <c r="O549">
        <v>52.180444929268802</v>
      </c>
      <c r="P549">
        <v>-0.11372789551033501</v>
      </c>
      <c r="Q549">
        <v>0.279803540914143</v>
      </c>
      <c r="R549">
        <v>0.96545188849208297</v>
      </c>
      <c r="S549" t="s">
        <v>6100</v>
      </c>
      <c r="T549" t="s">
        <v>11100</v>
      </c>
      <c r="U549" t="s">
        <v>11100</v>
      </c>
      <c r="V549" t="s">
        <v>11100</v>
      </c>
      <c r="W549" t="s">
        <v>11642</v>
      </c>
      <c r="X549">
        <v>3</v>
      </c>
      <c r="Y549" t="s">
        <v>17139</v>
      </c>
      <c r="Z549" t="s">
        <v>22554</v>
      </c>
      <c r="AA549">
        <v>0.65264079172241918</v>
      </c>
      <c r="AB549" t="str">
        <f>HYPERLINK("Melting_Curves/meltCurve_E9PNT2_ARHGAP27.pdf", "Melting_Curves/meltCurve_E9PNT2_ARHGAP27.pdf")</f>
        <v>Melting_Curves/meltCurve_E9PNT2_ARHGAP27.pdf</v>
      </c>
    </row>
    <row r="550" spans="1:28" x14ac:dyDescent="0.25">
      <c r="A550" t="s">
        <v>554</v>
      </c>
      <c r="B550">
        <v>0.99299721793515405</v>
      </c>
      <c r="C550">
        <v>0.88592788653337695</v>
      </c>
      <c r="D550">
        <v>0.85166560452265905</v>
      </c>
      <c r="E550">
        <v>0.72055552196012795</v>
      </c>
      <c r="F550">
        <v>0.57850241230153399</v>
      </c>
      <c r="G550">
        <v>0.49442309387378702</v>
      </c>
      <c r="H550">
        <v>0.57319269142259599</v>
      </c>
      <c r="I550">
        <v>0.73257216188650898</v>
      </c>
      <c r="J550">
        <v>0.90173948140438198</v>
      </c>
      <c r="K550">
        <v>0.76143430582924598</v>
      </c>
      <c r="L550">
        <v>973.406804043477</v>
      </c>
      <c r="M550">
        <v>23.031553564595399</v>
      </c>
      <c r="O550">
        <v>41.949302864271303</v>
      </c>
      <c r="P550">
        <v>-4.4376910440085703E-2</v>
      </c>
      <c r="Q550">
        <v>0.67669646819672602</v>
      </c>
      <c r="R550">
        <v>0.48956110360333299</v>
      </c>
      <c r="S550" t="s">
        <v>6101</v>
      </c>
      <c r="T550" t="s">
        <v>11100</v>
      </c>
      <c r="U550" t="s">
        <v>11100</v>
      </c>
      <c r="V550" t="s">
        <v>11100</v>
      </c>
      <c r="W550" t="s">
        <v>11643</v>
      </c>
      <c r="X550">
        <v>6</v>
      </c>
      <c r="Y550" t="s">
        <v>17140</v>
      </c>
      <c r="Z550" t="s">
        <v>22555</v>
      </c>
      <c r="AA550">
        <v>0.73684031289540941</v>
      </c>
      <c r="AB550" t="str">
        <f>HYPERLINK("Melting_Curves/meltCurve_E9PNW4_CD59.pdf", "Melting_Curves/meltCurve_E9PNW4_CD59.pdf")</f>
        <v>Melting_Curves/meltCurve_E9PNW4_CD59.pdf</v>
      </c>
    </row>
    <row r="551" spans="1:28" x14ac:dyDescent="0.25">
      <c r="A551" t="s">
        <v>555</v>
      </c>
      <c r="B551">
        <v>0.99299721793515405</v>
      </c>
      <c r="C551">
        <v>0.67326354005897704</v>
      </c>
      <c r="D551">
        <v>0.460080796895801</v>
      </c>
      <c r="E551">
        <v>0.84811013204266195</v>
      </c>
      <c r="F551">
        <v>1.0832794250461799</v>
      </c>
      <c r="G551">
        <v>0.34681214695490697</v>
      </c>
      <c r="H551">
        <v>0.77411200943496095</v>
      </c>
      <c r="I551">
        <v>0.31349787737384599</v>
      </c>
      <c r="J551">
        <v>0.34728194473623403</v>
      </c>
      <c r="K551">
        <v>0.37545843468603601</v>
      </c>
      <c r="L551">
        <v>202.709159854641</v>
      </c>
      <c r="M551">
        <v>3.4350717518913898</v>
      </c>
      <c r="N551">
        <v>59.011634782255697</v>
      </c>
      <c r="O551">
        <v>45.938450318972301</v>
      </c>
      <c r="P551">
        <v>-1.90806128666305E-2</v>
      </c>
      <c r="Q551">
        <v>0</v>
      </c>
      <c r="R551">
        <v>0.339422457313381</v>
      </c>
      <c r="S551" t="s">
        <v>6102</v>
      </c>
      <c r="T551" t="s">
        <v>11100</v>
      </c>
      <c r="U551" t="s">
        <v>11100</v>
      </c>
      <c r="V551" t="s">
        <v>11100</v>
      </c>
      <c r="W551" t="s">
        <v>11644</v>
      </c>
      <c r="X551">
        <v>3</v>
      </c>
      <c r="Y551" t="s">
        <v>17141</v>
      </c>
      <c r="Z551" t="s">
        <v>22556</v>
      </c>
      <c r="AA551">
        <v>0.62505277213883914</v>
      </c>
      <c r="AB551" t="str">
        <f>HYPERLINK("Melting_Curves/meltCurve_E9PPM8_DERA.pdf", "Melting_Curves/meltCurve_E9PPM8_DERA.pdf")</f>
        <v>Melting_Curves/meltCurve_E9PPM8_DERA.pdf</v>
      </c>
    </row>
    <row r="552" spans="1:28" x14ac:dyDescent="0.25">
      <c r="A552" t="s">
        <v>556</v>
      </c>
      <c r="B552">
        <v>0.99299721793515405</v>
      </c>
      <c r="C552">
        <v>0.92576296996485796</v>
      </c>
      <c r="D552">
        <v>0.813890542360724</v>
      </c>
      <c r="E552">
        <v>0.75866193146427396</v>
      </c>
      <c r="F552">
        <v>0.287492695840048</v>
      </c>
      <c r="G552">
        <v>0.26561776370006002</v>
      </c>
      <c r="H552">
        <v>0.14361231840744601</v>
      </c>
      <c r="I552">
        <v>0.10851604276614001</v>
      </c>
      <c r="J552">
        <v>0.12842202911998199</v>
      </c>
      <c r="K552">
        <v>8.4124474599544904E-2</v>
      </c>
      <c r="L552">
        <v>780.54245628310798</v>
      </c>
      <c r="M552">
        <v>16.274388166996399</v>
      </c>
      <c r="N552">
        <v>48.547848505607902</v>
      </c>
      <c r="O552">
        <v>47.254790340384801</v>
      </c>
      <c r="P552">
        <v>-7.8421712499233701E-2</v>
      </c>
      <c r="Q552">
        <v>8.9236680037807298E-2</v>
      </c>
      <c r="R552">
        <v>0.97604958426982003</v>
      </c>
      <c r="S552" t="s">
        <v>6103</v>
      </c>
      <c r="T552" t="s">
        <v>11100</v>
      </c>
      <c r="U552" t="s">
        <v>11100</v>
      </c>
      <c r="V552" t="s">
        <v>11100</v>
      </c>
      <c r="W552" t="s">
        <v>11645</v>
      </c>
      <c r="X552">
        <v>11</v>
      </c>
      <c r="Y552" t="s">
        <v>17142</v>
      </c>
      <c r="Z552" t="s">
        <v>22557</v>
      </c>
      <c r="AA552">
        <v>0.43945738394412148</v>
      </c>
      <c r="AB552" t="str">
        <f>HYPERLINK("Melting_Curves/meltCurve_E9PPU0_EPPK1.pdf", "Melting_Curves/meltCurve_E9PPU0_EPPK1.pdf")</f>
        <v>Melting_Curves/meltCurve_E9PPU0_EPPK1.pdf</v>
      </c>
    </row>
    <row r="553" spans="1:28" x14ac:dyDescent="0.25">
      <c r="A553" t="s">
        <v>557</v>
      </c>
      <c r="B553">
        <v>0.99299721793515405</v>
      </c>
      <c r="C553">
        <v>0.991134677017671</v>
      </c>
      <c r="D553">
        <v>1.02519602420883</v>
      </c>
      <c r="E553">
        <v>0.83786080060753598</v>
      </c>
      <c r="F553">
        <v>0.50952715804146098</v>
      </c>
      <c r="G553">
        <v>0.28013511303389099</v>
      </c>
      <c r="H553">
        <v>0.18551253406996501</v>
      </c>
      <c r="I553">
        <v>0.15036007021959599</v>
      </c>
      <c r="J553">
        <v>0.169405747218005</v>
      </c>
      <c r="K553">
        <v>0.16611369538422599</v>
      </c>
      <c r="L553">
        <v>1195.5129083444499</v>
      </c>
      <c r="M553">
        <v>24.137777852325499</v>
      </c>
      <c r="N553">
        <v>50.328281304104799</v>
      </c>
      <c r="O553">
        <v>49.192494675330302</v>
      </c>
      <c r="P553">
        <v>-0.10313543638417801</v>
      </c>
      <c r="Q553">
        <v>0.159257683575838</v>
      </c>
      <c r="R553">
        <v>0.99784748220462305</v>
      </c>
      <c r="S553" t="s">
        <v>6104</v>
      </c>
      <c r="T553" t="s">
        <v>11100</v>
      </c>
      <c r="U553" t="s">
        <v>11100</v>
      </c>
      <c r="V553" t="s">
        <v>11100</v>
      </c>
      <c r="W553" t="s">
        <v>11646</v>
      </c>
      <c r="X553">
        <v>3</v>
      </c>
      <c r="Y553" t="s">
        <v>17143</v>
      </c>
      <c r="Z553" t="s">
        <v>22558</v>
      </c>
      <c r="AA553">
        <v>0.51819381545129783</v>
      </c>
      <c r="AB553" t="str">
        <f>HYPERLINK("Melting_Curves/meltCurve_E9PQ61_ZC3H11A.pdf", "Melting_Curves/meltCurve_E9PQ61_ZC3H11A.pdf")</f>
        <v>Melting_Curves/meltCurve_E9PQ61_ZC3H11A.pdf</v>
      </c>
    </row>
    <row r="554" spans="1:28" x14ac:dyDescent="0.25">
      <c r="A554" t="s">
        <v>558</v>
      </c>
      <c r="B554">
        <v>0.99299721793515405</v>
      </c>
      <c r="C554">
        <v>0.89249838644906299</v>
      </c>
      <c r="D554">
        <v>0.93729864065767798</v>
      </c>
      <c r="E554">
        <v>0.81687440941181</v>
      </c>
      <c r="F554">
        <v>0.78968777297752901</v>
      </c>
      <c r="G554">
        <v>0.78658288641697605</v>
      </c>
      <c r="H554">
        <v>0.753683700639873</v>
      </c>
      <c r="I554">
        <v>0.54784327766681296</v>
      </c>
      <c r="J554">
        <v>0.54354965029295399</v>
      </c>
      <c r="K554">
        <v>0.20811249936909801</v>
      </c>
      <c r="L554">
        <v>430.96335048477999</v>
      </c>
      <c r="M554">
        <v>6.9173239419505501</v>
      </c>
      <c r="N554">
        <v>62.302033592320299</v>
      </c>
      <c r="O554">
        <v>57.719991273363703</v>
      </c>
      <c r="P554">
        <v>-3.0018709680911099E-2</v>
      </c>
      <c r="Q554">
        <v>0</v>
      </c>
      <c r="R554">
        <v>0.85486373153752904</v>
      </c>
      <c r="S554" t="s">
        <v>6105</v>
      </c>
      <c r="T554" t="s">
        <v>11100</v>
      </c>
      <c r="U554" t="s">
        <v>11100</v>
      </c>
      <c r="V554" t="s">
        <v>11100</v>
      </c>
      <c r="W554" t="s">
        <v>11647</v>
      </c>
      <c r="X554">
        <v>1</v>
      </c>
      <c r="Y554" t="s">
        <v>17144</v>
      </c>
      <c r="Z554" t="s">
        <v>22559</v>
      </c>
      <c r="AA554">
        <v>0.75443577975235832</v>
      </c>
      <c r="AB554" t="str">
        <f>HYPERLINK("Melting_Curves/meltCurve_E9PQQ5_GNPTG.pdf", "Melting_Curves/meltCurve_E9PQQ5_GNPTG.pdf")</f>
        <v>Melting_Curves/meltCurve_E9PQQ5_GNPTG.pdf</v>
      </c>
    </row>
    <row r="555" spans="1:28" x14ac:dyDescent="0.25">
      <c r="A555" t="s">
        <v>559</v>
      </c>
      <c r="B555">
        <v>0.99299721793515405</v>
      </c>
      <c r="C555">
        <v>0.94414081455098797</v>
      </c>
      <c r="D555">
        <v>0.858787947497757</v>
      </c>
      <c r="E555">
        <v>0.88841944753958901</v>
      </c>
      <c r="F555">
        <v>0.73692277285885799</v>
      </c>
      <c r="G555">
        <v>0.38741507962874799</v>
      </c>
      <c r="H555">
        <v>0.21108848576414099</v>
      </c>
      <c r="I555">
        <v>0.165474835815931</v>
      </c>
      <c r="J555">
        <v>0.13613607480998399</v>
      </c>
      <c r="K555">
        <v>0.102254288115025</v>
      </c>
      <c r="L555">
        <v>910.16793370442599</v>
      </c>
      <c r="M555">
        <v>17.4992014935982</v>
      </c>
      <c r="N555">
        <v>52.593931388639199</v>
      </c>
      <c r="O555">
        <v>51.347011388749898</v>
      </c>
      <c r="P555">
        <v>-7.7705700336178796E-2</v>
      </c>
      <c r="Q555">
        <v>8.8019102500098895E-2</v>
      </c>
      <c r="R555">
        <v>0.98295056540153403</v>
      </c>
      <c r="S555" t="s">
        <v>6106</v>
      </c>
      <c r="T555" t="s">
        <v>11100</v>
      </c>
      <c r="U555" t="s">
        <v>11100</v>
      </c>
      <c r="V555" t="s">
        <v>11100</v>
      </c>
      <c r="W555" t="s">
        <v>11648</v>
      </c>
      <c r="X555">
        <v>5</v>
      </c>
      <c r="Y555" t="s">
        <v>17145</v>
      </c>
      <c r="Z555" t="s">
        <v>22560</v>
      </c>
      <c r="AA555">
        <v>0.55871508836373451</v>
      </c>
      <c r="AB555" t="str">
        <f>HYPERLINK("Melting_Curves/meltCurve_E9PQR7_VPS28.pdf", "Melting_Curves/meltCurve_E9PQR7_VPS28.pdf")</f>
        <v>Melting_Curves/meltCurve_E9PQR7_VPS28.pdf</v>
      </c>
    </row>
    <row r="556" spans="1:28" x14ac:dyDescent="0.25">
      <c r="A556" t="s">
        <v>560</v>
      </c>
      <c r="B556">
        <v>0.99299721793515405</v>
      </c>
      <c r="C556">
        <v>0.92708202045398802</v>
      </c>
      <c r="D556">
        <v>0.93030729095598197</v>
      </c>
      <c r="E556">
        <v>0.84813698796993497</v>
      </c>
      <c r="F556">
        <v>0.747590186428294</v>
      </c>
      <c r="G556">
        <v>0.53331086376167403</v>
      </c>
      <c r="H556">
        <v>0.55397568721067403</v>
      </c>
      <c r="I556">
        <v>0.52802715394412203</v>
      </c>
      <c r="J556">
        <v>0.47983942777373101</v>
      </c>
      <c r="K556">
        <v>0.34542365303751799</v>
      </c>
      <c r="L556">
        <v>465.09863118934902</v>
      </c>
      <c r="M556">
        <v>8.9019063392886206</v>
      </c>
      <c r="N556">
        <v>59.3343447648042</v>
      </c>
      <c r="O556">
        <v>49.812175884434303</v>
      </c>
      <c r="P556">
        <v>-3.00752795795209E-2</v>
      </c>
      <c r="Q556">
        <v>0.32734311192861598</v>
      </c>
      <c r="R556">
        <v>0.95846423911884104</v>
      </c>
      <c r="S556" t="s">
        <v>6107</v>
      </c>
      <c r="T556" t="s">
        <v>11100</v>
      </c>
      <c r="U556" t="s">
        <v>11100</v>
      </c>
      <c r="V556" t="s">
        <v>11100</v>
      </c>
      <c r="W556" t="s">
        <v>11649</v>
      </c>
      <c r="X556">
        <v>4</v>
      </c>
      <c r="Y556" t="s">
        <v>17146</v>
      </c>
      <c r="Z556" t="s">
        <v>22561</v>
      </c>
      <c r="AA556">
        <v>0.68709693444898823</v>
      </c>
      <c r="AB556" t="str">
        <f>HYPERLINK("Melting_Curves/meltCurve_E9PQY3_ACP2.pdf", "Melting_Curves/meltCurve_E9PQY3_ACP2.pdf")</f>
        <v>Melting_Curves/meltCurve_E9PQY3_ACP2.pdf</v>
      </c>
    </row>
    <row r="557" spans="1:28" x14ac:dyDescent="0.25">
      <c r="A557" t="s">
        <v>561</v>
      </c>
      <c r="B557">
        <v>0.99299721793515405</v>
      </c>
      <c r="C557">
        <v>0.91361292983048104</v>
      </c>
      <c r="D557">
        <v>0.87622991095167002</v>
      </c>
      <c r="E557">
        <v>0.92411416328786</v>
      </c>
      <c r="F557">
        <v>0.71016263473019903</v>
      </c>
      <c r="G557">
        <v>0.69717918645839805</v>
      </c>
      <c r="H557">
        <v>0.63395336399152102</v>
      </c>
      <c r="I557">
        <v>0.736769976408574</v>
      </c>
      <c r="J557">
        <v>0.63858017774780396</v>
      </c>
      <c r="K557">
        <v>0.43706501115527602</v>
      </c>
      <c r="L557">
        <v>240.24231585370401</v>
      </c>
      <c r="M557">
        <v>3.4546440245829202</v>
      </c>
      <c r="O557">
        <v>54.252932168182198</v>
      </c>
      <c r="P557">
        <v>-1.62428432000832E-2</v>
      </c>
      <c r="Q557">
        <v>0</v>
      </c>
      <c r="R557">
        <v>0.82638743443777496</v>
      </c>
      <c r="S557" t="s">
        <v>6108</v>
      </c>
      <c r="T557" t="s">
        <v>11100</v>
      </c>
      <c r="U557" t="s">
        <v>11100</v>
      </c>
      <c r="V557" t="s">
        <v>11100</v>
      </c>
      <c r="W557" t="s">
        <v>11650</v>
      </c>
      <c r="X557">
        <v>2</v>
      </c>
      <c r="Y557" t="s">
        <v>17147</v>
      </c>
      <c r="Z557" t="s">
        <v>22562</v>
      </c>
      <c r="AA557">
        <v>0.75648139171473605</v>
      </c>
      <c r="AB557" t="str">
        <f>HYPERLINK("Melting_Curves/meltCurve_E9PR30_FAU.pdf", "Melting_Curves/meltCurve_E9PR30_FAU.pdf")</f>
        <v>Melting_Curves/meltCurve_E9PR30_FAU.pdf</v>
      </c>
    </row>
    <row r="558" spans="1:28" x14ac:dyDescent="0.25">
      <c r="A558" t="s">
        <v>562</v>
      </c>
      <c r="B558">
        <v>0.99299721793515405</v>
      </c>
      <c r="C558">
        <v>0.75170547033255997</v>
      </c>
      <c r="D558">
        <v>0.760369167849964</v>
      </c>
      <c r="E558">
        <v>0.69332584146104903</v>
      </c>
      <c r="F558">
        <v>0.62420702215366897</v>
      </c>
      <c r="G558">
        <v>0.254863409984457</v>
      </c>
      <c r="H558">
        <v>0.12508332627365601</v>
      </c>
      <c r="I558">
        <v>5.3575252914430702E-2</v>
      </c>
      <c r="J558">
        <v>8.60962793345625E-2</v>
      </c>
      <c r="K558">
        <v>6.08521123692373E-2</v>
      </c>
      <c r="L558">
        <v>502.27985431052298</v>
      </c>
      <c r="M558">
        <v>10.163280212405001</v>
      </c>
      <c r="N558">
        <v>49.4210301961539</v>
      </c>
      <c r="O558">
        <v>47.622199912482003</v>
      </c>
      <c r="P558">
        <v>-5.3378061163857897E-2</v>
      </c>
      <c r="Q558">
        <v>0</v>
      </c>
      <c r="R558">
        <v>0.936278703591088</v>
      </c>
      <c r="S558" t="s">
        <v>6109</v>
      </c>
      <c r="T558" t="s">
        <v>11100</v>
      </c>
      <c r="U558" t="s">
        <v>11100</v>
      </c>
      <c r="V558" t="s">
        <v>11100</v>
      </c>
      <c r="W558" t="s">
        <v>11651</v>
      </c>
      <c r="X558">
        <v>3</v>
      </c>
      <c r="Y558" t="s">
        <v>17148</v>
      </c>
      <c r="Z558" t="s">
        <v>22563</v>
      </c>
      <c r="AA558">
        <v>0.44923650001614901</v>
      </c>
      <c r="AB558" t="str">
        <f>HYPERLINK("Melting_Curves/meltCurve_E9PR76_MAF1.pdf", "Melting_Curves/meltCurve_E9PR76_MAF1.pdf")</f>
        <v>Melting_Curves/meltCurve_E9PR76_MAF1.pdf</v>
      </c>
    </row>
    <row r="559" spans="1:28" x14ac:dyDescent="0.25">
      <c r="A559" t="s">
        <v>563</v>
      </c>
      <c r="B559">
        <v>0.99299721793515405</v>
      </c>
      <c r="C559">
        <v>0.83522837435937802</v>
      </c>
      <c r="D559">
        <v>0.993904187581513</v>
      </c>
      <c r="E559">
        <v>0.77844014077860901</v>
      </c>
      <c r="F559">
        <v>0.67214034572344095</v>
      </c>
      <c r="G559">
        <v>0.42013040496071602</v>
      </c>
      <c r="H559">
        <v>0.47297225116230501</v>
      </c>
      <c r="I559">
        <v>0.64558408930797095</v>
      </c>
      <c r="J559">
        <v>0.79026367870706005</v>
      </c>
      <c r="K559">
        <v>1.7940988352076599</v>
      </c>
      <c r="L559">
        <v>821.18580999266499</v>
      </c>
      <c r="M559">
        <v>20.349722256052502</v>
      </c>
      <c r="O559">
        <v>39.970038196026103</v>
      </c>
      <c r="P559">
        <v>-2.4652005811615401E-2</v>
      </c>
      <c r="Q559">
        <v>0.80632430777995201</v>
      </c>
      <c r="R559">
        <v>2.1896171985507799E-2</v>
      </c>
      <c r="S559" t="s">
        <v>6110</v>
      </c>
      <c r="T559" t="s">
        <v>11100</v>
      </c>
      <c r="U559" t="s">
        <v>11100</v>
      </c>
      <c r="V559" t="s">
        <v>11100</v>
      </c>
      <c r="W559" t="s">
        <v>11652</v>
      </c>
      <c r="X559">
        <v>3</v>
      </c>
      <c r="Y559" t="s">
        <v>17149</v>
      </c>
      <c r="Z559" t="s">
        <v>22564</v>
      </c>
      <c r="AA559">
        <v>0.83155612709333393</v>
      </c>
      <c r="AB559" t="str">
        <f>HYPERLINK("Melting_Curves/meltCurve_E9PRJ3_CD151.pdf", "Melting_Curves/meltCurve_E9PRJ3_CD151.pdf")</f>
        <v>Melting_Curves/meltCurve_E9PRJ3_CD151.pdf</v>
      </c>
    </row>
    <row r="560" spans="1:28" x14ac:dyDescent="0.25">
      <c r="A560" t="s">
        <v>564</v>
      </c>
      <c r="B560">
        <v>0.99299721793515405</v>
      </c>
      <c r="C560">
        <v>0.96288273011055603</v>
      </c>
      <c r="D560">
        <v>0.89580545168973502</v>
      </c>
      <c r="E560">
        <v>0.85811184343481495</v>
      </c>
      <c r="F560">
        <v>0.737943789994018</v>
      </c>
      <c r="G560">
        <v>0.48746367590218798</v>
      </c>
      <c r="H560">
        <v>0.26273437467697602</v>
      </c>
      <c r="I560">
        <v>0.20347463946421299</v>
      </c>
      <c r="J560">
        <v>0.188079910355167</v>
      </c>
      <c r="K560">
        <v>0.16715042516202</v>
      </c>
      <c r="L560">
        <v>757.61297367595796</v>
      </c>
      <c r="M560">
        <v>14.4511084020511</v>
      </c>
      <c r="N560">
        <v>53.372607550510203</v>
      </c>
      <c r="O560">
        <v>51.452715563734202</v>
      </c>
      <c r="P560">
        <v>-6.2284779857614603E-2</v>
      </c>
      <c r="Q560">
        <v>0.113051952387694</v>
      </c>
      <c r="R560">
        <v>0.99014788212034399</v>
      </c>
      <c r="S560" t="s">
        <v>6111</v>
      </c>
      <c r="T560" t="s">
        <v>11100</v>
      </c>
      <c r="U560" t="s">
        <v>11100</v>
      </c>
      <c r="V560" t="s">
        <v>11100</v>
      </c>
      <c r="W560" t="s">
        <v>11653</v>
      </c>
      <c r="X560">
        <v>9</v>
      </c>
      <c r="Y560" t="s">
        <v>17150</v>
      </c>
      <c r="Z560" t="s">
        <v>22565</v>
      </c>
      <c r="AA560">
        <v>0.58629513195740635</v>
      </c>
      <c r="AB560" t="str">
        <f>HYPERLINK("Melting_Curves/meltCurve_E9PS17_SCYL1.pdf", "Melting_Curves/meltCurve_E9PS17_SCYL1.pdf")</f>
        <v>Melting_Curves/meltCurve_E9PS17_SCYL1.pdf</v>
      </c>
    </row>
    <row r="561" spans="1:28" x14ac:dyDescent="0.25">
      <c r="A561" t="s">
        <v>565</v>
      </c>
      <c r="B561">
        <v>0.99299721793515405</v>
      </c>
      <c r="C561">
        <v>0.86724692601070397</v>
      </c>
      <c r="D561">
        <v>1.03884616078097</v>
      </c>
      <c r="E561">
        <v>0.79969248205105303</v>
      </c>
      <c r="F561">
        <v>0.76764616637800998</v>
      </c>
      <c r="G561">
        <v>0.55250056498364497</v>
      </c>
      <c r="H561">
        <v>0.53518829286449698</v>
      </c>
      <c r="I561">
        <v>0.561113538681136</v>
      </c>
      <c r="J561">
        <v>0.459817925459026</v>
      </c>
      <c r="K561">
        <v>0.40820918029543402</v>
      </c>
      <c r="L561">
        <v>587.355553293036</v>
      </c>
      <c r="M561">
        <v>11.5835536886489</v>
      </c>
      <c r="N561">
        <v>59.847226305140403</v>
      </c>
      <c r="O561">
        <v>49.265466066117902</v>
      </c>
      <c r="P561">
        <v>-3.4409854403225297E-2</v>
      </c>
      <c r="Q561">
        <v>0.41477426037672599</v>
      </c>
      <c r="R561">
        <v>0.91804666548205804</v>
      </c>
      <c r="S561" t="s">
        <v>6112</v>
      </c>
      <c r="T561" t="s">
        <v>11100</v>
      </c>
      <c r="U561" t="s">
        <v>11100</v>
      </c>
      <c r="V561" t="s">
        <v>11100</v>
      </c>
      <c r="W561" t="s">
        <v>11654</v>
      </c>
      <c r="X561">
        <v>7</v>
      </c>
      <c r="Y561" t="s">
        <v>17126</v>
      </c>
      <c r="Z561" t="s">
        <v>22566</v>
      </c>
      <c r="AA561">
        <v>0.69830732953969821</v>
      </c>
      <c r="AB561" t="str">
        <f>HYPERLINK("Melting_Curves/meltCurve_E9PS38_NEDD8_MDP1.pdf", "Melting_Curves/meltCurve_E9PS38_NEDD8_MDP1.pdf")</f>
        <v>Melting_Curves/meltCurve_E9PS38_NEDD8_MDP1.pdf</v>
      </c>
    </row>
    <row r="562" spans="1:28" x14ac:dyDescent="0.25">
      <c r="A562" t="s">
        <v>566</v>
      </c>
      <c r="B562">
        <v>0.99299721793515405</v>
      </c>
      <c r="C562">
        <v>1.17916447801658</v>
      </c>
      <c r="D562">
        <v>0.98018537463125699</v>
      </c>
      <c r="E562">
        <v>0.89656976175432201</v>
      </c>
      <c r="F562">
        <v>0.82397830484957502</v>
      </c>
      <c r="G562">
        <v>0.49964600091890998</v>
      </c>
      <c r="H562">
        <v>0.246134545772906</v>
      </c>
      <c r="I562">
        <v>0.27687479808236798</v>
      </c>
      <c r="J562">
        <v>0.242938963870448</v>
      </c>
      <c r="K562">
        <v>0.26211537677813901</v>
      </c>
      <c r="L562">
        <v>1390.0808724948799</v>
      </c>
      <c r="M562">
        <v>26.597431004712298</v>
      </c>
      <c r="N562">
        <v>53.574848328622103</v>
      </c>
      <c r="O562">
        <v>51.970965960586703</v>
      </c>
      <c r="P562">
        <v>-9.7338697443347194E-2</v>
      </c>
      <c r="Q562">
        <v>0.239214802921773</v>
      </c>
      <c r="R562">
        <v>0.96541298423043798</v>
      </c>
      <c r="S562" t="s">
        <v>6113</v>
      </c>
      <c r="T562" t="s">
        <v>11100</v>
      </c>
      <c r="U562" t="s">
        <v>11100</v>
      </c>
      <c r="V562" t="s">
        <v>11100</v>
      </c>
      <c r="W562" t="s">
        <v>11655</v>
      </c>
      <c r="X562">
        <v>2</v>
      </c>
      <c r="Y562" t="s">
        <v>17151</v>
      </c>
      <c r="Z562" t="s">
        <v>22567</v>
      </c>
      <c r="AA562">
        <v>0.63232329489379391</v>
      </c>
      <c r="AB562" t="str">
        <f>HYPERLINK("Melting_Curves/meltCurve_E9PS97_PARVA.pdf", "Melting_Curves/meltCurve_E9PS97_PARVA.pdf")</f>
        <v>Melting_Curves/meltCurve_E9PS97_PARVA.pdf</v>
      </c>
    </row>
    <row r="563" spans="1:28" x14ac:dyDescent="0.25">
      <c r="A563" t="s">
        <v>567</v>
      </c>
      <c r="B563">
        <v>0.99299721793515405</v>
      </c>
      <c r="C563">
        <v>0.83595520735204998</v>
      </c>
      <c r="D563">
        <v>1.02418655808506</v>
      </c>
      <c r="E563">
        <v>0.68304606033927295</v>
      </c>
      <c r="F563">
        <v>0.70510616909631896</v>
      </c>
      <c r="G563">
        <v>0.611426438827678</v>
      </c>
      <c r="H563">
        <v>0.54362558273830197</v>
      </c>
      <c r="I563">
        <v>0.47672154271603501</v>
      </c>
      <c r="J563">
        <v>0.50959074014383998</v>
      </c>
      <c r="K563">
        <v>0.39771128701789898</v>
      </c>
      <c r="L563">
        <v>405.45318589374801</v>
      </c>
      <c r="M563">
        <v>8.0155061871341999</v>
      </c>
      <c r="N563">
        <v>60.080140974820303</v>
      </c>
      <c r="O563">
        <v>47.7264743366094</v>
      </c>
      <c r="P563">
        <v>-2.6937058651680501E-2</v>
      </c>
      <c r="Q563">
        <v>0.359157660925844</v>
      </c>
      <c r="R563">
        <v>0.88540189552929105</v>
      </c>
      <c r="S563" t="s">
        <v>6114</v>
      </c>
      <c r="T563" t="s">
        <v>11100</v>
      </c>
      <c r="U563" t="s">
        <v>11100</v>
      </c>
      <c r="V563" t="s">
        <v>11100</v>
      </c>
      <c r="W563" t="s">
        <v>11656</v>
      </c>
      <c r="X563">
        <v>1</v>
      </c>
      <c r="Y563" t="s">
        <v>17152</v>
      </c>
      <c r="Z563" t="s">
        <v>22568</v>
      </c>
      <c r="AA563">
        <v>0.67321881480857293</v>
      </c>
      <c r="AB563" t="str">
        <f>HYPERLINK("Melting_Curves/meltCurve_E9PSD7_UPRT.pdf", "Melting_Curves/meltCurve_E9PSD7_UPRT.pdf")</f>
        <v>Melting_Curves/meltCurve_E9PSD7_UPRT.pdf</v>
      </c>
    </row>
    <row r="564" spans="1:28" x14ac:dyDescent="0.25">
      <c r="A564" t="s">
        <v>568</v>
      </c>
      <c r="B564">
        <v>0.99299721793515405</v>
      </c>
      <c r="C564">
        <v>0.96332845263120304</v>
      </c>
      <c r="D564">
        <v>0.86455553439977495</v>
      </c>
      <c r="E564">
        <v>0.82090060741187199</v>
      </c>
      <c r="F564">
        <v>0.75903617184968597</v>
      </c>
      <c r="G564">
        <v>0.49608504278149501</v>
      </c>
      <c r="H564">
        <v>0.55256033412368299</v>
      </c>
      <c r="I564">
        <v>0.65505294112591295</v>
      </c>
      <c r="J564">
        <v>0.806594655559848</v>
      </c>
      <c r="K564">
        <v>0.64844541901397301</v>
      </c>
      <c r="L564">
        <v>813.01665520474899</v>
      </c>
      <c r="M564">
        <v>17.917170771370198</v>
      </c>
      <c r="O564">
        <v>44.822473301377102</v>
      </c>
      <c r="P564">
        <v>-3.5915518402246098E-2</v>
      </c>
      <c r="Q564">
        <v>0.64062598771435997</v>
      </c>
      <c r="R564">
        <v>0.71432486718025701</v>
      </c>
      <c r="S564" t="s">
        <v>6115</v>
      </c>
      <c r="T564" t="s">
        <v>11100</v>
      </c>
      <c r="U564" t="s">
        <v>11100</v>
      </c>
      <c r="V564" t="s">
        <v>11100</v>
      </c>
      <c r="W564" t="s">
        <v>11657</v>
      </c>
      <c r="X564">
        <v>11</v>
      </c>
      <c r="Y564" t="s">
        <v>17153</v>
      </c>
      <c r="Z564" t="s">
        <v>22569</v>
      </c>
      <c r="AA564">
        <v>0.74687541995276641</v>
      </c>
      <c r="AB564" t="str">
        <f>HYPERLINK("Melting_Curves/meltCurve_E9PSI1_TM9SF1.pdf", "Melting_Curves/meltCurve_E9PSI1_TM9SF1.pdf")</f>
        <v>Melting_Curves/meltCurve_E9PSI1_TM9SF1.pdf</v>
      </c>
    </row>
    <row r="565" spans="1:28" x14ac:dyDescent="0.25">
      <c r="A565" t="s">
        <v>569</v>
      </c>
      <c r="B565">
        <v>0.99299721793515405</v>
      </c>
      <c r="C565">
        <v>0.82903259323181899</v>
      </c>
      <c r="D565">
        <v>0.77531286216142903</v>
      </c>
      <c r="E565">
        <v>0.78782167227103195</v>
      </c>
      <c r="F565">
        <v>0.68564046024428305</v>
      </c>
      <c r="G565">
        <v>0.21776345052764101</v>
      </c>
      <c r="H565">
        <v>0.17705819465896799</v>
      </c>
      <c r="I565">
        <v>8.9103304509996803E-2</v>
      </c>
      <c r="J565">
        <v>0.17917243169798699</v>
      </c>
      <c r="K565">
        <v>5.2477335866349201E-2</v>
      </c>
      <c r="L565">
        <v>561.63506668291302</v>
      </c>
      <c r="M565">
        <v>11.071526271735699</v>
      </c>
      <c r="N565">
        <v>50.727880154852599</v>
      </c>
      <c r="O565">
        <v>49.157266002654502</v>
      </c>
      <c r="P565">
        <v>-5.63251906502494E-2</v>
      </c>
      <c r="Q565">
        <v>0</v>
      </c>
      <c r="R565">
        <v>0.93077609364873104</v>
      </c>
      <c r="S565" t="s">
        <v>6116</v>
      </c>
      <c r="T565" t="s">
        <v>11100</v>
      </c>
      <c r="U565" t="s">
        <v>11100</v>
      </c>
      <c r="V565" t="s">
        <v>11100</v>
      </c>
      <c r="W565" t="s">
        <v>11658</v>
      </c>
      <c r="X565">
        <v>1</v>
      </c>
      <c r="Y565" t="s">
        <v>17154</v>
      </c>
      <c r="Z565" t="s">
        <v>22570</v>
      </c>
      <c r="AA565">
        <v>0.48639347488207629</v>
      </c>
      <c r="AB565" t="str">
        <f>HYPERLINK("Melting_Curves/meltCurve_F2Z2A7_KDM1B.pdf", "Melting_Curves/meltCurve_F2Z2A7_KDM1B.pdf")</f>
        <v>Melting_Curves/meltCurve_F2Z2A7_KDM1B.pdf</v>
      </c>
    </row>
    <row r="566" spans="1:28" x14ac:dyDescent="0.25">
      <c r="A566" t="s">
        <v>570</v>
      </c>
      <c r="B566">
        <v>0.99299721793515405</v>
      </c>
      <c r="C566">
        <v>1.06665300781874</v>
      </c>
      <c r="D566">
        <v>0.73488925498646496</v>
      </c>
      <c r="E566">
        <v>0.89603392398192505</v>
      </c>
      <c r="F566">
        <v>0.72174051611415801</v>
      </c>
      <c r="G566">
        <v>0.41079807435934101</v>
      </c>
      <c r="H566">
        <v>0.35423743220841097</v>
      </c>
      <c r="I566">
        <v>0.365936369419959</v>
      </c>
      <c r="J566">
        <v>0.54347839011251098</v>
      </c>
      <c r="K566">
        <v>0.69779518359630599</v>
      </c>
      <c r="L566">
        <v>1202.32610987357</v>
      </c>
      <c r="M566">
        <v>24.655273875626602</v>
      </c>
      <c r="N566">
        <v>55.3390951656624</v>
      </c>
      <c r="O566">
        <v>48.4480614169169</v>
      </c>
      <c r="P566">
        <v>-6.7014595125659202E-2</v>
      </c>
      <c r="Q566">
        <v>0.47326789158779498</v>
      </c>
      <c r="R566">
        <v>0.71728589459328995</v>
      </c>
      <c r="S566" t="s">
        <v>6117</v>
      </c>
      <c r="T566" t="s">
        <v>11100</v>
      </c>
      <c r="U566" t="s">
        <v>11100</v>
      </c>
      <c r="V566" t="s">
        <v>11100</v>
      </c>
      <c r="W566" t="s">
        <v>11659</v>
      </c>
      <c r="X566">
        <v>1</v>
      </c>
      <c r="Y566" t="s">
        <v>17155</v>
      </c>
      <c r="Z566" t="s">
        <v>22571</v>
      </c>
      <c r="AA566">
        <v>0.68450487918515179</v>
      </c>
      <c r="AB566" t="str">
        <f>HYPERLINK("Melting_Curves/meltCurve_F2Z2E2_IQGAP3.pdf", "Melting_Curves/meltCurve_F2Z2E2_IQGAP3.pdf")</f>
        <v>Melting_Curves/meltCurve_F2Z2E2_IQGAP3.pdf</v>
      </c>
    </row>
    <row r="567" spans="1:28" x14ac:dyDescent="0.25">
      <c r="A567" t="s">
        <v>571</v>
      </c>
      <c r="B567">
        <v>0.99299721793515405</v>
      </c>
      <c r="C567">
        <v>1.04528329767352</v>
      </c>
      <c r="D567">
        <v>0.93498886828997796</v>
      </c>
      <c r="E567">
        <v>0.96726201866582295</v>
      </c>
      <c r="F567">
        <v>0.875250260948783</v>
      </c>
      <c r="G567">
        <v>1.2374617942047199</v>
      </c>
      <c r="H567">
        <v>0.64640824542070396</v>
      </c>
      <c r="I567">
        <v>0.28883265398130098</v>
      </c>
      <c r="J567">
        <v>0.22958342947598401</v>
      </c>
      <c r="K567">
        <v>0.16536738633821799</v>
      </c>
      <c r="L567">
        <v>8352.5523732715101</v>
      </c>
      <c r="M567">
        <v>145.34565955734899</v>
      </c>
      <c r="N567">
        <v>57.708326813541497</v>
      </c>
      <c r="O567">
        <v>57.455924049382403</v>
      </c>
      <c r="P567">
        <v>-0.48832172393015499</v>
      </c>
      <c r="Q567">
        <v>0.22785495081297799</v>
      </c>
      <c r="R567">
        <v>0.93389414785048497</v>
      </c>
      <c r="S567" t="s">
        <v>6118</v>
      </c>
      <c r="T567" t="s">
        <v>11100</v>
      </c>
      <c r="U567" t="s">
        <v>11100</v>
      </c>
      <c r="V567" t="s">
        <v>11100</v>
      </c>
      <c r="W567" t="s">
        <v>11660</v>
      </c>
      <c r="X567">
        <v>13</v>
      </c>
      <c r="Y567" t="s">
        <v>17156</v>
      </c>
      <c r="Z567" t="s">
        <v>22572</v>
      </c>
      <c r="AA567">
        <v>0.75486381400630898</v>
      </c>
      <c r="AB567" t="str">
        <f>HYPERLINK("Melting_Curves/meltCurve_F2Z2U8_MYH14.pdf", "Melting_Curves/meltCurve_F2Z2U8_MYH14.pdf")</f>
        <v>Melting_Curves/meltCurve_F2Z2U8_MYH14.pdf</v>
      </c>
    </row>
    <row r="568" spans="1:28" x14ac:dyDescent="0.25">
      <c r="A568" t="s">
        <v>572</v>
      </c>
      <c r="B568">
        <v>0.99299721793515405</v>
      </c>
      <c r="C568">
        <v>1.0751475476232999</v>
      </c>
      <c r="D568">
        <v>2.43508328732017</v>
      </c>
      <c r="E568">
        <v>1.1391603181571599</v>
      </c>
      <c r="F568">
        <v>1.28019382737079</v>
      </c>
      <c r="G568">
        <v>1.3434657533376699</v>
      </c>
      <c r="H568">
        <v>0.60236310931571102</v>
      </c>
      <c r="I568">
        <v>0.60281955720381897</v>
      </c>
      <c r="J568">
        <v>0.40842609581327599</v>
      </c>
      <c r="K568">
        <v>0.77539015755096397</v>
      </c>
      <c r="L568">
        <v>14117.605497176201</v>
      </c>
      <c r="M568">
        <v>250</v>
      </c>
      <c r="O568">
        <v>56.466802470155102</v>
      </c>
      <c r="P568">
        <v>-0.44770037178136601</v>
      </c>
      <c r="Q568">
        <v>0.595516623613354</v>
      </c>
      <c r="R568">
        <v>0.20510496643588499</v>
      </c>
      <c r="S568" t="s">
        <v>6119</v>
      </c>
      <c r="T568" t="s">
        <v>11100</v>
      </c>
      <c r="U568" t="s">
        <v>11100</v>
      </c>
      <c r="V568" t="s">
        <v>11100</v>
      </c>
      <c r="W568" t="s">
        <v>11661</v>
      </c>
      <c r="X568">
        <v>1</v>
      </c>
      <c r="Y568" t="s">
        <v>17157</v>
      </c>
      <c r="Z568" t="s">
        <v>22573</v>
      </c>
      <c r="AA568">
        <v>0.85807211067723521</v>
      </c>
      <c r="AB568" t="str">
        <f>HYPERLINK("Melting_Curves/meltCurve_F2Z2W6_HMGN1.pdf", "Melting_Curves/meltCurve_F2Z2W6_HMGN1.pdf")</f>
        <v>Melting_Curves/meltCurve_F2Z2W6_HMGN1.pdf</v>
      </c>
    </row>
    <row r="569" spans="1:28" x14ac:dyDescent="0.25">
      <c r="A569" t="s">
        <v>573</v>
      </c>
      <c r="B569">
        <v>0.99299721793515405</v>
      </c>
      <c r="C569">
        <v>0.95421656740169403</v>
      </c>
      <c r="D569">
        <v>0.88794310745959304</v>
      </c>
      <c r="E569">
        <v>0.77723403216996201</v>
      </c>
      <c r="F569">
        <v>0.59472705387279301</v>
      </c>
      <c r="G569">
        <v>0.25389506147166202</v>
      </c>
      <c r="H569">
        <v>0.24244341210898501</v>
      </c>
      <c r="I569">
        <v>0.227342556083724</v>
      </c>
      <c r="J569">
        <v>0.20989214028730599</v>
      </c>
      <c r="K569">
        <v>0.13313582317380299</v>
      </c>
      <c r="L569">
        <v>788.83051429195996</v>
      </c>
      <c r="M569">
        <v>15.926047732001701</v>
      </c>
      <c r="N569">
        <v>50.698100119645197</v>
      </c>
      <c r="O569">
        <v>48.769647331089203</v>
      </c>
      <c r="P569">
        <v>-6.9114251901926299E-2</v>
      </c>
      <c r="Q569">
        <v>0.15348531315686501</v>
      </c>
      <c r="R569">
        <v>0.98412461825920206</v>
      </c>
      <c r="S569" t="s">
        <v>6120</v>
      </c>
      <c r="T569" t="s">
        <v>11100</v>
      </c>
      <c r="U569" t="s">
        <v>11100</v>
      </c>
      <c r="V569" t="s">
        <v>11100</v>
      </c>
      <c r="W569" t="s">
        <v>11662</v>
      </c>
      <c r="X569">
        <v>12</v>
      </c>
      <c r="Y569" t="s">
        <v>17158</v>
      </c>
      <c r="Z569" t="s">
        <v>22574</v>
      </c>
      <c r="AA569">
        <v>0.52344016108507607</v>
      </c>
      <c r="AB569" t="str">
        <f>HYPERLINK("Melting_Curves/meltCurve_F2Z2W7_TRMT2A.pdf", "Melting_Curves/meltCurve_F2Z2W7_TRMT2A.pdf")</f>
        <v>Melting_Curves/meltCurve_F2Z2W7_TRMT2A.pdf</v>
      </c>
    </row>
    <row r="570" spans="1:28" x14ac:dyDescent="0.25">
      <c r="A570" t="s">
        <v>574</v>
      </c>
      <c r="B570">
        <v>0.99299721793515405</v>
      </c>
      <c r="C570">
        <v>0.98498972853322597</v>
      </c>
      <c r="D570">
        <v>0.93808372157153297</v>
      </c>
      <c r="E570">
        <v>0.89174391914564</v>
      </c>
      <c r="F570">
        <v>0.80113658336737104</v>
      </c>
      <c r="G570">
        <v>0.65419517055808696</v>
      </c>
      <c r="H570">
        <v>0.45988895937884799</v>
      </c>
      <c r="I570">
        <v>0.359421148560708</v>
      </c>
      <c r="J570">
        <v>0.27613780189029302</v>
      </c>
      <c r="K570">
        <v>0.24818998803921399</v>
      </c>
      <c r="L570">
        <v>602.51092353799595</v>
      </c>
      <c r="M570">
        <v>10.8502584752018</v>
      </c>
      <c r="N570">
        <v>56.928604200373897</v>
      </c>
      <c r="O570">
        <v>53.743253417505301</v>
      </c>
      <c r="P570">
        <v>-4.4582009965955703E-2</v>
      </c>
      <c r="Q570">
        <v>0.117023654454795</v>
      </c>
      <c r="R570">
        <v>0.99751758740470298</v>
      </c>
      <c r="S570" t="s">
        <v>6121</v>
      </c>
      <c r="T570" t="s">
        <v>11100</v>
      </c>
      <c r="U570" t="s">
        <v>11100</v>
      </c>
      <c r="V570" t="s">
        <v>11100</v>
      </c>
      <c r="W570" t="s">
        <v>11663</v>
      </c>
      <c r="X570">
        <v>11</v>
      </c>
      <c r="Y570" t="s">
        <v>17159</v>
      </c>
      <c r="Z570" t="s">
        <v>22575</v>
      </c>
      <c r="AA570">
        <v>0.67176241605523856</v>
      </c>
      <c r="AB570" t="str">
        <f>HYPERLINK("Melting_Curves/meltCurve_F2Z2X4_XPO4.pdf", "Melting_Curves/meltCurve_F2Z2X4_XPO4.pdf")</f>
        <v>Melting_Curves/meltCurve_F2Z2X4_XPO4.pdf</v>
      </c>
    </row>
    <row r="571" spans="1:28" x14ac:dyDescent="0.25">
      <c r="A571" t="s">
        <v>575</v>
      </c>
      <c r="B571">
        <v>0.99299721793515405</v>
      </c>
      <c r="C571">
        <v>0.93779100046457597</v>
      </c>
      <c r="D571">
        <v>0.92626429477841299</v>
      </c>
      <c r="E571">
        <v>0.74819194309069204</v>
      </c>
      <c r="F571">
        <v>0.62796465707952898</v>
      </c>
      <c r="G571">
        <v>0.54388294218594802</v>
      </c>
      <c r="H571">
        <v>0.507618704045675</v>
      </c>
      <c r="I571">
        <v>0.43155913220605502</v>
      </c>
      <c r="J571">
        <v>0.22800471457847199</v>
      </c>
      <c r="K571">
        <v>0.13851918684560899</v>
      </c>
      <c r="L571">
        <v>397.31213296834102</v>
      </c>
      <c r="M571">
        <v>7.1813347997929302</v>
      </c>
      <c r="N571">
        <v>55.325672783565501</v>
      </c>
      <c r="O571">
        <v>51.517893959021499</v>
      </c>
      <c r="P571">
        <v>-3.4907556400873001E-2</v>
      </c>
      <c r="Q571">
        <v>0</v>
      </c>
      <c r="R571">
        <v>0.96305254287354403</v>
      </c>
      <c r="S571" t="s">
        <v>6122</v>
      </c>
      <c r="T571" t="s">
        <v>11100</v>
      </c>
      <c r="U571" t="s">
        <v>11100</v>
      </c>
      <c r="V571" t="s">
        <v>11100</v>
      </c>
      <c r="W571" t="s">
        <v>11664</v>
      </c>
      <c r="X571">
        <v>12</v>
      </c>
      <c r="Y571" t="s">
        <v>17160</v>
      </c>
      <c r="Z571" t="s">
        <v>22576</v>
      </c>
      <c r="AA571">
        <v>0.61080242171011823</v>
      </c>
      <c r="AB571" t="str">
        <f>HYPERLINK("Melting_Curves/meltCurve_F5GWE5_PITPNA.pdf", "Melting_Curves/meltCurve_F5GWE5_PITPNA.pdf")</f>
        <v>Melting_Curves/meltCurve_F5GWE5_PITPNA.pdf</v>
      </c>
    </row>
    <row r="572" spans="1:28" x14ac:dyDescent="0.25">
      <c r="A572" t="s">
        <v>576</v>
      </c>
      <c r="B572">
        <v>0.99299721793515405</v>
      </c>
      <c r="C572">
        <v>0.98801262692012803</v>
      </c>
      <c r="D572">
        <v>1.0619501841359</v>
      </c>
      <c r="E572">
        <v>0.79243603536925</v>
      </c>
      <c r="F572">
        <v>0.96287801435392195</v>
      </c>
      <c r="G572">
        <v>0.87707189331225499</v>
      </c>
      <c r="H572">
        <v>1.2550390665017099</v>
      </c>
      <c r="I572">
        <v>1.31149879791209</v>
      </c>
      <c r="J572">
        <v>1.4202762326766101</v>
      </c>
      <c r="K572">
        <v>0.70612062987775404</v>
      </c>
      <c r="L572">
        <v>1762.34299506292</v>
      </c>
      <c r="M572">
        <v>31.742182888140601</v>
      </c>
      <c r="O572">
        <v>55.301569658137197</v>
      </c>
      <c r="P572">
        <v>2.3545063900225999E-2</v>
      </c>
      <c r="Q572">
        <v>1.1640809887964301</v>
      </c>
      <c r="R572">
        <v>0.16841636306933599</v>
      </c>
      <c r="S572" t="s">
        <v>6123</v>
      </c>
      <c r="T572" t="s">
        <v>11100</v>
      </c>
      <c r="U572" t="s">
        <v>11100</v>
      </c>
      <c r="V572" t="s">
        <v>11100</v>
      </c>
      <c r="W572" t="s">
        <v>11665</v>
      </c>
      <c r="X572">
        <v>3</v>
      </c>
      <c r="Y572" t="s">
        <v>17161</v>
      </c>
      <c r="Z572" t="s">
        <v>22577</v>
      </c>
      <c r="AA572">
        <v>1.061845478362949</v>
      </c>
      <c r="AB572" t="str">
        <f>HYPERLINK("Melting_Curves/meltCurve_F5GWI9_CCDC53.pdf", "Melting_Curves/meltCurve_F5GWI9_CCDC53.pdf")</f>
        <v>Melting_Curves/meltCurve_F5GWI9_CCDC53.pdf</v>
      </c>
    </row>
    <row r="573" spans="1:28" x14ac:dyDescent="0.25">
      <c r="A573" t="s">
        <v>577</v>
      </c>
      <c r="B573">
        <v>0.99299721793515405</v>
      </c>
      <c r="C573">
        <v>0.96710777537641102</v>
      </c>
      <c r="D573">
        <v>0.96748645380020704</v>
      </c>
      <c r="E573">
        <v>0.83973222033109496</v>
      </c>
      <c r="F573">
        <v>0.67334931347753602</v>
      </c>
      <c r="G573">
        <v>0.38567451774852202</v>
      </c>
      <c r="H573">
        <v>0.23873268637905701</v>
      </c>
      <c r="I573">
        <v>0.21448473269620799</v>
      </c>
      <c r="J573">
        <v>0.19145922153058301</v>
      </c>
      <c r="K573">
        <v>0.16893520332466899</v>
      </c>
      <c r="L573">
        <v>899.79096257834306</v>
      </c>
      <c r="M573">
        <v>17.636821739026299</v>
      </c>
      <c r="N573">
        <v>52.142314032457598</v>
      </c>
      <c r="O573">
        <v>50.375416798392401</v>
      </c>
      <c r="P573">
        <v>-7.3684285864134197E-2</v>
      </c>
      <c r="Q573">
        <v>0.15819795164577299</v>
      </c>
      <c r="R573">
        <v>0.99682746537539202</v>
      </c>
      <c r="S573" t="s">
        <v>6124</v>
      </c>
      <c r="T573" t="s">
        <v>11100</v>
      </c>
      <c r="U573" t="s">
        <v>11100</v>
      </c>
      <c r="V573" t="s">
        <v>11100</v>
      </c>
      <c r="W573" t="s">
        <v>11666</v>
      </c>
      <c r="X573">
        <v>8</v>
      </c>
      <c r="Y573" t="s">
        <v>17162</v>
      </c>
      <c r="Z573" t="s">
        <v>22578</v>
      </c>
      <c r="AA573">
        <v>0.56500203009116656</v>
      </c>
      <c r="AB573" t="str">
        <f>HYPERLINK("Melting_Curves/meltCurve_F5GWU7_SMAD5.pdf", "Melting_Curves/meltCurve_F5GWU7_SMAD5.pdf")</f>
        <v>Melting_Curves/meltCurve_F5GWU7_SMAD5.pdf</v>
      </c>
    </row>
    <row r="574" spans="1:28" x14ac:dyDescent="0.25">
      <c r="A574" t="s">
        <v>578</v>
      </c>
      <c r="B574">
        <v>0.99299721793515405</v>
      </c>
      <c r="C574">
        <v>0.89118537130503805</v>
      </c>
      <c r="D574">
        <v>0.86732988194523597</v>
      </c>
      <c r="E574">
        <v>0.78931289139893202</v>
      </c>
      <c r="F574">
        <v>0.53789401155662897</v>
      </c>
      <c r="G574">
        <v>0.33435527477115301</v>
      </c>
      <c r="H574">
        <v>0.222335811992729</v>
      </c>
      <c r="I574">
        <v>0.170576298493783</v>
      </c>
      <c r="J574">
        <v>0.18033347339136399</v>
      </c>
      <c r="K574">
        <v>0.13224103001259499</v>
      </c>
      <c r="L574">
        <v>634.06270213334506</v>
      </c>
      <c r="M574">
        <v>12.7072728193508</v>
      </c>
      <c r="N574">
        <v>50.775240299029903</v>
      </c>
      <c r="O574">
        <v>48.7102968566793</v>
      </c>
      <c r="P574">
        <v>-5.8799740475655497E-2</v>
      </c>
      <c r="Q574">
        <v>9.8594926717087597E-2</v>
      </c>
      <c r="R574">
        <v>0.99007327523522004</v>
      </c>
      <c r="S574" t="s">
        <v>6125</v>
      </c>
      <c r="T574" t="s">
        <v>11100</v>
      </c>
      <c r="U574" t="s">
        <v>11100</v>
      </c>
      <c r="V574" t="s">
        <v>11100</v>
      </c>
      <c r="W574" t="s">
        <v>11667</v>
      </c>
      <c r="X574">
        <v>8</v>
      </c>
      <c r="Y574" t="s">
        <v>17163</v>
      </c>
      <c r="Z574" t="s">
        <v>22579</v>
      </c>
      <c r="AA574">
        <v>0.5098117139047359</v>
      </c>
      <c r="AB574" t="str">
        <f>HYPERLINK("Melting_Curves/meltCurve_F5GWX5_CHD4.pdf", "Melting_Curves/meltCurve_F5GWX5_CHD4.pdf")</f>
        <v>Melting_Curves/meltCurve_F5GWX5_CHD4.pdf</v>
      </c>
    </row>
    <row r="575" spans="1:28" x14ac:dyDescent="0.25">
      <c r="A575" t="s">
        <v>579</v>
      </c>
      <c r="B575">
        <v>0.99299721793515405</v>
      </c>
      <c r="C575">
        <v>0.97025439889531795</v>
      </c>
      <c r="D575">
        <v>1.07328696129087</v>
      </c>
      <c r="E575">
        <v>0.83375007211421803</v>
      </c>
      <c r="F575">
        <v>0.79697360532499295</v>
      </c>
      <c r="G575">
        <v>0.590924417289446</v>
      </c>
      <c r="H575">
        <v>0.72712430180755505</v>
      </c>
      <c r="I575">
        <v>0.80762773009451305</v>
      </c>
      <c r="J575">
        <v>0.88330557778204699</v>
      </c>
      <c r="K575">
        <v>0.76265829988713796</v>
      </c>
      <c r="L575">
        <v>9900.2552761771203</v>
      </c>
      <c r="M575">
        <v>213.28429792262199</v>
      </c>
      <c r="O575">
        <v>46.414034980995801</v>
      </c>
      <c r="P575">
        <v>-0.27406597297619301</v>
      </c>
      <c r="Q575">
        <v>0.76143564721792101</v>
      </c>
      <c r="R575">
        <v>0.69589194919665998</v>
      </c>
      <c r="S575" t="s">
        <v>6126</v>
      </c>
      <c r="T575" t="s">
        <v>11100</v>
      </c>
      <c r="U575" t="s">
        <v>11100</v>
      </c>
      <c r="V575" t="s">
        <v>11100</v>
      </c>
      <c r="W575" t="s">
        <v>11668</v>
      </c>
      <c r="X575">
        <v>6</v>
      </c>
      <c r="Y575" t="s">
        <v>17164</v>
      </c>
      <c r="Z575" t="s">
        <v>22580</v>
      </c>
      <c r="AA575">
        <v>0.83635657520897055</v>
      </c>
      <c r="AB575" t="str">
        <f>HYPERLINK("Melting_Curves/meltCurve_F5GWY5_PODXL.pdf", "Melting_Curves/meltCurve_F5GWY5_PODXL.pdf")</f>
        <v>Melting_Curves/meltCurve_F5GWY5_PODXL.pdf</v>
      </c>
    </row>
    <row r="576" spans="1:28" x14ac:dyDescent="0.25">
      <c r="A576" t="s">
        <v>580</v>
      </c>
      <c r="B576">
        <v>0.99299721793515405</v>
      </c>
      <c r="C576">
        <v>0.85894865273574805</v>
      </c>
      <c r="D576">
        <v>1.0938067269404299</v>
      </c>
      <c r="E576">
        <v>0.79237923390875398</v>
      </c>
      <c r="F576">
        <v>0.74803089512232002</v>
      </c>
      <c r="G576">
        <v>0.51952103269146199</v>
      </c>
      <c r="H576">
        <v>0.30030032805661699</v>
      </c>
      <c r="I576">
        <v>0.222520917447939</v>
      </c>
      <c r="J576">
        <v>0.16536656505545</v>
      </c>
      <c r="K576">
        <v>0.15155666226877201</v>
      </c>
      <c r="L576">
        <v>719.83201595074195</v>
      </c>
      <c r="M576">
        <v>13.5606875609996</v>
      </c>
      <c r="N576">
        <v>53.849656019233798</v>
      </c>
      <c r="O576">
        <v>51.9678125805085</v>
      </c>
      <c r="P576">
        <v>-5.9513090884126797E-2</v>
      </c>
      <c r="Q576">
        <v>8.7862852525965901E-2</v>
      </c>
      <c r="R576">
        <v>0.96151363271705104</v>
      </c>
      <c r="S576" t="s">
        <v>6127</v>
      </c>
      <c r="T576" t="s">
        <v>11100</v>
      </c>
      <c r="U576" t="s">
        <v>11100</v>
      </c>
      <c r="V576" t="s">
        <v>11100</v>
      </c>
      <c r="W576" t="s">
        <v>11669</v>
      </c>
      <c r="X576">
        <v>2</v>
      </c>
      <c r="Y576" t="s">
        <v>17165</v>
      </c>
      <c r="Z576" t="s">
        <v>22581</v>
      </c>
      <c r="AA576">
        <v>0.59444799473627774</v>
      </c>
      <c r="AB576" t="str">
        <f>HYPERLINK("Melting_Curves/meltCurve_F5GX09_FAM76B.pdf", "Melting_Curves/meltCurve_F5GX09_FAM76B.pdf")</f>
        <v>Melting_Curves/meltCurve_F5GX09_FAM76B.pdf</v>
      </c>
    </row>
    <row r="577" spans="1:28" x14ac:dyDescent="0.25">
      <c r="A577" t="s">
        <v>581</v>
      </c>
      <c r="B577">
        <v>0.99299721793515405</v>
      </c>
      <c r="C577">
        <v>1.03552921732522</v>
      </c>
      <c r="D577">
        <v>1.0128075663667599</v>
      </c>
      <c r="E577">
        <v>0.900178005417131</v>
      </c>
      <c r="F577">
        <v>0.67474852322497303</v>
      </c>
      <c r="G577">
        <v>0.248842492480464</v>
      </c>
      <c r="H577">
        <v>0.16878710250964399</v>
      </c>
      <c r="I577">
        <v>0.145440291347779</v>
      </c>
      <c r="J577">
        <v>0.12931271387436599</v>
      </c>
      <c r="K577">
        <v>0.10978002743832301</v>
      </c>
      <c r="L577">
        <v>1475.8947218475701</v>
      </c>
      <c r="M577">
        <v>28.991338774396599</v>
      </c>
      <c r="N577">
        <v>51.412611989513998</v>
      </c>
      <c r="O577">
        <v>50.667757074602797</v>
      </c>
      <c r="P577">
        <v>-0.12533861780452499</v>
      </c>
      <c r="Q577">
        <v>0.123796399618457</v>
      </c>
      <c r="R577">
        <v>0.99647130276611495</v>
      </c>
      <c r="S577" t="s">
        <v>6128</v>
      </c>
      <c r="T577" t="s">
        <v>11100</v>
      </c>
      <c r="U577" t="s">
        <v>11100</v>
      </c>
      <c r="V577" t="s">
        <v>11100</v>
      </c>
      <c r="W577" t="s">
        <v>11670</v>
      </c>
      <c r="X577">
        <v>12</v>
      </c>
      <c r="Y577" t="s">
        <v>17166</v>
      </c>
      <c r="Z577" t="s">
        <v>22582</v>
      </c>
      <c r="AA577">
        <v>0.53583497290148707</v>
      </c>
      <c r="AB577" t="str">
        <f>HYPERLINK("Melting_Curves/meltCurve_F5GXC8_SUCLA2.pdf", "Melting_Curves/meltCurve_F5GXC8_SUCLA2.pdf")</f>
        <v>Melting_Curves/meltCurve_F5GXC8_SUCLA2.pdf</v>
      </c>
    </row>
    <row r="578" spans="1:28" x14ac:dyDescent="0.25">
      <c r="A578" t="s">
        <v>582</v>
      </c>
      <c r="B578">
        <v>0.99299721793515405</v>
      </c>
      <c r="C578">
        <v>1.0356714828978399</v>
      </c>
      <c r="D578">
        <v>0.93160870244363603</v>
      </c>
      <c r="E578">
        <v>0.92545478168500805</v>
      </c>
      <c r="F578">
        <v>0.89053733087345699</v>
      </c>
      <c r="G578">
        <v>0.68258011262080998</v>
      </c>
      <c r="H578">
        <v>0.43007791015228602</v>
      </c>
      <c r="I578">
        <v>0.21991855745002001</v>
      </c>
      <c r="J578">
        <v>0.19629950237400901</v>
      </c>
      <c r="K578">
        <v>0.106089309798077</v>
      </c>
      <c r="L578">
        <v>910.404447051945</v>
      </c>
      <c r="M578">
        <v>16.282888663953301</v>
      </c>
      <c r="N578">
        <v>56.331245588051502</v>
      </c>
      <c r="O578">
        <v>55.088814382883101</v>
      </c>
      <c r="P578">
        <v>-6.9679607246554698E-2</v>
      </c>
      <c r="Q578">
        <v>5.70995206861123E-2</v>
      </c>
      <c r="R578">
        <v>0.99230205764292601</v>
      </c>
      <c r="S578" t="s">
        <v>6129</v>
      </c>
      <c r="T578" t="s">
        <v>11100</v>
      </c>
      <c r="U578" t="s">
        <v>11100</v>
      </c>
      <c r="V578" t="s">
        <v>11100</v>
      </c>
      <c r="W578" t="s">
        <v>11671</v>
      </c>
      <c r="X578">
        <v>5</v>
      </c>
      <c r="Y578" t="s">
        <v>17167</v>
      </c>
      <c r="Z578" t="s">
        <v>22583</v>
      </c>
      <c r="AA578">
        <v>0.66246845480087657</v>
      </c>
      <c r="AB578" t="str">
        <f>HYPERLINK("Melting_Curves/meltCurve_F5GXE4_ATE1.pdf", "Melting_Curves/meltCurve_F5GXE4_ATE1.pdf")</f>
        <v>Melting_Curves/meltCurve_F5GXE4_ATE1.pdf</v>
      </c>
    </row>
    <row r="579" spans="1:28" x14ac:dyDescent="0.25">
      <c r="A579" t="s">
        <v>583</v>
      </c>
      <c r="B579">
        <v>0.99299721793515405</v>
      </c>
      <c r="C579">
        <v>0.92839122933340701</v>
      </c>
      <c r="D579">
        <v>0.83621254583270899</v>
      </c>
      <c r="E579">
        <v>0.83204888429897395</v>
      </c>
      <c r="F579">
        <v>0.66100201743505105</v>
      </c>
      <c r="G579">
        <v>0.33479451329272097</v>
      </c>
      <c r="H579">
        <v>0.33138465577175402</v>
      </c>
      <c r="I579">
        <v>0.38993854516045401</v>
      </c>
      <c r="J579">
        <v>0.35824680033032302</v>
      </c>
      <c r="K579">
        <v>0.31234791616511498</v>
      </c>
      <c r="L579">
        <v>770.59301395757996</v>
      </c>
      <c r="M579">
        <v>15.7366014754716</v>
      </c>
      <c r="N579">
        <v>52.1456089373807</v>
      </c>
      <c r="O579">
        <v>48.197896081892701</v>
      </c>
      <c r="P579">
        <v>-5.64615098496015E-2</v>
      </c>
      <c r="Q579">
        <v>0.30833905045315602</v>
      </c>
      <c r="R579">
        <v>0.94837963803324998</v>
      </c>
      <c r="S579" t="s">
        <v>6130</v>
      </c>
      <c r="T579" t="s">
        <v>11100</v>
      </c>
      <c r="U579" t="s">
        <v>11100</v>
      </c>
      <c r="V579" t="s">
        <v>11100</v>
      </c>
      <c r="W579" t="s">
        <v>11672</v>
      </c>
      <c r="X579">
        <v>4</v>
      </c>
      <c r="Y579" t="s">
        <v>17168</v>
      </c>
      <c r="Z579" t="s">
        <v>22584</v>
      </c>
      <c r="AA579">
        <v>0.59806390831159784</v>
      </c>
      <c r="AB579" t="str">
        <f>HYPERLINK("Melting_Curves/meltCurve_F5GXI4_PTPRK.pdf", "Melting_Curves/meltCurve_F5GXI4_PTPRK.pdf")</f>
        <v>Melting_Curves/meltCurve_F5GXI4_PTPRK.pdf</v>
      </c>
    </row>
    <row r="580" spans="1:28" x14ac:dyDescent="0.25">
      <c r="A580" t="s">
        <v>584</v>
      </c>
      <c r="B580">
        <v>0.99299721793515405</v>
      </c>
      <c r="C580">
        <v>0.96959268045466096</v>
      </c>
      <c r="D580">
        <v>0.94256565891865196</v>
      </c>
      <c r="E580">
        <v>0.89674806623204295</v>
      </c>
      <c r="F580">
        <v>0.73364959776100902</v>
      </c>
      <c r="G580">
        <v>0.65455434871736395</v>
      </c>
      <c r="H580">
        <v>0.47875942408531402</v>
      </c>
      <c r="I580">
        <v>0.38110684404427497</v>
      </c>
      <c r="J580">
        <v>0.327617759442067</v>
      </c>
      <c r="K580">
        <v>0.26682143531352198</v>
      </c>
      <c r="L580">
        <v>525.78678048569896</v>
      </c>
      <c r="M580">
        <v>9.4894493747043303</v>
      </c>
      <c r="N580">
        <v>57.205038778662299</v>
      </c>
      <c r="O580">
        <v>53.114257077195802</v>
      </c>
      <c r="P580">
        <v>-3.8930252512460101E-2</v>
      </c>
      <c r="Q580">
        <v>0.12891688962622599</v>
      </c>
      <c r="R580">
        <v>0.99641934329036497</v>
      </c>
      <c r="S580" t="s">
        <v>6131</v>
      </c>
      <c r="T580" t="s">
        <v>11100</v>
      </c>
      <c r="U580" t="s">
        <v>11100</v>
      </c>
      <c r="V580" t="s">
        <v>11100</v>
      </c>
      <c r="W580" t="s">
        <v>11673</v>
      </c>
      <c r="X580">
        <v>2</v>
      </c>
      <c r="Y580" t="s">
        <v>17169</v>
      </c>
      <c r="Z580" t="s">
        <v>22585</v>
      </c>
      <c r="AA580">
        <v>0.67086731914200437</v>
      </c>
      <c r="AB580" t="str">
        <f>HYPERLINK("Melting_Curves/meltCurve_F5GXX5_DAD1.pdf", "Melting_Curves/meltCurve_F5GXX5_DAD1.pdf")</f>
        <v>Melting_Curves/meltCurve_F5GXX5_DAD1.pdf</v>
      </c>
    </row>
    <row r="581" spans="1:28" x14ac:dyDescent="0.25">
      <c r="A581" t="s">
        <v>585</v>
      </c>
      <c r="B581">
        <v>0.99299721793515405</v>
      </c>
      <c r="C581">
        <v>0.79571182283598196</v>
      </c>
      <c r="D581">
        <v>1.04587298285962</v>
      </c>
      <c r="E581">
        <v>0.818266385294664</v>
      </c>
      <c r="F581">
        <v>0.56027562768581796</v>
      </c>
      <c r="G581">
        <v>0.36212214206020399</v>
      </c>
      <c r="H581">
        <v>0.504846257639884</v>
      </c>
      <c r="I581">
        <v>0.4570741627637</v>
      </c>
      <c r="J581">
        <v>0.524736793436681</v>
      </c>
      <c r="K581">
        <v>0.385538706090996</v>
      </c>
      <c r="L581">
        <v>1676.78978990376</v>
      </c>
      <c r="M581">
        <v>35.150864324626603</v>
      </c>
      <c r="N581">
        <v>51.020215890699603</v>
      </c>
      <c r="O581">
        <v>47.549063956243302</v>
      </c>
      <c r="P581">
        <v>-0.10180563062881599</v>
      </c>
      <c r="Q581">
        <v>0.44914637279887698</v>
      </c>
      <c r="R581">
        <v>0.87803886360451</v>
      </c>
      <c r="S581" t="s">
        <v>6132</v>
      </c>
      <c r="T581" t="s">
        <v>11100</v>
      </c>
      <c r="U581" t="s">
        <v>11100</v>
      </c>
      <c r="V581" t="s">
        <v>11100</v>
      </c>
      <c r="W581" t="s">
        <v>11674</v>
      </c>
      <c r="X581">
        <v>1</v>
      </c>
      <c r="Y581" t="s">
        <v>17170</v>
      </c>
      <c r="Z581" t="s">
        <v>22586</v>
      </c>
      <c r="AA581">
        <v>0.64802373699007887</v>
      </c>
      <c r="AB581" t="str">
        <f>HYPERLINK("Melting_Curves/meltCurve_F5GY92_GPBP1.pdf", "Melting_Curves/meltCurve_F5GY92_GPBP1.pdf")</f>
        <v>Melting_Curves/meltCurve_F5GY92_GPBP1.pdf</v>
      </c>
    </row>
    <row r="582" spans="1:28" x14ac:dyDescent="0.25">
      <c r="A582" t="s">
        <v>586</v>
      </c>
      <c r="B582">
        <v>0.99299721793515405</v>
      </c>
      <c r="C582">
        <v>1.21963647361366</v>
      </c>
      <c r="D582">
        <v>0.91751997256567197</v>
      </c>
      <c r="E582">
        <v>0.75606192963091301</v>
      </c>
      <c r="F582">
        <v>0.82460873625331699</v>
      </c>
      <c r="G582">
        <v>0.59932886864476098</v>
      </c>
      <c r="H582">
        <v>0.24849460009660199</v>
      </c>
      <c r="I582">
        <v>0.14715293155426001</v>
      </c>
      <c r="J582">
        <v>0.21242424406188901</v>
      </c>
      <c r="K582">
        <v>0.119259774862762</v>
      </c>
      <c r="L582">
        <v>786.19195380298504</v>
      </c>
      <c r="M582">
        <v>14.6302160582254</v>
      </c>
      <c r="N582">
        <v>54.252193314480301</v>
      </c>
      <c r="O582">
        <v>52.763508664194603</v>
      </c>
      <c r="P582">
        <v>-6.4835587884550294E-2</v>
      </c>
      <c r="Q582">
        <v>6.47924635128969E-2</v>
      </c>
      <c r="R582">
        <v>0.92815145855304904</v>
      </c>
      <c r="S582" t="s">
        <v>6133</v>
      </c>
      <c r="T582" t="s">
        <v>11100</v>
      </c>
      <c r="U582" t="s">
        <v>11100</v>
      </c>
      <c r="V582" t="s">
        <v>11100</v>
      </c>
      <c r="W582" t="s">
        <v>11675</v>
      </c>
      <c r="X582">
        <v>2</v>
      </c>
      <c r="Y582" t="s">
        <v>17171</v>
      </c>
      <c r="Z582" t="s">
        <v>22587</v>
      </c>
      <c r="AA582">
        <v>0.60245134453208993</v>
      </c>
      <c r="AB582" t="str">
        <f>HYPERLINK("Melting_Curves/meltCurve_F5GY99_GALNT1.pdf", "Melting_Curves/meltCurve_F5GY99_GALNT1.pdf")</f>
        <v>Melting_Curves/meltCurve_F5GY99_GALNT1.pdf</v>
      </c>
    </row>
    <row r="583" spans="1:28" x14ac:dyDescent="0.25">
      <c r="A583" t="s">
        <v>587</v>
      </c>
      <c r="B583">
        <v>0.99299721793515405</v>
      </c>
      <c r="C583">
        <v>0.96667406087208096</v>
      </c>
      <c r="D583">
        <v>0.88742970664398002</v>
      </c>
      <c r="E583">
        <v>0.80470964749121499</v>
      </c>
      <c r="F583">
        <v>0.71095736806490195</v>
      </c>
      <c r="G583">
        <v>0.69767869284774797</v>
      </c>
      <c r="H583">
        <v>0.41472597418930801</v>
      </c>
      <c r="I583">
        <v>0.20531333945642599</v>
      </c>
      <c r="J583">
        <v>0.26092307159412897</v>
      </c>
      <c r="K583">
        <v>0.22103431145829999</v>
      </c>
      <c r="L583">
        <v>483.41439476721598</v>
      </c>
      <c r="M583">
        <v>8.6863586235277399</v>
      </c>
      <c r="N583">
        <v>55.652133929644101</v>
      </c>
      <c r="O583">
        <v>52.938572909386998</v>
      </c>
      <c r="P583">
        <v>-4.10549982079597E-2</v>
      </c>
      <c r="Q583">
        <v>0</v>
      </c>
      <c r="R583">
        <v>0.96228668888734104</v>
      </c>
      <c r="S583" t="s">
        <v>6134</v>
      </c>
      <c r="T583" t="s">
        <v>11100</v>
      </c>
      <c r="U583" t="s">
        <v>11100</v>
      </c>
      <c r="V583" t="s">
        <v>11100</v>
      </c>
      <c r="W583" t="s">
        <v>11676</v>
      </c>
      <c r="X583">
        <v>1</v>
      </c>
      <c r="Y583" t="s">
        <v>17172</v>
      </c>
      <c r="Z583" t="s">
        <v>22588</v>
      </c>
      <c r="AA583">
        <v>0.62601250340063996</v>
      </c>
      <c r="AB583" t="str">
        <f>HYPERLINK("Melting_Curves/meltCurve_F5GYC1_ABCD3.pdf", "Melting_Curves/meltCurve_F5GYC1_ABCD3.pdf")</f>
        <v>Melting_Curves/meltCurve_F5GYC1_ABCD3.pdf</v>
      </c>
    </row>
    <row r="584" spans="1:28" x14ac:dyDescent="0.25">
      <c r="A584" t="s">
        <v>588</v>
      </c>
      <c r="B584">
        <v>0.99299721793515405</v>
      </c>
      <c r="C584">
        <v>0.98351130143369203</v>
      </c>
      <c r="D584">
        <v>0.86441707658023803</v>
      </c>
      <c r="E584">
        <v>0.84648604075985501</v>
      </c>
      <c r="F584">
        <v>0.45640407184697102</v>
      </c>
      <c r="G584">
        <v>0.256646083688991</v>
      </c>
      <c r="H584">
        <v>0.21162561045591299</v>
      </c>
      <c r="I584">
        <v>0.200812083945761</v>
      </c>
      <c r="J584">
        <v>0.183304556488465</v>
      </c>
      <c r="K584">
        <v>9.1220828960459494E-2</v>
      </c>
      <c r="L584">
        <v>998.85544492515396</v>
      </c>
      <c r="M584">
        <v>20.3385568157716</v>
      </c>
      <c r="N584">
        <v>49.981511886340101</v>
      </c>
      <c r="O584">
        <v>48.644036711833401</v>
      </c>
      <c r="P584">
        <v>-8.8946929471701394E-2</v>
      </c>
      <c r="Q584">
        <v>0.14908301427406401</v>
      </c>
      <c r="R584">
        <v>0.98453140743448397</v>
      </c>
      <c r="S584" t="s">
        <v>6135</v>
      </c>
      <c r="T584" t="s">
        <v>11100</v>
      </c>
      <c r="U584" t="s">
        <v>11100</v>
      </c>
      <c r="V584" t="s">
        <v>11100</v>
      </c>
      <c r="W584" t="s">
        <v>11677</v>
      </c>
      <c r="X584">
        <v>7</v>
      </c>
      <c r="Y584" t="s">
        <v>17173</v>
      </c>
      <c r="Z584" t="s">
        <v>22589</v>
      </c>
      <c r="AA584">
        <v>0.50348465948112808</v>
      </c>
      <c r="AB584" t="str">
        <f>HYPERLINK("Melting_Curves/meltCurve_F5GYE8_CEP112.pdf", "Melting_Curves/meltCurve_F5GYE8_CEP112.pdf")</f>
        <v>Melting_Curves/meltCurve_F5GYE8_CEP112.pdf</v>
      </c>
    </row>
    <row r="585" spans="1:28" x14ac:dyDescent="0.25">
      <c r="A585" t="s">
        <v>589</v>
      </c>
      <c r="B585">
        <v>0.99299721793515405</v>
      </c>
      <c r="C585">
        <v>0.97398976015782501</v>
      </c>
      <c r="D585">
        <v>1.09324265768755</v>
      </c>
      <c r="E585">
        <v>1.0428902122768999</v>
      </c>
      <c r="F585">
        <v>0.88591879418845998</v>
      </c>
      <c r="G585">
        <v>0.895417140192036</v>
      </c>
      <c r="H585">
        <v>0.73804342525244304</v>
      </c>
      <c r="I585">
        <v>0.84475212779727205</v>
      </c>
      <c r="J585">
        <v>0.51192637764891502</v>
      </c>
      <c r="K585">
        <v>0.33120724494835102</v>
      </c>
      <c r="L585">
        <v>828.52048579540997</v>
      </c>
      <c r="M585">
        <v>12.8149033907552</v>
      </c>
      <c r="N585">
        <v>64.652888990412393</v>
      </c>
      <c r="O585">
        <v>63.139201974791497</v>
      </c>
      <c r="P585">
        <v>-5.0750159816113E-2</v>
      </c>
      <c r="Q585">
        <v>0</v>
      </c>
      <c r="R585">
        <v>0.88523557076869896</v>
      </c>
      <c r="S585" t="s">
        <v>6136</v>
      </c>
      <c r="T585" t="s">
        <v>11100</v>
      </c>
      <c r="U585" t="s">
        <v>11100</v>
      </c>
      <c r="V585" t="s">
        <v>11100</v>
      </c>
      <c r="W585" t="s">
        <v>11465</v>
      </c>
      <c r="X585">
        <v>3</v>
      </c>
      <c r="Z585" t="s">
        <v>22590</v>
      </c>
      <c r="AA585">
        <v>0.85727484776862184</v>
      </c>
      <c r="AB585" t="str">
        <f>HYPERLINK("Melting_Curves/meltCurve_F5GYJ5_.pdf", "Melting_Curves/meltCurve_F5GYJ5_.pdf")</f>
        <v>Melting_Curves/meltCurve_F5GYJ5_.pdf</v>
      </c>
    </row>
    <row r="586" spans="1:28" x14ac:dyDescent="0.25">
      <c r="A586" t="s">
        <v>590</v>
      </c>
      <c r="B586">
        <v>0.99299721793515405</v>
      </c>
      <c r="C586">
        <v>0.958167688688219</v>
      </c>
      <c r="D586">
        <v>1.0073650887296499</v>
      </c>
      <c r="E586">
        <v>0.73734175542856695</v>
      </c>
      <c r="F586">
        <v>0.60857218272649605</v>
      </c>
      <c r="G586">
        <v>0.59796491188886902</v>
      </c>
      <c r="H586">
        <v>0.28313807462651103</v>
      </c>
      <c r="I586">
        <v>0.21580059944715099</v>
      </c>
      <c r="J586">
        <v>0.18749569363583801</v>
      </c>
      <c r="K586">
        <v>0.18268773765087001</v>
      </c>
      <c r="L586">
        <v>558.33115828093298</v>
      </c>
      <c r="M586">
        <v>10.622378387150301</v>
      </c>
      <c r="N586">
        <v>53.332738809056998</v>
      </c>
      <c r="O586">
        <v>50.801568131866901</v>
      </c>
      <c r="P586">
        <v>-4.8572161013540401E-2</v>
      </c>
      <c r="Q586">
        <v>7.1172125058298105E-2</v>
      </c>
      <c r="R586">
        <v>0.96806907959004995</v>
      </c>
      <c r="S586" t="s">
        <v>6137</v>
      </c>
      <c r="T586" t="s">
        <v>11100</v>
      </c>
      <c r="U586" t="s">
        <v>11100</v>
      </c>
      <c r="V586" t="s">
        <v>11100</v>
      </c>
      <c r="W586" t="s">
        <v>11678</v>
      </c>
      <c r="X586">
        <v>7</v>
      </c>
      <c r="Y586" t="s">
        <v>17174</v>
      </c>
      <c r="Z586" t="s">
        <v>22591</v>
      </c>
      <c r="AA586">
        <v>0.57508610050600195</v>
      </c>
      <c r="AB586" t="str">
        <f>HYPERLINK("Melting_Curves/meltCurve_F5GYK2_STRN4.pdf", "Melting_Curves/meltCurve_F5GYK2_STRN4.pdf")</f>
        <v>Melting_Curves/meltCurve_F5GYK2_STRN4.pdf</v>
      </c>
    </row>
    <row r="587" spans="1:28" x14ac:dyDescent="0.25">
      <c r="A587" t="s">
        <v>591</v>
      </c>
      <c r="B587">
        <v>0.99299721793515405</v>
      </c>
      <c r="C587">
        <v>1.0239053374417899</v>
      </c>
      <c r="D587">
        <v>0.98685055109658903</v>
      </c>
      <c r="E587">
        <v>0.88504307922866798</v>
      </c>
      <c r="F587">
        <v>0.74503244174333505</v>
      </c>
      <c r="G587">
        <v>0.58295626079339702</v>
      </c>
      <c r="H587">
        <v>0.316339761006253</v>
      </c>
      <c r="I587">
        <v>0.19021959355950699</v>
      </c>
      <c r="J587">
        <v>0.194652368636095</v>
      </c>
      <c r="K587">
        <v>0.167897544480264</v>
      </c>
      <c r="L587">
        <v>815.77290076942199</v>
      </c>
      <c r="M587">
        <v>15.264520273373501</v>
      </c>
      <c r="N587">
        <v>54.346661980485898</v>
      </c>
      <c r="O587">
        <v>52.550374942313901</v>
      </c>
      <c r="P587">
        <v>-6.4480727572568203E-2</v>
      </c>
      <c r="Q587">
        <v>0.11214564788681899</v>
      </c>
      <c r="R587">
        <v>0.99395855172488701</v>
      </c>
      <c r="S587" t="s">
        <v>6138</v>
      </c>
      <c r="T587" t="s">
        <v>11100</v>
      </c>
      <c r="U587" t="s">
        <v>11100</v>
      </c>
      <c r="V587" t="s">
        <v>11100</v>
      </c>
      <c r="W587" t="s">
        <v>11679</v>
      </c>
      <c r="X587">
        <v>10</v>
      </c>
      <c r="Y587" t="s">
        <v>17175</v>
      </c>
      <c r="Z587" t="s">
        <v>22592</v>
      </c>
      <c r="AA587">
        <v>0.61377091359720204</v>
      </c>
      <c r="AB587" t="str">
        <f>HYPERLINK("Melting_Curves/meltCurve_F5GYN4_OTUB1.pdf", "Melting_Curves/meltCurve_F5GYN4_OTUB1.pdf")</f>
        <v>Melting_Curves/meltCurve_F5GYN4_OTUB1.pdf</v>
      </c>
    </row>
    <row r="588" spans="1:28" x14ac:dyDescent="0.25">
      <c r="A588" t="s">
        <v>592</v>
      </c>
      <c r="B588">
        <v>0.99299721793515405</v>
      </c>
      <c r="C588">
        <v>0.971997815428569</v>
      </c>
      <c r="D588">
        <v>0.91677343248701604</v>
      </c>
      <c r="E588">
        <v>0.84877984408695695</v>
      </c>
      <c r="F588">
        <v>0.59931373629003304</v>
      </c>
      <c r="G588">
        <v>0.49468793554120599</v>
      </c>
      <c r="H588">
        <v>0.52132477173463598</v>
      </c>
      <c r="I588">
        <v>0.47743930302571003</v>
      </c>
      <c r="J588">
        <v>0.43544137963639401</v>
      </c>
      <c r="K588">
        <v>0.39498856627124401</v>
      </c>
      <c r="L588">
        <v>845.72187869444497</v>
      </c>
      <c r="M588">
        <v>17.4826707200309</v>
      </c>
      <c r="N588">
        <v>54.719539049895999</v>
      </c>
      <c r="O588">
        <v>47.755249821575298</v>
      </c>
      <c r="P588">
        <v>-5.1791555677647101E-2</v>
      </c>
      <c r="Q588">
        <v>0.43414096189651802</v>
      </c>
      <c r="R588">
        <v>0.98133290946236196</v>
      </c>
      <c r="S588" t="s">
        <v>6139</v>
      </c>
      <c r="T588" t="s">
        <v>11100</v>
      </c>
      <c r="U588" t="s">
        <v>11100</v>
      </c>
      <c r="V588" t="s">
        <v>11100</v>
      </c>
      <c r="W588" t="s">
        <v>11680</v>
      </c>
      <c r="X588">
        <v>5</v>
      </c>
      <c r="Y588" t="s">
        <v>17176</v>
      </c>
      <c r="Z588" t="s">
        <v>22593</v>
      </c>
      <c r="AA588">
        <v>0.65820484121479217</v>
      </c>
      <c r="AB588" t="str">
        <f>HYPERLINK("Melting_Curves/meltCurve_F5GYQ1_ATP6V0D1.pdf", "Melting_Curves/meltCurve_F5GYQ1_ATP6V0D1.pdf")</f>
        <v>Melting_Curves/meltCurve_F5GYQ1_ATP6V0D1.pdf</v>
      </c>
    </row>
    <row r="589" spans="1:28" x14ac:dyDescent="0.25">
      <c r="A589" t="s">
        <v>593</v>
      </c>
      <c r="B589">
        <v>0.99299721793515405</v>
      </c>
      <c r="C589">
        <v>0.88138947189066696</v>
      </c>
      <c r="D589">
        <v>0.952898970341443</v>
      </c>
      <c r="E589">
        <v>0.80650839745297698</v>
      </c>
      <c r="F589">
        <v>0.72292390685768604</v>
      </c>
      <c r="G589">
        <v>0.497239199152892</v>
      </c>
      <c r="H589">
        <v>0.51689834391382405</v>
      </c>
      <c r="I589">
        <v>0.57170408702801701</v>
      </c>
      <c r="J589">
        <v>0.58808841451594995</v>
      </c>
      <c r="K589">
        <v>0.37474451455444702</v>
      </c>
      <c r="L589">
        <v>626.31654795752695</v>
      </c>
      <c r="M589">
        <v>12.898930318485901</v>
      </c>
      <c r="N589">
        <v>61.6311892513774</v>
      </c>
      <c r="O589">
        <v>47.433077699607097</v>
      </c>
      <c r="P589">
        <v>-3.62014126506379E-2</v>
      </c>
      <c r="Q589">
        <v>0.46760484656429002</v>
      </c>
      <c r="R589">
        <v>0.88819951286883103</v>
      </c>
      <c r="S589" t="s">
        <v>6140</v>
      </c>
      <c r="T589" t="s">
        <v>11100</v>
      </c>
      <c r="U589" t="s">
        <v>11100</v>
      </c>
      <c r="V589" t="s">
        <v>11100</v>
      </c>
      <c r="W589" t="s">
        <v>11681</v>
      </c>
      <c r="X589">
        <v>9</v>
      </c>
      <c r="Y589" t="s">
        <v>17177</v>
      </c>
      <c r="Z589" t="s">
        <v>22594</v>
      </c>
      <c r="AA589">
        <v>0.68729530682266415</v>
      </c>
      <c r="AB589" t="str">
        <f>HYPERLINK("Melting_Curves/meltCurve_F5GZ78_PXN.pdf", "Melting_Curves/meltCurve_F5GZ78_PXN.pdf")</f>
        <v>Melting_Curves/meltCurve_F5GZ78_PXN.pdf</v>
      </c>
    </row>
    <row r="590" spans="1:28" x14ac:dyDescent="0.25">
      <c r="A590" t="s">
        <v>594</v>
      </c>
      <c r="B590">
        <v>0.99299721793515405</v>
      </c>
      <c r="C590">
        <v>0.94717176364257005</v>
      </c>
      <c r="D590">
        <v>0.89593678378780695</v>
      </c>
      <c r="E590">
        <v>0.72450849810205398</v>
      </c>
      <c r="F590">
        <v>0.39252429841561798</v>
      </c>
      <c r="G590">
        <v>0.163560526583273</v>
      </c>
      <c r="H590">
        <v>0.13188710651270899</v>
      </c>
      <c r="I590">
        <v>0.109604019994514</v>
      </c>
      <c r="J590">
        <v>0.106665796147903</v>
      </c>
      <c r="K590">
        <v>7.5472839653242405E-2</v>
      </c>
      <c r="L590">
        <v>932.79892610430602</v>
      </c>
      <c r="M590">
        <v>19.280317942285901</v>
      </c>
      <c r="N590">
        <v>48.837037070595599</v>
      </c>
      <c r="O590">
        <v>47.869433026080699</v>
      </c>
      <c r="P590">
        <v>-9.2399083869446799E-2</v>
      </c>
      <c r="Q590">
        <v>8.2395717377501204E-2</v>
      </c>
      <c r="R590">
        <v>0.99675489800582495</v>
      </c>
      <c r="S590" t="s">
        <v>6141</v>
      </c>
      <c r="T590" t="s">
        <v>11100</v>
      </c>
      <c r="U590" t="s">
        <v>11100</v>
      </c>
      <c r="V590" t="s">
        <v>11100</v>
      </c>
      <c r="W590" t="s">
        <v>11682</v>
      </c>
      <c r="X590">
        <v>6</v>
      </c>
      <c r="Y590" t="s">
        <v>17178</v>
      </c>
      <c r="Z590" t="s">
        <v>22595</v>
      </c>
      <c r="AA590">
        <v>0.44342122023272967</v>
      </c>
      <c r="AB590" t="str">
        <f>HYPERLINK("Melting_Curves/meltCurve_F5GZ84_FARP2.pdf", "Melting_Curves/meltCurve_F5GZ84_FARP2.pdf")</f>
        <v>Melting_Curves/meltCurve_F5GZ84_FARP2.pdf</v>
      </c>
    </row>
    <row r="591" spans="1:28" x14ac:dyDescent="0.25">
      <c r="A591" t="s">
        <v>595</v>
      </c>
      <c r="B591">
        <v>0.99299721793515405</v>
      </c>
      <c r="C591">
        <v>1.0698715575639299</v>
      </c>
      <c r="D591">
        <v>0.92160578622032496</v>
      </c>
      <c r="E591">
        <v>0.87704737821237999</v>
      </c>
      <c r="F591">
        <v>0.61986934291374396</v>
      </c>
      <c r="G591">
        <v>0.50184282577412398</v>
      </c>
      <c r="H591">
        <v>0.35379257513979301</v>
      </c>
      <c r="I591">
        <v>0.28845436600680402</v>
      </c>
      <c r="J591">
        <v>0.22650425873823701</v>
      </c>
      <c r="K591">
        <v>0.17916797753087399</v>
      </c>
      <c r="L591">
        <v>674.96753762770504</v>
      </c>
      <c r="M591">
        <v>13.0133092920811</v>
      </c>
      <c r="N591">
        <v>53.466435252372101</v>
      </c>
      <c r="O591">
        <v>50.688520496433298</v>
      </c>
      <c r="P591">
        <v>-5.3846500694524402E-2</v>
      </c>
      <c r="Q591">
        <v>0.16119166013248101</v>
      </c>
      <c r="R591">
        <v>0.98732550030907495</v>
      </c>
      <c r="S591" t="s">
        <v>6142</v>
      </c>
      <c r="T591" t="s">
        <v>11100</v>
      </c>
      <c r="U591" t="s">
        <v>11100</v>
      </c>
      <c r="V591" t="s">
        <v>11100</v>
      </c>
      <c r="W591" t="s">
        <v>11683</v>
      </c>
      <c r="X591">
        <v>2</v>
      </c>
      <c r="Y591" t="s">
        <v>17179</v>
      </c>
      <c r="Z591" t="s">
        <v>22596</v>
      </c>
      <c r="AA591">
        <v>0.59569674648298909</v>
      </c>
      <c r="AB591" t="str">
        <f>HYPERLINK("Melting_Curves/meltCurve_F5GZN3_MFGE8.pdf", "Melting_Curves/meltCurve_F5GZN3_MFGE8.pdf")</f>
        <v>Melting_Curves/meltCurve_F5GZN3_MFGE8.pdf</v>
      </c>
    </row>
    <row r="592" spans="1:28" x14ac:dyDescent="0.25">
      <c r="A592" t="s">
        <v>596</v>
      </c>
      <c r="B592">
        <v>0.99299721793515405</v>
      </c>
      <c r="C592">
        <v>1.22876112698063</v>
      </c>
      <c r="D592">
        <v>0.64114967779815102</v>
      </c>
      <c r="E592">
        <v>1.07820641182259</v>
      </c>
      <c r="F592">
        <v>1.0032004647264099</v>
      </c>
      <c r="G592">
        <v>0.60341915138123803</v>
      </c>
      <c r="H592">
        <v>0</v>
      </c>
      <c r="I592">
        <v>0</v>
      </c>
      <c r="J592">
        <v>0</v>
      </c>
      <c r="K592">
        <v>0</v>
      </c>
      <c r="L592">
        <v>13472.5815891286</v>
      </c>
      <c r="M592">
        <v>250</v>
      </c>
      <c r="N592">
        <v>53.890326347825003</v>
      </c>
      <c r="O592">
        <v>53.886877733823297</v>
      </c>
      <c r="P592">
        <v>-1.15983710139691</v>
      </c>
      <c r="Q592">
        <v>0</v>
      </c>
      <c r="R592">
        <v>0.92072068192121703</v>
      </c>
      <c r="S592" t="s">
        <v>6143</v>
      </c>
      <c r="T592" t="s">
        <v>11100</v>
      </c>
      <c r="U592" t="s">
        <v>11100</v>
      </c>
      <c r="V592" t="s">
        <v>11100</v>
      </c>
      <c r="W592" t="s">
        <v>11684</v>
      </c>
      <c r="X592">
        <v>1</v>
      </c>
      <c r="Y592" t="s">
        <v>17180</v>
      </c>
      <c r="Z592" t="s">
        <v>22597</v>
      </c>
      <c r="AA592">
        <v>0.56310545523451705</v>
      </c>
      <c r="AB592" t="str">
        <f>HYPERLINK("Melting_Curves/meltCurve_F5GZP3_TRIM59.pdf", "Melting_Curves/meltCurve_F5GZP3_TRIM59.pdf")</f>
        <v>Melting_Curves/meltCurve_F5GZP3_TRIM59.pdf</v>
      </c>
    </row>
    <row r="593" spans="1:28" x14ac:dyDescent="0.25">
      <c r="A593" t="s">
        <v>597</v>
      </c>
      <c r="B593">
        <v>0.99299721793515405</v>
      </c>
      <c r="C593">
        <v>1.0870015281446399</v>
      </c>
      <c r="D593">
        <v>1.1052366407118199</v>
      </c>
      <c r="E593">
        <v>0.84449360213481806</v>
      </c>
      <c r="F593">
        <v>0.78996059255444695</v>
      </c>
      <c r="G593">
        <v>0.56230199351049304</v>
      </c>
      <c r="H593">
        <v>0.26800808160306899</v>
      </c>
      <c r="I593">
        <v>0.20955900986855999</v>
      </c>
      <c r="J593">
        <v>0.133802452399015</v>
      </c>
      <c r="K593">
        <v>0.118545140929392</v>
      </c>
      <c r="L593">
        <v>908.61359281911098</v>
      </c>
      <c r="M593">
        <v>16.945897321838999</v>
      </c>
      <c r="N593">
        <v>54.212679569388698</v>
      </c>
      <c r="O593">
        <v>52.888517158392297</v>
      </c>
      <c r="P593">
        <v>-7.3317598945280504E-2</v>
      </c>
      <c r="Q593">
        <v>8.4753938624952105E-2</v>
      </c>
      <c r="R593">
        <v>0.976856254266246</v>
      </c>
      <c r="S593" t="s">
        <v>6144</v>
      </c>
      <c r="T593" t="s">
        <v>11100</v>
      </c>
      <c r="U593" t="s">
        <v>11100</v>
      </c>
      <c r="V593" t="s">
        <v>11100</v>
      </c>
      <c r="W593" t="s">
        <v>11685</v>
      </c>
      <c r="X593">
        <v>5</v>
      </c>
      <c r="Y593" t="s">
        <v>17181</v>
      </c>
      <c r="Z593" t="s">
        <v>22598</v>
      </c>
      <c r="AA593">
        <v>0.60552281030515542</v>
      </c>
      <c r="AB593" t="str">
        <f>HYPERLINK("Melting_Curves/meltCurve_F5GZS0_DHX36.pdf", "Melting_Curves/meltCurve_F5GZS0_DHX36.pdf")</f>
        <v>Melting_Curves/meltCurve_F5GZS0_DHX36.pdf</v>
      </c>
    </row>
    <row r="594" spans="1:28" x14ac:dyDescent="0.25">
      <c r="A594" t="s">
        <v>598</v>
      </c>
      <c r="B594">
        <v>0.99299721793515405</v>
      </c>
      <c r="C594">
        <v>1.0354913616933901</v>
      </c>
      <c r="D594">
        <v>0.91251708322267899</v>
      </c>
      <c r="E594">
        <v>0.88101301807457899</v>
      </c>
      <c r="F594">
        <v>0.79002203487647604</v>
      </c>
      <c r="G594">
        <v>0.66269051496824605</v>
      </c>
      <c r="H594">
        <v>0.745558347361717</v>
      </c>
      <c r="I594">
        <v>0.81894623091295604</v>
      </c>
      <c r="J594">
        <v>0.64987155147230302</v>
      </c>
      <c r="K594">
        <v>0.38871507435326202</v>
      </c>
      <c r="L594">
        <v>297.24634723238802</v>
      </c>
      <c r="M594">
        <v>4.2812296172600899</v>
      </c>
      <c r="O594">
        <v>58.187772068561003</v>
      </c>
      <c r="P594">
        <v>-1.8583692713283501E-2</v>
      </c>
      <c r="Q594">
        <v>0</v>
      </c>
      <c r="R594">
        <v>0.75363620590006997</v>
      </c>
      <c r="S594" t="s">
        <v>6145</v>
      </c>
      <c r="T594" t="s">
        <v>11100</v>
      </c>
      <c r="U594" t="s">
        <v>11100</v>
      </c>
      <c r="V594" t="s">
        <v>11100</v>
      </c>
      <c r="W594" t="s">
        <v>11686</v>
      </c>
      <c r="X594">
        <v>20</v>
      </c>
      <c r="Y594" t="s">
        <v>17182</v>
      </c>
      <c r="Z594" t="s">
        <v>22599</v>
      </c>
      <c r="AA594">
        <v>0.79024858690992894</v>
      </c>
      <c r="AB594" t="str">
        <f>HYPERLINK("Melting_Curves/meltCurve_F5GZS6_SLC3A2.pdf", "Melting_Curves/meltCurve_F5GZS6_SLC3A2.pdf")</f>
        <v>Melting_Curves/meltCurve_F5GZS6_SLC3A2.pdf</v>
      </c>
    </row>
    <row r="595" spans="1:28" x14ac:dyDescent="0.25">
      <c r="A595" t="s">
        <v>599</v>
      </c>
      <c r="B595">
        <v>0.99299721793515405</v>
      </c>
      <c r="C595">
        <v>0.75844408229907301</v>
      </c>
      <c r="D595">
        <v>1.1260326433504699</v>
      </c>
      <c r="E595">
        <v>0.68082652558409296</v>
      </c>
      <c r="F595">
        <v>0.72468014776924905</v>
      </c>
      <c r="G595">
        <v>0.50157339094414899</v>
      </c>
      <c r="H595">
        <v>0.35748637848200798</v>
      </c>
      <c r="I595">
        <v>0.278103814801613</v>
      </c>
      <c r="J595">
        <v>0.286130005843724</v>
      </c>
      <c r="K595">
        <v>0.106045185178889</v>
      </c>
      <c r="L595">
        <v>463.95663891583598</v>
      </c>
      <c r="M595">
        <v>8.5569894105826894</v>
      </c>
      <c r="N595">
        <v>54.219617463995</v>
      </c>
      <c r="O595">
        <v>51.501915172719997</v>
      </c>
      <c r="P595">
        <v>-4.1573736707598903E-2</v>
      </c>
      <c r="Q595">
        <v>0</v>
      </c>
      <c r="R595">
        <v>0.88191358820435495</v>
      </c>
      <c r="S595" t="s">
        <v>6146</v>
      </c>
      <c r="T595" t="s">
        <v>11100</v>
      </c>
      <c r="U595" t="s">
        <v>11100</v>
      </c>
      <c r="V595" t="s">
        <v>11100</v>
      </c>
      <c r="W595" t="s">
        <v>11687</v>
      </c>
      <c r="X595">
        <v>4</v>
      </c>
      <c r="Y595" t="s">
        <v>17183</v>
      </c>
      <c r="Z595" t="s">
        <v>22600</v>
      </c>
      <c r="AA595">
        <v>0.58829825329269692</v>
      </c>
      <c r="AB595" t="str">
        <f>HYPERLINK("Melting_Curves/meltCurve_F5GZU5_MED15.pdf", "Melting_Curves/meltCurve_F5GZU5_MED15.pdf")</f>
        <v>Melting_Curves/meltCurve_F5GZU5_MED15.pdf</v>
      </c>
    </row>
    <row r="596" spans="1:28" x14ac:dyDescent="0.25">
      <c r="A596" t="s">
        <v>600</v>
      </c>
      <c r="B596">
        <v>0.99299721793515405</v>
      </c>
      <c r="C596">
        <v>1.0470612794340299</v>
      </c>
      <c r="D596">
        <v>1.09906989250548</v>
      </c>
      <c r="E596">
        <v>0.84355437731240501</v>
      </c>
      <c r="F596">
        <v>0.56263307005678698</v>
      </c>
      <c r="G596">
        <v>0.32047039204102701</v>
      </c>
      <c r="H596">
        <v>0.24241167086065599</v>
      </c>
      <c r="I596">
        <v>0.24384183907974399</v>
      </c>
      <c r="J596">
        <v>0.21370821628112099</v>
      </c>
      <c r="K596">
        <v>0.22727965702324501</v>
      </c>
      <c r="L596">
        <v>1282.6415511753</v>
      </c>
      <c r="M596">
        <v>25.853716541360999</v>
      </c>
      <c r="N596">
        <v>50.7869522413623</v>
      </c>
      <c r="O596">
        <v>49.317532432823597</v>
      </c>
      <c r="P596">
        <v>-0.101551127946266</v>
      </c>
      <c r="Q596">
        <v>0.22514936771726601</v>
      </c>
      <c r="R596">
        <v>0.98684701484466497</v>
      </c>
      <c r="S596" t="s">
        <v>6147</v>
      </c>
      <c r="T596" t="s">
        <v>11100</v>
      </c>
      <c r="U596" t="s">
        <v>11100</v>
      </c>
      <c r="V596" t="s">
        <v>11100</v>
      </c>
      <c r="W596" t="s">
        <v>11688</v>
      </c>
      <c r="X596">
        <v>5</v>
      </c>
      <c r="Y596" t="s">
        <v>17184</v>
      </c>
      <c r="Z596" t="s">
        <v>22601</v>
      </c>
      <c r="AA596">
        <v>0.5572073926081772</v>
      </c>
      <c r="AB596" t="str">
        <f>HYPERLINK("Melting_Curves/meltCurve_F5GZX9_FAM120B.pdf", "Melting_Curves/meltCurve_F5GZX9_FAM120B.pdf")</f>
        <v>Melting_Curves/meltCurve_F5GZX9_FAM120B.pdf</v>
      </c>
    </row>
    <row r="597" spans="1:28" x14ac:dyDescent="0.25">
      <c r="A597" t="s">
        <v>601</v>
      </c>
      <c r="B597">
        <v>0.99299721793515405</v>
      </c>
      <c r="C597">
        <v>0.67455256766134497</v>
      </c>
      <c r="D597">
        <v>0.79573424963012995</v>
      </c>
      <c r="E597">
        <v>0.67488568555368</v>
      </c>
      <c r="F597">
        <v>0.616116233330673</v>
      </c>
      <c r="G597">
        <v>0.31545614998980398</v>
      </c>
      <c r="H597">
        <v>0.27600653370684303</v>
      </c>
      <c r="I597">
        <v>0.254416413963653</v>
      </c>
      <c r="J597">
        <v>0.43872312963929799</v>
      </c>
      <c r="K597">
        <v>0.32007400627402599</v>
      </c>
      <c r="L597">
        <v>387.935826856098</v>
      </c>
      <c r="M597">
        <v>8.3377368632471196</v>
      </c>
      <c r="N597">
        <v>50.482258747261803</v>
      </c>
      <c r="O597">
        <v>44.081881374441501</v>
      </c>
      <c r="P597">
        <v>-3.5981489670851498E-2</v>
      </c>
      <c r="Q597">
        <v>0.23979489464827899</v>
      </c>
      <c r="R597">
        <v>0.83037398794254502</v>
      </c>
      <c r="S597" t="s">
        <v>6148</v>
      </c>
      <c r="T597" t="s">
        <v>11100</v>
      </c>
      <c r="U597" t="s">
        <v>11100</v>
      </c>
      <c r="V597" t="s">
        <v>11100</v>
      </c>
      <c r="W597" t="s">
        <v>11689</v>
      </c>
      <c r="X597">
        <v>1</v>
      </c>
      <c r="Y597" t="s">
        <v>17185</v>
      </c>
      <c r="Z597" t="s">
        <v>22602</v>
      </c>
      <c r="AA597">
        <v>0.5245620183863281</v>
      </c>
      <c r="AB597" t="str">
        <f>HYPERLINK("Melting_Curves/meltCurve_F5GZZ0_ALKBH2.pdf", "Melting_Curves/meltCurve_F5GZZ0_ALKBH2.pdf")</f>
        <v>Melting_Curves/meltCurve_F5GZZ0_ALKBH2.pdf</v>
      </c>
    </row>
    <row r="598" spans="1:28" x14ac:dyDescent="0.25">
      <c r="A598" t="s">
        <v>602</v>
      </c>
      <c r="B598">
        <v>0.99299721793515405</v>
      </c>
      <c r="C598">
        <v>1.03035038554748</v>
      </c>
      <c r="D598">
        <v>0.87607049125288705</v>
      </c>
      <c r="E598">
        <v>0.91356684453328496</v>
      </c>
      <c r="F598">
        <v>0.67550305228847995</v>
      </c>
      <c r="G598">
        <v>0.43347295075598002</v>
      </c>
      <c r="H598">
        <v>0.30800172735464698</v>
      </c>
      <c r="I598">
        <v>0.239569901368266</v>
      </c>
      <c r="J598">
        <v>0.21705333139698399</v>
      </c>
      <c r="K598">
        <v>0.16670486033811899</v>
      </c>
      <c r="L598">
        <v>819.21571489254097</v>
      </c>
      <c r="M598">
        <v>15.873818476184001</v>
      </c>
      <c r="N598">
        <v>52.937179930728</v>
      </c>
      <c r="O598">
        <v>50.809770433116903</v>
      </c>
      <c r="P598">
        <v>-6.5272071605993104E-2</v>
      </c>
      <c r="Q598">
        <v>0.16436220809832899</v>
      </c>
      <c r="R598">
        <v>0.98859912788396298</v>
      </c>
      <c r="S598" t="s">
        <v>6149</v>
      </c>
      <c r="T598" t="s">
        <v>11100</v>
      </c>
      <c r="U598" t="s">
        <v>11100</v>
      </c>
      <c r="V598" t="s">
        <v>11100</v>
      </c>
      <c r="W598" t="s">
        <v>11690</v>
      </c>
      <c r="X598">
        <v>5</v>
      </c>
      <c r="Y598" t="s">
        <v>17186</v>
      </c>
      <c r="Z598" t="s">
        <v>22603</v>
      </c>
      <c r="AA598">
        <v>0.58647990247489756</v>
      </c>
      <c r="AB598" t="str">
        <f>HYPERLINK("Melting_Curves/meltCurve_F5H012_TRIM21.pdf", "Melting_Curves/meltCurve_F5H012_TRIM21.pdf")</f>
        <v>Melting_Curves/meltCurve_F5H012_TRIM21.pdf</v>
      </c>
    </row>
    <row r="599" spans="1:28" x14ac:dyDescent="0.25">
      <c r="A599" t="s">
        <v>603</v>
      </c>
      <c r="B599">
        <v>0.99299721793515405</v>
      </c>
      <c r="C599">
        <v>1.0118299202119401</v>
      </c>
      <c r="D599">
        <v>0.96691582315423996</v>
      </c>
      <c r="E599">
        <v>0.86017959892280405</v>
      </c>
      <c r="F599">
        <v>0.74507979246973799</v>
      </c>
      <c r="G599">
        <v>0.55577156395141003</v>
      </c>
      <c r="H599">
        <v>0.207329264949277</v>
      </c>
      <c r="I599">
        <v>0.15729938915914199</v>
      </c>
      <c r="J599">
        <v>0.118910516026245</v>
      </c>
      <c r="K599">
        <v>9.3719106595680599E-2</v>
      </c>
      <c r="L599">
        <v>839.28720490084004</v>
      </c>
      <c r="M599">
        <v>15.7259323407108</v>
      </c>
      <c r="N599">
        <v>53.6671976283994</v>
      </c>
      <c r="O599">
        <v>52.528961678865599</v>
      </c>
      <c r="P599">
        <v>-7.1725174061479893E-2</v>
      </c>
      <c r="Q599">
        <v>4.1752423958141202E-2</v>
      </c>
      <c r="R599">
        <v>0.990552486233226</v>
      </c>
      <c r="S599" t="s">
        <v>6150</v>
      </c>
      <c r="T599" t="s">
        <v>11100</v>
      </c>
      <c r="U599" t="s">
        <v>11100</v>
      </c>
      <c r="V599" t="s">
        <v>11100</v>
      </c>
      <c r="W599" t="s">
        <v>11691</v>
      </c>
      <c r="X599">
        <v>22</v>
      </c>
      <c r="Y599" t="s">
        <v>17187</v>
      </c>
      <c r="Z599" t="s">
        <v>22604</v>
      </c>
      <c r="AA599">
        <v>0.58047845347493765</v>
      </c>
      <c r="AB599" t="str">
        <f>HYPERLINK("Melting_Curves/meltCurve_F5H0L8_SEC23IP.pdf", "Melting_Curves/meltCurve_F5H0L8_SEC23IP.pdf")</f>
        <v>Melting_Curves/meltCurve_F5H0L8_SEC23IP.pdf</v>
      </c>
    </row>
    <row r="600" spans="1:28" x14ac:dyDescent="0.25">
      <c r="A600" t="s">
        <v>604</v>
      </c>
      <c r="B600">
        <v>0.99299721793515405</v>
      </c>
      <c r="C600">
        <v>1.0676270703850299</v>
      </c>
      <c r="D600">
        <v>0.94347670774029402</v>
      </c>
      <c r="E600">
        <v>0.88230976711798803</v>
      </c>
      <c r="F600">
        <v>0.777243916333615</v>
      </c>
      <c r="G600">
        <v>0.58240889362178705</v>
      </c>
      <c r="H600">
        <v>0.40192056613316601</v>
      </c>
      <c r="I600">
        <v>0.255715916380446</v>
      </c>
      <c r="J600">
        <v>0.14902237324054499</v>
      </c>
      <c r="K600">
        <v>0</v>
      </c>
      <c r="L600">
        <v>711.58978561031995</v>
      </c>
      <c r="M600">
        <v>12.8947096010326</v>
      </c>
      <c r="N600">
        <v>55.184630649000603</v>
      </c>
      <c r="O600">
        <v>53.907952983075702</v>
      </c>
      <c r="P600">
        <v>-5.9810566833226997E-2</v>
      </c>
      <c r="Q600">
        <v>0</v>
      </c>
      <c r="R600">
        <v>0.98650230186237597</v>
      </c>
      <c r="S600" t="s">
        <v>6151</v>
      </c>
      <c r="T600" t="s">
        <v>11100</v>
      </c>
      <c r="U600" t="s">
        <v>11100</v>
      </c>
      <c r="V600" t="s">
        <v>11100</v>
      </c>
      <c r="W600" t="s">
        <v>11692</v>
      </c>
      <c r="X600">
        <v>1</v>
      </c>
      <c r="Y600" t="s">
        <v>17188</v>
      </c>
      <c r="Z600" t="s">
        <v>22605</v>
      </c>
      <c r="AA600">
        <v>0.61993741012278514</v>
      </c>
      <c r="AB600" t="str">
        <f>HYPERLINK("Melting_Curves/meltCurve_F5H0R1_TUT1.pdf", "Melting_Curves/meltCurve_F5H0R1_TUT1.pdf")</f>
        <v>Melting_Curves/meltCurve_F5H0R1_TUT1.pdf</v>
      </c>
    </row>
    <row r="601" spans="1:28" x14ac:dyDescent="0.25">
      <c r="A601" t="s">
        <v>605</v>
      </c>
      <c r="B601">
        <v>0.99299721793515405</v>
      </c>
      <c r="C601">
        <v>1.3154338235324701</v>
      </c>
      <c r="D601">
        <v>1.1095850361914199</v>
      </c>
      <c r="E601">
        <v>1.2721106539051401</v>
      </c>
      <c r="F601">
        <v>0.96674770119257702</v>
      </c>
      <c r="G601">
        <v>0.57678581606880597</v>
      </c>
      <c r="H601">
        <v>0.372342998028731</v>
      </c>
      <c r="I601">
        <v>0.19825829640987699</v>
      </c>
      <c r="J601">
        <v>0.272299417427879</v>
      </c>
      <c r="K601">
        <v>0.22405752713680499</v>
      </c>
      <c r="L601">
        <v>2004.5222074999001</v>
      </c>
      <c r="M601">
        <v>37.358366394039798</v>
      </c>
      <c r="N601">
        <v>54.640319275820502</v>
      </c>
      <c r="O601">
        <v>53.503528843869297</v>
      </c>
      <c r="P601">
        <v>-0.131826259733832</v>
      </c>
      <c r="Q601">
        <v>0.24481163525766</v>
      </c>
      <c r="R601">
        <v>0.89101664461746399</v>
      </c>
      <c r="S601" t="s">
        <v>6152</v>
      </c>
      <c r="T601" t="s">
        <v>11100</v>
      </c>
      <c r="U601" t="s">
        <v>11100</v>
      </c>
      <c r="V601" t="s">
        <v>11100</v>
      </c>
      <c r="W601" t="s">
        <v>11693</v>
      </c>
      <c r="X601">
        <v>3</v>
      </c>
      <c r="Y601" t="s">
        <v>17189</v>
      </c>
      <c r="Z601" t="s">
        <v>22606</v>
      </c>
      <c r="AA601">
        <v>0.6672874348147253</v>
      </c>
      <c r="AB601" t="str">
        <f>HYPERLINK("Melting_Curves/meltCurve_F5H0U5_GLTP.pdf", "Melting_Curves/meltCurve_F5H0U5_GLTP.pdf")</f>
        <v>Melting_Curves/meltCurve_F5H0U5_GLTP.pdf</v>
      </c>
    </row>
    <row r="602" spans="1:28" x14ac:dyDescent="0.25">
      <c r="A602" t="s">
        <v>606</v>
      </c>
      <c r="B602">
        <v>0.99299721793515405</v>
      </c>
      <c r="C602">
        <v>0.86854718468466596</v>
      </c>
      <c r="D602">
        <v>0.79970188345416704</v>
      </c>
      <c r="E602">
        <v>0.71400739178277095</v>
      </c>
      <c r="F602">
        <v>0.21398896003026399</v>
      </c>
      <c r="G602">
        <v>0.210576800783215</v>
      </c>
      <c r="H602">
        <v>0.22806276485395699</v>
      </c>
      <c r="I602">
        <v>0.10428410421532899</v>
      </c>
      <c r="J602">
        <v>0.16407601143128001</v>
      </c>
      <c r="K602">
        <v>0</v>
      </c>
      <c r="L602">
        <v>701.25958827591205</v>
      </c>
      <c r="M602">
        <v>14.8422811555086</v>
      </c>
      <c r="N602">
        <v>47.807436495108803</v>
      </c>
      <c r="O602">
        <v>46.414615973518202</v>
      </c>
      <c r="P602">
        <v>-7.3572789742495801E-2</v>
      </c>
      <c r="Q602">
        <v>7.9792870842994898E-2</v>
      </c>
      <c r="R602">
        <v>0.949762083193606</v>
      </c>
      <c r="S602" t="s">
        <v>6153</v>
      </c>
      <c r="T602" t="s">
        <v>11100</v>
      </c>
      <c r="U602" t="s">
        <v>11100</v>
      </c>
      <c r="V602" t="s">
        <v>11100</v>
      </c>
      <c r="W602" t="s">
        <v>11694</v>
      </c>
      <c r="X602">
        <v>1</v>
      </c>
      <c r="Y602" t="s">
        <v>17190</v>
      </c>
      <c r="Z602" t="s">
        <v>22607</v>
      </c>
      <c r="AA602">
        <v>0.41510800356912092</v>
      </c>
      <c r="AB602" t="str">
        <f>HYPERLINK("Melting_Curves/meltCurve_F5H156_ARMC5.pdf", "Melting_Curves/meltCurve_F5H156_ARMC5.pdf")</f>
        <v>Melting_Curves/meltCurve_F5H156_ARMC5.pdf</v>
      </c>
    </row>
    <row r="603" spans="1:28" x14ac:dyDescent="0.25">
      <c r="A603" t="s">
        <v>607</v>
      </c>
      <c r="B603">
        <v>0.99299721793515405</v>
      </c>
      <c r="C603">
        <v>0.87664383361114795</v>
      </c>
      <c r="D603">
        <v>0.81705468183693797</v>
      </c>
      <c r="E603">
        <v>0.77838086037967502</v>
      </c>
      <c r="F603">
        <v>0.73033010944189003</v>
      </c>
      <c r="G603">
        <v>0.96905179420189103</v>
      </c>
      <c r="H603">
        <v>0.85712980941558503</v>
      </c>
      <c r="I603">
        <v>0.63382580581086601</v>
      </c>
      <c r="J603">
        <v>0.50080746763348605</v>
      </c>
      <c r="K603">
        <v>0.39315165299526</v>
      </c>
      <c r="L603">
        <v>299.23634787335902</v>
      </c>
      <c r="M603">
        <v>4.4229440107568498</v>
      </c>
      <c r="O603">
        <v>57.227498686982003</v>
      </c>
      <c r="P603">
        <v>-1.9500722814117001E-2</v>
      </c>
      <c r="Q603">
        <v>0</v>
      </c>
      <c r="R603">
        <v>0.62442408316896003</v>
      </c>
      <c r="S603" t="s">
        <v>6154</v>
      </c>
      <c r="T603" t="s">
        <v>11100</v>
      </c>
      <c r="U603" t="s">
        <v>11100</v>
      </c>
      <c r="V603" t="s">
        <v>11100</v>
      </c>
      <c r="W603" t="s">
        <v>11695</v>
      </c>
      <c r="X603">
        <v>4</v>
      </c>
      <c r="Y603" t="s">
        <v>17191</v>
      </c>
      <c r="Z603" t="s">
        <v>22608</v>
      </c>
      <c r="AA603">
        <v>0.77430915018216051</v>
      </c>
      <c r="AB603" t="str">
        <f>HYPERLINK("Melting_Curves/meltCurve_F5H1G9_ABI1.pdf", "Melting_Curves/meltCurve_F5H1G9_ABI1.pdf")</f>
        <v>Melting_Curves/meltCurve_F5H1G9_ABI1.pdf</v>
      </c>
    </row>
    <row r="604" spans="1:28" x14ac:dyDescent="0.25">
      <c r="A604" t="s">
        <v>608</v>
      </c>
      <c r="B604">
        <v>0.99299721793515405</v>
      </c>
      <c r="C604">
        <v>0.76923928745018399</v>
      </c>
      <c r="D604">
        <v>0.92551426952057603</v>
      </c>
      <c r="E604">
        <v>0.70023285214116504</v>
      </c>
      <c r="F604">
        <v>0.64842487415835104</v>
      </c>
      <c r="G604">
        <v>0.55280408335901798</v>
      </c>
      <c r="H604">
        <v>0.51878183645152898</v>
      </c>
      <c r="I604">
        <v>0.56507267186972998</v>
      </c>
      <c r="J604">
        <v>0.59930859077229504</v>
      </c>
      <c r="K604">
        <v>0.75028310045584701</v>
      </c>
      <c r="L604">
        <v>576.13953123351598</v>
      </c>
      <c r="M604">
        <v>13.2904858766989</v>
      </c>
      <c r="O604">
        <v>42.403613965800801</v>
      </c>
      <c r="P604">
        <v>-3.2062047154873902E-2</v>
      </c>
      <c r="Q604">
        <v>0.59088739732618201</v>
      </c>
      <c r="R604">
        <v>0.69412158307246297</v>
      </c>
      <c r="S604" t="s">
        <v>6155</v>
      </c>
      <c r="T604" t="s">
        <v>11100</v>
      </c>
      <c r="U604" t="s">
        <v>11100</v>
      </c>
      <c r="V604" t="s">
        <v>11100</v>
      </c>
      <c r="W604" t="s">
        <v>11696</v>
      </c>
      <c r="X604">
        <v>6</v>
      </c>
      <c r="Y604" t="s">
        <v>17192</v>
      </c>
      <c r="Z604" t="s">
        <v>22609</v>
      </c>
      <c r="AA604">
        <v>0.69103050874695759</v>
      </c>
      <c r="AB604" t="str">
        <f>HYPERLINK("Melting_Curves/meltCurve_F5H1H0_L1CAM.pdf", "Melting_Curves/meltCurve_F5H1H0_L1CAM.pdf")</f>
        <v>Melting_Curves/meltCurve_F5H1H0_L1CAM.pdf</v>
      </c>
    </row>
    <row r="605" spans="1:28" x14ac:dyDescent="0.25">
      <c r="A605" t="s">
        <v>609</v>
      </c>
      <c r="B605">
        <v>0.99299721793515405</v>
      </c>
      <c r="C605">
        <v>0.97162390732372805</v>
      </c>
      <c r="D605">
        <v>1.1245857265950101</v>
      </c>
      <c r="E605">
        <v>1.0141308054314999</v>
      </c>
      <c r="F605">
        <v>0.94907479651410998</v>
      </c>
      <c r="G605">
        <v>0.77088359955441699</v>
      </c>
      <c r="H605">
        <v>0.50389904737616198</v>
      </c>
      <c r="I605">
        <v>0.460874955067134</v>
      </c>
      <c r="J605">
        <v>0.39482243536373501</v>
      </c>
      <c r="K605">
        <v>0.29684329373191098</v>
      </c>
      <c r="L605">
        <v>1269.6447173552699</v>
      </c>
      <c r="M605">
        <v>22.982165052617201</v>
      </c>
      <c r="N605">
        <v>58.130477019082797</v>
      </c>
      <c r="O605">
        <v>54.831609733072803</v>
      </c>
      <c r="P605">
        <v>-6.9135425193137895E-2</v>
      </c>
      <c r="Q605">
        <v>0.34023005229097197</v>
      </c>
      <c r="R605">
        <v>0.97018380619080502</v>
      </c>
      <c r="S605" t="s">
        <v>6156</v>
      </c>
      <c r="T605" t="s">
        <v>11100</v>
      </c>
      <c r="U605" t="s">
        <v>11100</v>
      </c>
      <c r="V605" t="s">
        <v>11100</v>
      </c>
      <c r="W605" t="s">
        <v>11697</v>
      </c>
      <c r="X605">
        <v>13</v>
      </c>
      <c r="Y605" t="s">
        <v>17193</v>
      </c>
      <c r="Z605" t="s">
        <v>22610</v>
      </c>
      <c r="AA605">
        <v>0.7477128684496902</v>
      </c>
      <c r="AB605" t="str">
        <f>HYPERLINK("Melting_Curves/meltCurve_F5H1L4_TXNRD2.pdf", "Melting_Curves/meltCurve_F5H1L4_TXNRD2.pdf")</f>
        <v>Melting_Curves/meltCurve_F5H1L4_TXNRD2.pdf</v>
      </c>
    </row>
    <row r="606" spans="1:28" x14ac:dyDescent="0.25">
      <c r="A606" t="s">
        <v>610</v>
      </c>
      <c r="B606">
        <v>0.99299721793515405</v>
      </c>
      <c r="C606">
        <v>0.71646715632990199</v>
      </c>
      <c r="D606">
        <v>0.77239818173027996</v>
      </c>
      <c r="E606">
        <v>0.68218056141100003</v>
      </c>
      <c r="F606">
        <v>0.55278767289513298</v>
      </c>
      <c r="G606">
        <v>0.31541533311993603</v>
      </c>
      <c r="H606">
        <v>0.350621336007791</v>
      </c>
      <c r="I606">
        <v>0.26551698006459001</v>
      </c>
      <c r="J606">
        <v>0.227555615402012</v>
      </c>
      <c r="K606">
        <v>0.22504163521301701</v>
      </c>
      <c r="L606">
        <v>339.60662568763303</v>
      </c>
      <c r="M606">
        <v>6.8963430761987699</v>
      </c>
      <c r="N606">
        <v>50.484672039685996</v>
      </c>
      <c r="O606">
        <v>45.603288129134697</v>
      </c>
      <c r="P606">
        <v>-3.4928490644085201E-2</v>
      </c>
      <c r="Q606">
        <v>7.7922224960792805E-2</v>
      </c>
      <c r="R606">
        <v>0.94255359474678402</v>
      </c>
      <c r="S606" t="s">
        <v>6157</v>
      </c>
      <c r="T606" t="s">
        <v>11100</v>
      </c>
      <c r="U606" t="s">
        <v>11100</v>
      </c>
      <c r="V606" t="s">
        <v>11100</v>
      </c>
      <c r="W606" t="s">
        <v>11698</v>
      </c>
      <c r="X606">
        <v>4</v>
      </c>
      <c r="Y606" t="s">
        <v>17194</v>
      </c>
      <c r="Z606" t="s">
        <v>22611</v>
      </c>
      <c r="AA606">
        <v>0.50085045040576004</v>
      </c>
      <c r="AB606" t="str">
        <f>HYPERLINK("Melting_Curves/meltCurve_F5H1N7_KIAA1211.pdf", "Melting_Curves/meltCurve_F5H1N7_KIAA1211.pdf")</f>
        <v>Melting_Curves/meltCurve_F5H1N7_KIAA1211.pdf</v>
      </c>
    </row>
    <row r="607" spans="1:28" x14ac:dyDescent="0.25">
      <c r="A607" t="s">
        <v>611</v>
      </c>
      <c r="B607">
        <v>0.99299721793515405</v>
      </c>
      <c r="C607">
        <v>0.90311239196775805</v>
      </c>
      <c r="D607">
        <v>0.93597564857859294</v>
      </c>
      <c r="E607">
        <v>0.69433023867923105</v>
      </c>
      <c r="F607">
        <v>0.38867362142230799</v>
      </c>
      <c r="G607">
        <v>0.26442815206338599</v>
      </c>
      <c r="H607">
        <v>0.18465729097199099</v>
      </c>
      <c r="I607">
        <v>0.17981357766726799</v>
      </c>
      <c r="J607">
        <v>0.160626189190166</v>
      </c>
      <c r="K607">
        <v>0.13494154854777099</v>
      </c>
      <c r="L607">
        <v>882.63941286187105</v>
      </c>
      <c r="M607">
        <v>18.402867992118701</v>
      </c>
      <c r="N607">
        <v>48.898528899785703</v>
      </c>
      <c r="O607">
        <v>47.406479366772999</v>
      </c>
      <c r="P607">
        <v>-8.2639238744853794E-2</v>
      </c>
      <c r="Q607">
        <v>0.14851137223008101</v>
      </c>
      <c r="R607">
        <v>0.993149978047425</v>
      </c>
      <c r="S607" t="s">
        <v>6158</v>
      </c>
      <c r="T607" t="s">
        <v>11100</v>
      </c>
      <c r="U607" t="s">
        <v>11100</v>
      </c>
      <c r="V607" t="s">
        <v>11100</v>
      </c>
      <c r="W607" t="s">
        <v>11699</v>
      </c>
      <c r="X607">
        <v>3</v>
      </c>
      <c r="Y607" t="s">
        <v>17195</v>
      </c>
      <c r="Z607" t="s">
        <v>22612</v>
      </c>
      <c r="AA607">
        <v>0.47271663712235729</v>
      </c>
      <c r="AB607" t="str">
        <f>HYPERLINK("Melting_Curves/meltCurve_F5H1U9_MPDZ.pdf", "Melting_Curves/meltCurve_F5H1U9_MPDZ.pdf")</f>
        <v>Melting_Curves/meltCurve_F5H1U9_MPDZ.pdf</v>
      </c>
    </row>
    <row r="608" spans="1:28" x14ac:dyDescent="0.25">
      <c r="A608" t="s">
        <v>612</v>
      </c>
      <c r="B608">
        <v>0.99299721793515405</v>
      </c>
      <c r="C608">
        <v>1.0134243097743301</v>
      </c>
      <c r="D608">
        <v>0.995238930420276</v>
      </c>
      <c r="E608">
        <v>0.88577528268118499</v>
      </c>
      <c r="F608">
        <v>0.80520925824294598</v>
      </c>
      <c r="G608">
        <v>0.73437915051698299</v>
      </c>
      <c r="H608">
        <v>0.30994543673133701</v>
      </c>
      <c r="I608">
        <v>0.247511479982231</v>
      </c>
      <c r="J608">
        <v>0.221317676375583</v>
      </c>
      <c r="K608">
        <v>0.167083051901388</v>
      </c>
      <c r="L608">
        <v>936.82349003862305</v>
      </c>
      <c r="M608">
        <v>17.123460586116099</v>
      </c>
      <c r="N608">
        <v>55.6615458123769</v>
      </c>
      <c r="O608">
        <v>53.980125521072999</v>
      </c>
      <c r="P608">
        <v>-6.9245297832344996E-2</v>
      </c>
      <c r="Q608">
        <v>0.126894860188037</v>
      </c>
      <c r="R608">
        <v>0.97624518899345003</v>
      </c>
      <c r="S608" t="s">
        <v>6159</v>
      </c>
      <c r="T608" t="s">
        <v>11100</v>
      </c>
      <c r="U608" t="s">
        <v>11100</v>
      </c>
      <c r="V608" t="s">
        <v>11100</v>
      </c>
      <c r="W608" t="s">
        <v>11700</v>
      </c>
      <c r="X608">
        <v>19</v>
      </c>
      <c r="Y608" t="s">
        <v>17196</v>
      </c>
      <c r="Z608" t="s">
        <v>22613</v>
      </c>
      <c r="AA608">
        <v>0.65411969572035067</v>
      </c>
      <c r="AB608" t="str">
        <f>HYPERLINK("Melting_Curves/meltCurve_F5H1X8_LRBA.pdf", "Melting_Curves/meltCurve_F5H1X8_LRBA.pdf")</f>
        <v>Melting_Curves/meltCurve_F5H1X8_LRBA.pdf</v>
      </c>
    </row>
    <row r="609" spans="1:28" x14ac:dyDescent="0.25">
      <c r="A609" t="s">
        <v>613</v>
      </c>
      <c r="B609">
        <v>0.99299721793515405</v>
      </c>
      <c r="C609">
        <v>0.92733560784246705</v>
      </c>
      <c r="D609">
        <v>0.89451384483027796</v>
      </c>
      <c r="E609">
        <v>0.765109681466975</v>
      </c>
      <c r="F609">
        <v>0.34168519783805501</v>
      </c>
      <c r="G609">
        <v>0.25397396562900898</v>
      </c>
      <c r="H609">
        <v>0.19119197581567199</v>
      </c>
      <c r="I609">
        <v>0.194922570002489</v>
      </c>
      <c r="J609">
        <v>0.18445458378738699</v>
      </c>
      <c r="K609">
        <v>0.15291652431743999</v>
      </c>
      <c r="L609">
        <v>1137.0530543755799</v>
      </c>
      <c r="M609">
        <v>23.734383395909799</v>
      </c>
      <c r="N609">
        <v>48.792918153325502</v>
      </c>
      <c r="O609">
        <v>47.571212819805297</v>
      </c>
      <c r="P609">
        <v>-0.102906607237179</v>
      </c>
      <c r="Q609">
        <v>0.17498405595264999</v>
      </c>
      <c r="R609">
        <v>0.98921997261430095</v>
      </c>
      <c r="S609" t="s">
        <v>6160</v>
      </c>
      <c r="T609" t="s">
        <v>11100</v>
      </c>
      <c r="U609" t="s">
        <v>11100</v>
      </c>
      <c r="V609" t="s">
        <v>11100</v>
      </c>
      <c r="W609" t="s">
        <v>11701</v>
      </c>
      <c r="X609">
        <v>13</v>
      </c>
      <c r="Y609" t="s">
        <v>17197</v>
      </c>
      <c r="Z609" t="s">
        <v>22614</v>
      </c>
      <c r="AA609">
        <v>0.48272342018036518</v>
      </c>
      <c r="AB609" t="str">
        <f>HYPERLINK("Melting_Curves/meltCurve_F5H2H5_ANKLE2.pdf", "Melting_Curves/meltCurve_F5H2H5_ANKLE2.pdf")</f>
        <v>Melting_Curves/meltCurve_F5H2H5_ANKLE2.pdf</v>
      </c>
    </row>
    <row r="610" spans="1:28" x14ac:dyDescent="0.25">
      <c r="A610" t="s">
        <v>614</v>
      </c>
      <c r="B610">
        <v>0.99299721793515405</v>
      </c>
      <c r="C610">
        <v>0.82203168749233801</v>
      </c>
      <c r="D610">
        <v>1.0516449416732501</v>
      </c>
      <c r="E610">
        <v>0.92924282538526903</v>
      </c>
      <c r="F610">
        <v>0.78889505052352404</v>
      </c>
      <c r="G610">
        <v>0.598865943008418</v>
      </c>
      <c r="H610">
        <v>0.50073152090304096</v>
      </c>
      <c r="I610">
        <v>0.50483634256168097</v>
      </c>
      <c r="J610">
        <v>0.44532020999688099</v>
      </c>
      <c r="K610">
        <v>0.30456362861203501</v>
      </c>
      <c r="L610">
        <v>685.61914116404898</v>
      </c>
      <c r="M610">
        <v>12.9147905279635</v>
      </c>
      <c r="N610">
        <v>58.061264078462898</v>
      </c>
      <c r="O610">
        <v>51.863400691071703</v>
      </c>
      <c r="P610">
        <v>-4.1431206715704799E-2</v>
      </c>
      <c r="Q610">
        <v>0.33460043355596197</v>
      </c>
      <c r="R610">
        <v>0.91687437907985303</v>
      </c>
      <c r="S610" t="s">
        <v>6161</v>
      </c>
      <c r="T610" t="s">
        <v>11100</v>
      </c>
      <c r="U610" t="s">
        <v>11100</v>
      </c>
      <c r="V610" t="s">
        <v>11100</v>
      </c>
      <c r="W610" t="s">
        <v>11702</v>
      </c>
      <c r="X610">
        <v>2</v>
      </c>
      <c r="Y610" t="s">
        <v>17198</v>
      </c>
      <c r="Z610" t="s">
        <v>22615</v>
      </c>
      <c r="AA610">
        <v>0.7047135219180668</v>
      </c>
      <c r="AB610" t="str">
        <f>HYPERLINK("Melting_Curves/meltCurve_F5H2J3_VMP1.pdf", "Melting_Curves/meltCurve_F5H2J3_VMP1.pdf")</f>
        <v>Melting_Curves/meltCurve_F5H2J3_VMP1.pdf</v>
      </c>
    </row>
    <row r="611" spans="1:28" x14ac:dyDescent="0.25">
      <c r="A611" t="s">
        <v>615</v>
      </c>
      <c r="B611">
        <v>0.99299721793515405</v>
      </c>
      <c r="C611">
        <v>0.97588268720254301</v>
      </c>
      <c r="D611">
        <v>0.97757517222464896</v>
      </c>
      <c r="E611">
        <v>0.90480242625993701</v>
      </c>
      <c r="F611">
        <v>0.75335611720304996</v>
      </c>
      <c r="G611">
        <v>0.60972810675231404</v>
      </c>
      <c r="H611">
        <v>0.28920628611223698</v>
      </c>
      <c r="I611">
        <v>0.19953956888903701</v>
      </c>
      <c r="J611">
        <v>0.19141071782177599</v>
      </c>
      <c r="K611">
        <v>0.140918383845683</v>
      </c>
      <c r="L611">
        <v>838.393712200001</v>
      </c>
      <c r="M611">
        <v>15.5989610081621</v>
      </c>
      <c r="N611">
        <v>54.500089065351297</v>
      </c>
      <c r="O611">
        <v>52.886704739035999</v>
      </c>
      <c r="P611">
        <v>-6.6592551050953602E-2</v>
      </c>
      <c r="Q611">
        <v>9.6976924463111999E-2</v>
      </c>
      <c r="R611">
        <v>0.99215204214017505</v>
      </c>
      <c r="S611" t="s">
        <v>6162</v>
      </c>
      <c r="T611" t="s">
        <v>11100</v>
      </c>
      <c r="U611" t="s">
        <v>11100</v>
      </c>
      <c r="V611" t="s">
        <v>11100</v>
      </c>
      <c r="W611" t="s">
        <v>11703</v>
      </c>
      <c r="X611">
        <v>21</v>
      </c>
      <c r="Y611" t="s">
        <v>17199</v>
      </c>
      <c r="Z611" t="s">
        <v>22616</v>
      </c>
      <c r="AA611">
        <v>0.61562674795991201</v>
      </c>
      <c r="AB611" t="str">
        <f>HYPERLINK("Melting_Curves/meltCurve_F5H2M7_WNK1.pdf", "Melting_Curves/meltCurve_F5H2M7_WNK1.pdf")</f>
        <v>Melting_Curves/meltCurve_F5H2M7_WNK1.pdf</v>
      </c>
    </row>
    <row r="612" spans="1:28" x14ac:dyDescent="0.25">
      <c r="A612" t="s">
        <v>616</v>
      </c>
      <c r="B612">
        <v>0.99299721793515405</v>
      </c>
      <c r="C612">
        <v>0.99893239196622696</v>
      </c>
      <c r="D612">
        <v>0.882516659145969</v>
      </c>
      <c r="E612">
        <v>0.85799317340181402</v>
      </c>
      <c r="F612">
        <v>0.78472307836595401</v>
      </c>
      <c r="G612">
        <v>0.65394723610696803</v>
      </c>
      <c r="H612">
        <v>0.75751468542415201</v>
      </c>
      <c r="I612">
        <v>0.93028578290017006</v>
      </c>
      <c r="J612">
        <v>0.90174369002512</v>
      </c>
      <c r="K612">
        <v>0.502798814810963</v>
      </c>
      <c r="L612">
        <v>827.97766167078998</v>
      </c>
      <c r="M612">
        <v>18.614468859458</v>
      </c>
      <c r="O612">
        <v>43.976499440225098</v>
      </c>
      <c r="P612">
        <v>-2.6374585385400901E-2</v>
      </c>
      <c r="Q612">
        <v>0.75077192547873495</v>
      </c>
      <c r="R612">
        <v>0.40670736078635999</v>
      </c>
      <c r="S612" t="s">
        <v>6163</v>
      </c>
      <c r="T612" t="s">
        <v>11100</v>
      </c>
      <c r="U612" t="s">
        <v>11100</v>
      </c>
      <c r="V612" t="s">
        <v>11100</v>
      </c>
      <c r="W612" t="s">
        <v>11704</v>
      </c>
      <c r="X612">
        <v>6</v>
      </c>
      <c r="Y612" t="s">
        <v>17200</v>
      </c>
      <c r="Z612" t="s">
        <v>22617</v>
      </c>
      <c r="AA612">
        <v>0.81676380895521705</v>
      </c>
      <c r="AB612" t="str">
        <f>HYPERLINK("Melting_Curves/meltCurve_F5H2Q7_KIAA1715.pdf", "Melting_Curves/meltCurve_F5H2Q7_KIAA1715.pdf")</f>
        <v>Melting_Curves/meltCurve_F5H2Q7_KIAA1715.pdf</v>
      </c>
    </row>
    <row r="613" spans="1:28" x14ac:dyDescent="0.25">
      <c r="A613" t="s">
        <v>617</v>
      </c>
      <c r="B613">
        <v>0.99299721793515405</v>
      </c>
      <c r="C613">
        <v>0.94690072081179799</v>
      </c>
      <c r="D613">
        <v>1.03132148063552</v>
      </c>
      <c r="E613">
        <v>0.874736636131481</v>
      </c>
      <c r="F613">
        <v>0.77195669333860595</v>
      </c>
      <c r="G613">
        <v>0.81630490477059203</v>
      </c>
      <c r="H613">
        <v>0.51134187805699705</v>
      </c>
      <c r="I613">
        <v>0.54799519702176203</v>
      </c>
      <c r="J613">
        <v>0.64906950680233699</v>
      </c>
      <c r="K613">
        <v>0.618065498568384</v>
      </c>
      <c r="L613">
        <v>794.76504229848001</v>
      </c>
      <c r="M613">
        <v>15.7444468689059</v>
      </c>
      <c r="O613">
        <v>49.685771289662597</v>
      </c>
      <c r="P613">
        <v>-3.34586838710298E-2</v>
      </c>
      <c r="Q613">
        <v>0.57768432997299402</v>
      </c>
      <c r="R613">
        <v>0.85890831310142501</v>
      </c>
      <c r="S613" t="s">
        <v>6164</v>
      </c>
      <c r="T613" t="s">
        <v>11100</v>
      </c>
      <c r="U613" t="s">
        <v>11100</v>
      </c>
      <c r="V613" t="s">
        <v>11100</v>
      </c>
      <c r="W613" t="s">
        <v>11705</v>
      </c>
      <c r="X613">
        <v>19</v>
      </c>
      <c r="Y613" t="s">
        <v>17201</v>
      </c>
      <c r="Z613" t="s">
        <v>22618</v>
      </c>
      <c r="AA613">
        <v>0.77553894908393439</v>
      </c>
      <c r="AB613" t="str">
        <f>HYPERLINK("Melting_Curves/meltCurve_F5H2S7_DCTN2.pdf", "Melting_Curves/meltCurve_F5H2S7_DCTN2.pdf")</f>
        <v>Melting_Curves/meltCurve_F5H2S7_DCTN2.pdf</v>
      </c>
    </row>
    <row r="614" spans="1:28" x14ac:dyDescent="0.25">
      <c r="A614" t="s">
        <v>618</v>
      </c>
      <c r="B614">
        <v>0.99299721793515405</v>
      </c>
      <c r="C614">
        <v>1.0549628560905699</v>
      </c>
      <c r="D614">
        <v>0.91993146972248396</v>
      </c>
      <c r="E614">
        <v>0.85221107640677096</v>
      </c>
      <c r="F614">
        <v>0.74364635028428505</v>
      </c>
      <c r="G614">
        <v>0.52192697586890802</v>
      </c>
      <c r="H614">
        <v>0.310978555769021</v>
      </c>
      <c r="I614">
        <v>0.21639297725822401</v>
      </c>
      <c r="J614">
        <v>0.13549672409972599</v>
      </c>
      <c r="K614">
        <v>9.0123039941834807E-2</v>
      </c>
      <c r="L614">
        <v>653.09213356159501</v>
      </c>
      <c r="M614">
        <v>12.0758740222446</v>
      </c>
      <c r="N614">
        <v>54.106578382484102</v>
      </c>
      <c r="O614">
        <v>52.663357774753003</v>
      </c>
      <c r="P614">
        <v>-5.7184872663324997E-2</v>
      </c>
      <c r="Q614">
        <v>2.6927767843703599E-3</v>
      </c>
      <c r="R614">
        <v>0.99370237970399</v>
      </c>
      <c r="S614" t="s">
        <v>6165</v>
      </c>
      <c r="T614" t="s">
        <v>11100</v>
      </c>
      <c r="U614" t="s">
        <v>11100</v>
      </c>
      <c r="V614" t="s">
        <v>11100</v>
      </c>
      <c r="W614" t="s">
        <v>11706</v>
      </c>
      <c r="X614">
        <v>2</v>
      </c>
      <c r="Y614" t="s">
        <v>17202</v>
      </c>
      <c r="Z614" t="s">
        <v>22619</v>
      </c>
      <c r="AA614">
        <v>0.58814091865494667</v>
      </c>
      <c r="AB614" t="str">
        <f>HYPERLINK("Melting_Curves/meltCurve_F5H2U7_NECAP1.pdf", "Melting_Curves/meltCurve_F5H2U7_NECAP1.pdf")</f>
        <v>Melting_Curves/meltCurve_F5H2U7_NECAP1.pdf</v>
      </c>
    </row>
    <row r="615" spans="1:28" x14ac:dyDescent="0.25">
      <c r="A615" t="s">
        <v>619</v>
      </c>
      <c r="B615">
        <v>0.99299721793515405</v>
      </c>
      <c r="C615">
        <v>0.71429411711382995</v>
      </c>
      <c r="D615">
        <v>0.67833253346223399</v>
      </c>
      <c r="E615">
        <v>0.45168462246216101</v>
      </c>
      <c r="F615">
        <v>0.544734855032037</v>
      </c>
      <c r="G615">
        <v>0.34147817673443998</v>
      </c>
      <c r="H615">
        <v>0.190765654809571</v>
      </c>
      <c r="I615">
        <v>0.113846430586547</v>
      </c>
      <c r="J615">
        <v>0.218885627734937</v>
      </c>
      <c r="K615">
        <v>0</v>
      </c>
      <c r="L615">
        <v>346.83430689570798</v>
      </c>
      <c r="M615">
        <v>7.2841157137616799</v>
      </c>
      <c r="N615">
        <v>47.615156178828897</v>
      </c>
      <c r="O615">
        <v>44.419963930405501</v>
      </c>
      <c r="P615">
        <v>-4.1061393228924298E-2</v>
      </c>
      <c r="Q615">
        <v>0</v>
      </c>
      <c r="R615">
        <v>0.91931912755127598</v>
      </c>
      <c r="S615" t="s">
        <v>6166</v>
      </c>
      <c r="T615" t="s">
        <v>11100</v>
      </c>
      <c r="U615" t="s">
        <v>11100</v>
      </c>
      <c r="V615" t="s">
        <v>11100</v>
      </c>
      <c r="W615" t="s">
        <v>11707</v>
      </c>
      <c r="X615">
        <v>1</v>
      </c>
      <c r="Y615" t="s">
        <v>17203</v>
      </c>
      <c r="Z615" t="s">
        <v>22620</v>
      </c>
      <c r="AA615">
        <v>0.41334377783329163</v>
      </c>
      <c r="AB615" t="str">
        <f>HYPERLINK("Melting_Curves/meltCurve_F5H2U8_HMGA2.pdf", "Melting_Curves/meltCurve_F5H2U8_HMGA2.pdf")</f>
        <v>Melting_Curves/meltCurve_F5H2U8_HMGA2.pdf</v>
      </c>
    </row>
    <row r="616" spans="1:28" x14ac:dyDescent="0.25">
      <c r="A616" t="s">
        <v>620</v>
      </c>
      <c r="B616">
        <v>0.99299721793515405</v>
      </c>
      <c r="C616">
        <v>0.92742860384687298</v>
      </c>
      <c r="D616">
        <v>0.97620135153816801</v>
      </c>
      <c r="E616">
        <v>0.79137075907721099</v>
      </c>
      <c r="F616">
        <v>0.65866865947554598</v>
      </c>
      <c r="G616">
        <v>0.55358155160956901</v>
      </c>
      <c r="H616">
        <v>0.35194028109224401</v>
      </c>
      <c r="I616">
        <v>0.32501774059467597</v>
      </c>
      <c r="J616">
        <v>0.28399397258032499</v>
      </c>
      <c r="K616">
        <v>0.240340905542412</v>
      </c>
      <c r="L616">
        <v>570.05717977924803</v>
      </c>
      <c r="M616">
        <v>10.9810620908533</v>
      </c>
      <c r="N616">
        <v>54.147190938574099</v>
      </c>
      <c r="O616">
        <v>50.280234382493497</v>
      </c>
      <c r="P616">
        <v>-4.4667274742826703E-2</v>
      </c>
      <c r="Q616">
        <v>0.182185291957458</v>
      </c>
      <c r="R616">
        <v>0.98877206115377103</v>
      </c>
      <c r="S616" t="s">
        <v>6167</v>
      </c>
      <c r="T616" t="s">
        <v>11100</v>
      </c>
      <c r="U616" t="s">
        <v>11100</v>
      </c>
      <c r="V616" t="s">
        <v>11100</v>
      </c>
      <c r="W616" t="s">
        <v>11708</v>
      </c>
      <c r="X616">
        <v>4</v>
      </c>
      <c r="Y616" t="s">
        <v>17204</v>
      </c>
      <c r="Z616" t="s">
        <v>22621</v>
      </c>
      <c r="AA616">
        <v>0.60963110490252348</v>
      </c>
      <c r="AB616" t="str">
        <f>HYPERLINK("Melting_Curves/meltCurve_F5H2V5_FADS3.pdf", "Melting_Curves/meltCurve_F5H2V5_FADS3.pdf")</f>
        <v>Melting_Curves/meltCurve_F5H2V5_FADS3.pdf</v>
      </c>
    </row>
    <row r="617" spans="1:28" x14ac:dyDescent="0.25">
      <c r="A617" t="s">
        <v>621</v>
      </c>
      <c r="B617">
        <v>0.99299721793515405</v>
      </c>
      <c r="C617">
        <v>0.81852779765858896</v>
      </c>
      <c r="D617">
        <v>0.91211100888205299</v>
      </c>
      <c r="E617">
        <v>0.68176543539800805</v>
      </c>
      <c r="F617">
        <v>0.66375600409713498</v>
      </c>
      <c r="G617">
        <v>0.410363361205344</v>
      </c>
      <c r="H617">
        <v>0.40603202363449797</v>
      </c>
      <c r="I617">
        <v>0.32319127172920098</v>
      </c>
      <c r="J617">
        <v>0.189141652344502</v>
      </c>
      <c r="K617">
        <v>0.19566471826388199</v>
      </c>
      <c r="L617">
        <v>372.27262528492798</v>
      </c>
      <c r="M617">
        <v>7.0025803199799901</v>
      </c>
      <c r="N617">
        <v>53.162207106620301</v>
      </c>
      <c r="O617">
        <v>49.336061259604598</v>
      </c>
      <c r="P617">
        <v>-3.5549795300236602E-2</v>
      </c>
      <c r="Q617">
        <v>0</v>
      </c>
      <c r="R617">
        <v>0.96119065485336097</v>
      </c>
      <c r="S617" t="s">
        <v>6168</v>
      </c>
      <c r="T617" t="s">
        <v>11100</v>
      </c>
      <c r="U617" t="s">
        <v>11100</v>
      </c>
      <c r="V617" t="s">
        <v>11100</v>
      </c>
      <c r="W617" t="s">
        <v>11709</v>
      </c>
      <c r="X617">
        <v>3</v>
      </c>
      <c r="Y617" t="s">
        <v>17205</v>
      </c>
      <c r="Z617" t="s">
        <v>22622</v>
      </c>
      <c r="AA617">
        <v>0.55767708805975269</v>
      </c>
      <c r="AB617" t="str">
        <f>HYPERLINK("Melting_Curves/meltCurve_F5H2X3_NRP2.pdf", "Melting_Curves/meltCurve_F5H2X3_NRP2.pdf")</f>
        <v>Melting_Curves/meltCurve_F5H2X3_NRP2.pdf</v>
      </c>
    </row>
    <row r="618" spans="1:28" x14ac:dyDescent="0.25">
      <c r="A618" t="s">
        <v>622</v>
      </c>
      <c r="B618">
        <v>0.99299721793515405</v>
      </c>
      <c r="C618">
        <v>0.983592523714936</v>
      </c>
      <c r="D618">
        <v>1.0359803679375701</v>
      </c>
      <c r="E618">
        <v>0.88559054669255299</v>
      </c>
      <c r="F618">
        <v>0.80438918658358205</v>
      </c>
      <c r="G618">
        <v>0.45828240603153497</v>
      </c>
      <c r="H618">
        <v>0.20779916457676201</v>
      </c>
      <c r="I618">
        <v>0.19585435711273699</v>
      </c>
      <c r="J618">
        <v>0.17575630728460601</v>
      </c>
      <c r="K618">
        <v>0.15961559478307999</v>
      </c>
      <c r="L618">
        <v>1261.4893084068401</v>
      </c>
      <c r="M618">
        <v>24.0716399870239</v>
      </c>
      <c r="N618">
        <v>53.219588862486702</v>
      </c>
      <c r="O618">
        <v>52.047966575859299</v>
      </c>
      <c r="P618">
        <v>-9.7818325560974001E-2</v>
      </c>
      <c r="Q618">
        <v>0.153997751464516</v>
      </c>
      <c r="R618">
        <v>0.99254190082296201</v>
      </c>
      <c r="S618" t="s">
        <v>6169</v>
      </c>
      <c r="T618" t="s">
        <v>11100</v>
      </c>
      <c r="U618" t="s">
        <v>11100</v>
      </c>
      <c r="V618" t="s">
        <v>11100</v>
      </c>
      <c r="W618" t="s">
        <v>11710</v>
      </c>
      <c r="X618">
        <v>13</v>
      </c>
      <c r="Y618" t="s">
        <v>17206</v>
      </c>
      <c r="Z618" t="s">
        <v>22623</v>
      </c>
      <c r="AA618">
        <v>0.59644502472765992</v>
      </c>
      <c r="AB618" t="str">
        <f>HYPERLINK("Melting_Curves/meltCurve_F5H365_SEC23A.pdf", "Melting_Curves/meltCurve_F5H365_SEC23A.pdf")</f>
        <v>Melting_Curves/meltCurve_F5H365_SEC23A.pdf</v>
      </c>
    </row>
    <row r="619" spans="1:28" x14ac:dyDescent="0.25">
      <c r="A619" t="s">
        <v>623</v>
      </c>
      <c r="B619">
        <v>0.99299721793515405</v>
      </c>
      <c r="C619">
        <v>0.89830663234706398</v>
      </c>
      <c r="D619">
        <v>0.88204679282662002</v>
      </c>
      <c r="E619">
        <v>0.79583157573696395</v>
      </c>
      <c r="F619">
        <v>0.58495716937496001</v>
      </c>
      <c r="G619">
        <v>1.1265604082213101</v>
      </c>
      <c r="H619">
        <v>1.3632225372084701</v>
      </c>
      <c r="I619">
        <v>0.62389592926770798</v>
      </c>
      <c r="J619">
        <v>0.57612235712222004</v>
      </c>
      <c r="K619">
        <v>0.76911238178123398</v>
      </c>
      <c r="L619">
        <v>149.927616935012</v>
      </c>
      <c r="M619">
        <v>1.02020906982019</v>
      </c>
      <c r="O619">
        <v>53.433485038039599</v>
      </c>
      <c r="P619">
        <v>-6.4580064262994901E-3</v>
      </c>
      <c r="Q619">
        <v>0</v>
      </c>
      <c r="R619">
        <v>5.3345517757507697E-2</v>
      </c>
      <c r="S619" t="s">
        <v>6170</v>
      </c>
      <c r="T619" t="s">
        <v>11100</v>
      </c>
      <c r="U619" t="s">
        <v>11100</v>
      </c>
      <c r="V619" t="s">
        <v>11100</v>
      </c>
      <c r="W619" t="s">
        <v>11711</v>
      </c>
      <c r="X619">
        <v>1</v>
      </c>
      <c r="Y619" t="s">
        <v>17207</v>
      </c>
      <c r="Z619" t="s">
        <v>22624</v>
      </c>
      <c r="AA619">
        <v>0.86487206995264343</v>
      </c>
      <c r="AB619" t="str">
        <f>HYPERLINK("Melting_Curves/meltCurve_F5H450_FZD10.pdf", "Melting_Curves/meltCurve_F5H450_FZD10.pdf")</f>
        <v>Melting_Curves/meltCurve_F5H450_FZD10.pdf</v>
      </c>
    </row>
    <row r="620" spans="1:28" x14ac:dyDescent="0.25">
      <c r="A620" t="s">
        <v>624</v>
      </c>
      <c r="B620">
        <v>0.99299721793515405</v>
      </c>
      <c r="C620">
        <v>0.94018864681590797</v>
      </c>
      <c r="D620">
        <v>0.87607024646638398</v>
      </c>
      <c r="E620">
        <v>1.11802149244754</v>
      </c>
      <c r="F620">
        <v>0.80544497042920205</v>
      </c>
      <c r="G620">
        <v>0.76797386250269095</v>
      </c>
      <c r="H620">
        <v>0.49669032651456901</v>
      </c>
      <c r="I620">
        <v>0.37590910636409097</v>
      </c>
      <c r="J620">
        <v>0.22040689568080399</v>
      </c>
      <c r="K620">
        <v>6.9959255093516207E-2</v>
      </c>
      <c r="L620">
        <v>805.42886134538503</v>
      </c>
      <c r="M620">
        <v>13.9247464048455</v>
      </c>
      <c r="N620">
        <v>57.841546221230601</v>
      </c>
      <c r="O620">
        <v>56.6877799548936</v>
      </c>
      <c r="P620">
        <v>-6.1418123495593301E-2</v>
      </c>
      <c r="Q620">
        <v>0</v>
      </c>
      <c r="R620">
        <v>0.95091515268487803</v>
      </c>
      <c r="S620" t="s">
        <v>6171</v>
      </c>
      <c r="T620" t="s">
        <v>11100</v>
      </c>
      <c r="U620" t="s">
        <v>11100</v>
      </c>
      <c r="V620" t="s">
        <v>11100</v>
      </c>
      <c r="W620" t="s">
        <v>11712</v>
      </c>
      <c r="X620">
        <v>2</v>
      </c>
      <c r="Y620" t="s">
        <v>17208</v>
      </c>
      <c r="Z620" t="s">
        <v>22625</v>
      </c>
      <c r="AA620">
        <v>0.69821898924433801</v>
      </c>
      <c r="AB620" t="str">
        <f>HYPERLINK("Melting_Curves/meltCurve_F5H4F1_RAD9A.pdf", "Melting_Curves/meltCurve_F5H4F1_RAD9A.pdf")</f>
        <v>Melting_Curves/meltCurve_F5H4F1_RAD9A.pdf</v>
      </c>
    </row>
    <row r="621" spans="1:28" x14ac:dyDescent="0.25">
      <c r="A621" t="s">
        <v>625</v>
      </c>
      <c r="B621">
        <v>0.99299721793515405</v>
      </c>
      <c r="C621">
        <v>1.0882419390306399</v>
      </c>
      <c r="D621">
        <v>1.3030346144065099</v>
      </c>
      <c r="E621">
        <v>0.935632498454261</v>
      </c>
      <c r="F621">
        <v>0.68343583411382003</v>
      </c>
      <c r="G621">
        <v>0.37662701153920802</v>
      </c>
      <c r="H621">
        <v>0.227034870882243</v>
      </c>
      <c r="I621">
        <v>0.19983713453139901</v>
      </c>
      <c r="J621">
        <v>0.165584384813796</v>
      </c>
      <c r="K621">
        <v>0.15347143643551001</v>
      </c>
      <c r="L621">
        <v>1356.4866563089199</v>
      </c>
      <c r="M621">
        <v>26.4352779847653</v>
      </c>
      <c r="N621">
        <v>52.142657575582497</v>
      </c>
      <c r="O621">
        <v>51.022549830822101</v>
      </c>
      <c r="P621">
        <v>-0.107302100779606</v>
      </c>
      <c r="Q621">
        <v>0.171596565671987</v>
      </c>
      <c r="R621">
        <v>0.94007973777715204</v>
      </c>
      <c r="S621" t="s">
        <v>6172</v>
      </c>
      <c r="T621" t="s">
        <v>11100</v>
      </c>
      <c r="U621" t="s">
        <v>11100</v>
      </c>
      <c r="V621" t="s">
        <v>11100</v>
      </c>
      <c r="W621" t="s">
        <v>11713</v>
      </c>
      <c r="X621">
        <v>7</v>
      </c>
      <c r="Y621" t="s">
        <v>17209</v>
      </c>
      <c r="Z621" t="s">
        <v>22626</v>
      </c>
      <c r="AA621">
        <v>0.57344227789045099</v>
      </c>
      <c r="AB621" t="str">
        <f>HYPERLINK("Melting_Curves/meltCurve_F5H4G7_KPNA6.pdf", "Melting_Curves/meltCurve_F5H4G7_KPNA6.pdf")</f>
        <v>Melting_Curves/meltCurve_F5H4G7_KPNA6.pdf</v>
      </c>
    </row>
    <row r="622" spans="1:28" x14ac:dyDescent="0.25">
      <c r="A622" t="s">
        <v>626</v>
      </c>
      <c r="B622">
        <v>0.99299721793515405</v>
      </c>
      <c r="C622">
        <v>1.3144198237181599</v>
      </c>
      <c r="D622">
        <v>1.12815382451645</v>
      </c>
      <c r="E622">
        <v>1.16915497243513</v>
      </c>
      <c r="F622">
        <v>0.80927384776829403</v>
      </c>
      <c r="G622">
        <v>0.76196425490754305</v>
      </c>
      <c r="H622">
        <v>0.21407385619480301</v>
      </c>
      <c r="I622">
        <v>0</v>
      </c>
      <c r="J622">
        <v>0.14117554982045499</v>
      </c>
      <c r="K622">
        <v>0.18754885856280601</v>
      </c>
      <c r="L622">
        <v>2402.56493549384</v>
      </c>
      <c r="M622">
        <v>43.771163111085698</v>
      </c>
      <c r="N622">
        <v>55.187141016667297</v>
      </c>
      <c r="O622">
        <v>54.775019387769902</v>
      </c>
      <c r="P622">
        <v>-0.178755662793918</v>
      </c>
      <c r="Q622">
        <v>0.105225447578497</v>
      </c>
      <c r="R622">
        <v>0.90944169144883202</v>
      </c>
      <c r="S622" t="s">
        <v>6173</v>
      </c>
      <c r="T622" t="s">
        <v>11100</v>
      </c>
      <c r="U622" t="s">
        <v>11100</v>
      </c>
      <c r="V622" t="s">
        <v>11100</v>
      </c>
      <c r="W622" t="s">
        <v>11714</v>
      </c>
      <c r="X622">
        <v>1</v>
      </c>
      <c r="Y622" t="s">
        <v>17210</v>
      </c>
      <c r="Z622" t="s">
        <v>22627</v>
      </c>
      <c r="AA622">
        <v>0.6415961225739385</v>
      </c>
      <c r="AB622" t="str">
        <f>HYPERLINK("Melting_Curves/meltCurve_F5H4I5_ITM2C.pdf", "Melting_Curves/meltCurve_F5H4I5_ITM2C.pdf")</f>
        <v>Melting_Curves/meltCurve_F5H4I5_ITM2C.pdf</v>
      </c>
    </row>
    <row r="623" spans="1:28" x14ac:dyDescent="0.25">
      <c r="A623" t="s">
        <v>627</v>
      </c>
      <c r="B623">
        <v>0.99299721793515405</v>
      </c>
      <c r="C623">
        <v>0.81853495118350195</v>
      </c>
      <c r="D623">
        <v>0.87702884553590199</v>
      </c>
      <c r="E623">
        <v>0.76599390424938696</v>
      </c>
      <c r="F623">
        <v>0.59198776358981298</v>
      </c>
      <c r="G623">
        <v>0.43306941779590602</v>
      </c>
      <c r="H623">
        <v>0.35821088128968898</v>
      </c>
      <c r="I623">
        <v>0.37336829233889801</v>
      </c>
      <c r="J623">
        <v>0.43262500986838198</v>
      </c>
      <c r="K623">
        <v>0.37584327457975297</v>
      </c>
      <c r="L623">
        <v>553.36706270792104</v>
      </c>
      <c r="M623">
        <v>11.6137476740493</v>
      </c>
      <c r="N623">
        <v>52.798417505872003</v>
      </c>
      <c r="O623">
        <v>46.300643407547199</v>
      </c>
      <c r="P623">
        <v>-4.14636316664403E-2</v>
      </c>
      <c r="Q623">
        <v>0.338967081439767</v>
      </c>
      <c r="R623">
        <v>0.946354900031946</v>
      </c>
      <c r="S623" t="s">
        <v>6174</v>
      </c>
      <c r="T623" t="s">
        <v>11100</v>
      </c>
      <c r="U623" t="s">
        <v>11100</v>
      </c>
      <c r="V623" t="s">
        <v>11100</v>
      </c>
      <c r="W623" t="s">
        <v>11715</v>
      </c>
      <c r="X623">
        <v>4</v>
      </c>
      <c r="Y623" t="s">
        <v>17211</v>
      </c>
      <c r="Z623" t="s">
        <v>22628</v>
      </c>
      <c r="AA623">
        <v>0.59568991569423846</v>
      </c>
      <c r="AB623" t="str">
        <f>HYPERLINK("Melting_Curves/meltCurve_F5H4J2_PEX14.pdf", "Melting_Curves/meltCurve_F5H4J2_PEX14.pdf")</f>
        <v>Melting_Curves/meltCurve_F5H4J2_PEX14.pdf</v>
      </c>
    </row>
    <row r="624" spans="1:28" x14ac:dyDescent="0.25">
      <c r="A624" t="s">
        <v>628</v>
      </c>
      <c r="B624">
        <v>0.99299721793515405</v>
      </c>
      <c r="C624">
        <v>0.88321361599939396</v>
      </c>
      <c r="D624">
        <v>0.90018263059947501</v>
      </c>
      <c r="E624">
        <v>0.72492517259922595</v>
      </c>
      <c r="F624">
        <v>0.66318511072160002</v>
      </c>
      <c r="G624">
        <v>0.51711422626334502</v>
      </c>
      <c r="H624">
        <v>0.61197232850794403</v>
      </c>
      <c r="I624">
        <v>0.93783619556826903</v>
      </c>
      <c r="J624">
        <v>1.15707582190293</v>
      </c>
      <c r="K624">
        <v>0.98619276929929001</v>
      </c>
      <c r="L624">
        <v>1071.7552697510901</v>
      </c>
      <c r="M624">
        <v>26.757466897523301</v>
      </c>
      <c r="O624">
        <v>39.832728604496097</v>
      </c>
      <c r="P624">
        <v>-3.2554123439739097E-2</v>
      </c>
      <c r="Q624">
        <v>0.80615415667895796</v>
      </c>
      <c r="R624">
        <v>9.2698598082786701E-2</v>
      </c>
      <c r="S624" t="s">
        <v>6175</v>
      </c>
      <c r="T624" t="s">
        <v>11100</v>
      </c>
      <c r="U624" t="s">
        <v>11100</v>
      </c>
      <c r="V624" t="s">
        <v>11100</v>
      </c>
      <c r="W624" t="s">
        <v>11716</v>
      </c>
      <c r="X624">
        <v>2</v>
      </c>
      <c r="Y624" t="s">
        <v>17212</v>
      </c>
      <c r="Z624" t="s">
        <v>22629</v>
      </c>
      <c r="AA624">
        <v>0.82790783228937359</v>
      </c>
      <c r="AB624" t="str">
        <f>HYPERLINK("Melting_Curves/meltCurve_F5H4K0_WLS.pdf", "Melting_Curves/meltCurve_F5H4K0_WLS.pdf")</f>
        <v>Melting_Curves/meltCurve_F5H4K0_WLS.pdf</v>
      </c>
    </row>
    <row r="625" spans="1:28" x14ac:dyDescent="0.25">
      <c r="A625" t="s">
        <v>629</v>
      </c>
      <c r="B625">
        <v>0.99299721793515405</v>
      </c>
      <c r="C625">
        <v>0.92862035041762103</v>
      </c>
      <c r="D625">
        <v>1.0461908013075101</v>
      </c>
      <c r="E625">
        <v>1.03207602152275</v>
      </c>
      <c r="F625">
        <v>0.80538482893371399</v>
      </c>
      <c r="G625">
        <v>0.44860560573685798</v>
      </c>
      <c r="H625">
        <v>0.33619784645549</v>
      </c>
      <c r="I625">
        <v>0.31187444187299901</v>
      </c>
      <c r="J625">
        <v>0.325895518109592</v>
      </c>
      <c r="K625">
        <v>0.28892307246806198</v>
      </c>
      <c r="L625">
        <v>1835.36782806923</v>
      </c>
      <c r="M625">
        <v>35.552142748102803</v>
      </c>
      <c r="N625">
        <v>53.074899603292202</v>
      </c>
      <c r="O625">
        <v>51.462161102823401</v>
      </c>
      <c r="P625">
        <v>-0.119044403392797</v>
      </c>
      <c r="Q625">
        <v>0.31072942614723698</v>
      </c>
      <c r="R625">
        <v>0.98972713905375398</v>
      </c>
      <c r="S625" t="s">
        <v>6176</v>
      </c>
      <c r="T625" t="s">
        <v>11100</v>
      </c>
      <c r="U625" t="s">
        <v>11100</v>
      </c>
      <c r="V625" t="s">
        <v>11100</v>
      </c>
      <c r="W625" t="s">
        <v>11717</v>
      </c>
      <c r="X625">
        <v>3</v>
      </c>
      <c r="Y625" t="s">
        <v>17213</v>
      </c>
      <c r="Z625" t="s">
        <v>22630</v>
      </c>
      <c r="AA625">
        <v>0.64984585511621484</v>
      </c>
      <c r="AB625" t="str">
        <f>HYPERLINK("Melting_Curves/meltCurve_F5H4Q5_VPS37C.pdf", "Melting_Curves/meltCurve_F5H4Q5_VPS37C.pdf")</f>
        <v>Melting_Curves/meltCurve_F5H4Q5_VPS37C.pdf</v>
      </c>
    </row>
    <row r="626" spans="1:28" x14ac:dyDescent="0.25">
      <c r="A626" t="s">
        <v>630</v>
      </c>
      <c r="B626">
        <v>0.99299721793515405</v>
      </c>
      <c r="C626">
        <v>0.96417410190053998</v>
      </c>
      <c r="D626">
        <v>0.90906333309373799</v>
      </c>
      <c r="E626">
        <v>0.80006464898720797</v>
      </c>
      <c r="F626">
        <v>0.68664035483758301</v>
      </c>
      <c r="G626">
        <v>0.255469356199713</v>
      </c>
      <c r="H626">
        <v>0.19652177060378101</v>
      </c>
      <c r="I626">
        <v>0.132347640985962</v>
      </c>
      <c r="J626">
        <v>9.5537990518809804E-2</v>
      </c>
      <c r="K626">
        <v>7.8990162499871799E-2</v>
      </c>
      <c r="L626">
        <v>850.56825345183904</v>
      </c>
      <c r="M626">
        <v>16.6775575085097</v>
      </c>
      <c r="N626">
        <v>51.400372627796401</v>
      </c>
      <c r="O626">
        <v>50.284424775389098</v>
      </c>
      <c r="P626">
        <v>-7.7880051706447101E-2</v>
      </c>
      <c r="Q626">
        <v>6.0799479386021898E-2</v>
      </c>
      <c r="R626">
        <v>0.98483414074634401</v>
      </c>
      <c r="S626" t="s">
        <v>6177</v>
      </c>
      <c r="T626" t="s">
        <v>11100</v>
      </c>
      <c r="U626" t="s">
        <v>11100</v>
      </c>
      <c r="V626" t="s">
        <v>11100</v>
      </c>
      <c r="W626" t="s">
        <v>11718</v>
      </c>
      <c r="X626">
        <v>6</v>
      </c>
      <c r="Y626" t="s">
        <v>17214</v>
      </c>
      <c r="Z626" t="s">
        <v>22631</v>
      </c>
      <c r="AA626">
        <v>0.51544897506543697</v>
      </c>
      <c r="AB626" t="str">
        <f>HYPERLINK("Melting_Curves/meltCurve_F5H4R0_EVI5.pdf", "Melting_Curves/meltCurve_F5H4R0_EVI5.pdf")</f>
        <v>Melting_Curves/meltCurve_F5H4R0_EVI5.pdf</v>
      </c>
    </row>
    <row r="627" spans="1:28" x14ac:dyDescent="0.25">
      <c r="A627" t="s">
        <v>631</v>
      </c>
      <c r="B627">
        <v>0.99299721793515405</v>
      </c>
      <c r="C627">
        <v>0.79515906939668302</v>
      </c>
      <c r="D627">
        <v>0.86694524939696704</v>
      </c>
      <c r="E627">
        <v>0.84521405648013803</v>
      </c>
      <c r="F627">
        <v>0.41176498749384699</v>
      </c>
      <c r="G627">
        <v>0.16555720614830899</v>
      </c>
      <c r="H627">
        <v>0.19324422778824299</v>
      </c>
      <c r="I627">
        <v>0.16376530939466599</v>
      </c>
      <c r="J627">
        <v>5.5451164807937603E-2</v>
      </c>
      <c r="K627">
        <v>7.4257422305271201E-2</v>
      </c>
      <c r="L627">
        <v>1001.50477672694</v>
      </c>
      <c r="M627">
        <v>20.436156309057498</v>
      </c>
      <c r="N627">
        <v>49.495733903432999</v>
      </c>
      <c r="O627">
        <v>48.5445083394034</v>
      </c>
      <c r="P627">
        <v>-9.5622968792669794E-2</v>
      </c>
      <c r="Q627">
        <v>9.14474316913471E-2</v>
      </c>
      <c r="R627">
        <v>0.94945048463352499</v>
      </c>
      <c r="S627" t="s">
        <v>6178</v>
      </c>
      <c r="T627" t="s">
        <v>11100</v>
      </c>
      <c r="U627" t="s">
        <v>11100</v>
      </c>
      <c r="V627" t="s">
        <v>11100</v>
      </c>
      <c r="W627" t="s">
        <v>11719</v>
      </c>
      <c r="X627">
        <v>3</v>
      </c>
      <c r="Y627" t="s">
        <v>17215</v>
      </c>
      <c r="Z627" t="s">
        <v>22632</v>
      </c>
      <c r="AA627">
        <v>0.46657215149262993</v>
      </c>
      <c r="AB627" t="str">
        <f>HYPERLINK("Melting_Curves/meltCurve_F5H4V9_PDCD2.pdf", "Melting_Curves/meltCurve_F5H4V9_PDCD2.pdf")</f>
        <v>Melting_Curves/meltCurve_F5H4V9_PDCD2.pdf</v>
      </c>
    </row>
    <row r="628" spans="1:28" x14ac:dyDescent="0.25">
      <c r="A628" t="s">
        <v>632</v>
      </c>
      <c r="B628">
        <v>0.99299721793515405</v>
      </c>
      <c r="C628">
        <v>0.90590294699641905</v>
      </c>
      <c r="D628">
        <v>0.96244708611055296</v>
      </c>
      <c r="E628">
        <v>0.80679154712284495</v>
      </c>
      <c r="F628">
        <v>0.75083049726177697</v>
      </c>
      <c r="G628">
        <v>0.55598642012976995</v>
      </c>
      <c r="H628">
        <v>0.38345174531883303</v>
      </c>
      <c r="I628">
        <v>0.27734600396119102</v>
      </c>
      <c r="J628">
        <v>0.16594531224525</v>
      </c>
      <c r="K628">
        <v>0.11941688304914901</v>
      </c>
      <c r="L628">
        <v>553.30822560459001</v>
      </c>
      <c r="M628">
        <v>10.100150519612701</v>
      </c>
      <c r="N628">
        <v>54.782175100416602</v>
      </c>
      <c r="O628">
        <v>52.764729442895003</v>
      </c>
      <c r="P628">
        <v>-4.7877059409878402E-2</v>
      </c>
      <c r="Q628">
        <v>0</v>
      </c>
      <c r="R628">
        <v>0.98995463673945705</v>
      </c>
      <c r="S628" t="s">
        <v>6179</v>
      </c>
      <c r="T628" t="s">
        <v>11100</v>
      </c>
      <c r="U628" t="s">
        <v>11100</v>
      </c>
      <c r="V628" t="s">
        <v>11100</v>
      </c>
      <c r="W628" t="s">
        <v>11720</v>
      </c>
      <c r="X628">
        <v>8</v>
      </c>
      <c r="Y628" t="s">
        <v>17216</v>
      </c>
      <c r="Z628" t="s">
        <v>22633</v>
      </c>
      <c r="AA628">
        <v>0.60628957843972164</v>
      </c>
      <c r="AB628" t="str">
        <f>HYPERLINK("Melting_Curves/meltCurve_F5H4Z3_PSMF1.pdf", "Melting_Curves/meltCurve_F5H4Z3_PSMF1.pdf")</f>
        <v>Melting_Curves/meltCurve_F5H4Z3_PSMF1.pdf</v>
      </c>
    </row>
    <row r="629" spans="1:28" x14ac:dyDescent="0.25">
      <c r="A629" t="s">
        <v>633</v>
      </c>
      <c r="B629">
        <v>0.99299721793515405</v>
      </c>
      <c r="C629">
        <v>0.88929681282307604</v>
      </c>
      <c r="D629">
        <v>0.80548897596721802</v>
      </c>
      <c r="E629">
        <v>0.82701921044052495</v>
      </c>
      <c r="F629">
        <v>0.63073500067057497</v>
      </c>
      <c r="G629">
        <v>0.50030527799593705</v>
      </c>
      <c r="H629">
        <v>0.45590812642277401</v>
      </c>
      <c r="I629">
        <v>0.38913949965620598</v>
      </c>
      <c r="J629">
        <v>0.39777780123096601</v>
      </c>
      <c r="K629">
        <v>0.212672378158275</v>
      </c>
      <c r="L629">
        <v>333.78719919865</v>
      </c>
      <c r="M629">
        <v>6.0883480515916499</v>
      </c>
      <c r="N629">
        <v>55.541468173525601</v>
      </c>
      <c r="O629">
        <v>49.791185122557202</v>
      </c>
      <c r="P629">
        <v>-2.95036716831788E-2</v>
      </c>
      <c r="Q629">
        <v>3.7820415031941397E-2</v>
      </c>
      <c r="R629">
        <v>0.96295833152302102</v>
      </c>
      <c r="S629" t="s">
        <v>6180</v>
      </c>
      <c r="T629" t="s">
        <v>11100</v>
      </c>
      <c r="U629" t="s">
        <v>11100</v>
      </c>
      <c r="V629" t="s">
        <v>11100</v>
      </c>
      <c r="W629" t="s">
        <v>11721</v>
      </c>
      <c r="X629">
        <v>5</v>
      </c>
      <c r="Y629" t="s">
        <v>17217</v>
      </c>
      <c r="Z629" t="s">
        <v>22634</v>
      </c>
      <c r="AA629">
        <v>0.60769368994997719</v>
      </c>
      <c r="AB629" t="str">
        <f>HYPERLINK("Melting_Curves/meltCurve_F5H527_SSH2.pdf", "Melting_Curves/meltCurve_F5H527_SSH2.pdf")</f>
        <v>Melting_Curves/meltCurve_F5H527_SSH2.pdf</v>
      </c>
    </row>
    <row r="630" spans="1:28" x14ac:dyDescent="0.25">
      <c r="A630" t="s">
        <v>634</v>
      </c>
      <c r="B630">
        <v>0.99299721793515405</v>
      </c>
      <c r="C630">
        <v>0.97914688177862097</v>
      </c>
      <c r="D630">
        <v>0.88597778633293101</v>
      </c>
      <c r="E630">
        <v>0.84566791936883401</v>
      </c>
      <c r="F630">
        <v>0.40481944327410302</v>
      </c>
      <c r="G630">
        <v>0.212527410444279</v>
      </c>
      <c r="H630">
        <v>0.19881927191499399</v>
      </c>
      <c r="I630">
        <v>0.197892527662928</v>
      </c>
      <c r="J630">
        <v>0.173803283729352</v>
      </c>
      <c r="K630">
        <v>0.160359141182145</v>
      </c>
      <c r="L630">
        <v>1416.8443417625599</v>
      </c>
      <c r="M630">
        <v>29.126723248235098</v>
      </c>
      <c r="N630">
        <v>49.380108559296801</v>
      </c>
      <c r="O630">
        <v>48.416576414457801</v>
      </c>
      <c r="P630">
        <v>-0.123914939156107</v>
      </c>
      <c r="Q630">
        <v>0.17608413964597699</v>
      </c>
      <c r="R630">
        <v>0.99079308184223203</v>
      </c>
      <c r="S630" t="s">
        <v>6181</v>
      </c>
      <c r="T630" t="s">
        <v>11100</v>
      </c>
      <c r="U630" t="s">
        <v>11100</v>
      </c>
      <c r="V630" t="s">
        <v>11100</v>
      </c>
      <c r="W630" t="s">
        <v>11722</v>
      </c>
      <c r="X630">
        <v>15</v>
      </c>
      <c r="Y630" t="s">
        <v>17218</v>
      </c>
      <c r="Z630" t="s">
        <v>22635</v>
      </c>
      <c r="AA630">
        <v>0.50111507983903969</v>
      </c>
      <c r="AB630" t="str">
        <f>HYPERLINK("Melting_Curves/meltCurve_F5H564_EIF4G3.pdf", "Melting_Curves/meltCurve_F5H564_EIF4G3.pdf")</f>
        <v>Melting_Curves/meltCurve_F5H564_EIF4G3.pdf</v>
      </c>
    </row>
    <row r="631" spans="1:28" x14ac:dyDescent="0.25">
      <c r="A631" t="s">
        <v>635</v>
      </c>
      <c r="B631">
        <v>0.99299721793515405</v>
      </c>
      <c r="C631">
        <v>0.94963072770273005</v>
      </c>
      <c r="D631">
        <v>0.87825580457947305</v>
      </c>
      <c r="E631">
        <v>0.854482814693447</v>
      </c>
      <c r="F631">
        <v>0.74021725088349699</v>
      </c>
      <c r="G631">
        <v>0.797085777623046</v>
      </c>
      <c r="H631">
        <v>0.93117030382340205</v>
      </c>
      <c r="I631">
        <v>1.0405058824727</v>
      </c>
      <c r="J631">
        <v>0.84554086571160003</v>
      </c>
      <c r="K631">
        <v>1.05624467025489</v>
      </c>
      <c r="L631">
        <v>9979.7188127845893</v>
      </c>
      <c r="M631">
        <v>250</v>
      </c>
      <c r="O631">
        <v>39.916320720185297</v>
      </c>
      <c r="P631">
        <v>-0.16763518830046201</v>
      </c>
      <c r="Q631">
        <v>0.89293792111540904</v>
      </c>
      <c r="R631">
        <v>0.110367509305484</v>
      </c>
      <c r="S631" t="s">
        <v>6182</v>
      </c>
      <c r="T631" t="s">
        <v>11100</v>
      </c>
      <c r="U631" t="s">
        <v>11100</v>
      </c>
      <c r="V631" t="s">
        <v>11100</v>
      </c>
      <c r="W631" t="s">
        <v>11723</v>
      </c>
      <c r="X631">
        <v>3</v>
      </c>
      <c r="Y631" t="s">
        <v>17219</v>
      </c>
      <c r="Z631" t="s">
        <v>22636</v>
      </c>
      <c r="AA631">
        <v>0.90336211664502664</v>
      </c>
      <c r="AB631" t="str">
        <f>HYPERLINK("Melting_Curves/meltCurve_F5H569_ATP6V0A1.pdf", "Melting_Curves/meltCurve_F5H569_ATP6V0A1.pdf")</f>
        <v>Melting_Curves/meltCurve_F5H569_ATP6V0A1.pdf</v>
      </c>
    </row>
    <row r="632" spans="1:28" x14ac:dyDescent="0.25">
      <c r="A632" t="s">
        <v>636</v>
      </c>
      <c r="B632">
        <v>0.99299721793515405</v>
      </c>
      <c r="C632">
        <v>1.0222804076976599</v>
      </c>
      <c r="D632">
        <v>0.96299068672454002</v>
      </c>
      <c r="E632">
        <v>0.98189758703680996</v>
      </c>
      <c r="F632">
        <v>0.86783186040704596</v>
      </c>
      <c r="G632">
        <v>0.74440649236843903</v>
      </c>
      <c r="H632">
        <v>0.59909723802792003</v>
      </c>
      <c r="I632">
        <v>0.43514645425467402</v>
      </c>
      <c r="J632">
        <v>0.18016054749507501</v>
      </c>
      <c r="K632">
        <v>0.111269736645326</v>
      </c>
      <c r="L632">
        <v>805.71057932987003</v>
      </c>
      <c r="M632">
        <v>13.7541315523496</v>
      </c>
      <c r="N632">
        <v>58.579531297320401</v>
      </c>
      <c r="O632">
        <v>57.382857038308103</v>
      </c>
      <c r="P632">
        <v>-5.9931146680813903E-2</v>
      </c>
      <c r="Q632">
        <v>0</v>
      </c>
      <c r="R632">
        <v>0.98679730254359899</v>
      </c>
      <c r="S632" t="s">
        <v>6183</v>
      </c>
      <c r="T632" t="s">
        <v>11100</v>
      </c>
      <c r="U632" t="s">
        <v>11100</v>
      </c>
      <c r="V632" t="s">
        <v>11100</v>
      </c>
      <c r="W632" t="s">
        <v>11724</v>
      </c>
      <c r="X632">
        <v>34</v>
      </c>
      <c r="Y632" t="s">
        <v>17220</v>
      </c>
      <c r="Z632" t="s">
        <v>22637</v>
      </c>
      <c r="AA632">
        <v>0.71856713330740085</v>
      </c>
      <c r="AB632" t="str">
        <f>HYPERLINK("Melting_Curves/meltCurve_F5H5D3_TUBA1C.pdf", "Melting_Curves/meltCurve_F5H5D3_TUBA1C.pdf")</f>
        <v>Melting_Curves/meltCurve_F5H5D3_TUBA1C.pdf</v>
      </c>
    </row>
    <row r="633" spans="1:28" x14ac:dyDescent="0.25">
      <c r="A633" t="s">
        <v>637</v>
      </c>
      <c r="B633">
        <v>0.99299721793515405</v>
      </c>
      <c r="C633">
        <v>0.96342738719363297</v>
      </c>
      <c r="D633">
        <v>0.82418145487335703</v>
      </c>
      <c r="E633">
        <v>0.63118890378488302</v>
      </c>
      <c r="F633">
        <v>0.45893409458310902</v>
      </c>
      <c r="G633">
        <v>0.492453278340168</v>
      </c>
      <c r="H633">
        <v>0.45056478280686901</v>
      </c>
      <c r="I633">
        <v>0.28956168326487502</v>
      </c>
      <c r="J633">
        <v>0.14356282517242</v>
      </c>
      <c r="K633">
        <v>0.16685690597001299</v>
      </c>
      <c r="L633">
        <v>371.181116693501</v>
      </c>
      <c r="M633">
        <v>7.1811007392434298</v>
      </c>
      <c r="N633">
        <v>51.977842082884699</v>
      </c>
      <c r="O633">
        <v>48.130963162953599</v>
      </c>
      <c r="P633">
        <v>-3.66309886274706E-2</v>
      </c>
      <c r="Q633">
        <v>1.9585784334024699E-2</v>
      </c>
      <c r="R633">
        <v>0.95100219575994704</v>
      </c>
      <c r="S633" t="s">
        <v>6184</v>
      </c>
      <c r="T633" t="s">
        <v>11100</v>
      </c>
      <c r="U633" t="s">
        <v>11100</v>
      </c>
      <c r="V633" t="s">
        <v>11100</v>
      </c>
      <c r="W633" t="s">
        <v>11725</v>
      </c>
      <c r="X633">
        <v>2</v>
      </c>
      <c r="Y633" t="s">
        <v>17221</v>
      </c>
      <c r="Z633" t="s">
        <v>22638</v>
      </c>
      <c r="AA633">
        <v>0.53017289577606264</v>
      </c>
      <c r="AB633" t="str">
        <f>HYPERLINK("Melting_Curves/meltCurve_F5H5K6_NOC4L.pdf", "Melting_Curves/meltCurve_F5H5K6_NOC4L.pdf")</f>
        <v>Melting_Curves/meltCurve_F5H5K6_NOC4L.pdf</v>
      </c>
    </row>
    <row r="634" spans="1:28" x14ac:dyDescent="0.25">
      <c r="A634" t="s">
        <v>638</v>
      </c>
      <c r="B634">
        <v>0.99299721793515405</v>
      </c>
      <c r="C634">
        <v>0.96019901059315804</v>
      </c>
      <c r="D634">
        <v>0.96137982629792396</v>
      </c>
      <c r="E634">
        <v>0.87961792352107204</v>
      </c>
      <c r="F634">
        <v>0.80106238315718803</v>
      </c>
      <c r="G634">
        <v>0.84886319905102903</v>
      </c>
      <c r="H634">
        <v>0.72602884960441505</v>
      </c>
      <c r="I634">
        <v>0.30654930217750798</v>
      </c>
      <c r="J634">
        <v>0.16122244938620001</v>
      </c>
      <c r="K634">
        <v>0.17727524781086201</v>
      </c>
      <c r="L634">
        <v>945.81873932845599</v>
      </c>
      <c r="M634">
        <v>16.017311173965801</v>
      </c>
      <c r="N634">
        <v>59.049782857068102</v>
      </c>
      <c r="O634">
        <v>58.152352580255403</v>
      </c>
      <c r="P634">
        <v>-6.8864634975726702E-2</v>
      </c>
      <c r="Q634">
        <v>0</v>
      </c>
      <c r="R634">
        <v>0.94177259387962398</v>
      </c>
      <c r="S634" t="s">
        <v>6185</v>
      </c>
      <c r="T634" t="s">
        <v>11100</v>
      </c>
      <c r="U634" t="s">
        <v>11100</v>
      </c>
      <c r="V634" t="s">
        <v>11100</v>
      </c>
      <c r="W634" t="s">
        <v>11726</v>
      </c>
      <c r="X634">
        <v>3</v>
      </c>
      <c r="Y634" t="s">
        <v>17222</v>
      </c>
      <c r="Z634" t="s">
        <v>22639</v>
      </c>
      <c r="AA634">
        <v>0.7355094413264992</v>
      </c>
      <c r="AB634" t="str">
        <f>HYPERLINK("Melting_Curves/meltCurve_F5H5N1_NDUFS7.pdf", "Melting_Curves/meltCurve_F5H5N1_NDUFS7.pdf")</f>
        <v>Melting_Curves/meltCurve_F5H5N1_NDUFS7.pdf</v>
      </c>
    </row>
    <row r="635" spans="1:28" x14ac:dyDescent="0.25">
      <c r="A635" t="s">
        <v>639</v>
      </c>
      <c r="B635">
        <v>0.99299721793515405</v>
      </c>
      <c r="C635">
        <v>0.96885535057334204</v>
      </c>
      <c r="D635">
        <v>0.86890451600472096</v>
      </c>
      <c r="E635">
        <v>0.85932525897007095</v>
      </c>
      <c r="F635">
        <v>0.74221291083561403</v>
      </c>
      <c r="G635">
        <v>0.62042498742470198</v>
      </c>
      <c r="H635">
        <v>0.36568926968084697</v>
      </c>
      <c r="I635">
        <v>0.2318683778407</v>
      </c>
      <c r="J635">
        <v>0.17899486438644199</v>
      </c>
      <c r="K635">
        <v>0.14382318754419299</v>
      </c>
      <c r="L635">
        <v>574.46122878969902</v>
      </c>
      <c r="M635">
        <v>10.4436413131595</v>
      </c>
      <c r="N635">
        <v>55.005830962688997</v>
      </c>
      <c r="O635">
        <v>53.103792329491199</v>
      </c>
      <c r="P635">
        <v>-4.9186428809866803E-2</v>
      </c>
      <c r="Q635">
        <v>0</v>
      </c>
      <c r="R635">
        <v>0.98784785055643898</v>
      </c>
      <c r="S635" t="s">
        <v>6186</v>
      </c>
      <c r="T635" t="s">
        <v>11100</v>
      </c>
      <c r="U635" t="s">
        <v>11100</v>
      </c>
      <c r="V635" t="s">
        <v>11100</v>
      </c>
      <c r="W635" t="s">
        <v>11727</v>
      </c>
      <c r="X635">
        <v>5</v>
      </c>
      <c r="Y635" t="s">
        <v>17223</v>
      </c>
      <c r="Z635" t="s">
        <v>22640</v>
      </c>
      <c r="AA635">
        <v>0.61300435742918136</v>
      </c>
      <c r="AB635" t="str">
        <f>HYPERLINK("Melting_Curves/meltCurve_F5H5P2_BCKDHA.pdf", "Melting_Curves/meltCurve_F5H5P2_BCKDHA.pdf")</f>
        <v>Melting_Curves/meltCurve_F5H5P2_BCKDHA.pdf</v>
      </c>
    </row>
    <row r="636" spans="1:28" x14ac:dyDescent="0.25">
      <c r="A636" t="s">
        <v>640</v>
      </c>
      <c r="B636">
        <v>0.99299721793515405</v>
      </c>
      <c r="C636">
        <v>0.98454196803663496</v>
      </c>
      <c r="D636">
        <v>1.02430939130543</v>
      </c>
      <c r="E636">
        <v>0.95178475070719804</v>
      </c>
      <c r="F636">
        <v>0.66315546615601695</v>
      </c>
      <c r="G636">
        <v>0.29405712763976699</v>
      </c>
      <c r="H636">
        <v>0.12719801366295699</v>
      </c>
      <c r="I636">
        <v>0.118938867519257</v>
      </c>
      <c r="J636">
        <v>7.7472714119277405E-2</v>
      </c>
      <c r="K636">
        <v>5.91833624134602E-2</v>
      </c>
      <c r="L636">
        <v>1349.7780204150299</v>
      </c>
      <c r="M636">
        <v>26.297664007729601</v>
      </c>
      <c r="N636">
        <v>51.657346209035701</v>
      </c>
      <c r="O636">
        <v>51.032863731065902</v>
      </c>
      <c r="P636">
        <v>-0.11885538637533601</v>
      </c>
      <c r="Q636">
        <v>7.7413827115453193E-2</v>
      </c>
      <c r="R636">
        <v>0.99845281691753895</v>
      </c>
      <c r="S636" t="s">
        <v>6187</v>
      </c>
      <c r="T636" t="s">
        <v>11100</v>
      </c>
      <c r="U636" t="s">
        <v>11100</v>
      </c>
      <c r="V636" t="s">
        <v>11100</v>
      </c>
      <c r="W636" t="s">
        <v>11728</v>
      </c>
      <c r="X636">
        <v>2</v>
      </c>
      <c r="Y636" t="s">
        <v>17224</v>
      </c>
      <c r="Z636" t="s">
        <v>22641</v>
      </c>
      <c r="AA636">
        <v>0.52543182015555201</v>
      </c>
      <c r="AB636" t="str">
        <f>HYPERLINK("Melting_Curves/meltCurve_F5H5R8_NAT1.pdf", "Melting_Curves/meltCurve_F5H5R8_NAT1.pdf")</f>
        <v>Melting_Curves/meltCurve_F5H5R8_NAT1.pdf</v>
      </c>
    </row>
    <row r="637" spans="1:28" x14ac:dyDescent="0.25">
      <c r="A637" t="s">
        <v>641</v>
      </c>
      <c r="B637">
        <v>0.99299721793515405</v>
      </c>
      <c r="C637">
        <v>1.03647826863171</v>
      </c>
      <c r="D637">
        <v>0.94783750286227997</v>
      </c>
      <c r="E637">
        <v>0.86915464299376799</v>
      </c>
      <c r="F637">
        <v>0.76749114505149396</v>
      </c>
      <c r="G637">
        <v>0.60633504538477001</v>
      </c>
      <c r="H637">
        <v>0.26012502479866501</v>
      </c>
      <c r="I637">
        <v>0.16362156738139999</v>
      </c>
      <c r="J637">
        <v>8.9990956641280304E-2</v>
      </c>
      <c r="K637">
        <v>8.8802647959372205E-2</v>
      </c>
      <c r="L637">
        <v>793.52145864140596</v>
      </c>
      <c r="M637">
        <v>14.5999012712292</v>
      </c>
      <c r="N637">
        <v>54.362299466645197</v>
      </c>
      <c r="O637">
        <v>53.3620179851887</v>
      </c>
      <c r="P637">
        <v>-6.8305687415863001E-2</v>
      </c>
      <c r="Q637">
        <v>1.4946144710732E-3</v>
      </c>
      <c r="R637">
        <v>0.98995475365893404</v>
      </c>
      <c r="S637" t="s">
        <v>6188</v>
      </c>
      <c r="T637" t="s">
        <v>11100</v>
      </c>
      <c r="U637" t="s">
        <v>11100</v>
      </c>
      <c r="V637" t="s">
        <v>11100</v>
      </c>
      <c r="W637" t="s">
        <v>11729</v>
      </c>
      <c r="X637">
        <v>5</v>
      </c>
      <c r="Y637" t="s">
        <v>17225</v>
      </c>
      <c r="Z637" t="s">
        <v>22642</v>
      </c>
      <c r="AA637">
        <v>0.59474109851865686</v>
      </c>
      <c r="AB637" t="str">
        <f>HYPERLINK("Melting_Curves/meltCurve_F5H620_OXNAD1.pdf", "Melting_Curves/meltCurve_F5H620_OXNAD1.pdf")</f>
        <v>Melting_Curves/meltCurve_F5H620_OXNAD1.pdf</v>
      </c>
    </row>
    <row r="638" spans="1:28" x14ac:dyDescent="0.25">
      <c r="A638" t="s">
        <v>642</v>
      </c>
      <c r="B638">
        <v>0.99299721793515405</v>
      </c>
      <c r="C638">
        <v>0.92680310033530799</v>
      </c>
      <c r="D638">
        <v>0.85678008551004003</v>
      </c>
      <c r="E638">
        <v>0.77126074963658098</v>
      </c>
      <c r="F638">
        <v>0.60976110753621005</v>
      </c>
      <c r="G638">
        <v>0.178377964607489</v>
      </c>
      <c r="H638">
        <v>0.158232762185116</v>
      </c>
      <c r="I638">
        <v>0.142800732625672</v>
      </c>
      <c r="J638">
        <v>0.18058307410093799</v>
      </c>
      <c r="K638">
        <v>0.15074749327153</v>
      </c>
      <c r="L638">
        <v>883.83938583191002</v>
      </c>
      <c r="M638">
        <v>17.862248248599201</v>
      </c>
      <c r="N638">
        <v>50.243737268291902</v>
      </c>
      <c r="O638">
        <v>48.873188151905801</v>
      </c>
      <c r="P638">
        <v>-8.0522311645258998E-2</v>
      </c>
      <c r="Q638">
        <v>0.118771274967861</v>
      </c>
      <c r="R638">
        <v>0.96808885304818504</v>
      </c>
      <c r="S638" t="s">
        <v>6189</v>
      </c>
      <c r="T638" t="s">
        <v>11100</v>
      </c>
      <c r="U638" t="s">
        <v>11100</v>
      </c>
      <c r="V638" t="s">
        <v>11100</v>
      </c>
      <c r="W638" t="s">
        <v>11730</v>
      </c>
      <c r="X638">
        <v>2</v>
      </c>
      <c r="Y638" t="s">
        <v>17226</v>
      </c>
      <c r="Z638" t="s">
        <v>22643</v>
      </c>
      <c r="AA638">
        <v>0.49952900020825658</v>
      </c>
      <c r="AB638" t="str">
        <f>HYPERLINK("Melting_Curves/meltCurve_F5H648_TAP1.pdf", "Melting_Curves/meltCurve_F5H648_TAP1.pdf")</f>
        <v>Melting_Curves/meltCurve_F5H648_TAP1.pdf</v>
      </c>
    </row>
    <row r="639" spans="1:28" x14ac:dyDescent="0.25">
      <c r="A639" t="s">
        <v>643</v>
      </c>
      <c r="B639">
        <v>0.99299721793515405</v>
      </c>
      <c r="C639">
        <v>1.03718114415624</v>
      </c>
      <c r="D639">
        <v>0.92152369710798998</v>
      </c>
      <c r="E639">
        <v>0.82927882636439199</v>
      </c>
      <c r="F639">
        <v>0.63801106022624199</v>
      </c>
      <c r="G639">
        <v>0.53570555905444295</v>
      </c>
      <c r="H639">
        <v>0.37270110181787097</v>
      </c>
      <c r="I639">
        <v>0.24316606484189299</v>
      </c>
      <c r="J639">
        <v>0.20555757892460999</v>
      </c>
      <c r="K639">
        <v>0.19445176521681401</v>
      </c>
      <c r="L639">
        <v>585.88804399232697</v>
      </c>
      <c r="M639">
        <v>11.1206178688923</v>
      </c>
      <c r="N639">
        <v>53.832846828231702</v>
      </c>
      <c r="O639">
        <v>51.067286745213103</v>
      </c>
      <c r="P639">
        <v>-4.8709767195947502E-2</v>
      </c>
      <c r="Q639">
        <v>0.10556365133163099</v>
      </c>
      <c r="R639">
        <v>0.99280272494261002</v>
      </c>
      <c r="S639" t="s">
        <v>6190</v>
      </c>
      <c r="T639" t="s">
        <v>11100</v>
      </c>
      <c r="U639" t="s">
        <v>11100</v>
      </c>
      <c r="V639" t="s">
        <v>11100</v>
      </c>
      <c r="W639" t="s">
        <v>11731</v>
      </c>
      <c r="X639">
        <v>1</v>
      </c>
      <c r="Y639" t="s">
        <v>17227</v>
      </c>
      <c r="Z639" t="s">
        <v>22644</v>
      </c>
      <c r="AA639">
        <v>0.59367536532482434</v>
      </c>
      <c r="AB639" t="str">
        <f>HYPERLINK("Melting_Curves/meltCurve_F5H685_MED23.pdf", "Melting_Curves/meltCurve_F5H685_MED23.pdf")</f>
        <v>Melting_Curves/meltCurve_F5H685_MED23.pdf</v>
      </c>
    </row>
    <row r="640" spans="1:28" x14ac:dyDescent="0.25">
      <c r="A640" t="s">
        <v>644</v>
      </c>
      <c r="B640">
        <v>0.99299721793515405</v>
      </c>
      <c r="C640">
        <v>0.99977922952418097</v>
      </c>
      <c r="D640">
        <v>0.87375406024673397</v>
      </c>
      <c r="E640">
        <v>0.82604030384076099</v>
      </c>
      <c r="F640">
        <v>0.56049922764884896</v>
      </c>
      <c r="G640">
        <v>0.31758966632508501</v>
      </c>
      <c r="H640">
        <v>0.26707083042310797</v>
      </c>
      <c r="I640">
        <v>0.22483866745193201</v>
      </c>
      <c r="J640">
        <v>0.21028410448941601</v>
      </c>
      <c r="K640">
        <v>0.15647648421605201</v>
      </c>
      <c r="L640">
        <v>809.89973641576398</v>
      </c>
      <c r="M640">
        <v>16.294413070173299</v>
      </c>
      <c r="N640">
        <v>51.004903405260499</v>
      </c>
      <c r="O640">
        <v>48.973595419211499</v>
      </c>
      <c r="P640">
        <v>-6.9043070600824596E-2</v>
      </c>
      <c r="Q640">
        <v>0.17001231343408199</v>
      </c>
      <c r="R640">
        <v>0.99188285387994102</v>
      </c>
      <c r="S640" t="s">
        <v>6191</v>
      </c>
      <c r="T640" t="s">
        <v>11100</v>
      </c>
      <c r="U640" t="s">
        <v>11100</v>
      </c>
      <c r="V640" t="s">
        <v>11100</v>
      </c>
      <c r="W640" t="s">
        <v>11732</v>
      </c>
      <c r="X640">
        <v>9</v>
      </c>
      <c r="Y640" t="s">
        <v>17228</v>
      </c>
      <c r="Z640" t="s">
        <v>22645</v>
      </c>
      <c r="AA640">
        <v>0.53691529093524137</v>
      </c>
      <c r="AB640" t="str">
        <f>HYPERLINK("Melting_Curves/meltCurve_F5H698_LARS.pdf", "Melting_Curves/meltCurve_F5H698_LARS.pdf")</f>
        <v>Melting_Curves/meltCurve_F5H698_LARS.pdf</v>
      </c>
    </row>
    <row r="641" spans="1:28" x14ac:dyDescent="0.25">
      <c r="A641" t="s">
        <v>645</v>
      </c>
      <c r="B641">
        <v>0.99299721793515405</v>
      </c>
      <c r="C641">
        <v>0.96846436075547504</v>
      </c>
      <c r="D641">
        <v>0.964866034473982</v>
      </c>
      <c r="E641">
        <v>0.75795184596717702</v>
      </c>
      <c r="F641">
        <v>0.51437704583066501</v>
      </c>
      <c r="G641">
        <v>0.38883628329152198</v>
      </c>
      <c r="H641">
        <v>0.22045404358625401</v>
      </c>
      <c r="I641">
        <v>0.179667010036201</v>
      </c>
      <c r="J641">
        <v>0.17345571930127399</v>
      </c>
      <c r="K641">
        <v>0.114534581104382</v>
      </c>
      <c r="L641">
        <v>720.38476119166899</v>
      </c>
      <c r="M641">
        <v>14.4186989367926</v>
      </c>
      <c r="N641">
        <v>50.903601442319399</v>
      </c>
      <c r="O641">
        <v>49.030302134919701</v>
      </c>
      <c r="P641">
        <v>-6.4920029205144503E-2</v>
      </c>
      <c r="Q641">
        <v>0.117070643473696</v>
      </c>
      <c r="R641">
        <v>0.99519221130133295</v>
      </c>
      <c r="S641" t="s">
        <v>6192</v>
      </c>
      <c r="T641" t="s">
        <v>11100</v>
      </c>
      <c r="U641" t="s">
        <v>11100</v>
      </c>
      <c r="V641" t="s">
        <v>11100</v>
      </c>
      <c r="W641" t="s">
        <v>11733</v>
      </c>
      <c r="X641">
        <v>5</v>
      </c>
      <c r="Y641" t="s">
        <v>17229</v>
      </c>
      <c r="Z641" t="s">
        <v>22646</v>
      </c>
      <c r="AA641">
        <v>0.51810143120594654</v>
      </c>
      <c r="AB641" t="str">
        <f>HYPERLINK("Melting_Curves/meltCurve_F5H6I7_ATL3.pdf", "Melting_Curves/meltCurve_F5H6I7_ATL3.pdf")</f>
        <v>Melting_Curves/meltCurve_F5H6I7_ATL3.pdf</v>
      </c>
    </row>
    <row r="642" spans="1:28" x14ac:dyDescent="0.25">
      <c r="A642" t="s">
        <v>646</v>
      </c>
      <c r="B642">
        <v>0.99299721793515405</v>
      </c>
      <c r="C642">
        <v>1.0987598173830599</v>
      </c>
      <c r="D642">
        <v>0.93666855309114805</v>
      </c>
      <c r="E642">
        <v>0.93942915933191495</v>
      </c>
      <c r="F642">
        <v>0.63987365984453703</v>
      </c>
      <c r="G642">
        <v>0.52209210904174497</v>
      </c>
      <c r="H642">
        <v>0.35878760315986602</v>
      </c>
      <c r="I642">
        <v>0.15433096914203401</v>
      </c>
      <c r="J642">
        <v>0.13664527664596701</v>
      </c>
      <c r="K642">
        <v>0.14571507661793301</v>
      </c>
      <c r="L642">
        <v>741.98982944422096</v>
      </c>
      <c r="M642">
        <v>13.9764881127503</v>
      </c>
      <c r="N642">
        <v>53.700799532123298</v>
      </c>
      <c r="O642">
        <v>52.037050071955797</v>
      </c>
      <c r="P642">
        <v>-6.2208828166490697E-2</v>
      </c>
      <c r="Q642">
        <v>7.3663573975094307E-2</v>
      </c>
      <c r="R642">
        <v>0.97948364568065605</v>
      </c>
      <c r="S642" t="s">
        <v>6193</v>
      </c>
      <c r="T642" t="s">
        <v>11100</v>
      </c>
      <c r="U642" t="s">
        <v>11100</v>
      </c>
      <c r="V642" t="s">
        <v>11100</v>
      </c>
      <c r="W642" t="s">
        <v>11734</v>
      </c>
      <c r="X642">
        <v>1</v>
      </c>
      <c r="Y642" t="s">
        <v>17230</v>
      </c>
      <c r="Z642" t="s">
        <v>22647</v>
      </c>
      <c r="AA642">
        <v>0.58789922226185676</v>
      </c>
      <c r="AB642" t="str">
        <f>HYPERLINK("Melting_Curves/meltCurve_F5H702_MRPL48.pdf", "Melting_Curves/meltCurve_F5H702_MRPL48.pdf")</f>
        <v>Melting_Curves/meltCurve_F5H702_MRPL48.pdf</v>
      </c>
    </row>
    <row r="643" spans="1:28" x14ac:dyDescent="0.25">
      <c r="A643" t="s">
        <v>647</v>
      </c>
      <c r="B643">
        <v>0.99299721793515405</v>
      </c>
      <c r="C643">
        <v>0.98556589264758898</v>
      </c>
      <c r="D643">
        <v>1.0323812491929101</v>
      </c>
      <c r="E643">
        <v>0.91456099579999495</v>
      </c>
      <c r="F643">
        <v>0.77417688190173095</v>
      </c>
      <c r="G643">
        <v>0.416347345643372</v>
      </c>
      <c r="H643">
        <v>0.27530650648864402</v>
      </c>
      <c r="I643">
        <v>0.18872420398703499</v>
      </c>
      <c r="J643">
        <v>0.20396563925396299</v>
      </c>
      <c r="K643">
        <v>0.16866182380092301</v>
      </c>
      <c r="L643">
        <v>1223.5092984927201</v>
      </c>
      <c r="M643">
        <v>23.5252883649433</v>
      </c>
      <c r="N643">
        <v>52.990389575483903</v>
      </c>
      <c r="O643">
        <v>51.636833985750499</v>
      </c>
      <c r="P643">
        <v>-9.3773770539828993E-2</v>
      </c>
      <c r="Q643">
        <v>0.176699104169182</v>
      </c>
      <c r="R643">
        <v>0.99634199715862404</v>
      </c>
      <c r="S643" t="s">
        <v>6194</v>
      </c>
      <c r="T643" t="s">
        <v>11100</v>
      </c>
      <c r="U643" t="s">
        <v>11100</v>
      </c>
      <c r="V643" t="s">
        <v>11100</v>
      </c>
      <c r="W643" t="s">
        <v>11735</v>
      </c>
      <c r="X643">
        <v>6</v>
      </c>
      <c r="Y643" t="s">
        <v>17231</v>
      </c>
      <c r="Z643" t="s">
        <v>22648</v>
      </c>
      <c r="AA643">
        <v>0.59669891298971045</v>
      </c>
      <c r="AB643" t="str">
        <f>HYPERLINK("Melting_Curves/meltCurve_F5H715_AIDA.pdf", "Melting_Curves/meltCurve_F5H715_AIDA.pdf")</f>
        <v>Melting_Curves/meltCurve_F5H715_AIDA.pdf</v>
      </c>
    </row>
    <row r="644" spans="1:28" x14ac:dyDescent="0.25">
      <c r="A644" t="s">
        <v>648</v>
      </c>
      <c r="B644">
        <v>0.99299721793515405</v>
      </c>
      <c r="C644">
        <v>0.95872549528863404</v>
      </c>
      <c r="D644">
        <v>1.13794221459025</v>
      </c>
      <c r="E644">
        <v>0.80277747133793698</v>
      </c>
      <c r="F644">
        <v>0.67992134227059597</v>
      </c>
      <c r="G644">
        <v>0.57668779573026796</v>
      </c>
      <c r="H644">
        <v>0.42778263854609899</v>
      </c>
      <c r="I644">
        <v>0.45137433760673201</v>
      </c>
      <c r="J644">
        <v>0.37345458065413301</v>
      </c>
      <c r="K644">
        <v>0.41022630047787101</v>
      </c>
      <c r="L644">
        <v>903.47369416938102</v>
      </c>
      <c r="M644">
        <v>18.0680200339287</v>
      </c>
      <c r="N644">
        <v>54.864087027538403</v>
      </c>
      <c r="O644">
        <v>49.403553190821398</v>
      </c>
      <c r="P644">
        <v>-5.49429252862004E-2</v>
      </c>
      <c r="Q644">
        <v>0.39910541943289302</v>
      </c>
      <c r="R644">
        <v>0.94293011247235503</v>
      </c>
      <c r="S644" t="s">
        <v>6195</v>
      </c>
      <c r="T644" t="s">
        <v>11100</v>
      </c>
      <c r="U644" t="s">
        <v>11100</v>
      </c>
      <c r="V644" t="s">
        <v>11100</v>
      </c>
      <c r="W644" t="s">
        <v>11736</v>
      </c>
      <c r="X644">
        <v>16</v>
      </c>
      <c r="Y644" t="s">
        <v>17232</v>
      </c>
      <c r="Z644" t="s">
        <v>22649</v>
      </c>
      <c r="AA644">
        <v>0.66898124156471828</v>
      </c>
      <c r="AB644" t="str">
        <f>HYPERLINK("Melting_Curves/meltCurve_F5H721_WBP11.pdf", "Melting_Curves/meltCurve_F5H721_WBP11.pdf")</f>
        <v>Melting_Curves/meltCurve_F5H721_WBP11.pdf</v>
      </c>
    </row>
    <row r="645" spans="1:28" x14ac:dyDescent="0.25">
      <c r="A645" t="s">
        <v>649</v>
      </c>
      <c r="B645">
        <v>0.99299721793515405</v>
      </c>
      <c r="C645">
        <v>1.04545111130253</v>
      </c>
      <c r="D645">
        <v>0.87518789699272703</v>
      </c>
      <c r="E645">
        <v>0.81717299491976403</v>
      </c>
      <c r="F645">
        <v>0.74095149710522301</v>
      </c>
      <c r="G645">
        <v>0.51146093534703796</v>
      </c>
      <c r="H645">
        <v>0.52645030977714802</v>
      </c>
      <c r="I645">
        <v>0.51439901145164102</v>
      </c>
      <c r="J645">
        <v>0.666676261361689</v>
      </c>
      <c r="K645">
        <v>0.79256843889635098</v>
      </c>
      <c r="L645">
        <v>980.76730888791701</v>
      </c>
      <c r="M645">
        <v>21.122800824104701</v>
      </c>
      <c r="O645">
        <v>46.021555032333502</v>
      </c>
      <c r="P645">
        <v>-4.4876387738970201E-2</v>
      </c>
      <c r="Q645">
        <v>0.60891054547655799</v>
      </c>
      <c r="R645">
        <v>0.76283799863958801</v>
      </c>
      <c r="S645" t="s">
        <v>6196</v>
      </c>
      <c r="T645" t="s">
        <v>11100</v>
      </c>
      <c r="U645" t="s">
        <v>11100</v>
      </c>
      <c r="V645" t="s">
        <v>11100</v>
      </c>
      <c r="W645" t="s">
        <v>11737</v>
      </c>
      <c r="X645">
        <v>3</v>
      </c>
      <c r="Y645" t="s">
        <v>17233</v>
      </c>
      <c r="Z645" t="s">
        <v>22650</v>
      </c>
      <c r="AA645">
        <v>0.73644812612148924</v>
      </c>
      <c r="AB645" t="str">
        <f>HYPERLINK("Melting_Curves/meltCurve_F5H7C4_MSRB3.pdf", "Melting_Curves/meltCurve_F5H7C4_MSRB3.pdf")</f>
        <v>Melting_Curves/meltCurve_F5H7C4_MSRB3.pdf</v>
      </c>
    </row>
    <row r="646" spans="1:28" x14ac:dyDescent="0.25">
      <c r="A646" t="s">
        <v>650</v>
      </c>
      <c r="B646">
        <v>0.99299721793515405</v>
      </c>
      <c r="C646">
        <v>0.87792055099048905</v>
      </c>
      <c r="D646">
        <v>0.85261998153942598</v>
      </c>
      <c r="E646">
        <v>0.79856064820246198</v>
      </c>
      <c r="F646">
        <v>0.70682184224088895</v>
      </c>
      <c r="G646">
        <v>0.54392673186093699</v>
      </c>
      <c r="H646">
        <v>0.25717889826391999</v>
      </c>
      <c r="I646">
        <v>0.22415804411755899</v>
      </c>
      <c r="J646">
        <v>0.19995532464652399</v>
      </c>
      <c r="K646">
        <v>0.13966469994341901</v>
      </c>
      <c r="L646">
        <v>492.487473333178</v>
      </c>
      <c r="M646">
        <v>9.2056690093677407</v>
      </c>
      <c r="N646">
        <v>53.498303751527203</v>
      </c>
      <c r="O646">
        <v>51.155351966782597</v>
      </c>
      <c r="P646">
        <v>-4.50187781238474E-2</v>
      </c>
      <c r="Q646">
        <v>0</v>
      </c>
      <c r="R646">
        <v>0.97378329746175096</v>
      </c>
      <c r="S646" t="s">
        <v>6197</v>
      </c>
      <c r="T646" t="s">
        <v>11100</v>
      </c>
      <c r="U646" t="s">
        <v>11100</v>
      </c>
      <c r="V646" t="s">
        <v>11100</v>
      </c>
      <c r="W646" t="s">
        <v>11738</v>
      </c>
      <c r="X646">
        <v>3</v>
      </c>
      <c r="Y646" t="s">
        <v>17234</v>
      </c>
      <c r="Z646" t="s">
        <v>22651</v>
      </c>
      <c r="AA646">
        <v>0.56967513507889223</v>
      </c>
      <c r="AB646" t="str">
        <f>HYPERLINK("Melting_Curves/meltCurve_F5H7J5_RPTOR.pdf", "Melting_Curves/meltCurve_F5H7J5_RPTOR.pdf")</f>
        <v>Melting_Curves/meltCurve_F5H7J5_RPTOR.pdf</v>
      </c>
    </row>
    <row r="647" spans="1:28" x14ac:dyDescent="0.25">
      <c r="A647" t="s">
        <v>651</v>
      </c>
      <c r="B647">
        <v>0.99299721793515405</v>
      </c>
      <c r="C647">
        <v>0.85365613029214304</v>
      </c>
      <c r="D647">
        <v>0.87860546313216603</v>
      </c>
      <c r="E647">
        <v>0.79602752959137102</v>
      </c>
      <c r="F647">
        <v>0.70594627537688504</v>
      </c>
      <c r="G647">
        <v>0.52767942062003204</v>
      </c>
      <c r="H647">
        <v>0.74068862924554302</v>
      </c>
      <c r="I647">
        <v>0.73118404759742595</v>
      </c>
      <c r="J647">
        <v>0.43504767166779001</v>
      </c>
      <c r="K647">
        <v>0.270936049802458</v>
      </c>
      <c r="L647">
        <v>260.566284703235</v>
      </c>
      <c r="M647">
        <v>4.1694823809486703</v>
      </c>
      <c r="N647">
        <v>62.493676982442302</v>
      </c>
      <c r="O647">
        <v>51.966656133795198</v>
      </c>
      <c r="P647">
        <v>-2.0283925495597599E-2</v>
      </c>
      <c r="Q647">
        <v>0</v>
      </c>
      <c r="R647">
        <v>0.73337601484929804</v>
      </c>
      <c r="S647" t="s">
        <v>6198</v>
      </c>
      <c r="T647" t="s">
        <v>11100</v>
      </c>
      <c r="U647" t="s">
        <v>11100</v>
      </c>
      <c r="V647" t="s">
        <v>11100</v>
      </c>
      <c r="W647" t="s">
        <v>11739</v>
      </c>
      <c r="X647">
        <v>1</v>
      </c>
      <c r="Y647" t="s">
        <v>17235</v>
      </c>
      <c r="Z647" t="s">
        <v>22652</v>
      </c>
      <c r="AA647">
        <v>0.69649990896877934</v>
      </c>
      <c r="AB647" t="str">
        <f>HYPERLINK("Melting_Curves/meltCurve_F5H7K3_EFCAB14.pdf", "Melting_Curves/meltCurve_F5H7K3_EFCAB14.pdf")</f>
        <v>Melting_Curves/meltCurve_F5H7K3_EFCAB14.pdf</v>
      </c>
    </row>
    <row r="648" spans="1:28" x14ac:dyDescent="0.25">
      <c r="A648" t="s">
        <v>652</v>
      </c>
      <c r="B648">
        <v>0.99299721793515405</v>
      </c>
      <c r="C648">
        <v>0.89833599087509897</v>
      </c>
      <c r="D648">
        <v>0.51309197075991697</v>
      </c>
      <c r="E648">
        <v>0.67590926535490903</v>
      </c>
      <c r="F648">
        <v>0.61832659172974302</v>
      </c>
      <c r="G648">
        <v>0.49472608849324001</v>
      </c>
      <c r="H648">
        <v>1.6572635092226899</v>
      </c>
      <c r="I648">
        <v>0.378926689868061</v>
      </c>
      <c r="J648">
        <v>2.8695631867002701E-2</v>
      </c>
      <c r="K648">
        <v>5.2886576150272098E-2</v>
      </c>
      <c r="L648">
        <v>274.14499949091498</v>
      </c>
      <c r="M648">
        <v>4.6609660358447398</v>
      </c>
      <c r="N648">
        <v>58.817210507518297</v>
      </c>
      <c r="O648">
        <v>50.455540009273797</v>
      </c>
      <c r="P648">
        <v>-2.3274015847301401E-2</v>
      </c>
      <c r="Q648">
        <v>0</v>
      </c>
      <c r="R648">
        <v>0.19136307754110701</v>
      </c>
      <c r="S648" t="s">
        <v>6199</v>
      </c>
      <c r="T648" t="s">
        <v>11100</v>
      </c>
      <c r="U648" t="s">
        <v>11100</v>
      </c>
      <c r="V648" t="s">
        <v>11100</v>
      </c>
      <c r="W648" t="s">
        <v>11740</v>
      </c>
      <c r="X648">
        <v>2</v>
      </c>
      <c r="Y648" t="s">
        <v>17236</v>
      </c>
      <c r="Z648" t="s">
        <v>22653</v>
      </c>
      <c r="AA648">
        <v>0.65116932635857483</v>
      </c>
      <c r="AB648" t="str">
        <f>HYPERLINK("Melting_Curves/meltCurve_F5H7M3_DLAT.pdf", "Melting_Curves/meltCurve_F5H7M3_DLAT.pdf")</f>
        <v>Melting_Curves/meltCurve_F5H7M3_DLAT.pdf</v>
      </c>
    </row>
    <row r="649" spans="1:28" x14ac:dyDescent="0.25">
      <c r="A649" t="s">
        <v>653</v>
      </c>
      <c r="B649">
        <v>0.99299721793515405</v>
      </c>
      <c r="C649">
        <v>0.87733441154656</v>
      </c>
      <c r="D649">
        <v>1.35954997467518</v>
      </c>
      <c r="E649">
        <v>0.90251207542619105</v>
      </c>
      <c r="F649">
        <v>0.83014189145873996</v>
      </c>
      <c r="G649">
        <v>0.91084055850581802</v>
      </c>
      <c r="H649">
        <v>0.15281355503149499</v>
      </c>
      <c r="I649">
        <v>0.50198898212460297</v>
      </c>
      <c r="J649">
        <v>0.54065838607482097</v>
      </c>
      <c r="K649">
        <v>0.21377703089317701</v>
      </c>
      <c r="L649">
        <v>13548.715807537201</v>
      </c>
      <c r="M649">
        <v>250</v>
      </c>
      <c r="N649">
        <v>54.460519393693197</v>
      </c>
      <c r="O649">
        <v>54.191376791142801</v>
      </c>
      <c r="P649">
        <v>-0.74699424090533995</v>
      </c>
      <c r="Q649">
        <v>0.35230943863945802</v>
      </c>
      <c r="R649">
        <v>0.75977261789467099</v>
      </c>
      <c r="S649" t="s">
        <v>6200</v>
      </c>
      <c r="T649" t="s">
        <v>11100</v>
      </c>
      <c r="U649" t="s">
        <v>11100</v>
      </c>
      <c r="V649" t="s">
        <v>11100</v>
      </c>
      <c r="W649" t="s">
        <v>11741</v>
      </c>
      <c r="X649">
        <v>1</v>
      </c>
      <c r="Y649" t="s">
        <v>17237</v>
      </c>
      <c r="Z649" t="s">
        <v>22654</v>
      </c>
      <c r="AA649">
        <v>0.72360272849652196</v>
      </c>
      <c r="AB649" t="str">
        <f>HYPERLINK("Melting_Curves/meltCurve_F5H7Q8_MICB.pdf", "Melting_Curves/meltCurve_F5H7Q8_MICB.pdf")</f>
        <v>Melting_Curves/meltCurve_F5H7Q8_MICB.pdf</v>
      </c>
    </row>
    <row r="650" spans="1:28" x14ac:dyDescent="0.25">
      <c r="A650" t="s">
        <v>654</v>
      </c>
      <c r="B650">
        <v>0.99299721793515405</v>
      </c>
      <c r="C650">
        <v>0.60169497307786901</v>
      </c>
      <c r="D650">
        <v>0.654338172465601</v>
      </c>
      <c r="E650">
        <v>0.76409795001376402</v>
      </c>
      <c r="F650">
        <v>0.554764376507622</v>
      </c>
      <c r="G650">
        <v>0.19940762233662401</v>
      </c>
      <c r="H650">
        <v>0.30256118947816102</v>
      </c>
      <c r="I650">
        <v>0.16464386227618</v>
      </c>
      <c r="J650">
        <v>8.3776978653407302E-2</v>
      </c>
      <c r="K650">
        <v>0</v>
      </c>
      <c r="L650">
        <v>365.37958571380699</v>
      </c>
      <c r="M650">
        <v>7.5294441415157296</v>
      </c>
      <c r="N650">
        <v>48.526761751834201</v>
      </c>
      <c r="O650">
        <v>45.457860778570897</v>
      </c>
      <c r="P650">
        <v>-4.14676026028293E-2</v>
      </c>
      <c r="Q650">
        <v>0</v>
      </c>
      <c r="R650">
        <v>0.84510994703069298</v>
      </c>
      <c r="S650" t="s">
        <v>6201</v>
      </c>
      <c r="T650" t="s">
        <v>11100</v>
      </c>
      <c r="U650" t="s">
        <v>11100</v>
      </c>
      <c r="V650" t="s">
        <v>11100</v>
      </c>
      <c r="W650" t="s">
        <v>11742</v>
      </c>
      <c r="X650">
        <v>21</v>
      </c>
      <c r="Y650" t="s">
        <v>17238</v>
      </c>
      <c r="Z650" t="s">
        <v>22655</v>
      </c>
      <c r="AA650">
        <v>0.43608366541233529</v>
      </c>
      <c r="AB650" t="str">
        <f>HYPERLINK("Melting_Curves/meltCurve_F5H7W5_EPB41L3.pdf", "Melting_Curves/meltCurve_F5H7W5_EPB41L3.pdf")</f>
        <v>Melting_Curves/meltCurve_F5H7W5_EPB41L3.pdf</v>
      </c>
    </row>
    <row r="651" spans="1:28" x14ac:dyDescent="0.25">
      <c r="A651" t="s">
        <v>655</v>
      </c>
      <c r="B651">
        <v>0.99299721793515405</v>
      </c>
      <c r="C651">
        <v>1.0648703409265701</v>
      </c>
      <c r="D651">
        <v>0.96309744227400396</v>
      </c>
      <c r="E651">
        <v>0.94975653905153801</v>
      </c>
      <c r="F651">
        <v>0.95797088905708105</v>
      </c>
      <c r="G651">
        <v>0.59577841068718296</v>
      </c>
      <c r="H651">
        <v>1.9662731803492901</v>
      </c>
      <c r="I651">
        <v>2.31118737217649</v>
      </c>
      <c r="J651">
        <v>3.0123410428610198</v>
      </c>
      <c r="K651">
        <v>2.1517349650792701</v>
      </c>
      <c r="L651">
        <v>3711.49937566274</v>
      </c>
      <c r="M651">
        <v>66.910419607997696</v>
      </c>
      <c r="O651">
        <v>55.420170474316997</v>
      </c>
      <c r="P651">
        <v>0.15091620016159801</v>
      </c>
      <c r="Q651">
        <v>1.5</v>
      </c>
      <c r="R651">
        <v>0.32747915660532101</v>
      </c>
      <c r="S651" t="s">
        <v>6202</v>
      </c>
      <c r="T651" t="s">
        <v>11100</v>
      </c>
      <c r="U651" t="s">
        <v>11100</v>
      </c>
      <c r="V651" t="s">
        <v>11100</v>
      </c>
      <c r="W651" t="s">
        <v>11743</v>
      </c>
      <c r="X651">
        <v>1</v>
      </c>
      <c r="Y651" t="s">
        <v>17239</v>
      </c>
      <c r="Z651" t="s">
        <v>22656</v>
      </c>
      <c r="AA651">
        <v>1.191490791551594</v>
      </c>
      <c r="AB651" t="str">
        <f>HYPERLINK("Melting_Curves/meltCurve_F5H843_SLC16A7.pdf", "Melting_Curves/meltCurve_F5H843_SLC16A7.pdf")</f>
        <v>Melting_Curves/meltCurve_F5H843_SLC16A7.pdf</v>
      </c>
    </row>
    <row r="652" spans="1:28" x14ac:dyDescent="0.25">
      <c r="A652" t="s">
        <v>656</v>
      </c>
      <c r="B652">
        <v>0.99299721793515405</v>
      </c>
      <c r="C652">
        <v>0.90862218918770199</v>
      </c>
      <c r="D652">
        <v>0.75776052523694104</v>
      </c>
      <c r="E652">
        <v>0.75533050122884404</v>
      </c>
      <c r="F652">
        <v>0.76735517655679897</v>
      </c>
      <c r="G652">
        <v>0.56727361722112302</v>
      </c>
      <c r="H652">
        <v>0.41946555293280302</v>
      </c>
      <c r="I652">
        <v>0.21166798887435401</v>
      </c>
      <c r="J652">
        <v>0.18053822567446101</v>
      </c>
      <c r="K652">
        <v>0.16645528879193899</v>
      </c>
      <c r="L652">
        <v>439.37350818667102</v>
      </c>
      <c r="M652">
        <v>8.1033588059385497</v>
      </c>
      <c r="N652">
        <v>54.221175462297197</v>
      </c>
      <c r="O652">
        <v>51.218689983479997</v>
      </c>
      <c r="P652">
        <v>-3.9595380753472603E-2</v>
      </c>
      <c r="Q652">
        <v>0</v>
      </c>
      <c r="R652">
        <v>0.94844964521845898</v>
      </c>
      <c r="S652" t="s">
        <v>6203</v>
      </c>
      <c r="T652" t="s">
        <v>11100</v>
      </c>
      <c r="U652" t="s">
        <v>11100</v>
      </c>
      <c r="V652" t="s">
        <v>11100</v>
      </c>
      <c r="W652" t="s">
        <v>11744</v>
      </c>
      <c r="X652">
        <v>7</v>
      </c>
      <c r="Y652" t="s">
        <v>17240</v>
      </c>
      <c r="Z652" t="s">
        <v>22657</v>
      </c>
      <c r="AA652">
        <v>0.58724476431422923</v>
      </c>
      <c r="AB652" t="str">
        <f>HYPERLINK("Melting_Curves/meltCurve_F5H860_INPP4A.pdf", "Melting_Curves/meltCurve_F5H860_INPP4A.pdf")</f>
        <v>Melting_Curves/meltCurve_F5H860_INPP4A.pdf</v>
      </c>
    </row>
    <row r="653" spans="1:28" x14ac:dyDescent="0.25">
      <c r="A653" t="s">
        <v>657</v>
      </c>
      <c r="B653">
        <v>0.99299721793515405</v>
      </c>
      <c r="C653">
        <v>1.0222216515008999</v>
      </c>
      <c r="D653">
        <v>0.94355764777592299</v>
      </c>
      <c r="E653">
        <v>0.91372065686041803</v>
      </c>
      <c r="F653">
        <v>0.76750665001408203</v>
      </c>
      <c r="G653">
        <v>0.62763279949749895</v>
      </c>
      <c r="H653">
        <v>0.20535928908454401</v>
      </c>
      <c r="I653">
        <v>0.12022144231234</v>
      </c>
      <c r="J653">
        <v>0.102234735675649</v>
      </c>
      <c r="K653">
        <v>8.4252158121052301E-2</v>
      </c>
      <c r="L653">
        <v>991.73249155972303</v>
      </c>
      <c r="M653">
        <v>18.358872332692101</v>
      </c>
      <c r="N653">
        <v>54.230150997507302</v>
      </c>
      <c r="O653">
        <v>53.390560448738299</v>
      </c>
      <c r="P653">
        <v>-8.3006883929815603E-2</v>
      </c>
      <c r="Q653">
        <v>3.4454465978093603E-2</v>
      </c>
      <c r="R653">
        <v>0.98568603114132303</v>
      </c>
      <c r="S653" t="s">
        <v>6204</v>
      </c>
      <c r="T653" t="s">
        <v>11100</v>
      </c>
      <c r="U653" t="s">
        <v>11100</v>
      </c>
      <c r="V653" t="s">
        <v>11100</v>
      </c>
      <c r="W653" t="s">
        <v>11745</v>
      </c>
      <c r="X653">
        <v>36</v>
      </c>
      <c r="Y653" t="s">
        <v>17241</v>
      </c>
      <c r="Z653" t="s">
        <v>22658</v>
      </c>
      <c r="AA653">
        <v>0.59515258418085293</v>
      </c>
      <c r="AB653" t="str">
        <f>HYPERLINK("Melting_Curves/meltCurve_F5H897_TRAP1.pdf", "Melting_Curves/meltCurve_F5H897_TRAP1.pdf")</f>
        <v>Melting_Curves/meltCurve_F5H897_TRAP1.pdf</v>
      </c>
    </row>
    <row r="654" spans="1:28" x14ac:dyDescent="0.25">
      <c r="A654" t="s">
        <v>658</v>
      </c>
      <c r="B654">
        <v>0.99299721793515405</v>
      </c>
      <c r="C654">
        <v>0.91426650114108399</v>
      </c>
      <c r="D654">
        <v>1.2234035048188401</v>
      </c>
      <c r="E654">
        <v>1.02492239498857</v>
      </c>
      <c r="F654">
        <v>1.17305183979871</v>
      </c>
      <c r="G654">
        <v>0.32965099007698401</v>
      </c>
      <c r="H654">
        <v>0.17780203426656899</v>
      </c>
      <c r="I654">
        <v>0.12558285676542899</v>
      </c>
      <c r="J654">
        <v>0.14216245973379199</v>
      </c>
      <c r="K654">
        <v>0.12549326987760701</v>
      </c>
      <c r="L654">
        <v>13381.2827047958</v>
      </c>
      <c r="M654">
        <v>250</v>
      </c>
      <c r="N654">
        <v>53.597205675949802</v>
      </c>
      <c r="O654">
        <v>53.521705583514397</v>
      </c>
      <c r="P654">
        <v>-1.00104231116975</v>
      </c>
      <c r="Q654">
        <v>0.14276013160687201</v>
      </c>
      <c r="R654">
        <v>0.95638771433706904</v>
      </c>
      <c r="S654" t="s">
        <v>6205</v>
      </c>
      <c r="T654" t="s">
        <v>11100</v>
      </c>
      <c r="U654" t="s">
        <v>11100</v>
      </c>
      <c r="V654" t="s">
        <v>11100</v>
      </c>
      <c r="W654" t="s">
        <v>11746</v>
      </c>
      <c r="X654">
        <v>6</v>
      </c>
      <c r="Y654" t="s">
        <v>17242</v>
      </c>
      <c r="Z654" t="s">
        <v>22659</v>
      </c>
      <c r="AA654">
        <v>0.61504068938250944</v>
      </c>
      <c r="AB654" t="str">
        <f>HYPERLINK("Melting_Curves/meltCurve_F5H8D7_XRCC1.pdf", "Melting_Curves/meltCurve_F5H8D7_XRCC1.pdf")</f>
        <v>Melting_Curves/meltCurve_F5H8D7_XRCC1.pdf</v>
      </c>
    </row>
    <row r="655" spans="1:28" x14ac:dyDescent="0.25">
      <c r="A655" t="s">
        <v>659</v>
      </c>
      <c r="B655">
        <v>0.99299721793515405</v>
      </c>
      <c r="C655">
        <v>0.82761126152234399</v>
      </c>
      <c r="D655">
        <v>0.97157786756543896</v>
      </c>
      <c r="E655">
        <v>0.75813724680821204</v>
      </c>
      <c r="F655">
        <v>0.62725304616921995</v>
      </c>
      <c r="G655">
        <v>0.40730980192866101</v>
      </c>
      <c r="H655">
        <v>0.27657890759418102</v>
      </c>
      <c r="I655">
        <v>0.186756210158944</v>
      </c>
      <c r="J655">
        <v>0.19958147187620601</v>
      </c>
      <c r="K655">
        <v>0.149545375397452</v>
      </c>
      <c r="L655">
        <v>580.89219570567195</v>
      </c>
      <c r="M655">
        <v>11.3482353551864</v>
      </c>
      <c r="N655">
        <v>52.053644925677503</v>
      </c>
      <c r="O655">
        <v>49.675672958673502</v>
      </c>
      <c r="P655">
        <v>-5.2215567308380499E-2</v>
      </c>
      <c r="Q655">
        <v>8.6001425781510002E-2</v>
      </c>
      <c r="R655">
        <v>0.97372950912165501</v>
      </c>
      <c r="S655" t="s">
        <v>6206</v>
      </c>
      <c r="T655" t="s">
        <v>11100</v>
      </c>
      <c r="U655" t="s">
        <v>11100</v>
      </c>
      <c r="V655" t="s">
        <v>11100</v>
      </c>
      <c r="W655" t="s">
        <v>11747</v>
      </c>
      <c r="X655">
        <v>3</v>
      </c>
      <c r="Y655" t="s">
        <v>17243</v>
      </c>
      <c r="Z655" t="s">
        <v>22660</v>
      </c>
      <c r="AA655">
        <v>0.5429152692181074</v>
      </c>
      <c r="AB655" t="str">
        <f>HYPERLINK("Melting_Curves/meltCurve_F5H8G1_STARD10.pdf", "Melting_Curves/meltCurve_F5H8G1_STARD10.pdf")</f>
        <v>Melting_Curves/meltCurve_F5H8G1_STARD10.pdf</v>
      </c>
    </row>
    <row r="656" spans="1:28" x14ac:dyDescent="0.25">
      <c r="A656" t="s">
        <v>660</v>
      </c>
      <c r="B656">
        <v>0.99299721793515405</v>
      </c>
      <c r="C656">
        <v>1.0151986015147301</v>
      </c>
      <c r="D656">
        <v>0.81875659203531903</v>
      </c>
      <c r="E656">
        <v>0.76366475714652104</v>
      </c>
      <c r="F656">
        <v>0.61293631530450499</v>
      </c>
      <c r="G656">
        <v>0.35751489541342601</v>
      </c>
      <c r="H656">
        <v>0.27683419070613902</v>
      </c>
      <c r="I656">
        <v>0.231601264362364</v>
      </c>
      <c r="J656">
        <v>0.20113298656193801</v>
      </c>
      <c r="K656">
        <v>0.15613689421618601</v>
      </c>
      <c r="L656">
        <v>587.79831397620796</v>
      </c>
      <c r="M656">
        <v>11.6837983105763</v>
      </c>
      <c r="N656">
        <v>51.509970297665099</v>
      </c>
      <c r="O656">
        <v>48.902876514526902</v>
      </c>
      <c r="P656">
        <v>-5.2621305379667097E-2</v>
      </c>
      <c r="Q656">
        <v>0.119243450209065</v>
      </c>
      <c r="R656">
        <v>0.98677890017633396</v>
      </c>
      <c r="S656" t="s">
        <v>6207</v>
      </c>
      <c r="T656" t="s">
        <v>11100</v>
      </c>
      <c r="U656" t="s">
        <v>11100</v>
      </c>
      <c r="V656" t="s">
        <v>11100</v>
      </c>
      <c r="W656" t="s">
        <v>11748</v>
      </c>
      <c r="X656">
        <v>2</v>
      </c>
      <c r="Y656" t="s">
        <v>17244</v>
      </c>
      <c r="Z656" t="s">
        <v>22661</v>
      </c>
      <c r="AA656">
        <v>0.53483826378237376</v>
      </c>
      <c r="AB656" t="str">
        <f>HYPERLINK("Melting_Curves/meltCurve_F5H8J3_CLPTM1.pdf", "Melting_Curves/meltCurve_F5H8J3_CLPTM1.pdf")</f>
        <v>Melting_Curves/meltCurve_F5H8J3_CLPTM1.pdf</v>
      </c>
    </row>
    <row r="657" spans="1:28" x14ac:dyDescent="0.25">
      <c r="A657" t="s">
        <v>661</v>
      </c>
      <c r="B657">
        <v>0.99299721793515405</v>
      </c>
      <c r="C657">
        <v>0.89732346417525599</v>
      </c>
      <c r="D657">
        <v>0.92266733788744704</v>
      </c>
      <c r="E657">
        <v>0.77056753211849005</v>
      </c>
      <c r="F657">
        <v>0.67215525736015103</v>
      </c>
      <c r="G657">
        <v>0.55330330353428403</v>
      </c>
      <c r="H657">
        <v>0.298065304862003</v>
      </c>
      <c r="I657">
        <v>0.222316982373788</v>
      </c>
      <c r="J657">
        <v>0.19726067628076099</v>
      </c>
      <c r="K657">
        <v>0.182616036955766</v>
      </c>
      <c r="L657">
        <v>495.06677205495799</v>
      </c>
      <c r="M657">
        <v>9.2805444453362895</v>
      </c>
      <c r="N657">
        <v>53.618311705123801</v>
      </c>
      <c r="O657">
        <v>51.043308455716002</v>
      </c>
      <c r="P657">
        <v>-4.4431320315434703E-2</v>
      </c>
      <c r="Q657">
        <v>2.31368070292386E-2</v>
      </c>
      <c r="R657">
        <v>0.98444225857982604</v>
      </c>
      <c r="S657" t="s">
        <v>6208</v>
      </c>
      <c r="T657" t="s">
        <v>11100</v>
      </c>
      <c r="U657" t="s">
        <v>11100</v>
      </c>
      <c r="V657" t="s">
        <v>11100</v>
      </c>
      <c r="W657" t="s">
        <v>11749</v>
      </c>
      <c r="X657">
        <v>9</v>
      </c>
      <c r="Y657" t="s">
        <v>17245</v>
      </c>
      <c r="Z657" t="s">
        <v>22662</v>
      </c>
      <c r="AA657">
        <v>0.57550431578897843</v>
      </c>
      <c r="AB657" t="str">
        <f>HYPERLINK("Melting_Curves/meltCurve_F5H8L0_RABGAP1L.pdf", "Melting_Curves/meltCurve_F5H8L0_RABGAP1L.pdf")</f>
        <v>Melting_Curves/meltCurve_F5H8L0_RABGAP1L.pdf</v>
      </c>
    </row>
    <row r="658" spans="1:28" x14ac:dyDescent="0.25">
      <c r="A658" t="s">
        <v>662</v>
      </c>
      <c r="B658">
        <v>0.99299721793515405</v>
      </c>
      <c r="C658">
        <v>0.81277346151901497</v>
      </c>
      <c r="D658">
        <v>0.93220603852194395</v>
      </c>
      <c r="E658">
        <v>0.79000001535698505</v>
      </c>
      <c r="F658">
        <v>0.73475374576293695</v>
      </c>
      <c r="G658">
        <v>0.50473349114852994</v>
      </c>
      <c r="H658">
        <v>0.45940278776876498</v>
      </c>
      <c r="I658">
        <v>0.471357634844149</v>
      </c>
      <c r="J658">
        <v>0.30234280553163001</v>
      </c>
      <c r="K658">
        <v>0.226559146141978</v>
      </c>
      <c r="L658">
        <v>355.35643580776099</v>
      </c>
      <c r="M658">
        <v>6.3060738243125201</v>
      </c>
      <c r="N658">
        <v>56.351460831671503</v>
      </c>
      <c r="O658">
        <v>51.481191354482398</v>
      </c>
      <c r="P658">
        <v>-3.0706168408949599E-2</v>
      </c>
      <c r="Q658">
        <v>0</v>
      </c>
      <c r="R658">
        <v>0.94405210023390895</v>
      </c>
      <c r="S658" t="s">
        <v>6209</v>
      </c>
      <c r="T658" t="s">
        <v>11100</v>
      </c>
      <c r="U658" t="s">
        <v>11100</v>
      </c>
      <c r="V658" t="s">
        <v>11100</v>
      </c>
      <c r="W658" t="s">
        <v>11750</v>
      </c>
      <c r="X658">
        <v>4</v>
      </c>
      <c r="Y658" t="s">
        <v>17246</v>
      </c>
      <c r="Z658" t="s">
        <v>22663</v>
      </c>
      <c r="AA658">
        <v>0.62744260665394458</v>
      </c>
      <c r="AB658" t="str">
        <f>HYPERLINK("Melting_Curves/meltCurve_F6PQP6_EPN2.pdf", "Melting_Curves/meltCurve_F6PQP6_EPN2.pdf")</f>
        <v>Melting_Curves/meltCurve_F6PQP6_EPN2.pdf</v>
      </c>
    </row>
    <row r="659" spans="1:28" x14ac:dyDescent="0.25">
      <c r="A659" t="s">
        <v>663</v>
      </c>
      <c r="B659">
        <v>0.99299721793515405</v>
      </c>
      <c r="C659">
        <v>1.0196738462066199</v>
      </c>
      <c r="D659">
        <v>1.0648703533041299</v>
      </c>
      <c r="E659">
        <v>0.80380774576016201</v>
      </c>
      <c r="F659">
        <v>0.66626848003302097</v>
      </c>
      <c r="G659">
        <v>0.68571577755146595</v>
      </c>
      <c r="H659">
        <v>0.35325559720472099</v>
      </c>
      <c r="I659">
        <v>0.361845716129367</v>
      </c>
      <c r="J659">
        <v>0.197416419787458</v>
      </c>
      <c r="K659">
        <v>0.26006822668957202</v>
      </c>
      <c r="L659">
        <v>613.51429472373695</v>
      </c>
      <c r="M659">
        <v>11.421754561489101</v>
      </c>
      <c r="N659">
        <v>55.365882147555801</v>
      </c>
      <c r="O659">
        <v>52.147069864198997</v>
      </c>
      <c r="P659">
        <v>-4.6866772483630303E-2</v>
      </c>
      <c r="Q659">
        <v>0.14435145103254601</v>
      </c>
      <c r="R659">
        <v>0.95011692968769001</v>
      </c>
      <c r="S659" t="s">
        <v>6210</v>
      </c>
      <c r="T659" t="s">
        <v>11100</v>
      </c>
      <c r="U659" t="s">
        <v>11100</v>
      </c>
      <c r="V659" t="s">
        <v>11100</v>
      </c>
      <c r="W659" t="s">
        <v>11751</v>
      </c>
      <c r="X659">
        <v>4</v>
      </c>
      <c r="Y659" t="s">
        <v>17247</v>
      </c>
      <c r="Z659" t="s">
        <v>22664</v>
      </c>
      <c r="AA659">
        <v>0.63740218444900643</v>
      </c>
      <c r="AB659" t="str">
        <f>HYPERLINK("Melting_Curves/meltCurve_F6RY50_SIPA1.pdf", "Melting_Curves/meltCurve_F6RY50_SIPA1.pdf")</f>
        <v>Melting_Curves/meltCurve_F6RY50_SIPA1.pdf</v>
      </c>
    </row>
    <row r="660" spans="1:28" x14ac:dyDescent="0.25">
      <c r="A660" t="s">
        <v>664</v>
      </c>
      <c r="B660">
        <v>0.99299721793515405</v>
      </c>
      <c r="C660">
        <v>1.0099143251035301</v>
      </c>
      <c r="D660">
        <v>0.97201639074914203</v>
      </c>
      <c r="E660">
        <v>0.85763030123106698</v>
      </c>
      <c r="F660">
        <v>0.58010314492114401</v>
      </c>
      <c r="G660">
        <v>0.41395055030528</v>
      </c>
      <c r="H660">
        <v>0.30851010942743001</v>
      </c>
      <c r="I660">
        <v>0.26840151610358698</v>
      </c>
      <c r="J660">
        <v>0.199390944516915</v>
      </c>
      <c r="K660">
        <v>0.134945786190802</v>
      </c>
      <c r="L660">
        <v>781.00477350305198</v>
      </c>
      <c r="M660">
        <v>15.3764307760507</v>
      </c>
      <c r="N660">
        <v>52.153783812178801</v>
      </c>
      <c r="O660">
        <v>49.956499319003399</v>
      </c>
      <c r="P660">
        <v>-6.4234784421833599E-2</v>
      </c>
      <c r="Q660">
        <v>0.16530678540333599</v>
      </c>
      <c r="R660">
        <v>0.99281637030639003</v>
      </c>
      <c r="S660" t="s">
        <v>6211</v>
      </c>
      <c r="T660" t="s">
        <v>11100</v>
      </c>
      <c r="U660" t="s">
        <v>11100</v>
      </c>
      <c r="V660" t="s">
        <v>11100</v>
      </c>
      <c r="W660" t="s">
        <v>11752</v>
      </c>
      <c r="X660">
        <v>3</v>
      </c>
      <c r="Y660" t="s">
        <v>17248</v>
      </c>
      <c r="Z660" t="s">
        <v>22665</v>
      </c>
      <c r="AA660">
        <v>0.5654432903517711</v>
      </c>
      <c r="AB660" t="str">
        <f>HYPERLINK("Melting_Curves/meltCurve_F6S0T5_KDM1A.pdf", "Melting_Curves/meltCurve_F6S0T5_KDM1A.pdf")</f>
        <v>Melting_Curves/meltCurve_F6S0T5_KDM1A.pdf</v>
      </c>
    </row>
    <row r="661" spans="1:28" x14ac:dyDescent="0.25">
      <c r="A661" t="s">
        <v>665</v>
      </c>
      <c r="B661">
        <v>0.99299721793515405</v>
      </c>
      <c r="C661">
        <v>0.85422673866184695</v>
      </c>
      <c r="D661">
        <v>0.86610672443229997</v>
      </c>
      <c r="E661">
        <v>0.86123753738633502</v>
      </c>
      <c r="F661">
        <v>0.70642943816834802</v>
      </c>
      <c r="G661">
        <v>0.51780230748088796</v>
      </c>
      <c r="H661">
        <v>0.41631077418934398</v>
      </c>
      <c r="I661">
        <v>0.398334902660687</v>
      </c>
      <c r="J661">
        <v>0.26012528957609399</v>
      </c>
      <c r="K661">
        <v>0.16338334238444499</v>
      </c>
      <c r="L661">
        <v>414.34409445673703</v>
      </c>
      <c r="M661">
        <v>7.4883073307591603</v>
      </c>
      <c r="N661">
        <v>55.332145816409998</v>
      </c>
      <c r="O661">
        <v>51.7982785409637</v>
      </c>
      <c r="P661">
        <v>-3.6193948380846601E-2</v>
      </c>
      <c r="Q661">
        <v>0</v>
      </c>
      <c r="R661">
        <v>0.97062623290205496</v>
      </c>
      <c r="S661" t="s">
        <v>6212</v>
      </c>
      <c r="T661" t="s">
        <v>11100</v>
      </c>
      <c r="U661" t="s">
        <v>11100</v>
      </c>
      <c r="V661" t="s">
        <v>11100</v>
      </c>
      <c r="W661" t="s">
        <v>11753</v>
      </c>
      <c r="X661">
        <v>3</v>
      </c>
      <c r="Y661" t="s">
        <v>17249</v>
      </c>
      <c r="Z661" t="s">
        <v>22666</v>
      </c>
      <c r="AA661">
        <v>0.61264487757060015</v>
      </c>
      <c r="AB661" t="str">
        <f>HYPERLINK("Melting_Curves/meltCurve_F6SS63_TAB3.pdf", "Melting_Curves/meltCurve_F6SS63_TAB3.pdf")</f>
        <v>Melting_Curves/meltCurve_F6SS63_TAB3.pdf</v>
      </c>
    </row>
    <row r="662" spans="1:28" x14ac:dyDescent="0.25">
      <c r="A662" t="s">
        <v>666</v>
      </c>
      <c r="B662">
        <v>0.99299721793515405</v>
      </c>
      <c r="C662">
        <v>1.0464282974286001</v>
      </c>
      <c r="D662">
        <v>0.98879326180219795</v>
      </c>
      <c r="E662">
        <v>0.95041840452790605</v>
      </c>
      <c r="F662">
        <v>0.80472883772540205</v>
      </c>
      <c r="G662">
        <v>0.625098172999767</v>
      </c>
      <c r="H662">
        <v>0.32966013188262999</v>
      </c>
      <c r="I662">
        <v>0.19719704330381099</v>
      </c>
      <c r="J662">
        <v>0.15217680177771301</v>
      </c>
      <c r="K662">
        <v>0.107148014994223</v>
      </c>
      <c r="L662">
        <v>930.488725911708</v>
      </c>
      <c r="M662">
        <v>17.049972182502799</v>
      </c>
      <c r="N662">
        <v>55.0692777348834</v>
      </c>
      <c r="O662">
        <v>53.8400554587203</v>
      </c>
      <c r="P662">
        <v>-7.3548695879382495E-2</v>
      </c>
      <c r="Q662">
        <v>7.1054444443927597E-2</v>
      </c>
      <c r="R662">
        <v>0.99651113966887805</v>
      </c>
      <c r="S662" t="s">
        <v>6213</v>
      </c>
      <c r="T662" t="s">
        <v>11100</v>
      </c>
      <c r="U662" t="s">
        <v>11100</v>
      </c>
      <c r="V662" t="s">
        <v>11100</v>
      </c>
      <c r="W662" t="s">
        <v>11754</v>
      </c>
      <c r="X662">
        <v>19</v>
      </c>
      <c r="Y662" t="s">
        <v>17250</v>
      </c>
      <c r="Z662" t="s">
        <v>22667</v>
      </c>
      <c r="AA662">
        <v>0.62802200332494962</v>
      </c>
      <c r="AB662" t="str">
        <f>HYPERLINK("Melting_Curves/meltCurve_F6T1Q0_PDE12.pdf", "Melting_Curves/meltCurve_F6T1Q0_PDE12.pdf")</f>
        <v>Melting_Curves/meltCurve_F6T1Q0_PDE12.pdf</v>
      </c>
    </row>
    <row r="663" spans="1:28" x14ac:dyDescent="0.25">
      <c r="A663" t="s">
        <v>667</v>
      </c>
      <c r="B663">
        <v>0.99299721793515405</v>
      </c>
      <c r="C663">
        <v>0.99418170811247497</v>
      </c>
      <c r="D663">
        <v>0.86659685764949201</v>
      </c>
      <c r="E663">
        <v>0.803030991174571</v>
      </c>
      <c r="F663">
        <v>0.66002922328986202</v>
      </c>
      <c r="G663">
        <v>0.53728558491698297</v>
      </c>
      <c r="H663">
        <v>0.68533647359467698</v>
      </c>
      <c r="I663">
        <v>0.77582806356272105</v>
      </c>
      <c r="J663">
        <v>0.91748699404641898</v>
      </c>
      <c r="K663">
        <v>0.83776462885782199</v>
      </c>
      <c r="L663">
        <v>1404.09494892717</v>
      </c>
      <c r="M663">
        <v>32.551970527150502</v>
      </c>
      <c r="O663">
        <v>42.972136769513</v>
      </c>
      <c r="P663">
        <v>-4.9073155972685599E-2</v>
      </c>
      <c r="Q663">
        <v>0.74087363405447304</v>
      </c>
      <c r="R663">
        <v>0.51429037926721</v>
      </c>
      <c r="S663" t="s">
        <v>6214</v>
      </c>
      <c r="T663" t="s">
        <v>11100</v>
      </c>
      <c r="U663" t="s">
        <v>11100</v>
      </c>
      <c r="V663" t="s">
        <v>11100</v>
      </c>
      <c r="W663" t="s">
        <v>11392</v>
      </c>
      <c r="X663">
        <v>11</v>
      </c>
      <c r="Y663" t="s">
        <v>17251</v>
      </c>
      <c r="Z663" t="s">
        <v>22668</v>
      </c>
      <c r="AA663">
        <v>0.79506409705694603</v>
      </c>
      <c r="AB663" t="str">
        <f>HYPERLINK("Melting_Curves/meltCurve_F6XY72_NME2.pdf", "Melting_Curves/meltCurve_F6XY72_NME2.pdf")</f>
        <v>Melting_Curves/meltCurve_F6XY72_NME2.pdf</v>
      </c>
    </row>
    <row r="664" spans="1:28" x14ac:dyDescent="0.25">
      <c r="A664" t="s">
        <v>668</v>
      </c>
      <c r="B664">
        <v>0.99299721793515405</v>
      </c>
      <c r="C664">
        <v>1.0977822249040601</v>
      </c>
      <c r="D664">
        <v>0.82561639997499603</v>
      </c>
      <c r="E664">
        <v>0.58539460128024601</v>
      </c>
      <c r="F664">
        <v>0.75843823313485503</v>
      </c>
      <c r="G664">
        <v>0.33246424800809499</v>
      </c>
      <c r="H664">
        <v>0.59933212299646998</v>
      </c>
      <c r="I664">
        <v>0</v>
      </c>
      <c r="J664">
        <v>0</v>
      </c>
      <c r="K664">
        <v>0</v>
      </c>
      <c r="L664">
        <v>552.52234603952797</v>
      </c>
      <c r="M664">
        <v>10.594485006217999</v>
      </c>
      <c r="N664">
        <v>52.151883324430599</v>
      </c>
      <c r="O664">
        <v>50.396698284764497</v>
      </c>
      <c r="P664">
        <v>-5.2575939442474302E-2</v>
      </c>
      <c r="Q664">
        <v>0</v>
      </c>
      <c r="R664">
        <v>0.838118508791456</v>
      </c>
      <c r="S664" t="s">
        <v>6215</v>
      </c>
      <c r="T664" t="s">
        <v>11100</v>
      </c>
      <c r="U664" t="s">
        <v>11100</v>
      </c>
      <c r="V664" t="s">
        <v>11100</v>
      </c>
      <c r="W664" t="s">
        <v>11755</v>
      </c>
      <c r="X664">
        <v>2</v>
      </c>
      <c r="Y664" t="s">
        <v>17252</v>
      </c>
      <c r="Z664" t="s">
        <v>22669</v>
      </c>
      <c r="AA664">
        <v>0.53038556441287632</v>
      </c>
      <c r="AB664" t="str">
        <f>HYPERLINK("Melting_Curves/meltCurve_F6YA60_ITFG2.pdf", "Melting_Curves/meltCurve_F6YA60_ITFG2.pdf")</f>
        <v>Melting_Curves/meltCurve_F6YA60_ITFG2.pdf</v>
      </c>
    </row>
    <row r="665" spans="1:28" x14ac:dyDescent="0.25">
      <c r="A665" t="s">
        <v>669</v>
      </c>
      <c r="B665">
        <v>0.99299721793515405</v>
      </c>
      <c r="C665">
        <v>0.85142960676111301</v>
      </c>
      <c r="D665">
        <v>1.0461402978744301</v>
      </c>
      <c r="E665">
        <v>0.71795017204275102</v>
      </c>
      <c r="F665">
        <v>0.59271896883149799</v>
      </c>
      <c r="G665">
        <v>0.447153178610947</v>
      </c>
      <c r="H665">
        <v>0.48536318505914799</v>
      </c>
      <c r="I665">
        <v>0.38072016763549799</v>
      </c>
      <c r="J665">
        <v>0.38891961780280498</v>
      </c>
      <c r="K665">
        <v>0.50432006826930398</v>
      </c>
      <c r="L665">
        <v>1088.8133301603</v>
      </c>
      <c r="M665">
        <v>23.0176077952841</v>
      </c>
      <c r="N665">
        <v>51.921348953862001</v>
      </c>
      <c r="O665">
        <v>46.950792840715003</v>
      </c>
      <c r="P665">
        <v>-6.9193905255989993E-2</v>
      </c>
      <c r="Q665">
        <v>0.43544994264081899</v>
      </c>
      <c r="R665">
        <v>0.91747673448010103</v>
      </c>
      <c r="S665" t="s">
        <v>6216</v>
      </c>
      <c r="T665" t="s">
        <v>11100</v>
      </c>
      <c r="U665" t="s">
        <v>11100</v>
      </c>
      <c r="V665" t="s">
        <v>11100</v>
      </c>
      <c r="W665" t="s">
        <v>11756</v>
      </c>
      <c r="X665">
        <v>22</v>
      </c>
      <c r="Y665" t="s">
        <v>17253</v>
      </c>
      <c r="Z665" t="s">
        <v>22670</v>
      </c>
      <c r="AA665">
        <v>0.63495933806387361</v>
      </c>
      <c r="AB665" t="str">
        <f>HYPERLINK("Melting_Curves/meltCurve_F8VP89_EIF4B.pdf", "Melting_Curves/meltCurve_F8VP89_EIF4B.pdf")</f>
        <v>Melting_Curves/meltCurve_F8VP89_EIF4B.pdf</v>
      </c>
    </row>
    <row r="666" spans="1:28" x14ac:dyDescent="0.25">
      <c r="A666" t="s">
        <v>670</v>
      </c>
      <c r="B666">
        <v>0.99299721793515405</v>
      </c>
      <c r="C666">
        <v>0.88592728724222902</v>
      </c>
      <c r="D666">
        <v>0.774535584233081</v>
      </c>
      <c r="E666">
        <v>0.67710536926154696</v>
      </c>
      <c r="F666">
        <v>0.582177407846727</v>
      </c>
      <c r="G666">
        <v>0.449939453116669</v>
      </c>
      <c r="H666">
        <v>0.50032846982398005</v>
      </c>
      <c r="I666">
        <v>0.23563132124937</v>
      </c>
      <c r="J666">
        <v>0.23246918783946499</v>
      </c>
      <c r="K666">
        <v>0.33595676249798301</v>
      </c>
      <c r="L666">
        <v>377.14871138012199</v>
      </c>
      <c r="M666">
        <v>7.5749343404707901</v>
      </c>
      <c r="N666">
        <v>52.550829205834702</v>
      </c>
      <c r="O666">
        <v>46.674202235600497</v>
      </c>
      <c r="P666">
        <v>-3.39582143639394E-2</v>
      </c>
      <c r="Q666">
        <v>0.164201777389134</v>
      </c>
      <c r="R666">
        <v>0.94621995742381304</v>
      </c>
      <c r="S666" t="s">
        <v>6217</v>
      </c>
      <c r="T666" t="s">
        <v>11100</v>
      </c>
      <c r="U666" t="s">
        <v>11100</v>
      </c>
      <c r="V666" t="s">
        <v>11100</v>
      </c>
      <c r="W666" t="s">
        <v>11757</v>
      </c>
      <c r="X666">
        <v>2</v>
      </c>
      <c r="Y666" t="s">
        <v>17254</v>
      </c>
      <c r="Z666" t="s">
        <v>22671</v>
      </c>
      <c r="AA666">
        <v>0.55697076392234401</v>
      </c>
      <c r="AB666" t="str">
        <f>HYPERLINK("Melting_Curves/meltCurve_F8VPD4_CAD.pdf", "Melting_Curves/meltCurve_F8VPD4_CAD.pdf")</f>
        <v>Melting_Curves/meltCurve_F8VPD4_CAD.pdf</v>
      </c>
    </row>
    <row r="667" spans="1:28" x14ac:dyDescent="0.25">
      <c r="A667" t="s">
        <v>671</v>
      </c>
      <c r="B667">
        <v>0.99299721793515405</v>
      </c>
      <c r="C667">
        <v>1.0527261137719499</v>
      </c>
      <c r="D667">
        <v>1.0825123156279499</v>
      </c>
      <c r="E667">
        <v>1.0286039047362601</v>
      </c>
      <c r="F667">
        <v>0.76596780449264701</v>
      </c>
      <c r="G667">
        <v>0.59344098903146203</v>
      </c>
      <c r="H667">
        <v>0.408774469050871</v>
      </c>
      <c r="I667">
        <v>0.236740035387455</v>
      </c>
      <c r="J667">
        <v>0.19394263050635099</v>
      </c>
      <c r="K667">
        <v>0.16830340112865699</v>
      </c>
      <c r="L667">
        <v>944.12125691390702</v>
      </c>
      <c r="M667">
        <v>17.438003276098101</v>
      </c>
      <c r="N667">
        <v>55.208632133902903</v>
      </c>
      <c r="O667">
        <v>53.444629176221802</v>
      </c>
      <c r="P667">
        <v>-6.9905138519782306E-2</v>
      </c>
      <c r="Q667">
        <v>0.14305662726766799</v>
      </c>
      <c r="R667">
        <v>0.98283564011062097</v>
      </c>
      <c r="S667" t="s">
        <v>6218</v>
      </c>
      <c r="T667" t="s">
        <v>11100</v>
      </c>
      <c r="U667" t="s">
        <v>11100</v>
      </c>
      <c r="V667" t="s">
        <v>11100</v>
      </c>
      <c r="W667" t="s">
        <v>11758</v>
      </c>
      <c r="X667">
        <v>31</v>
      </c>
      <c r="Y667" t="s">
        <v>17255</v>
      </c>
      <c r="Z667" t="s">
        <v>22672</v>
      </c>
      <c r="AA667">
        <v>0.6447219466222377</v>
      </c>
      <c r="AB667" t="str">
        <f>HYPERLINK("Melting_Curves/meltCurve_F8VQ10_DDX39B.pdf", "Melting_Curves/meltCurve_F8VQ10_DDX39B.pdf")</f>
        <v>Melting_Curves/meltCurve_F8VQ10_DDX39B.pdf</v>
      </c>
    </row>
    <row r="668" spans="1:28" x14ac:dyDescent="0.25">
      <c r="A668" t="s">
        <v>672</v>
      </c>
      <c r="B668">
        <v>0.99299721793515405</v>
      </c>
      <c r="C668">
        <v>0.61062697883191697</v>
      </c>
      <c r="D668">
        <v>0.95090315316452401</v>
      </c>
      <c r="E668">
        <v>0.77542853087909702</v>
      </c>
      <c r="F668">
        <v>0.78967936237304603</v>
      </c>
      <c r="G668">
        <v>0.52876385208263099</v>
      </c>
      <c r="H668">
        <v>0.55940121493864503</v>
      </c>
      <c r="I668">
        <v>0.644371250728069</v>
      </c>
      <c r="J668">
        <v>0.64603793800350295</v>
      </c>
      <c r="K668">
        <v>0.43289659110821299</v>
      </c>
      <c r="L668">
        <v>166.575977373889</v>
      </c>
      <c r="M668">
        <v>2.42669215957859</v>
      </c>
      <c r="O668">
        <v>45.571055618112503</v>
      </c>
      <c r="P668">
        <v>-1.4049495453644201E-2</v>
      </c>
      <c r="Q668">
        <v>0</v>
      </c>
      <c r="R668">
        <v>0.53203315460846101</v>
      </c>
      <c r="S668" t="s">
        <v>6219</v>
      </c>
      <c r="T668" t="s">
        <v>11100</v>
      </c>
      <c r="U668" t="s">
        <v>11100</v>
      </c>
      <c r="V668" t="s">
        <v>11100</v>
      </c>
      <c r="W668" t="s">
        <v>11759</v>
      </c>
      <c r="X668">
        <v>1</v>
      </c>
      <c r="Y668" t="s">
        <v>17256</v>
      </c>
      <c r="Z668" t="s">
        <v>22673</v>
      </c>
      <c r="AA668">
        <v>0.691409953986446</v>
      </c>
      <c r="AB668" t="str">
        <f>HYPERLINK("Melting_Curves/meltCurve_F8VQD4_C12orf75.pdf", "Melting_Curves/meltCurve_F8VQD4_C12orf75.pdf")</f>
        <v>Melting_Curves/meltCurve_F8VQD4_C12orf75.pdf</v>
      </c>
    </row>
    <row r="669" spans="1:28" x14ac:dyDescent="0.25">
      <c r="A669" t="s">
        <v>673</v>
      </c>
      <c r="B669">
        <v>0.99299721793515405</v>
      </c>
      <c r="C669">
        <v>1.1321791679901201</v>
      </c>
      <c r="D669">
        <v>1.0502790648006599</v>
      </c>
      <c r="E669">
        <v>0.96288527899894805</v>
      </c>
      <c r="F669">
        <v>0.82661159204678403</v>
      </c>
      <c r="G669">
        <v>0.53594995276951596</v>
      </c>
      <c r="H669">
        <v>0.725417197173714</v>
      </c>
      <c r="I669">
        <v>0.61448721073630497</v>
      </c>
      <c r="J669">
        <v>0.32043146292598901</v>
      </c>
      <c r="K669">
        <v>9.5717485677355302E-2</v>
      </c>
      <c r="L669">
        <v>590.20759465973197</v>
      </c>
      <c r="M669">
        <v>9.8960633960508009</v>
      </c>
      <c r="N669">
        <v>59.640648024786401</v>
      </c>
      <c r="O669">
        <v>57.3584720261371</v>
      </c>
      <c r="P669">
        <v>-4.3154361105598303E-2</v>
      </c>
      <c r="Q669">
        <v>0</v>
      </c>
      <c r="R669">
        <v>0.86171473349735195</v>
      </c>
      <c r="S669" t="s">
        <v>6220</v>
      </c>
      <c r="T669" t="s">
        <v>11100</v>
      </c>
      <c r="U669" t="s">
        <v>11100</v>
      </c>
      <c r="V669" t="s">
        <v>11100</v>
      </c>
      <c r="W669" t="s">
        <v>11760</v>
      </c>
      <c r="X669">
        <v>1</v>
      </c>
      <c r="Y669" t="s">
        <v>17257</v>
      </c>
      <c r="Z669" t="s">
        <v>22674</v>
      </c>
      <c r="AA669">
        <v>0.73072580747482208</v>
      </c>
      <c r="AB669" t="str">
        <f>HYPERLINK("Melting_Curves/meltCurve_F8VQX6_METTL7A.pdf", "Melting_Curves/meltCurve_F8VQX6_METTL7A.pdf")</f>
        <v>Melting_Curves/meltCurve_F8VQX6_METTL7A.pdf</v>
      </c>
    </row>
    <row r="670" spans="1:28" x14ac:dyDescent="0.25">
      <c r="A670" t="s">
        <v>674</v>
      </c>
      <c r="B670">
        <v>0.99299721793515405</v>
      </c>
      <c r="C670">
        <v>0.78802559559598895</v>
      </c>
      <c r="D670">
        <v>0.73908985490027501</v>
      </c>
      <c r="E670">
        <v>0.66639964007249497</v>
      </c>
      <c r="F670">
        <v>0.61600445573892904</v>
      </c>
      <c r="G670">
        <v>0.285851792242306</v>
      </c>
      <c r="H670">
        <v>0.24130800020537899</v>
      </c>
      <c r="I670">
        <v>0.225733260411109</v>
      </c>
      <c r="J670">
        <v>0.21605222698753199</v>
      </c>
      <c r="K670">
        <v>0.21871003946450801</v>
      </c>
      <c r="L670">
        <v>395.10356211995099</v>
      </c>
      <c r="M670">
        <v>8.0911592028112107</v>
      </c>
      <c r="N670">
        <v>49.998168049901601</v>
      </c>
      <c r="O670">
        <v>46.120071012606097</v>
      </c>
      <c r="P670">
        <v>-4.01297535948252E-2</v>
      </c>
      <c r="Q670">
        <v>8.6023293574985102E-2</v>
      </c>
      <c r="R670">
        <v>0.94611436741203503</v>
      </c>
      <c r="S670" t="s">
        <v>6221</v>
      </c>
      <c r="T670" t="s">
        <v>11100</v>
      </c>
      <c r="U670" t="s">
        <v>11100</v>
      </c>
      <c r="V670" t="s">
        <v>11100</v>
      </c>
      <c r="W670" t="s">
        <v>11761</v>
      </c>
      <c r="X670">
        <v>3</v>
      </c>
      <c r="Y670" t="s">
        <v>17258</v>
      </c>
      <c r="Z670" t="s">
        <v>22675</v>
      </c>
      <c r="AA670">
        <v>0.48929872980064598</v>
      </c>
      <c r="AB670" t="str">
        <f>HYPERLINK("Melting_Curves/meltCurve_F8VQY2_UIMC1.pdf", "Melting_Curves/meltCurve_F8VQY2_UIMC1.pdf")</f>
        <v>Melting_Curves/meltCurve_F8VQY2_UIMC1.pdf</v>
      </c>
    </row>
    <row r="671" spans="1:28" x14ac:dyDescent="0.25">
      <c r="A671" t="s">
        <v>675</v>
      </c>
      <c r="B671">
        <v>0.99299721793515405</v>
      </c>
      <c r="C671">
        <v>0.83064429807521001</v>
      </c>
      <c r="D671">
        <v>0.98552366940144698</v>
      </c>
      <c r="E671">
        <v>0.70068131972469005</v>
      </c>
      <c r="F671">
        <v>0.59412307074691295</v>
      </c>
      <c r="G671">
        <v>0.284908321142607</v>
      </c>
      <c r="H671">
        <v>0.39787672924690598</v>
      </c>
      <c r="I671">
        <v>0.57194521130818199</v>
      </c>
      <c r="J671">
        <v>0.52836134031600801</v>
      </c>
      <c r="K671">
        <v>0.417731296867488</v>
      </c>
      <c r="L671">
        <v>1250.6763957765199</v>
      </c>
      <c r="M671">
        <v>26.856200730294599</v>
      </c>
      <c r="N671">
        <v>50.887781030713903</v>
      </c>
      <c r="O671">
        <v>46.313465536903301</v>
      </c>
      <c r="P671">
        <v>-7.9906706074138398E-2</v>
      </c>
      <c r="Q671">
        <v>0.44880974532269602</v>
      </c>
      <c r="R671">
        <v>0.82953642914402104</v>
      </c>
      <c r="S671" t="s">
        <v>6222</v>
      </c>
      <c r="T671" t="s">
        <v>11100</v>
      </c>
      <c r="U671" t="s">
        <v>11100</v>
      </c>
      <c r="V671" t="s">
        <v>11100</v>
      </c>
      <c r="W671" t="s">
        <v>11762</v>
      </c>
      <c r="X671">
        <v>17</v>
      </c>
      <c r="Y671" t="s">
        <v>17259</v>
      </c>
      <c r="Z671" t="s">
        <v>22676</v>
      </c>
      <c r="AA671">
        <v>0.62860655540121557</v>
      </c>
      <c r="AB671" t="str">
        <f>HYPERLINK("Melting_Curves/meltCurve_F8VQZ7_METAP2.pdf", "Melting_Curves/meltCurve_F8VQZ7_METAP2.pdf")</f>
        <v>Melting_Curves/meltCurve_F8VQZ7_METAP2.pdf</v>
      </c>
    </row>
    <row r="672" spans="1:28" x14ac:dyDescent="0.25">
      <c r="A672" t="s">
        <v>676</v>
      </c>
      <c r="B672">
        <v>0.99299721793515405</v>
      </c>
      <c r="C672">
        <v>0.75762460071040505</v>
      </c>
      <c r="D672">
        <v>0.92715740286350001</v>
      </c>
      <c r="E672">
        <v>0.68667871937506697</v>
      </c>
      <c r="F672">
        <v>0.75973779801768304</v>
      </c>
      <c r="G672">
        <v>0.44899784957275202</v>
      </c>
      <c r="H672">
        <v>0.18837068692182299</v>
      </c>
      <c r="I672">
        <v>0.23780360197869899</v>
      </c>
      <c r="J672">
        <v>0</v>
      </c>
      <c r="K672">
        <v>0</v>
      </c>
      <c r="L672">
        <v>601.09729620930204</v>
      </c>
      <c r="M672">
        <v>11.509277230576201</v>
      </c>
      <c r="N672">
        <v>52.227197600910401</v>
      </c>
      <c r="O672">
        <v>50.725122048045002</v>
      </c>
      <c r="P672">
        <v>-5.67398141360069E-2</v>
      </c>
      <c r="Q672">
        <v>0</v>
      </c>
      <c r="R672">
        <v>0.91345398180242299</v>
      </c>
      <c r="S672" t="s">
        <v>6223</v>
      </c>
      <c r="T672" t="s">
        <v>11100</v>
      </c>
      <c r="U672" t="s">
        <v>11100</v>
      </c>
      <c r="V672" t="s">
        <v>11100</v>
      </c>
      <c r="W672" t="s">
        <v>11763</v>
      </c>
      <c r="X672">
        <v>1</v>
      </c>
      <c r="Y672" t="s">
        <v>17260</v>
      </c>
      <c r="Z672" t="s">
        <v>22677</v>
      </c>
      <c r="AA672">
        <v>0.53144088737528516</v>
      </c>
      <c r="AB672" t="str">
        <f>HYPERLINK("Melting_Curves/meltCurve_F8VR76_PPP1R1A.pdf", "Melting_Curves/meltCurve_F8VR76_PPP1R1A.pdf")</f>
        <v>Melting_Curves/meltCurve_F8VR76_PPP1R1A.pdf</v>
      </c>
    </row>
    <row r="673" spans="1:28" x14ac:dyDescent="0.25">
      <c r="A673" t="s">
        <v>677</v>
      </c>
      <c r="B673">
        <v>0.99299721793515405</v>
      </c>
      <c r="C673">
        <v>1.4120890847624701</v>
      </c>
      <c r="D673">
        <v>1.0989001499223801</v>
      </c>
      <c r="E673">
        <v>1.14285482403426</v>
      </c>
      <c r="F673">
        <v>1.0391294762343499</v>
      </c>
      <c r="G673">
        <v>0.62297446905299603</v>
      </c>
      <c r="H673">
        <v>0.42557363552043498</v>
      </c>
      <c r="I673">
        <v>0.237809508255168</v>
      </c>
      <c r="J673">
        <v>0.161572017662477</v>
      </c>
      <c r="K673">
        <v>7.3853647780905196E-2</v>
      </c>
      <c r="L673">
        <v>1323.8056727708399</v>
      </c>
      <c r="M673">
        <v>23.8575550071949</v>
      </c>
      <c r="N673">
        <v>56.081435505911202</v>
      </c>
      <c r="O673">
        <v>55.102460795222498</v>
      </c>
      <c r="P673">
        <v>-9.6166830133979406E-2</v>
      </c>
      <c r="Q673">
        <v>0.111569781921904</v>
      </c>
      <c r="R673">
        <v>0.88792395816060798</v>
      </c>
      <c r="S673" t="s">
        <v>6224</v>
      </c>
      <c r="T673" t="s">
        <v>11100</v>
      </c>
      <c r="U673" t="s">
        <v>11100</v>
      </c>
      <c r="V673" t="s">
        <v>11100</v>
      </c>
      <c r="W673" t="s">
        <v>11764</v>
      </c>
      <c r="X673">
        <v>3</v>
      </c>
      <c r="Y673" t="s">
        <v>17261</v>
      </c>
      <c r="Z673" t="s">
        <v>22678</v>
      </c>
      <c r="AA673">
        <v>0.66696722920378237</v>
      </c>
      <c r="AB673" t="str">
        <f>HYPERLINK("Melting_Curves/meltCurve_F8VS47_NEK3.pdf", "Melting_Curves/meltCurve_F8VS47_NEK3.pdf")</f>
        <v>Melting_Curves/meltCurve_F8VS47_NEK3.pdf</v>
      </c>
    </row>
    <row r="674" spans="1:28" x14ac:dyDescent="0.25">
      <c r="A674" t="s">
        <v>678</v>
      </c>
      <c r="B674">
        <v>0.99299721793515405</v>
      </c>
      <c r="C674">
        <v>1.2598915329990099</v>
      </c>
      <c r="D674">
        <v>0.95766218662940805</v>
      </c>
      <c r="E674">
        <v>0.97343713211305405</v>
      </c>
      <c r="F674">
        <v>1.0137512858269799</v>
      </c>
      <c r="G674">
        <v>0.59078766980993302</v>
      </c>
      <c r="H674">
        <v>0.62696654474640601</v>
      </c>
      <c r="I674">
        <v>0.641367278737205</v>
      </c>
      <c r="J674">
        <v>0.56533154388422302</v>
      </c>
      <c r="K674">
        <v>0.53456855859998098</v>
      </c>
      <c r="L674">
        <v>13049.4721562661</v>
      </c>
      <c r="M674">
        <v>250</v>
      </c>
      <c r="O674">
        <v>52.194548307956403</v>
      </c>
      <c r="P674">
        <v>-0.48884787495510901</v>
      </c>
      <c r="Q674">
        <v>0.59175689609720405</v>
      </c>
      <c r="R674">
        <v>0.86355794403828601</v>
      </c>
      <c r="S674" t="s">
        <v>6225</v>
      </c>
      <c r="T674" t="s">
        <v>11100</v>
      </c>
      <c r="U674" t="s">
        <v>11100</v>
      </c>
      <c r="V674" t="s">
        <v>11100</v>
      </c>
      <c r="W674" t="s">
        <v>11765</v>
      </c>
      <c r="X674">
        <v>3</v>
      </c>
      <c r="Y674" t="s">
        <v>17262</v>
      </c>
      <c r="Z674" t="s">
        <v>22679</v>
      </c>
      <c r="AA674">
        <v>0.79860873464732662</v>
      </c>
      <c r="AB674" t="str">
        <f>HYPERLINK("Melting_Curves/meltCurve_F8VSL3_NFYB.pdf", "Melting_Curves/meltCurve_F8VSL3_NFYB.pdf")</f>
        <v>Melting_Curves/meltCurve_F8VSL3_NFYB.pdf</v>
      </c>
    </row>
    <row r="675" spans="1:28" x14ac:dyDescent="0.25">
      <c r="A675" t="s">
        <v>679</v>
      </c>
      <c r="B675">
        <v>0.99299721793515405</v>
      </c>
      <c r="C675">
        <v>1.08815010065733</v>
      </c>
      <c r="D675">
        <v>0.870090117569704</v>
      </c>
      <c r="E675">
        <v>0.93875950232224603</v>
      </c>
      <c r="F675">
        <v>0.60486933336626403</v>
      </c>
      <c r="G675">
        <v>0.54545625477723803</v>
      </c>
      <c r="H675">
        <v>0.51278102853343699</v>
      </c>
      <c r="I675">
        <v>0.158494947536478</v>
      </c>
      <c r="J675">
        <v>0.11428427339838799</v>
      </c>
      <c r="K675">
        <v>0</v>
      </c>
      <c r="L675">
        <v>639.502089898549</v>
      </c>
      <c r="M675">
        <v>11.768444266135701</v>
      </c>
      <c r="N675">
        <v>54.340398874097801</v>
      </c>
      <c r="O675">
        <v>52.842561434303697</v>
      </c>
      <c r="P675">
        <v>-5.5691393763852001E-2</v>
      </c>
      <c r="Q675">
        <v>0</v>
      </c>
      <c r="R675">
        <v>0.94376944479266001</v>
      </c>
      <c r="S675" t="s">
        <v>6226</v>
      </c>
      <c r="T675" t="s">
        <v>11100</v>
      </c>
      <c r="U675" t="s">
        <v>11100</v>
      </c>
      <c r="V675" t="s">
        <v>11100</v>
      </c>
      <c r="W675" t="s">
        <v>11766</v>
      </c>
      <c r="X675">
        <v>2</v>
      </c>
      <c r="Y675" t="s">
        <v>17263</v>
      </c>
      <c r="Z675" t="s">
        <v>22680</v>
      </c>
      <c r="AA675">
        <v>0.59472094308381618</v>
      </c>
      <c r="AB675" t="str">
        <f>HYPERLINK("Melting_Curves/meltCurve_F8VSZ4_PLXNA1.pdf", "Melting_Curves/meltCurve_F8VSZ4_PLXNA1.pdf")</f>
        <v>Melting_Curves/meltCurve_F8VSZ4_PLXNA1.pdf</v>
      </c>
    </row>
    <row r="676" spans="1:28" x14ac:dyDescent="0.25">
      <c r="A676" t="s">
        <v>680</v>
      </c>
      <c r="B676">
        <v>0.99299721793515405</v>
      </c>
      <c r="C676">
        <v>0.71056140855081495</v>
      </c>
      <c r="D676">
        <v>0.94076412249403596</v>
      </c>
      <c r="E676">
        <v>0.72620117809048801</v>
      </c>
      <c r="F676">
        <v>0.41018210643703101</v>
      </c>
      <c r="G676">
        <v>0.20183790253460099</v>
      </c>
      <c r="H676">
        <v>0.23028055805862299</v>
      </c>
      <c r="I676">
        <v>0.25479127890540598</v>
      </c>
      <c r="J676">
        <v>0.29926396208679001</v>
      </c>
      <c r="K676">
        <v>0.233489415806483</v>
      </c>
      <c r="L676">
        <v>1084.4388539450399</v>
      </c>
      <c r="M676">
        <v>22.846306122367299</v>
      </c>
      <c r="N676">
        <v>48.809317904406399</v>
      </c>
      <c r="O676">
        <v>47.107521472282002</v>
      </c>
      <c r="P676">
        <v>-9.2962188644172106E-2</v>
      </c>
      <c r="Q676">
        <v>0.23328802958651201</v>
      </c>
      <c r="R676">
        <v>0.89681177666300005</v>
      </c>
      <c r="S676" t="s">
        <v>6227</v>
      </c>
      <c r="T676" t="s">
        <v>11100</v>
      </c>
      <c r="U676" t="s">
        <v>11100</v>
      </c>
      <c r="V676" t="s">
        <v>11100</v>
      </c>
      <c r="W676" t="s">
        <v>11767</v>
      </c>
      <c r="X676">
        <v>2</v>
      </c>
      <c r="Y676" t="s">
        <v>17264</v>
      </c>
      <c r="Z676" t="s">
        <v>22681</v>
      </c>
      <c r="AA676">
        <v>0.50853945754401519</v>
      </c>
      <c r="AB676" t="str">
        <f>HYPERLINK("Melting_Curves/meltCurve_F8VUA7_OSBPL8.pdf", "Melting_Curves/meltCurve_F8VUA7_OSBPL8.pdf")</f>
        <v>Melting_Curves/meltCurve_F8VUA7_OSBPL8.pdf</v>
      </c>
    </row>
    <row r="677" spans="1:28" x14ac:dyDescent="0.25">
      <c r="A677" t="s">
        <v>681</v>
      </c>
      <c r="B677">
        <v>0.99299721793515405</v>
      </c>
      <c r="C677">
        <v>0.84811089910888604</v>
      </c>
      <c r="D677">
        <v>0.89704007397657004</v>
      </c>
      <c r="E677">
        <v>0.81748256567701905</v>
      </c>
      <c r="F677">
        <v>0.66010980115250095</v>
      </c>
      <c r="G677">
        <v>0.49648004390397898</v>
      </c>
      <c r="H677">
        <v>0.39200919265318601</v>
      </c>
      <c r="I677">
        <v>0.42280025955848199</v>
      </c>
      <c r="J677">
        <v>0.44170752998802698</v>
      </c>
      <c r="K677">
        <v>0.36343082938312998</v>
      </c>
      <c r="L677">
        <v>542.21349628633504</v>
      </c>
      <c r="M677">
        <v>11.007065343529399</v>
      </c>
      <c r="N677">
        <v>54.955789307849102</v>
      </c>
      <c r="O677">
        <v>47.718317318317702</v>
      </c>
      <c r="P677">
        <v>-3.8061206249195297E-2</v>
      </c>
      <c r="Q677">
        <v>0.34020354447241402</v>
      </c>
      <c r="R677">
        <v>0.95678885410076597</v>
      </c>
      <c r="S677" t="s">
        <v>6228</v>
      </c>
      <c r="T677" t="s">
        <v>11100</v>
      </c>
      <c r="U677" t="s">
        <v>11100</v>
      </c>
      <c r="V677" t="s">
        <v>11100</v>
      </c>
      <c r="W677" t="s">
        <v>11768</v>
      </c>
      <c r="X677">
        <v>3</v>
      </c>
      <c r="Y677" t="s">
        <v>17265</v>
      </c>
      <c r="Z677" t="s">
        <v>22682</v>
      </c>
      <c r="AA677">
        <v>0.63135018665220755</v>
      </c>
      <c r="AB677" t="str">
        <f>HYPERLINK("Melting_Curves/meltCurve_F8VUY8_SLC38A2.pdf", "Melting_Curves/meltCurve_F8VUY8_SLC38A2.pdf")</f>
        <v>Melting_Curves/meltCurve_F8VUY8_SLC38A2.pdf</v>
      </c>
    </row>
    <row r="678" spans="1:28" x14ac:dyDescent="0.25">
      <c r="A678" t="s">
        <v>682</v>
      </c>
      <c r="B678">
        <v>0.99299721793515405</v>
      </c>
      <c r="C678">
        <v>0.96885649491265502</v>
      </c>
      <c r="D678">
        <v>0.89053555363697501</v>
      </c>
      <c r="E678">
        <v>0.87182992767596001</v>
      </c>
      <c r="F678">
        <v>0.63481965313759703</v>
      </c>
      <c r="G678">
        <v>0.49085006352725302</v>
      </c>
      <c r="H678">
        <v>0.33637641584938599</v>
      </c>
      <c r="I678">
        <v>0.24255381784493399</v>
      </c>
      <c r="J678">
        <v>0.147857906171347</v>
      </c>
      <c r="K678">
        <v>0.103974513488846</v>
      </c>
      <c r="L678">
        <v>548.47867365255001</v>
      </c>
      <c r="M678">
        <v>10.239250911743399</v>
      </c>
      <c r="N678">
        <v>53.566290289082602</v>
      </c>
      <c r="O678">
        <v>51.643721600191199</v>
      </c>
      <c r="P678">
        <v>-4.95887978363466E-2</v>
      </c>
      <c r="Q678">
        <v>0</v>
      </c>
      <c r="R678">
        <v>0.99529365491438104</v>
      </c>
      <c r="S678" t="s">
        <v>6229</v>
      </c>
      <c r="T678" t="s">
        <v>11100</v>
      </c>
      <c r="U678" t="s">
        <v>11100</v>
      </c>
      <c r="V678" t="s">
        <v>11100</v>
      </c>
      <c r="W678" t="s">
        <v>11769</v>
      </c>
      <c r="X678">
        <v>7</v>
      </c>
      <c r="Y678" t="s">
        <v>17266</v>
      </c>
      <c r="Z678" t="s">
        <v>22683</v>
      </c>
      <c r="AA678">
        <v>0.57199852284645003</v>
      </c>
      <c r="AB678" t="str">
        <f>HYPERLINK("Melting_Curves/meltCurve_F8VVA7_COPZ1.pdf", "Melting_Curves/meltCurve_F8VVA7_COPZ1.pdf")</f>
        <v>Melting_Curves/meltCurve_F8VVA7_COPZ1.pdf</v>
      </c>
    </row>
    <row r="679" spans="1:28" x14ac:dyDescent="0.25">
      <c r="A679" t="s">
        <v>683</v>
      </c>
      <c r="B679">
        <v>0.99299721793515405</v>
      </c>
      <c r="C679">
        <v>0.97631477951012402</v>
      </c>
      <c r="D679">
        <v>1.0810843330584901</v>
      </c>
      <c r="E679">
        <v>0.89922369945048797</v>
      </c>
      <c r="F679">
        <v>0.79133018994993398</v>
      </c>
      <c r="G679">
        <v>0.50559753150214704</v>
      </c>
      <c r="H679">
        <v>0.53602434449823</v>
      </c>
      <c r="I679">
        <v>0.62130200725372198</v>
      </c>
      <c r="J679">
        <v>0.74324659833727602</v>
      </c>
      <c r="K679">
        <v>0.61727222107749702</v>
      </c>
      <c r="L679">
        <v>1861.80514571869</v>
      </c>
      <c r="M679">
        <v>37.690977304044402</v>
      </c>
      <c r="O679">
        <v>49.258137574628101</v>
      </c>
      <c r="P679">
        <v>-7.5251409973577404E-2</v>
      </c>
      <c r="Q679">
        <v>0.606618364635089</v>
      </c>
      <c r="R679">
        <v>0.86252860028918898</v>
      </c>
      <c r="S679" t="s">
        <v>6230</v>
      </c>
      <c r="T679" t="s">
        <v>11100</v>
      </c>
      <c r="U679" t="s">
        <v>11100</v>
      </c>
      <c r="V679" t="s">
        <v>11100</v>
      </c>
      <c r="W679" t="s">
        <v>11770</v>
      </c>
      <c r="X679">
        <v>18</v>
      </c>
      <c r="Y679" t="s">
        <v>17267</v>
      </c>
      <c r="Z679" t="s">
        <v>22684</v>
      </c>
      <c r="AA679">
        <v>0.77068443328167879</v>
      </c>
      <c r="AB679" t="str">
        <f>HYPERLINK("Melting_Curves/meltCurve_F8VW96_CSRP2.pdf", "Melting_Curves/meltCurve_F8VW96_CSRP2.pdf")</f>
        <v>Melting_Curves/meltCurve_F8VW96_CSRP2.pdf</v>
      </c>
    </row>
    <row r="680" spans="1:28" x14ac:dyDescent="0.25">
      <c r="A680" t="s">
        <v>684</v>
      </c>
      <c r="B680">
        <v>0.99299721793515405</v>
      </c>
      <c r="C680">
        <v>0.93462906829732095</v>
      </c>
      <c r="D680">
        <v>0.94336195158659797</v>
      </c>
      <c r="E680">
        <v>0.90305728118865902</v>
      </c>
      <c r="F680">
        <v>0.65033243956178599</v>
      </c>
      <c r="G680">
        <v>0.378862275656762</v>
      </c>
      <c r="H680">
        <v>0.263139877494728</v>
      </c>
      <c r="I680">
        <v>0.25934022090813502</v>
      </c>
      <c r="J680">
        <v>0.208650468721856</v>
      </c>
      <c r="K680">
        <v>0.248847354143196</v>
      </c>
      <c r="L680">
        <v>1123.9782217288</v>
      </c>
      <c r="M680">
        <v>22.236247848850699</v>
      </c>
      <c r="N680">
        <v>51.945515156389199</v>
      </c>
      <c r="O680">
        <v>50.143632162001701</v>
      </c>
      <c r="P680">
        <v>-8.5896903298991606E-2</v>
      </c>
      <c r="Q680">
        <v>0.22521272969898601</v>
      </c>
      <c r="R680">
        <v>0.99287092148562495</v>
      </c>
      <c r="S680" t="s">
        <v>6231</v>
      </c>
      <c r="T680" t="s">
        <v>11100</v>
      </c>
      <c r="U680" t="s">
        <v>11100</v>
      </c>
      <c r="V680" t="s">
        <v>11100</v>
      </c>
      <c r="W680" t="s">
        <v>11771</v>
      </c>
      <c r="X680">
        <v>2</v>
      </c>
      <c r="Y680" t="s">
        <v>17268</v>
      </c>
      <c r="Z680" t="s">
        <v>22685</v>
      </c>
      <c r="AA680">
        <v>0.58353607680796105</v>
      </c>
      <c r="AB680" t="str">
        <f>HYPERLINK("Melting_Curves/meltCurve_F8VWA5_CASP9.pdf", "Melting_Curves/meltCurve_F8VWA5_CASP9.pdf")</f>
        <v>Melting_Curves/meltCurve_F8VWA5_CASP9.pdf</v>
      </c>
    </row>
    <row r="681" spans="1:28" x14ac:dyDescent="0.25">
      <c r="A681" t="s">
        <v>685</v>
      </c>
      <c r="B681">
        <v>0.99299721793515405</v>
      </c>
      <c r="C681">
        <v>0.93191436882015599</v>
      </c>
      <c r="D681">
        <v>0.88051060699176997</v>
      </c>
      <c r="E681">
        <v>0.78445785556038305</v>
      </c>
      <c r="F681">
        <v>0.60523399486499996</v>
      </c>
      <c r="G681">
        <v>0.66874067793438297</v>
      </c>
      <c r="H681">
        <v>0.52130045347294396</v>
      </c>
      <c r="I681">
        <v>0.35470852005661502</v>
      </c>
      <c r="J681">
        <v>0.24145245901103299</v>
      </c>
      <c r="K681">
        <v>0.15497704892313299</v>
      </c>
      <c r="L681">
        <v>407.83472799505</v>
      </c>
      <c r="M681">
        <v>7.3120204111946396</v>
      </c>
      <c r="N681">
        <v>55.775929415782898</v>
      </c>
      <c r="O681">
        <v>52.058564809404103</v>
      </c>
      <c r="P681">
        <v>-3.5169851927967802E-2</v>
      </c>
      <c r="Q681">
        <v>0</v>
      </c>
      <c r="R681">
        <v>0.95937693950526604</v>
      </c>
      <c r="S681" t="s">
        <v>6232</v>
      </c>
      <c r="T681" t="s">
        <v>11100</v>
      </c>
      <c r="U681" t="s">
        <v>11100</v>
      </c>
      <c r="V681" t="s">
        <v>11100</v>
      </c>
      <c r="W681" t="s">
        <v>11772</v>
      </c>
      <c r="X681">
        <v>1</v>
      </c>
      <c r="Y681" t="s">
        <v>17269</v>
      </c>
      <c r="Z681" t="s">
        <v>22686</v>
      </c>
      <c r="AA681">
        <v>0.62225558391678104</v>
      </c>
      <c r="AB681" t="str">
        <f>HYPERLINK("Melting_Curves/meltCurve_F8VWA9_ALG10B.pdf", "Melting_Curves/meltCurve_F8VWA9_ALG10B.pdf")</f>
        <v>Melting_Curves/meltCurve_F8VWA9_ALG10B.pdf</v>
      </c>
    </row>
    <row r="682" spans="1:28" x14ac:dyDescent="0.25">
      <c r="A682" t="s">
        <v>686</v>
      </c>
      <c r="B682">
        <v>0.99299721793515405</v>
      </c>
      <c r="C682">
        <v>0.87352705986361001</v>
      </c>
      <c r="D682">
        <v>1.00744244697811</v>
      </c>
      <c r="E682">
        <v>0.79109258712969499</v>
      </c>
      <c r="F682">
        <v>0.6661685624068</v>
      </c>
      <c r="G682">
        <v>0.39980480387161399</v>
      </c>
      <c r="H682">
        <v>0.48732699756341902</v>
      </c>
      <c r="I682">
        <v>0.63584166471392001</v>
      </c>
      <c r="J682">
        <v>0.75877466596571996</v>
      </c>
      <c r="K682">
        <v>0.64691668384975098</v>
      </c>
      <c r="L682">
        <v>1810.16993923771</v>
      </c>
      <c r="M682">
        <v>38.818036257386296</v>
      </c>
      <c r="O682">
        <v>46.508960278624201</v>
      </c>
      <c r="P682">
        <v>-8.4760197975434895E-2</v>
      </c>
      <c r="Q682">
        <v>0.59378696107683204</v>
      </c>
      <c r="R682">
        <v>0.71996519551504601</v>
      </c>
      <c r="S682" t="s">
        <v>6233</v>
      </c>
      <c r="T682" t="s">
        <v>11100</v>
      </c>
      <c r="U682" t="s">
        <v>11100</v>
      </c>
      <c r="V682" t="s">
        <v>11100</v>
      </c>
      <c r="W682" t="s">
        <v>11773</v>
      </c>
      <c r="X682">
        <v>2</v>
      </c>
      <c r="Y682" t="s">
        <v>17270</v>
      </c>
      <c r="Z682" t="s">
        <v>22687</v>
      </c>
      <c r="AA682">
        <v>0.72560258014300372</v>
      </c>
      <c r="AB682" t="str">
        <f>HYPERLINK("Melting_Curves/meltCurve_F8VWE0_TSPAN31.pdf", "Melting_Curves/meltCurve_F8VWE0_TSPAN31.pdf")</f>
        <v>Melting_Curves/meltCurve_F8VWE0_TSPAN31.pdf</v>
      </c>
    </row>
    <row r="683" spans="1:28" x14ac:dyDescent="0.25">
      <c r="A683" t="s">
        <v>687</v>
      </c>
      <c r="B683">
        <v>0.99299721793515405</v>
      </c>
      <c r="C683">
        <v>1.12343609916653</v>
      </c>
      <c r="D683">
        <v>1.0380628309492299</v>
      </c>
      <c r="E683">
        <v>0.91599310907833098</v>
      </c>
      <c r="F683">
        <v>0.81596494154132304</v>
      </c>
      <c r="G683">
        <v>0.26774813148422399</v>
      </c>
      <c r="H683">
        <v>0.18441693688696301</v>
      </c>
      <c r="I683">
        <v>0.168744350614945</v>
      </c>
      <c r="J683">
        <v>0.13365133106788499</v>
      </c>
      <c r="K683">
        <v>9.7686644157122401E-2</v>
      </c>
      <c r="L683">
        <v>2126.0059972313802</v>
      </c>
      <c r="M683">
        <v>41.134377161757101</v>
      </c>
      <c r="N683">
        <v>52.0988034856288</v>
      </c>
      <c r="O683">
        <v>51.562714248520201</v>
      </c>
      <c r="P683">
        <v>-0.17161244742891801</v>
      </c>
      <c r="Q683">
        <v>0.13952402708845299</v>
      </c>
      <c r="R683">
        <v>0.98460068030739101</v>
      </c>
      <c r="S683" t="s">
        <v>6234</v>
      </c>
      <c r="T683" t="s">
        <v>11100</v>
      </c>
      <c r="U683" t="s">
        <v>11100</v>
      </c>
      <c r="V683" t="s">
        <v>11100</v>
      </c>
      <c r="W683" t="s">
        <v>11774</v>
      </c>
      <c r="X683">
        <v>13</v>
      </c>
      <c r="Y683" t="s">
        <v>17271</v>
      </c>
      <c r="Z683" t="s">
        <v>22688</v>
      </c>
      <c r="AA683">
        <v>0.56361106910472347</v>
      </c>
      <c r="AB683" t="str">
        <f>HYPERLINK("Melting_Curves/meltCurve_F8VWH9_ARFGAP1.pdf", "Melting_Curves/meltCurve_F8VWH9_ARFGAP1.pdf")</f>
        <v>Melting_Curves/meltCurve_F8VWH9_ARFGAP1.pdf</v>
      </c>
    </row>
    <row r="684" spans="1:28" x14ac:dyDescent="0.25">
      <c r="A684" t="s">
        <v>688</v>
      </c>
      <c r="B684">
        <v>0.99299721793515405</v>
      </c>
      <c r="C684">
        <v>1.2248035553368399</v>
      </c>
      <c r="D684">
        <v>0.88853856660075103</v>
      </c>
      <c r="E684">
        <v>0.99816005128658603</v>
      </c>
      <c r="F684">
        <v>0.66482720282642405</v>
      </c>
      <c r="G684">
        <v>0.41524919788889297</v>
      </c>
      <c r="H684">
        <v>0.270916350743305</v>
      </c>
      <c r="I684">
        <v>8.9727422873887297E-2</v>
      </c>
      <c r="J684">
        <v>0.11595512756316501</v>
      </c>
      <c r="K684">
        <v>0.10107155589087401</v>
      </c>
      <c r="L684">
        <v>1008.97558467363</v>
      </c>
      <c r="M684">
        <v>19.330593748961199</v>
      </c>
      <c r="N684">
        <v>52.703790465780301</v>
      </c>
      <c r="O684">
        <v>51.646822873884602</v>
      </c>
      <c r="P684">
        <v>-8.5620951133265399E-2</v>
      </c>
      <c r="Q684">
        <v>8.4997499400941395E-2</v>
      </c>
      <c r="R684">
        <v>0.95544368120124301</v>
      </c>
      <c r="S684" t="s">
        <v>6235</v>
      </c>
      <c r="T684" t="s">
        <v>11100</v>
      </c>
      <c r="U684" t="s">
        <v>11100</v>
      </c>
      <c r="V684" t="s">
        <v>11100</v>
      </c>
      <c r="W684" t="s">
        <v>11775</v>
      </c>
      <c r="X684">
        <v>4</v>
      </c>
      <c r="Y684" t="s">
        <v>17272</v>
      </c>
      <c r="Z684" t="s">
        <v>22689</v>
      </c>
      <c r="AA684">
        <v>0.56086678069959184</v>
      </c>
      <c r="AB684" t="str">
        <f>HYPERLINK("Melting_Curves/meltCurve_F8VWL0_TFCP2.pdf", "Melting_Curves/meltCurve_F8VWL0_TFCP2.pdf")</f>
        <v>Melting_Curves/meltCurve_F8VWL0_TFCP2.pdf</v>
      </c>
    </row>
    <row r="685" spans="1:28" x14ac:dyDescent="0.25">
      <c r="A685" t="s">
        <v>689</v>
      </c>
      <c r="B685">
        <v>0.99299721793515405</v>
      </c>
      <c r="C685">
        <v>1.03744040096414</v>
      </c>
      <c r="D685">
        <v>1.0163316823030599</v>
      </c>
      <c r="E685">
        <v>0.77925122830818205</v>
      </c>
      <c r="F685">
        <v>0.756876006847783</v>
      </c>
      <c r="G685">
        <v>0.46457535367709801</v>
      </c>
      <c r="H685">
        <v>0.45501726317369201</v>
      </c>
      <c r="I685">
        <v>0.50227832951380602</v>
      </c>
      <c r="J685">
        <v>0.49806049473771702</v>
      </c>
      <c r="K685">
        <v>0.74482369455193598</v>
      </c>
      <c r="L685">
        <v>1163.97547167789</v>
      </c>
      <c r="M685">
        <v>24.312247938513899</v>
      </c>
      <c r="O685">
        <v>47.555714158607003</v>
      </c>
      <c r="P685">
        <v>-5.8992125322444501E-2</v>
      </c>
      <c r="Q685">
        <v>0.53844325739462195</v>
      </c>
      <c r="R685">
        <v>0.833049586585904</v>
      </c>
      <c r="S685" t="s">
        <v>6236</v>
      </c>
      <c r="T685" t="s">
        <v>11100</v>
      </c>
      <c r="U685" t="s">
        <v>11100</v>
      </c>
      <c r="V685" t="s">
        <v>11100</v>
      </c>
      <c r="W685" t="s">
        <v>11776</v>
      </c>
      <c r="X685">
        <v>2</v>
      </c>
      <c r="Y685" t="s">
        <v>17273</v>
      </c>
      <c r="Z685" t="s">
        <v>22690</v>
      </c>
      <c r="AA685">
        <v>0.70992339816915739</v>
      </c>
      <c r="AB685" t="str">
        <f>HYPERLINK("Melting_Curves/meltCurve_F8VX04_SLC38A1.pdf", "Melting_Curves/meltCurve_F8VX04_SLC38A1.pdf")</f>
        <v>Melting_Curves/meltCurve_F8VX04_SLC38A1.pdf</v>
      </c>
    </row>
    <row r="686" spans="1:28" x14ac:dyDescent="0.25">
      <c r="A686" t="s">
        <v>690</v>
      </c>
      <c r="B686">
        <v>0.99299721793515405</v>
      </c>
      <c r="C686">
        <v>0.91346228929379303</v>
      </c>
      <c r="D686">
        <v>0.98251071573870297</v>
      </c>
      <c r="E686">
        <v>0.88578001975501497</v>
      </c>
      <c r="F686">
        <v>0.85906750480036198</v>
      </c>
      <c r="G686">
        <v>0.48032104207607701</v>
      </c>
      <c r="H686">
        <v>0.27638081819330401</v>
      </c>
      <c r="I686">
        <v>0.27442461513616101</v>
      </c>
      <c r="J686">
        <v>0.25964813966952999</v>
      </c>
      <c r="K686">
        <v>0.25000149729114102</v>
      </c>
      <c r="L686">
        <v>1541.43289059467</v>
      </c>
      <c r="M686">
        <v>29.4445971504502</v>
      </c>
      <c r="N686">
        <v>53.602950179072003</v>
      </c>
      <c r="O686">
        <v>52.110592283878503</v>
      </c>
      <c r="P686">
        <v>-0.106124407785645</v>
      </c>
      <c r="Q686">
        <v>0.24873593511773401</v>
      </c>
      <c r="R686">
        <v>0.98185633809024797</v>
      </c>
      <c r="S686" t="s">
        <v>6237</v>
      </c>
      <c r="T686" t="s">
        <v>11100</v>
      </c>
      <c r="U686" t="s">
        <v>11100</v>
      </c>
      <c r="V686" t="s">
        <v>11100</v>
      </c>
      <c r="W686" t="s">
        <v>11777</v>
      </c>
      <c r="X686">
        <v>4</v>
      </c>
      <c r="Y686" t="s">
        <v>17274</v>
      </c>
      <c r="Z686" t="s">
        <v>22691</v>
      </c>
      <c r="AA686">
        <v>0.63806845553176894</v>
      </c>
      <c r="AB686" t="str">
        <f>HYPERLINK("Melting_Curves/meltCurve_F8VXC8_SMARCC2.pdf", "Melting_Curves/meltCurve_F8VXC8_SMARCC2.pdf")</f>
        <v>Melting_Curves/meltCurve_F8VXC8_SMARCC2.pdf</v>
      </c>
    </row>
    <row r="687" spans="1:28" x14ac:dyDescent="0.25">
      <c r="A687" t="s">
        <v>691</v>
      </c>
      <c r="B687">
        <v>0.99299721793515405</v>
      </c>
      <c r="C687">
        <v>0.89451628263324801</v>
      </c>
      <c r="D687">
        <v>0.92952545630130401</v>
      </c>
      <c r="E687">
        <v>0.858268357697896</v>
      </c>
      <c r="F687">
        <v>0.664332050066195</v>
      </c>
      <c r="G687">
        <v>0.53876018942706505</v>
      </c>
      <c r="H687">
        <v>0.42794762243261603</v>
      </c>
      <c r="I687">
        <v>0.348241938448141</v>
      </c>
      <c r="J687">
        <v>0.35080994465895499</v>
      </c>
      <c r="K687">
        <v>0.24558081499276799</v>
      </c>
      <c r="L687">
        <v>509.74619991048399</v>
      </c>
      <c r="M687">
        <v>9.7023882629479292</v>
      </c>
      <c r="N687">
        <v>55.171846678756999</v>
      </c>
      <c r="O687">
        <v>50.451997091310297</v>
      </c>
      <c r="P687">
        <v>-3.91876029935741E-2</v>
      </c>
      <c r="Q687">
        <v>0.18534897305883599</v>
      </c>
      <c r="R687">
        <v>0.98547760345639401</v>
      </c>
      <c r="S687" t="s">
        <v>6238</v>
      </c>
      <c r="T687" t="s">
        <v>11100</v>
      </c>
      <c r="U687" t="s">
        <v>11100</v>
      </c>
      <c r="V687" t="s">
        <v>11100</v>
      </c>
      <c r="W687" t="s">
        <v>11778</v>
      </c>
      <c r="X687">
        <v>4</v>
      </c>
      <c r="Y687" t="s">
        <v>17275</v>
      </c>
      <c r="Z687" t="s">
        <v>22692</v>
      </c>
      <c r="AA687">
        <v>0.62735900998289806</v>
      </c>
      <c r="AB687" t="str">
        <f>HYPERLINK("Melting_Curves/meltCurve_F8VXG7_SCAF11.pdf", "Melting_Curves/meltCurve_F8VXG7_SCAF11.pdf")</f>
        <v>Melting_Curves/meltCurve_F8VXG7_SCAF11.pdf</v>
      </c>
    </row>
    <row r="688" spans="1:28" x14ac:dyDescent="0.25">
      <c r="A688" t="s">
        <v>692</v>
      </c>
      <c r="B688">
        <v>0.99299721793515405</v>
      </c>
      <c r="C688">
        <v>0.95151876209835795</v>
      </c>
      <c r="D688">
        <v>0.78458486979070297</v>
      </c>
      <c r="E688">
        <v>0.63860648399273301</v>
      </c>
      <c r="F688">
        <v>0.67436563134006999</v>
      </c>
      <c r="G688">
        <v>0.44250741676972599</v>
      </c>
      <c r="H688">
        <v>0.31168276338274198</v>
      </c>
      <c r="I688">
        <v>0.29630805026629897</v>
      </c>
      <c r="J688">
        <v>0.25028581923791599</v>
      </c>
      <c r="K688">
        <v>0.110304317055513</v>
      </c>
      <c r="L688">
        <v>382.2040260393</v>
      </c>
      <c r="M688">
        <v>7.2896709465175196</v>
      </c>
      <c r="N688">
        <v>52.4309023967065</v>
      </c>
      <c r="O688">
        <v>48.917340298811801</v>
      </c>
      <c r="P688">
        <v>-3.7314553107051097E-2</v>
      </c>
      <c r="Q688">
        <v>0</v>
      </c>
      <c r="R688">
        <v>0.96744878273949098</v>
      </c>
      <c r="S688" t="s">
        <v>6239</v>
      </c>
      <c r="T688" t="s">
        <v>11100</v>
      </c>
      <c r="U688" t="s">
        <v>11100</v>
      </c>
      <c r="V688" t="s">
        <v>11100</v>
      </c>
      <c r="W688" t="s">
        <v>11769</v>
      </c>
      <c r="X688">
        <v>5</v>
      </c>
      <c r="Y688" t="s">
        <v>17266</v>
      </c>
      <c r="Z688" t="s">
        <v>22693</v>
      </c>
      <c r="AA688">
        <v>0.5397754927342252</v>
      </c>
      <c r="AB688" t="str">
        <f>HYPERLINK("Melting_Curves/meltCurve_F8VYZ4_COPZ1.pdf", "Melting_Curves/meltCurve_F8VYZ4_COPZ1.pdf")</f>
        <v>Melting_Curves/meltCurve_F8VYZ4_COPZ1.pdf</v>
      </c>
    </row>
    <row r="689" spans="1:28" x14ac:dyDescent="0.25">
      <c r="A689" t="s">
        <v>693</v>
      </c>
      <c r="B689">
        <v>0.99299721793515405</v>
      </c>
      <c r="C689">
        <v>1.1093524211419901</v>
      </c>
      <c r="D689">
        <v>0.91105514215524297</v>
      </c>
      <c r="E689">
        <v>0.89354046851246205</v>
      </c>
      <c r="F689">
        <v>0.64468481090666896</v>
      </c>
      <c r="G689">
        <v>0.57607104197666303</v>
      </c>
      <c r="H689">
        <v>0.47429738219117201</v>
      </c>
      <c r="I689">
        <v>0.200770066456296</v>
      </c>
      <c r="J689">
        <v>0.171944482668068</v>
      </c>
      <c r="K689">
        <v>7.3142169185554107E-2</v>
      </c>
      <c r="L689">
        <v>598.26534686518198</v>
      </c>
      <c r="M689">
        <v>10.913961321607401</v>
      </c>
      <c r="N689">
        <v>54.816507887151097</v>
      </c>
      <c r="O689">
        <v>53.072528526094501</v>
      </c>
      <c r="P689">
        <v>-5.1428473748794799E-2</v>
      </c>
      <c r="Q689">
        <v>0</v>
      </c>
      <c r="R689">
        <v>0.96781549970096703</v>
      </c>
      <c r="S689" t="s">
        <v>6240</v>
      </c>
      <c r="T689" t="s">
        <v>11100</v>
      </c>
      <c r="U689" t="s">
        <v>11100</v>
      </c>
      <c r="V689" t="s">
        <v>11100</v>
      </c>
      <c r="W689" t="s">
        <v>11779</v>
      </c>
      <c r="X689">
        <v>5</v>
      </c>
      <c r="Y689" t="s">
        <v>17276</v>
      </c>
      <c r="Z689" t="s">
        <v>22694</v>
      </c>
      <c r="AA689">
        <v>0.60816915570631558</v>
      </c>
      <c r="AB689" t="str">
        <f>HYPERLINK("Melting_Curves/meltCurve_F8VZ44_AAAS.pdf", "Melting_Curves/meltCurve_F8VZ44_AAAS.pdf")</f>
        <v>Melting_Curves/meltCurve_F8VZ44_AAAS.pdf</v>
      </c>
    </row>
    <row r="690" spans="1:28" x14ac:dyDescent="0.25">
      <c r="A690" t="s">
        <v>694</v>
      </c>
      <c r="B690">
        <v>0.99299721793515405</v>
      </c>
      <c r="C690">
        <v>1.0096758551695599</v>
      </c>
      <c r="D690">
        <v>1.16736220214765</v>
      </c>
      <c r="E690">
        <v>1.0520082717996599</v>
      </c>
      <c r="F690">
        <v>0.86586030289786198</v>
      </c>
      <c r="G690">
        <v>0.72131290081705002</v>
      </c>
      <c r="H690">
        <v>0.46064095470576</v>
      </c>
      <c r="I690">
        <v>0.64735038935377698</v>
      </c>
      <c r="J690">
        <v>0.797873978687344</v>
      </c>
      <c r="K690">
        <v>0.72378524164412505</v>
      </c>
      <c r="L690">
        <v>2547.6443656448801</v>
      </c>
      <c r="M690">
        <v>50.2429199261042</v>
      </c>
      <c r="O690">
        <v>50.626398541047699</v>
      </c>
      <c r="P690">
        <v>-8.2947340757886096E-2</v>
      </c>
      <c r="Q690">
        <v>0.66567853695770396</v>
      </c>
      <c r="R690">
        <v>0.76775499450504603</v>
      </c>
      <c r="S690" t="s">
        <v>6241</v>
      </c>
      <c r="T690" t="s">
        <v>11100</v>
      </c>
      <c r="U690" t="s">
        <v>11100</v>
      </c>
      <c r="V690" t="s">
        <v>11100</v>
      </c>
      <c r="W690" t="s">
        <v>11780</v>
      </c>
      <c r="X690">
        <v>8</v>
      </c>
      <c r="Y690" t="s">
        <v>17277</v>
      </c>
      <c r="Z690" t="s">
        <v>22695</v>
      </c>
      <c r="AA690">
        <v>0.81916524544021241</v>
      </c>
      <c r="AB690" t="str">
        <f>HYPERLINK("Melting_Curves/meltCurve_F8VZJ2_NACA.pdf", "Melting_Curves/meltCurve_F8VZJ2_NACA.pdf")</f>
        <v>Melting_Curves/meltCurve_F8VZJ2_NACA.pdf</v>
      </c>
    </row>
    <row r="691" spans="1:28" x14ac:dyDescent="0.25">
      <c r="A691" t="s">
        <v>695</v>
      </c>
      <c r="B691">
        <v>0.99299721793515405</v>
      </c>
      <c r="C691">
        <v>0.91520257314303699</v>
      </c>
      <c r="D691">
        <v>0.84756908426943001</v>
      </c>
      <c r="E691">
        <v>0.88796568016181798</v>
      </c>
      <c r="F691">
        <v>0.76062702887848899</v>
      </c>
      <c r="G691">
        <v>0.57017707962513997</v>
      </c>
      <c r="H691">
        <v>0.50738323388689899</v>
      </c>
      <c r="I691">
        <v>0.45589615566042702</v>
      </c>
      <c r="J691">
        <v>0.374341002115817</v>
      </c>
      <c r="K691">
        <v>0.25954270893340298</v>
      </c>
      <c r="L691">
        <v>372.381998913779</v>
      </c>
      <c r="M691">
        <v>6.4220881992867698</v>
      </c>
      <c r="N691">
        <v>57.984566670101003</v>
      </c>
      <c r="O691">
        <v>53.128590600323399</v>
      </c>
      <c r="P691">
        <v>-3.02962143279299E-2</v>
      </c>
      <c r="Q691">
        <v>0</v>
      </c>
      <c r="R691">
        <v>0.97444056348993302</v>
      </c>
      <c r="S691" t="s">
        <v>6242</v>
      </c>
      <c r="T691" t="s">
        <v>11100</v>
      </c>
      <c r="U691" t="s">
        <v>11100</v>
      </c>
      <c r="V691" t="s">
        <v>11100</v>
      </c>
      <c r="W691" t="s">
        <v>11781</v>
      </c>
      <c r="X691">
        <v>8</v>
      </c>
      <c r="Y691" t="s">
        <v>17278</v>
      </c>
      <c r="Z691" t="s">
        <v>22696</v>
      </c>
      <c r="AA691">
        <v>0.66328826968348187</v>
      </c>
      <c r="AB691" t="str">
        <f>HYPERLINK("Melting_Curves/meltCurve_F8W038_C17orf49.pdf", "Melting_Curves/meltCurve_F8W038_C17orf49.pdf")</f>
        <v>Melting_Curves/meltCurve_F8W038_C17orf49.pdf</v>
      </c>
    </row>
    <row r="692" spans="1:28" x14ac:dyDescent="0.25">
      <c r="A692" t="s">
        <v>696</v>
      </c>
      <c r="B692">
        <v>0.99299721793515405</v>
      </c>
      <c r="C692">
        <v>0.75991426098187498</v>
      </c>
      <c r="D692">
        <v>0.88817022836784498</v>
      </c>
      <c r="E692">
        <v>0.83183492859861397</v>
      </c>
      <c r="F692">
        <v>0.76752589787220904</v>
      </c>
      <c r="G692">
        <v>0.823428334266878</v>
      </c>
      <c r="H692">
        <v>0.34139808448324499</v>
      </c>
      <c r="I692">
        <v>0.13053095039023199</v>
      </c>
      <c r="J692">
        <v>0.10016762084830499</v>
      </c>
      <c r="K692">
        <v>8.1968532608369504E-2</v>
      </c>
      <c r="L692">
        <v>927.68650598935801</v>
      </c>
      <c r="M692">
        <v>16.609065494257599</v>
      </c>
      <c r="N692">
        <v>55.8542274777733</v>
      </c>
      <c r="O692">
        <v>55.063382039056499</v>
      </c>
      <c r="P692">
        <v>-7.5413960051320506E-2</v>
      </c>
      <c r="Q692">
        <v>0</v>
      </c>
      <c r="R692">
        <v>0.88950540713238702</v>
      </c>
      <c r="S692" t="s">
        <v>6243</v>
      </c>
      <c r="T692" t="s">
        <v>11100</v>
      </c>
      <c r="U692" t="s">
        <v>11100</v>
      </c>
      <c r="V692" t="s">
        <v>11100</v>
      </c>
      <c r="W692" t="s">
        <v>11782</v>
      </c>
      <c r="X692">
        <v>4</v>
      </c>
      <c r="Y692" t="s">
        <v>17279</v>
      </c>
      <c r="Z692" t="s">
        <v>22697</v>
      </c>
      <c r="AA692">
        <v>0.6401746310133215</v>
      </c>
      <c r="AB692" t="str">
        <f>HYPERLINK("Melting_Curves/meltCurve_F8W0J4_YEATS4.pdf", "Melting_Curves/meltCurve_F8W0J4_YEATS4.pdf")</f>
        <v>Melting_Curves/meltCurve_F8W0J4_YEATS4.pdf</v>
      </c>
    </row>
    <row r="693" spans="1:28" x14ac:dyDescent="0.25">
      <c r="A693" t="s">
        <v>697</v>
      </c>
      <c r="B693">
        <v>0.99299721793515405</v>
      </c>
      <c r="C693">
        <v>1.0122219558646299</v>
      </c>
      <c r="D693">
        <v>0.933477273387606</v>
      </c>
      <c r="E693">
        <v>0.97759345672513398</v>
      </c>
      <c r="F693">
        <v>0.81259875997275399</v>
      </c>
      <c r="G693">
        <v>0.69200091139991005</v>
      </c>
      <c r="H693">
        <v>0.29585590280591101</v>
      </c>
      <c r="I693">
        <v>0.19884008376664</v>
      </c>
      <c r="J693">
        <v>0.16777908306971001</v>
      </c>
      <c r="K693">
        <v>0.12876369630677101</v>
      </c>
      <c r="L693">
        <v>1102.5291222194301</v>
      </c>
      <c r="M693">
        <v>20.186836269255501</v>
      </c>
      <c r="N693">
        <v>55.265815722013897</v>
      </c>
      <c r="O693">
        <v>54.088758864106197</v>
      </c>
      <c r="P693">
        <v>-8.34529314341316E-2</v>
      </c>
      <c r="Q693">
        <v>0.105610588688793</v>
      </c>
      <c r="R693">
        <v>0.98767817111178802</v>
      </c>
      <c r="S693" t="s">
        <v>6244</v>
      </c>
      <c r="T693" t="s">
        <v>11100</v>
      </c>
      <c r="U693" t="s">
        <v>11100</v>
      </c>
      <c r="V693" t="s">
        <v>11100</v>
      </c>
      <c r="W693" t="s">
        <v>11783</v>
      </c>
      <c r="X693">
        <v>14</v>
      </c>
      <c r="Y693" t="s">
        <v>17280</v>
      </c>
      <c r="Z693" t="s">
        <v>22698</v>
      </c>
      <c r="AA693">
        <v>0.64112299336286371</v>
      </c>
      <c r="AB693" t="str">
        <f>HYPERLINK("Melting_Curves/meltCurve_F8W0J6_NAP1L1.pdf", "Melting_Curves/meltCurve_F8W0J6_NAP1L1.pdf")</f>
        <v>Melting_Curves/meltCurve_F8W0J6_NAP1L1.pdf</v>
      </c>
    </row>
    <row r="694" spans="1:28" x14ac:dyDescent="0.25">
      <c r="A694" t="s">
        <v>698</v>
      </c>
      <c r="B694">
        <v>0.99299721793515405</v>
      </c>
      <c r="C694">
        <v>1.0012412089487901</v>
      </c>
      <c r="D694">
        <v>0.900334820068456</v>
      </c>
      <c r="E694">
        <v>0.85698199798522001</v>
      </c>
      <c r="F694">
        <v>0.80661856589052106</v>
      </c>
      <c r="G694">
        <v>0.54084336519131304</v>
      </c>
      <c r="H694">
        <v>0.47304612886680802</v>
      </c>
      <c r="I694">
        <v>0.35423877562938899</v>
      </c>
      <c r="J694">
        <v>0.172638159670812</v>
      </c>
      <c r="K694">
        <v>0.139308617628428</v>
      </c>
      <c r="L694">
        <v>553.38723374275605</v>
      </c>
      <c r="M694">
        <v>9.8968326112512095</v>
      </c>
      <c r="N694">
        <v>55.915578350362601</v>
      </c>
      <c r="O694">
        <v>53.776269544821801</v>
      </c>
      <c r="P694">
        <v>-4.6032575906121601E-2</v>
      </c>
      <c r="Q694">
        <v>0</v>
      </c>
      <c r="R694">
        <v>0.98396701373550199</v>
      </c>
      <c r="S694" t="s">
        <v>6245</v>
      </c>
      <c r="T694" t="s">
        <v>11100</v>
      </c>
      <c r="U694" t="s">
        <v>11100</v>
      </c>
      <c r="V694" t="s">
        <v>11100</v>
      </c>
      <c r="W694" t="s">
        <v>11784</v>
      </c>
      <c r="X694">
        <v>16</v>
      </c>
      <c r="Y694" t="s">
        <v>17281</v>
      </c>
      <c r="Z694" t="s">
        <v>22699</v>
      </c>
      <c r="AA694">
        <v>0.6368445095916806</v>
      </c>
      <c r="AB694" t="str">
        <f>HYPERLINK("Melting_Curves/meltCurve_F8W0W8_PPP1CC.pdf", "Melting_Curves/meltCurve_F8W0W8_PPP1CC.pdf")</f>
        <v>Melting_Curves/meltCurve_F8W0W8_PPP1CC.pdf</v>
      </c>
    </row>
    <row r="695" spans="1:28" x14ac:dyDescent="0.25">
      <c r="A695" t="s">
        <v>699</v>
      </c>
      <c r="B695">
        <v>0.99299721793515405</v>
      </c>
      <c r="C695">
        <v>0.79842236627437202</v>
      </c>
      <c r="D695">
        <v>0.84800494848146002</v>
      </c>
      <c r="E695">
        <v>0.65004935836969802</v>
      </c>
      <c r="F695">
        <v>0.68024092723033103</v>
      </c>
      <c r="G695">
        <v>0.60091460990799705</v>
      </c>
      <c r="H695">
        <v>0.40612041348315903</v>
      </c>
      <c r="I695">
        <v>0.46786384051718199</v>
      </c>
      <c r="J695">
        <v>0.522582597586701</v>
      </c>
      <c r="K695">
        <v>0.365487147481041</v>
      </c>
      <c r="L695">
        <v>329.57538246045101</v>
      </c>
      <c r="M695">
        <v>6.7784170278173104</v>
      </c>
      <c r="N695">
        <v>57.578970827449197</v>
      </c>
      <c r="O695">
        <v>44.915454095105403</v>
      </c>
      <c r="P695">
        <v>-2.5488913235695802E-2</v>
      </c>
      <c r="Q695">
        <v>0.32582272361703701</v>
      </c>
      <c r="R695">
        <v>0.89119020985105102</v>
      </c>
      <c r="S695" t="s">
        <v>6246</v>
      </c>
      <c r="T695" t="s">
        <v>11100</v>
      </c>
      <c r="U695" t="s">
        <v>11100</v>
      </c>
      <c r="V695" t="s">
        <v>11100</v>
      </c>
      <c r="W695" t="s">
        <v>11785</v>
      </c>
      <c r="X695">
        <v>2</v>
      </c>
      <c r="Y695" t="s">
        <v>17282</v>
      </c>
      <c r="Z695" t="s">
        <v>22700</v>
      </c>
      <c r="AA695">
        <v>0.62472225240204604</v>
      </c>
      <c r="AB695" t="str">
        <f>HYPERLINK("Melting_Curves/meltCurve_F8W145_CNOT2.pdf", "Melting_Curves/meltCurve_F8W145_CNOT2.pdf")</f>
        <v>Melting_Curves/meltCurve_F8W145_CNOT2.pdf</v>
      </c>
    </row>
    <row r="696" spans="1:28" x14ac:dyDescent="0.25">
      <c r="A696" t="s">
        <v>700</v>
      </c>
      <c r="B696">
        <v>0.99299721793515405</v>
      </c>
      <c r="C696">
        <v>0.82075392344419196</v>
      </c>
      <c r="D696">
        <v>0.79299410477050802</v>
      </c>
      <c r="E696">
        <v>0.76590832206034098</v>
      </c>
      <c r="F696">
        <v>0.87312392646374104</v>
      </c>
      <c r="G696">
        <v>0.56406745568614702</v>
      </c>
      <c r="H696">
        <v>0.82819638823592501</v>
      </c>
      <c r="I696">
        <v>0.576451343013616</v>
      </c>
      <c r="J696">
        <v>0.494742497751261</v>
      </c>
      <c r="K696">
        <v>0.53370189306903804</v>
      </c>
      <c r="L696">
        <v>191.35563518391399</v>
      </c>
      <c r="M696">
        <v>2.7250798504071199</v>
      </c>
      <c r="O696">
        <v>49.455304536481599</v>
      </c>
      <c r="P696">
        <v>-1.43335284070235E-2</v>
      </c>
      <c r="Q696">
        <v>0</v>
      </c>
      <c r="R696">
        <v>0.66804551001812496</v>
      </c>
      <c r="S696" t="s">
        <v>6247</v>
      </c>
      <c r="T696" t="s">
        <v>11100</v>
      </c>
      <c r="U696" t="s">
        <v>11100</v>
      </c>
      <c r="V696" t="s">
        <v>11100</v>
      </c>
      <c r="W696" t="s">
        <v>11786</v>
      </c>
      <c r="X696">
        <v>3</v>
      </c>
      <c r="Y696" t="s">
        <v>17283</v>
      </c>
      <c r="Z696" t="s">
        <v>22701</v>
      </c>
      <c r="AA696">
        <v>0.72440886136356086</v>
      </c>
      <c r="AB696" t="str">
        <f>HYPERLINK("Melting_Curves/meltCurve_F8W181_RPL6.pdf", "Melting_Curves/meltCurve_F8W181_RPL6.pdf")</f>
        <v>Melting_Curves/meltCurve_F8W181_RPL6.pdf</v>
      </c>
    </row>
    <row r="697" spans="1:28" x14ac:dyDescent="0.25">
      <c r="A697" t="s">
        <v>701</v>
      </c>
      <c r="B697">
        <v>0.99299721793515405</v>
      </c>
      <c r="C697">
        <v>0.88195490751065397</v>
      </c>
      <c r="D697">
        <v>1.04917047828275</v>
      </c>
      <c r="E697">
        <v>0.57773384640627101</v>
      </c>
      <c r="F697">
        <v>0.51440842749453597</v>
      </c>
      <c r="G697">
        <v>0.49733950266528298</v>
      </c>
      <c r="H697">
        <v>0.58172171270370499</v>
      </c>
      <c r="I697">
        <v>0.246373878528515</v>
      </c>
      <c r="J697">
        <v>0.13470829653543601</v>
      </c>
      <c r="K697">
        <v>0.12604674315348699</v>
      </c>
      <c r="L697">
        <v>400.784052042052</v>
      </c>
      <c r="M697">
        <v>7.5502103984663398</v>
      </c>
      <c r="N697">
        <v>53.0825011303208</v>
      </c>
      <c r="O697">
        <v>49.742073932062901</v>
      </c>
      <c r="P697">
        <v>-3.8000047035387903E-2</v>
      </c>
      <c r="Q697">
        <v>0</v>
      </c>
      <c r="R697">
        <v>0.86687846526257495</v>
      </c>
      <c r="S697" t="s">
        <v>6248</v>
      </c>
      <c r="T697" t="s">
        <v>11100</v>
      </c>
      <c r="U697" t="s">
        <v>11100</v>
      </c>
      <c r="V697" t="s">
        <v>11100</v>
      </c>
      <c r="W697" t="s">
        <v>11787</v>
      </c>
      <c r="X697">
        <v>2</v>
      </c>
      <c r="Y697" t="s">
        <v>17284</v>
      </c>
      <c r="Z697" t="s">
        <v>22702</v>
      </c>
      <c r="AA697">
        <v>0.55673846753899425</v>
      </c>
      <c r="AB697" t="str">
        <f>HYPERLINK("Melting_Curves/meltCurve_F8W1R0_FGD4.pdf", "Melting_Curves/meltCurve_F8W1R0_FGD4.pdf")</f>
        <v>Melting_Curves/meltCurve_F8W1R0_FGD4.pdf</v>
      </c>
    </row>
    <row r="698" spans="1:28" x14ac:dyDescent="0.25">
      <c r="A698" t="s">
        <v>702</v>
      </c>
      <c r="B698">
        <v>0.99299721793515405</v>
      </c>
      <c r="C698">
        <v>1.0671301739644401</v>
      </c>
      <c r="D698">
        <v>1.4709459285820401</v>
      </c>
      <c r="E698">
        <v>0.80518454775112402</v>
      </c>
      <c r="F698">
        <v>1.1921742323172899</v>
      </c>
      <c r="G698">
        <v>0.86297046995132698</v>
      </c>
      <c r="H698">
        <v>0.55613521999675597</v>
      </c>
      <c r="I698">
        <v>0.92807574705923701</v>
      </c>
      <c r="J698">
        <v>0.61137441977071205</v>
      </c>
      <c r="K698">
        <v>1.6884015547643301</v>
      </c>
      <c r="L698">
        <v>7493.0193378634503</v>
      </c>
      <c r="M698">
        <v>114.022903977837</v>
      </c>
      <c r="O698">
        <v>65.694831004132297</v>
      </c>
      <c r="P698">
        <v>0.21695563622330399</v>
      </c>
      <c r="Q698">
        <v>1.5</v>
      </c>
      <c r="R698">
        <v>0.34285157427472601</v>
      </c>
      <c r="S698" t="s">
        <v>6249</v>
      </c>
      <c r="T698" t="s">
        <v>11100</v>
      </c>
      <c r="U698" t="s">
        <v>11100</v>
      </c>
      <c r="V698" t="s">
        <v>11100</v>
      </c>
      <c r="W698" t="s">
        <v>11788</v>
      </c>
      <c r="X698">
        <v>1</v>
      </c>
      <c r="Y698" t="s">
        <v>17285</v>
      </c>
      <c r="Z698" t="s">
        <v>22703</v>
      </c>
      <c r="AA698">
        <v>1.022221146205238</v>
      </c>
      <c r="AB698" t="str">
        <f>HYPERLINK("Melting_Curves/meltCurve_F8W1T9_RFX4.pdf", "Melting_Curves/meltCurve_F8W1T9_RFX4.pdf")</f>
        <v>Melting_Curves/meltCurve_F8W1T9_RFX4.pdf</v>
      </c>
    </row>
    <row r="699" spans="1:28" x14ac:dyDescent="0.25">
      <c r="A699" t="s">
        <v>703</v>
      </c>
      <c r="B699">
        <v>0.99299721793515405</v>
      </c>
      <c r="C699">
        <v>0.97970379031663102</v>
      </c>
      <c r="D699">
        <v>0.95741214074431902</v>
      </c>
      <c r="E699">
        <v>0.59409518266169004</v>
      </c>
      <c r="F699">
        <v>0.69163427501618902</v>
      </c>
      <c r="G699">
        <v>0.48073006814549402</v>
      </c>
      <c r="H699">
        <v>0.52456470176405101</v>
      </c>
      <c r="I699">
        <v>0.82693249547105496</v>
      </c>
      <c r="J699">
        <v>0.80553096730028795</v>
      </c>
      <c r="K699">
        <v>0.87172119136660497</v>
      </c>
      <c r="L699">
        <v>10829.7923881387</v>
      </c>
      <c r="M699">
        <v>250</v>
      </c>
      <c r="O699">
        <v>43.316397436396102</v>
      </c>
      <c r="P699">
        <v>-0.45446150210387898</v>
      </c>
      <c r="Q699">
        <v>0.68502983982429699</v>
      </c>
      <c r="R699">
        <v>0.55093673540378496</v>
      </c>
      <c r="S699" t="s">
        <v>6250</v>
      </c>
      <c r="T699" t="s">
        <v>11100</v>
      </c>
      <c r="U699" t="s">
        <v>11100</v>
      </c>
      <c r="V699" t="s">
        <v>11100</v>
      </c>
      <c r="W699" t="s">
        <v>11789</v>
      </c>
      <c r="X699">
        <v>2</v>
      </c>
      <c r="Y699" t="s">
        <v>17286</v>
      </c>
      <c r="Z699" t="s">
        <v>22704</v>
      </c>
      <c r="AA699">
        <v>0.751398780134797</v>
      </c>
      <c r="AB699" t="str">
        <f>HYPERLINK("Melting_Curves/meltCurve_F8W681_DPAGT1.pdf", "Melting_Curves/meltCurve_F8W681_DPAGT1.pdf")</f>
        <v>Melting_Curves/meltCurve_F8W681_DPAGT1.pdf</v>
      </c>
    </row>
    <row r="700" spans="1:28" x14ac:dyDescent="0.25">
      <c r="A700" t="s">
        <v>704</v>
      </c>
      <c r="B700">
        <v>0.99299721793515405</v>
      </c>
      <c r="C700">
        <v>1.04519256677935</v>
      </c>
      <c r="D700">
        <v>1.28186032981444</v>
      </c>
      <c r="E700">
        <v>1.1295879773991999</v>
      </c>
      <c r="F700">
        <v>0.75583569302275999</v>
      </c>
      <c r="G700">
        <v>0.88329667704580295</v>
      </c>
      <c r="H700">
        <v>0.60381623774232196</v>
      </c>
      <c r="I700">
        <v>0.39061094514984801</v>
      </c>
      <c r="J700">
        <v>0.38676002162790701</v>
      </c>
      <c r="K700">
        <v>0.33523463278598897</v>
      </c>
      <c r="L700">
        <v>1065.12541577506</v>
      </c>
      <c r="M700">
        <v>18.823673858382801</v>
      </c>
      <c r="N700">
        <v>59.374852915433102</v>
      </c>
      <c r="O700">
        <v>55.957335739089402</v>
      </c>
      <c r="P700">
        <v>-5.9411545733804597E-2</v>
      </c>
      <c r="Q700">
        <v>0.29357578764224601</v>
      </c>
      <c r="R700">
        <v>0.85939032692591</v>
      </c>
      <c r="S700" t="s">
        <v>6251</v>
      </c>
      <c r="T700" t="s">
        <v>11100</v>
      </c>
      <c r="U700" t="s">
        <v>11100</v>
      </c>
      <c r="V700" t="s">
        <v>11100</v>
      </c>
      <c r="W700" t="s">
        <v>11790</v>
      </c>
      <c r="X700">
        <v>7</v>
      </c>
      <c r="Y700" t="s">
        <v>17287</v>
      </c>
      <c r="Z700" t="s">
        <v>22705</v>
      </c>
      <c r="AA700">
        <v>0.76162858345922646</v>
      </c>
      <c r="AB700" t="str">
        <f>HYPERLINK("Melting_Curves/meltCurve_F8W6I7_HNRNPA1.pdf", "Melting_Curves/meltCurve_F8W6I7_HNRNPA1.pdf")</f>
        <v>Melting_Curves/meltCurve_F8W6I7_HNRNPA1.pdf</v>
      </c>
    </row>
    <row r="701" spans="1:28" x14ac:dyDescent="0.25">
      <c r="A701" t="s">
        <v>705</v>
      </c>
      <c r="B701">
        <v>0.99299721793515405</v>
      </c>
      <c r="C701">
        <v>0.99405955603126706</v>
      </c>
      <c r="D701">
        <v>0.66646168573050502</v>
      </c>
      <c r="E701">
        <v>0.817913658103817</v>
      </c>
      <c r="F701">
        <v>0.68304845944276604</v>
      </c>
      <c r="G701">
        <v>0.82636498422942595</v>
      </c>
      <c r="H701">
        <v>0.34280623885456302</v>
      </c>
      <c r="I701">
        <v>0.10912149274321099</v>
      </c>
      <c r="J701">
        <v>8.4447548826220006E-2</v>
      </c>
      <c r="K701">
        <v>0</v>
      </c>
      <c r="L701">
        <v>740.70506982204802</v>
      </c>
      <c r="M701">
        <v>13.479991974137199</v>
      </c>
      <c r="N701">
        <v>54.9484801417426</v>
      </c>
      <c r="O701">
        <v>53.7814837972211</v>
      </c>
      <c r="P701">
        <v>-6.26705523318703E-2</v>
      </c>
      <c r="Q701">
        <v>0</v>
      </c>
      <c r="R701">
        <v>0.84982345993015396</v>
      </c>
      <c r="S701" t="s">
        <v>6252</v>
      </c>
      <c r="T701" t="s">
        <v>11100</v>
      </c>
      <c r="U701" t="s">
        <v>11100</v>
      </c>
      <c r="V701" t="s">
        <v>11100</v>
      </c>
      <c r="W701" t="s">
        <v>11791</v>
      </c>
      <c r="X701">
        <v>1</v>
      </c>
      <c r="Y701" t="s">
        <v>17288</v>
      </c>
      <c r="Z701" t="s">
        <v>22706</v>
      </c>
      <c r="AA701">
        <v>0.61288669026851617</v>
      </c>
      <c r="AB701" t="str">
        <f>HYPERLINK("Melting_Curves/meltCurve_F8W6N3_BAP1.pdf", "Melting_Curves/meltCurve_F8W6N3_BAP1.pdf")</f>
        <v>Melting_Curves/meltCurve_F8W6N3_BAP1.pdf</v>
      </c>
    </row>
    <row r="702" spans="1:28" x14ac:dyDescent="0.25">
      <c r="A702" t="s">
        <v>706</v>
      </c>
      <c r="B702">
        <v>0.99299721793515405</v>
      </c>
      <c r="C702">
        <v>0.95828401335786395</v>
      </c>
      <c r="D702">
        <v>1.1004877938831601</v>
      </c>
      <c r="E702">
        <v>0.67385140311270997</v>
      </c>
      <c r="F702">
        <v>0.70746256359491499</v>
      </c>
      <c r="G702">
        <v>0.40115872609463299</v>
      </c>
      <c r="H702">
        <v>0.419873709483091</v>
      </c>
      <c r="I702">
        <v>0.39572514161894001</v>
      </c>
      <c r="J702">
        <v>0.44735771314234202</v>
      </c>
      <c r="K702">
        <v>0.34006752971452298</v>
      </c>
      <c r="L702">
        <v>911.90073752162004</v>
      </c>
      <c r="M702">
        <v>18.791860350309801</v>
      </c>
      <c r="N702">
        <v>52.592258756138897</v>
      </c>
      <c r="O702">
        <v>47.986858696365701</v>
      </c>
      <c r="P702">
        <v>-6.04034277360493E-2</v>
      </c>
      <c r="Q702">
        <v>0.38304136543407302</v>
      </c>
      <c r="R702">
        <v>0.91418733528271001</v>
      </c>
      <c r="S702" t="s">
        <v>6253</v>
      </c>
      <c r="T702" t="s">
        <v>11100</v>
      </c>
      <c r="U702" t="s">
        <v>11100</v>
      </c>
      <c r="V702" t="s">
        <v>11100</v>
      </c>
      <c r="W702" t="s">
        <v>11792</v>
      </c>
      <c r="X702">
        <v>1</v>
      </c>
      <c r="Y702" t="s">
        <v>17289</v>
      </c>
      <c r="Z702" t="s">
        <v>22707</v>
      </c>
      <c r="AA702">
        <v>0.62918824474265</v>
      </c>
      <c r="AB702" t="str">
        <f>HYPERLINK("Melting_Curves/meltCurve_F8W6N6_MYBL2.pdf", "Melting_Curves/meltCurve_F8W6N6_MYBL2.pdf")</f>
        <v>Melting_Curves/meltCurve_F8W6N6_MYBL2.pdf</v>
      </c>
    </row>
    <row r="703" spans="1:28" x14ac:dyDescent="0.25">
      <c r="A703" t="s">
        <v>707</v>
      </c>
      <c r="B703">
        <v>0.99299721793515405</v>
      </c>
      <c r="C703">
        <v>1.1202903818669301</v>
      </c>
      <c r="D703">
        <v>0.73014279323157805</v>
      </c>
      <c r="E703">
        <v>0.93925578396574605</v>
      </c>
      <c r="F703">
        <v>1.1514141118401799</v>
      </c>
      <c r="G703">
        <v>0.94450422791136002</v>
      </c>
      <c r="H703">
        <v>1.2575842706276299</v>
      </c>
      <c r="I703">
        <v>0.89327281912716805</v>
      </c>
      <c r="J703">
        <v>0.26521257997779901</v>
      </c>
      <c r="K703">
        <v>0</v>
      </c>
      <c r="L703">
        <v>4196.98750082898</v>
      </c>
      <c r="M703">
        <v>66.526821427044297</v>
      </c>
      <c r="N703">
        <v>63.087148207958997</v>
      </c>
      <c r="O703">
        <v>63.030220932421997</v>
      </c>
      <c r="P703">
        <v>-0.26386883237980002</v>
      </c>
      <c r="Q703">
        <v>0</v>
      </c>
      <c r="R703">
        <v>0.87206443154897495</v>
      </c>
      <c r="S703" t="s">
        <v>6254</v>
      </c>
      <c r="T703" t="s">
        <v>11100</v>
      </c>
      <c r="U703" t="s">
        <v>11100</v>
      </c>
      <c r="V703" t="s">
        <v>11100</v>
      </c>
      <c r="W703" t="s">
        <v>11793</v>
      </c>
      <c r="X703">
        <v>9</v>
      </c>
      <c r="Y703" t="s">
        <v>17290</v>
      </c>
      <c r="Z703" t="s">
        <v>22708</v>
      </c>
      <c r="AA703">
        <v>0.87039025274301796</v>
      </c>
      <c r="AB703" t="str">
        <f>HYPERLINK("Melting_Curves/meltCurve_F8W6T6_TLE4.pdf", "Melting_Curves/meltCurve_F8W6T6_TLE4.pdf")</f>
        <v>Melting_Curves/meltCurve_F8W6T6_TLE4.pdf</v>
      </c>
    </row>
    <row r="704" spans="1:28" x14ac:dyDescent="0.25">
      <c r="A704" t="s">
        <v>708</v>
      </c>
      <c r="B704">
        <v>0.99299721793515405</v>
      </c>
      <c r="C704">
        <v>0.94783466423891305</v>
      </c>
      <c r="D704">
        <v>0.83520400732688604</v>
      </c>
      <c r="E704">
        <v>0.78496697300024099</v>
      </c>
      <c r="F704">
        <v>0.42422794425479798</v>
      </c>
      <c r="G704">
        <v>0.32951533971943198</v>
      </c>
      <c r="H704">
        <v>0.31087088491755599</v>
      </c>
      <c r="I704">
        <v>0.219735995495414</v>
      </c>
      <c r="J704">
        <v>0.13117172636889901</v>
      </c>
      <c r="K704">
        <v>0.10516347603750401</v>
      </c>
      <c r="L704">
        <v>582.16102881001495</v>
      </c>
      <c r="M704">
        <v>11.7859864146945</v>
      </c>
      <c r="N704">
        <v>50.327591241792497</v>
      </c>
      <c r="O704">
        <v>48.036693132106301</v>
      </c>
      <c r="P704">
        <v>-5.5331787407099903E-2</v>
      </c>
      <c r="Q704">
        <v>9.8159733381535899E-2</v>
      </c>
      <c r="R704">
        <v>0.97931083160353205</v>
      </c>
      <c r="S704" t="s">
        <v>6255</v>
      </c>
      <c r="T704" t="s">
        <v>11100</v>
      </c>
      <c r="U704" t="s">
        <v>11100</v>
      </c>
      <c r="V704" t="s">
        <v>11100</v>
      </c>
      <c r="W704" t="s">
        <v>11794</v>
      </c>
      <c r="X704">
        <v>2</v>
      </c>
      <c r="Y704" t="s">
        <v>17291</v>
      </c>
      <c r="Z704" t="s">
        <v>22709</v>
      </c>
      <c r="AA704">
        <v>0.49755645877222882</v>
      </c>
      <c r="AB704" t="str">
        <f>HYPERLINK("Melting_Curves/meltCurve_F8W6X9_SDK1.pdf", "Melting_Curves/meltCurve_F8W6X9_SDK1.pdf")</f>
        <v>Melting_Curves/meltCurve_F8W6X9_SDK1.pdf</v>
      </c>
    </row>
    <row r="705" spans="1:28" x14ac:dyDescent="0.25">
      <c r="A705" t="s">
        <v>709</v>
      </c>
      <c r="B705">
        <v>0.99299721793515405</v>
      </c>
      <c r="C705">
        <v>1.05718894751224</v>
      </c>
      <c r="D705">
        <v>1.1178197179740701</v>
      </c>
      <c r="E705">
        <v>0.95555846398858801</v>
      </c>
      <c r="F705">
        <v>0.78340786846071997</v>
      </c>
      <c r="G705">
        <v>0.49511152576066297</v>
      </c>
      <c r="H705">
        <v>0.31275399871284898</v>
      </c>
      <c r="I705">
        <v>0.215548858176249</v>
      </c>
      <c r="J705">
        <v>0.19349008117536001</v>
      </c>
      <c r="K705">
        <v>0.250566037534877</v>
      </c>
      <c r="L705">
        <v>1242.6345549938701</v>
      </c>
      <c r="M705">
        <v>23.704446887713001</v>
      </c>
      <c r="N705">
        <v>53.658055757322302</v>
      </c>
      <c r="O705">
        <v>52.053193390991197</v>
      </c>
      <c r="P705">
        <v>-8.9897162457014096E-2</v>
      </c>
      <c r="Q705">
        <v>0.21038331902526899</v>
      </c>
      <c r="R705">
        <v>0.98379191314229997</v>
      </c>
      <c r="S705" t="s">
        <v>6256</v>
      </c>
      <c r="T705" t="s">
        <v>11100</v>
      </c>
      <c r="U705" t="s">
        <v>11100</v>
      </c>
      <c r="V705" t="s">
        <v>11100</v>
      </c>
      <c r="W705" t="s">
        <v>11795</v>
      </c>
      <c r="X705">
        <v>5</v>
      </c>
      <c r="Y705" t="s">
        <v>17292</v>
      </c>
      <c r="Z705" t="s">
        <v>22710</v>
      </c>
      <c r="AA705">
        <v>0.62397283801558368</v>
      </c>
      <c r="AB705" t="str">
        <f>HYPERLINK("Melting_Curves/meltCurve_F8W717_EML1.pdf", "Melting_Curves/meltCurve_F8W717_EML1.pdf")</f>
        <v>Melting_Curves/meltCurve_F8W717_EML1.pdf</v>
      </c>
    </row>
    <row r="706" spans="1:28" x14ac:dyDescent="0.25">
      <c r="A706" t="s">
        <v>710</v>
      </c>
      <c r="B706">
        <v>0.99299721793515405</v>
      </c>
      <c r="C706">
        <v>0.93092853509544704</v>
      </c>
      <c r="D706">
        <v>0.99649867642682999</v>
      </c>
      <c r="E706">
        <v>0.77222520401613404</v>
      </c>
      <c r="F706">
        <v>0.61539805736633102</v>
      </c>
      <c r="G706">
        <v>0.500578122824472</v>
      </c>
      <c r="H706">
        <v>0.52237649782067996</v>
      </c>
      <c r="I706">
        <v>0.69153752088596299</v>
      </c>
      <c r="J706">
        <v>0.77693963644028896</v>
      </c>
      <c r="K706">
        <v>0.72607757789342597</v>
      </c>
      <c r="L706">
        <v>11625.0713041526</v>
      </c>
      <c r="M706">
        <v>250</v>
      </c>
      <c r="O706">
        <v>46.497309555782699</v>
      </c>
      <c r="P706">
        <v>-0.48548790019479399</v>
      </c>
      <c r="Q706">
        <v>0.63881790190883803</v>
      </c>
      <c r="R706">
        <v>0.76703364462769796</v>
      </c>
      <c r="S706" t="s">
        <v>6257</v>
      </c>
      <c r="T706" t="s">
        <v>11100</v>
      </c>
      <c r="U706" t="s">
        <v>11100</v>
      </c>
      <c r="V706" t="s">
        <v>11100</v>
      </c>
      <c r="W706" t="s">
        <v>11796</v>
      </c>
      <c r="X706">
        <v>21</v>
      </c>
      <c r="Y706" t="s">
        <v>17293</v>
      </c>
      <c r="Z706" t="s">
        <v>22711</v>
      </c>
      <c r="AA706">
        <v>0.75322514189630541</v>
      </c>
      <c r="AB706" t="str">
        <f>HYPERLINK("Melting_Curves/meltCurve_F8W726_UBAP2L.pdf", "Melting_Curves/meltCurve_F8W726_UBAP2L.pdf")</f>
        <v>Melting_Curves/meltCurve_F8W726_UBAP2L.pdf</v>
      </c>
    </row>
    <row r="707" spans="1:28" x14ac:dyDescent="0.25">
      <c r="A707" t="s">
        <v>711</v>
      </c>
      <c r="B707">
        <v>0.99299721793515405</v>
      </c>
      <c r="C707">
        <v>1.2698918338501</v>
      </c>
      <c r="D707">
        <v>0.90375342321083596</v>
      </c>
      <c r="E707">
        <v>0.93613410939973596</v>
      </c>
      <c r="F707">
        <v>0.74009408954504996</v>
      </c>
      <c r="G707">
        <v>0.69029037875618304</v>
      </c>
      <c r="H707">
        <v>0.49973262895894999</v>
      </c>
      <c r="I707">
        <v>0.28200009657908398</v>
      </c>
      <c r="J707">
        <v>0</v>
      </c>
      <c r="K707">
        <v>0</v>
      </c>
      <c r="L707">
        <v>853.66939371809201</v>
      </c>
      <c r="M707">
        <v>15.205695078430301</v>
      </c>
      <c r="N707">
        <v>56.141425840729703</v>
      </c>
      <c r="O707">
        <v>55.197298756886802</v>
      </c>
      <c r="P707">
        <v>-6.8876360257178207E-2</v>
      </c>
      <c r="Q707">
        <v>0</v>
      </c>
      <c r="R707">
        <v>0.92168589110283805</v>
      </c>
      <c r="S707" t="s">
        <v>6258</v>
      </c>
      <c r="T707" t="s">
        <v>11100</v>
      </c>
      <c r="U707" t="s">
        <v>11100</v>
      </c>
      <c r="V707" t="s">
        <v>11100</v>
      </c>
      <c r="W707" t="s">
        <v>11797</v>
      </c>
      <c r="X707">
        <v>1</v>
      </c>
      <c r="Y707" t="s">
        <v>17294</v>
      </c>
      <c r="Z707" t="s">
        <v>22712</v>
      </c>
      <c r="AA707">
        <v>0.64912209920614572</v>
      </c>
      <c r="AB707" t="str">
        <f>HYPERLINK("Melting_Curves/meltCurve_F8W782_ADIPOR1.pdf", "Melting_Curves/meltCurve_F8W782_ADIPOR1.pdf")</f>
        <v>Melting_Curves/meltCurve_F8W782_ADIPOR1.pdf</v>
      </c>
    </row>
    <row r="708" spans="1:28" x14ac:dyDescent="0.25">
      <c r="A708" t="s">
        <v>712</v>
      </c>
      <c r="B708">
        <v>0.99299721793515405</v>
      </c>
      <c r="C708">
        <v>0.90891428039779099</v>
      </c>
      <c r="D708">
        <v>0.96870431886589603</v>
      </c>
      <c r="E708">
        <v>0.80660479262870799</v>
      </c>
      <c r="F708">
        <v>0.714424441434244</v>
      </c>
      <c r="G708">
        <v>0.89068333655049603</v>
      </c>
      <c r="H708">
        <v>1.3869914003400801</v>
      </c>
      <c r="I708">
        <v>1.53930939491646</v>
      </c>
      <c r="J708">
        <v>1.1094537089266601</v>
      </c>
      <c r="K708">
        <v>0.30275157833954303</v>
      </c>
      <c r="L708">
        <v>15000</v>
      </c>
      <c r="M708">
        <v>224.71460031069799</v>
      </c>
      <c r="N708">
        <v>66.751336960322007</v>
      </c>
      <c r="O708">
        <v>66.746055678819999</v>
      </c>
      <c r="P708">
        <v>-0.84167752471090496</v>
      </c>
      <c r="Q708">
        <v>0</v>
      </c>
      <c r="R708">
        <v>0.44312970203149799</v>
      </c>
      <c r="S708" t="s">
        <v>6259</v>
      </c>
      <c r="T708" t="s">
        <v>11100</v>
      </c>
      <c r="U708" t="s">
        <v>11100</v>
      </c>
      <c r="V708" t="s">
        <v>11100</v>
      </c>
      <c r="W708" t="s">
        <v>11798</v>
      </c>
      <c r="X708">
        <v>7</v>
      </c>
      <c r="Y708" t="s">
        <v>17295</v>
      </c>
      <c r="Z708" t="s">
        <v>22713</v>
      </c>
      <c r="AA708">
        <v>0.98822257148126746</v>
      </c>
      <c r="AB708" t="str">
        <f>HYPERLINK("Melting_Curves/meltCurve_F8W7D6_GPHN.pdf", "Melting_Curves/meltCurve_F8W7D6_GPHN.pdf")</f>
        <v>Melting_Curves/meltCurve_F8W7D6_GPHN.pdf</v>
      </c>
    </row>
    <row r="709" spans="1:28" x14ac:dyDescent="0.25">
      <c r="A709" t="s">
        <v>713</v>
      </c>
      <c r="B709">
        <v>0.99299721793515405</v>
      </c>
      <c r="C709">
        <v>1.3391854380816901</v>
      </c>
      <c r="D709">
        <v>2.9988082034358698</v>
      </c>
      <c r="E709">
        <v>1.53289561910533</v>
      </c>
      <c r="F709">
        <v>0.892184383414378</v>
      </c>
      <c r="G709">
        <v>2.5338159551540098</v>
      </c>
      <c r="H709">
        <v>0.81324621519850004</v>
      </c>
      <c r="I709">
        <v>1.0281917735723201</v>
      </c>
      <c r="J709">
        <v>1.4129350446343201</v>
      </c>
      <c r="K709">
        <v>1.1163027907147101</v>
      </c>
      <c r="L709">
        <v>9945.2228098001397</v>
      </c>
      <c r="M709">
        <v>250</v>
      </c>
      <c r="O709">
        <v>39.778343225189701</v>
      </c>
      <c r="P709">
        <v>0.78560331310263998</v>
      </c>
      <c r="Q709">
        <v>1.5</v>
      </c>
      <c r="R709">
        <v>5.64572863646906E-2</v>
      </c>
      <c r="S709" t="s">
        <v>6260</v>
      </c>
      <c r="T709" t="s">
        <v>11100</v>
      </c>
      <c r="U709" t="s">
        <v>11100</v>
      </c>
      <c r="V709" t="s">
        <v>11100</v>
      </c>
      <c r="W709" t="s">
        <v>11799</v>
      </c>
      <c r="X709">
        <v>1</v>
      </c>
      <c r="Y709" t="s">
        <v>17296</v>
      </c>
      <c r="Z709" t="s">
        <v>22714</v>
      </c>
      <c r="AA709">
        <v>1.453616905241748</v>
      </c>
      <c r="AB709" t="str">
        <f>HYPERLINK("Melting_Curves/meltCurve_F8W7Q4_FAM162A.pdf", "Melting_Curves/meltCurve_F8W7Q4_FAM162A.pdf")</f>
        <v>Melting_Curves/meltCurve_F8W7Q4_FAM162A.pdf</v>
      </c>
    </row>
    <row r="710" spans="1:28" x14ac:dyDescent="0.25">
      <c r="A710" t="s">
        <v>714</v>
      </c>
      <c r="B710">
        <v>0.99299721793515405</v>
      </c>
      <c r="C710">
        <v>1.05593834005197</v>
      </c>
      <c r="D710">
        <v>0.75131087584539002</v>
      </c>
      <c r="E710">
        <v>1.1154511063077199</v>
      </c>
      <c r="F710">
        <v>0.75917762616462503</v>
      </c>
      <c r="G710">
        <v>0.339298735522433</v>
      </c>
      <c r="H710">
        <v>0.38554075299926499</v>
      </c>
      <c r="I710">
        <v>0.366775634171356</v>
      </c>
      <c r="J710">
        <v>0.29603801702889898</v>
      </c>
      <c r="K710">
        <v>0.25081240516814202</v>
      </c>
      <c r="L710">
        <v>6246.4764200089103</v>
      </c>
      <c r="M710">
        <v>123.848218063903</v>
      </c>
      <c r="N710">
        <v>50.874013307793803</v>
      </c>
      <c r="O710">
        <v>50.423380040099097</v>
      </c>
      <c r="P710">
        <v>-0.41286209239844401</v>
      </c>
      <c r="Q710">
        <v>0.32763151560829801</v>
      </c>
      <c r="R710">
        <v>0.913951950573613</v>
      </c>
      <c r="S710" t="s">
        <v>6261</v>
      </c>
      <c r="T710" t="s">
        <v>11100</v>
      </c>
      <c r="U710" t="s">
        <v>11100</v>
      </c>
      <c r="V710" t="s">
        <v>11100</v>
      </c>
      <c r="W710" t="s">
        <v>11800</v>
      </c>
      <c r="X710">
        <v>2</v>
      </c>
      <c r="Y710" t="s">
        <v>17297</v>
      </c>
      <c r="Z710" t="s">
        <v>22715</v>
      </c>
      <c r="AA710">
        <v>0.62901787117604557</v>
      </c>
      <c r="AB710" t="str">
        <f>HYPERLINK("Melting_Curves/meltCurve_F8W7S1_FAM73A.pdf", "Melting_Curves/meltCurve_F8W7S1_FAM73A.pdf")</f>
        <v>Melting_Curves/meltCurve_F8W7S1_FAM73A.pdf</v>
      </c>
    </row>
    <row r="711" spans="1:28" x14ac:dyDescent="0.25">
      <c r="A711" t="s">
        <v>715</v>
      </c>
      <c r="B711">
        <v>0.99299721793515405</v>
      </c>
      <c r="C711">
        <v>1.01561431730311</v>
      </c>
      <c r="D711">
        <v>1.1147575149681801</v>
      </c>
      <c r="E711">
        <v>1.0136147816021299</v>
      </c>
      <c r="F711">
        <v>0.73295664135713501</v>
      </c>
      <c r="G711">
        <v>0.495928134531538</v>
      </c>
      <c r="H711">
        <v>0.38635853361331501</v>
      </c>
      <c r="I711">
        <v>0.41467932465189</v>
      </c>
      <c r="J711">
        <v>0.29613969405014401</v>
      </c>
      <c r="K711">
        <v>0.27880169316911901</v>
      </c>
      <c r="L711">
        <v>1360.2493730542101</v>
      </c>
      <c r="M711">
        <v>26.476775487942099</v>
      </c>
      <c r="N711">
        <v>53.5585168749666</v>
      </c>
      <c r="O711">
        <v>51.084806238789</v>
      </c>
      <c r="P711">
        <v>-8.68033228171083E-2</v>
      </c>
      <c r="Q711">
        <v>0.330087139589333</v>
      </c>
      <c r="R711">
        <v>0.97173801157744899</v>
      </c>
      <c r="S711" t="s">
        <v>6262</v>
      </c>
      <c r="T711" t="s">
        <v>11100</v>
      </c>
      <c r="U711" t="s">
        <v>11100</v>
      </c>
      <c r="V711" t="s">
        <v>11100</v>
      </c>
      <c r="W711" t="s">
        <v>11465</v>
      </c>
      <c r="X711">
        <v>14</v>
      </c>
      <c r="Z711" t="s">
        <v>22716</v>
      </c>
      <c r="AA711">
        <v>0.65641604684532895</v>
      </c>
      <c r="AB711" t="str">
        <f>HYPERLINK("Melting_Curves/meltCurve_F8W810_.pdf", "Melting_Curves/meltCurve_F8W810_.pdf")</f>
        <v>Melting_Curves/meltCurve_F8W810_.pdf</v>
      </c>
    </row>
    <row r="712" spans="1:28" x14ac:dyDescent="0.25">
      <c r="A712" t="s">
        <v>716</v>
      </c>
      <c r="B712">
        <v>0.99299721793515405</v>
      </c>
      <c r="C712">
        <v>0.91046389238792103</v>
      </c>
      <c r="D712">
        <v>1.04173831541184</v>
      </c>
      <c r="E712">
        <v>0.66292441885529996</v>
      </c>
      <c r="F712">
        <v>0.86356580981824804</v>
      </c>
      <c r="G712">
        <v>0.53001384907821203</v>
      </c>
      <c r="H712">
        <v>0.30695351544744798</v>
      </c>
      <c r="I712">
        <v>0.26742002895297601</v>
      </c>
      <c r="J712">
        <v>0.120159060430251</v>
      </c>
      <c r="K712">
        <v>0.15514843551709501</v>
      </c>
      <c r="L712">
        <v>578.87994396108002</v>
      </c>
      <c r="M712">
        <v>10.6370869796653</v>
      </c>
      <c r="N712">
        <v>54.420907943266201</v>
      </c>
      <c r="O712">
        <v>52.603190542190603</v>
      </c>
      <c r="P712">
        <v>-5.0572827579790897E-2</v>
      </c>
      <c r="Q712">
        <v>0</v>
      </c>
      <c r="R712">
        <v>0.92764447033445896</v>
      </c>
      <c r="S712" t="s">
        <v>6263</v>
      </c>
      <c r="T712" t="s">
        <v>11100</v>
      </c>
      <c r="U712" t="s">
        <v>11100</v>
      </c>
      <c r="V712" t="s">
        <v>11100</v>
      </c>
      <c r="W712" t="s">
        <v>11801</v>
      </c>
      <c r="X712">
        <v>3</v>
      </c>
      <c r="Y712" t="s">
        <v>17298</v>
      </c>
      <c r="Z712" t="s">
        <v>22717</v>
      </c>
      <c r="AA712">
        <v>0.59665257235687819</v>
      </c>
      <c r="AB712" t="str">
        <f>HYPERLINK("Melting_Curves/meltCurve_F8W8I6_TIA1.pdf", "Melting_Curves/meltCurve_F8W8I6_TIA1.pdf")</f>
        <v>Melting_Curves/meltCurve_F8W8I6_TIA1.pdf</v>
      </c>
    </row>
    <row r="713" spans="1:28" x14ac:dyDescent="0.25">
      <c r="A713" t="s">
        <v>717</v>
      </c>
      <c r="B713">
        <v>0.99299721793515405</v>
      </c>
      <c r="C713">
        <v>0.88670442177638598</v>
      </c>
      <c r="D713">
        <v>0.98445910429300698</v>
      </c>
      <c r="E713">
        <v>0.79953082088467997</v>
      </c>
      <c r="F713">
        <v>0.61894155023361497</v>
      </c>
      <c r="G713">
        <v>0.44288805838668599</v>
      </c>
      <c r="H713">
        <v>0.38003536945905497</v>
      </c>
      <c r="I713">
        <v>0.31912398054560798</v>
      </c>
      <c r="J713">
        <v>0.32832625422652001</v>
      </c>
      <c r="K713">
        <v>0.36326866700619598</v>
      </c>
      <c r="L713">
        <v>831.55493202671801</v>
      </c>
      <c r="M713">
        <v>16.8962069311162</v>
      </c>
      <c r="N713">
        <v>52.421598847242201</v>
      </c>
      <c r="O713">
        <v>48.541584176469001</v>
      </c>
      <c r="P713">
        <v>-5.8994258830392797E-2</v>
      </c>
      <c r="Q713">
        <v>0.32209790863508397</v>
      </c>
      <c r="R713">
        <v>0.98020813473675805</v>
      </c>
      <c r="S713" t="s">
        <v>6264</v>
      </c>
      <c r="T713" t="s">
        <v>11100</v>
      </c>
      <c r="U713" t="s">
        <v>11100</v>
      </c>
      <c r="V713" t="s">
        <v>11100</v>
      </c>
      <c r="W713" t="s">
        <v>11802</v>
      </c>
      <c r="X713">
        <v>9</v>
      </c>
      <c r="Y713" t="s">
        <v>17299</v>
      </c>
      <c r="Z713" t="s">
        <v>22718</v>
      </c>
      <c r="AA713">
        <v>0.61010707202347469</v>
      </c>
      <c r="AB713" t="str">
        <f>HYPERLINK("Melting_Curves/meltCurve_F8W8M4_ABLIM1.pdf", "Melting_Curves/meltCurve_F8W8M4_ABLIM1.pdf")</f>
        <v>Melting_Curves/meltCurve_F8W8M4_ABLIM1.pdf</v>
      </c>
    </row>
    <row r="714" spans="1:28" x14ac:dyDescent="0.25">
      <c r="A714" t="s">
        <v>718</v>
      </c>
      <c r="B714">
        <v>0.99299721793515405</v>
      </c>
      <c r="C714">
        <v>1.04318980383923</v>
      </c>
      <c r="D714">
        <v>1.63777720412558</v>
      </c>
      <c r="E714">
        <v>0.81481144822984697</v>
      </c>
      <c r="F714">
        <v>0.78833705902515805</v>
      </c>
      <c r="G714">
        <v>0.41429954010034098</v>
      </c>
      <c r="H714">
        <v>0.224454340413725</v>
      </c>
      <c r="I714">
        <v>0.240225612511689</v>
      </c>
      <c r="J714">
        <v>0.138450111566015</v>
      </c>
      <c r="K714">
        <v>0.11521439558412901</v>
      </c>
      <c r="L714">
        <v>1284.6608611948</v>
      </c>
      <c r="M714">
        <v>24.621978740674301</v>
      </c>
      <c r="N714">
        <v>52.936419456132803</v>
      </c>
      <c r="O714">
        <v>51.834860717875202</v>
      </c>
      <c r="P714">
        <v>-0.101052756761166</v>
      </c>
      <c r="Q714">
        <v>0.14905619065788001</v>
      </c>
      <c r="R714">
        <v>0.80330187863121005</v>
      </c>
      <c r="S714" t="s">
        <v>6265</v>
      </c>
      <c r="T714" t="s">
        <v>11100</v>
      </c>
      <c r="U714" t="s">
        <v>11100</v>
      </c>
      <c r="V714" t="s">
        <v>11100</v>
      </c>
      <c r="W714" t="s">
        <v>11803</v>
      </c>
      <c r="X714">
        <v>2</v>
      </c>
      <c r="Y714" t="s">
        <v>17300</v>
      </c>
      <c r="Z714" t="s">
        <v>22719</v>
      </c>
      <c r="AA714">
        <v>0.5872490497705215</v>
      </c>
      <c r="AB714" t="str">
        <f>HYPERLINK("Melting_Curves/meltCurve_F8W8P5_CADPS2.pdf", "Melting_Curves/meltCurve_F8W8P5_CADPS2.pdf")</f>
        <v>Melting_Curves/meltCurve_F8W8P5_CADPS2.pdf</v>
      </c>
    </row>
    <row r="715" spans="1:28" x14ac:dyDescent="0.25">
      <c r="A715" t="s">
        <v>719</v>
      </c>
      <c r="B715">
        <v>0.99299721793515405</v>
      </c>
      <c r="C715">
        <v>0.98482446836403703</v>
      </c>
      <c r="D715">
        <v>0.91928077914569495</v>
      </c>
      <c r="E715">
        <v>0.80722163739283004</v>
      </c>
      <c r="F715">
        <v>0.59852735052179096</v>
      </c>
      <c r="G715">
        <v>0.25130311461968102</v>
      </c>
      <c r="H715">
        <v>0.16228597298028299</v>
      </c>
      <c r="I715">
        <v>0.14685961580843401</v>
      </c>
      <c r="J715">
        <v>0.14123308006444499</v>
      </c>
      <c r="K715">
        <v>0.11973046471965899</v>
      </c>
      <c r="L715">
        <v>957.34320822987104</v>
      </c>
      <c r="M715">
        <v>19.113650042656701</v>
      </c>
      <c r="N715">
        <v>50.739543555551997</v>
      </c>
      <c r="O715">
        <v>49.548288324604201</v>
      </c>
      <c r="P715">
        <v>-8.5932602341112205E-2</v>
      </c>
      <c r="Q715">
        <v>0.10898283182874501</v>
      </c>
      <c r="R715">
        <v>0.99380374054451204</v>
      </c>
      <c r="S715" t="s">
        <v>6266</v>
      </c>
      <c r="T715" t="s">
        <v>11100</v>
      </c>
      <c r="U715" t="s">
        <v>11100</v>
      </c>
      <c r="V715" t="s">
        <v>11100</v>
      </c>
      <c r="W715" t="s">
        <v>11804</v>
      </c>
      <c r="X715">
        <v>8</v>
      </c>
      <c r="Y715" t="s">
        <v>17301</v>
      </c>
      <c r="Z715" t="s">
        <v>22720</v>
      </c>
      <c r="AA715">
        <v>0.51035435516104632</v>
      </c>
      <c r="AB715" t="str">
        <f>HYPERLINK("Melting_Curves/meltCurve_F8W8Q9_STX5.pdf", "Melting_Curves/meltCurve_F8W8Q9_STX5.pdf")</f>
        <v>Melting_Curves/meltCurve_F8W8Q9_STX5.pdf</v>
      </c>
    </row>
    <row r="716" spans="1:28" x14ac:dyDescent="0.25">
      <c r="A716" t="s">
        <v>720</v>
      </c>
      <c r="B716">
        <v>0.99299721793515405</v>
      </c>
      <c r="C716">
        <v>0.99428489200308601</v>
      </c>
      <c r="D716">
        <v>0.91109638840211704</v>
      </c>
      <c r="E716">
        <v>0.87398502219382601</v>
      </c>
      <c r="F716">
        <v>0.81776772996688796</v>
      </c>
      <c r="G716">
        <v>0.40518466449125801</v>
      </c>
      <c r="H716">
        <v>0.25108765487864099</v>
      </c>
      <c r="I716">
        <v>0.25675484784709202</v>
      </c>
      <c r="J716">
        <v>0.21726458083624101</v>
      </c>
      <c r="K716">
        <v>0.16176571648789301</v>
      </c>
      <c r="L716">
        <v>1277.8054994829199</v>
      </c>
      <c r="M716">
        <v>24.583941725094402</v>
      </c>
      <c r="N716">
        <v>53.029888985989203</v>
      </c>
      <c r="O716">
        <v>51.636980370815401</v>
      </c>
      <c r="P716">
        <v>-9.6044408878620702E-2</v>
      </c>
      <c r="Q716">
        <v>0.193071311274228</v>
      </c>
      <c r="R716">
        <v>0.98123157104678804</v>
      </c>
      <c r="S716" t="s">
        <v>6267</v>
      </c>
      <c r="T716" t="s">
        <v>11100</v>
      </c>
      <c r="U716" t="s">
        <v>11100</v>
      </c>
      <c r="V716" t="s">
        <v>11100</v>
      </c>
      <c r="W716" t="s">
        <v>11805</v>
      </c>
      <c r="X716">
        <v>11</v>
      </c>
      <c r="Y716" t="s">
        <v>17302</v>
      </c>
      <c r="Z716" t="s">
        <v>22721</v>
      </c>
      <c r="AA716">
        <v>0.60329031780839981</v>
      </c>
      <c r="AB716" t="str">
        <f>HYPERLINK("Melting_Curves/meltCurve_F8W8R3_POLD2.pdf", "Melting_Curves/meltCurve_F8W8R3_POLD2.pdf")</f>
        <v>Melting_Curves/meltCurve_F8W8R3_POLD2.pdf</v>
      </c>
    </row>
    <row r="717" spans="1:28" x14ac:dyDescent="0.25">
      <c r="A717" t="s">
        <v>721</v>
      </c>
      <c r="B717">
        <v>0.99299721793515405</v>
      </c>
      <c r="C717">
        <v>1.09205413326416</v>
      </c>
      <c r="D717">
        <v>1.34392744608874</v>
      </c>
      <c r="E717">
        <v>0.91487913319800596</v>
      </c>
      <c r="F717">
        <v>0.87666646920110902</v>
      </c>
      <c r="G717">
        <v>0.98204446040511695</v>
      </c>
      <c r="H717">
        <v>0.80946031898123805</v>
      </c>
      <c r="I717">
        <v>1.0002456372167501</v>
      </c>
      <c r="J717">
        <v>1.08910308182112</v>
      </c>
      <c r="K717">
        <v>1.4728572788777701</v>
      </c>
      <c r="L717">
        <v>8262.7409046304601</v>
      </c>
      <c r="M717">
        <v>127.42347311370401</v>
      </c>
      <c r="O717">
        <v>64.828767395935103</v>
      </c>
      <c r="P717">
        <v>0.23620939695642701</v>
      </c>
      <c r="Q717">
        <v>1.48070147184884</v>
      </c>
      <c r="R717">
        <v>0.51647173686072201</v>
      </c>
      <c r="S717" t="s">
        <v>6268</v>
      </c>
      <c r="T717" t="s">
        <v>11100</v>
      </c>
      <c r="U717" t="s">
        <v>11100</v>
      </c>
      <c r="V717" t="s">
        <v>11100</v>
      </c>
      <c r="W717" t="s">
        <v>11806</v>
      </c>
      <c r="X717">
        <v>6</v>
      </c>
      <c r="Y717" t="s">
        <v>17303</v>
      </c>
      <c r="Z717" t="s">
        <v>22722</v>
      </c>
      <c r="AA717">
        <v>1.034469606087431</v>
      </c>
      <c r="AB717" t="str">
        <f>HYPERLINK("Melting_Curves/meltCurve_F8W8Z9_TOMM5.pdf", "Melting_Curves/meltCurve_F8W8Z9_TOMM5.pdf")</f>
        <v>Melting_Curves/meltCurve_F8W8Z9_TOMM5.pdf</v>
      </c>
    </row>
    <row r="718" spans="1:28" x14ac:dyDescent="0.25">
      <c r="A718" t="s">
        <v>722</v>
      </c>
      <c r="B718">
        <v>0.99299721793515405</v>
      </c>
      <c r="C718">
        <v>1.0548620894879099</v>
      </c>
      <c r="D718">
        <v>0.625605054454208</v>
      </c>
      <c r="E718">
        <v>0.88195494719230205</v>
      </c>
      <c r="F718">
        <v>0.67778160959641498</v>
      </c>
      <c r="G718">
        <v>0.43422955762652399</v>
      </c>
      <c r="H718">
        <v>0.43651601891409197</v>
      </c>
      <c r="I718">
        <v>0.27263029497172803</v>
      </c>
      <c r="J718">
        <v>0.24812872715464901</v>
      </c>
      <c r="K718">
        <v>0.34348408974840799</v>
      </c>
      <c r="L718">
        <v>458.94318628050598</v>
      </c>
      <c r="M718">
        <v>8.9803030342169592</v>
      </c>
      <c r="N718">
        <v>53.751696526055703</v>
      </c>
      <c r="O718">
        <v>48.762142696761401</v>
      </c>
      <c r="P718">
        <v>-3.7843511083611503E-2</v>
      </c>
      <c r="Q718">
        <v>0.17865553607663801</v>
      </c>
      <c r="R718">
        <v>0.86170551369117498</v>
      </c>
      <c r="S718" t="s">
        <v>6269</v>
      </c>
      <c r="T718" t="s">
        <v>11100</v>
      </c>
      <c r="U718" t="s">
        <v>11100</v>
      </c>
      <c r="V718" t="s">
        <v>11100</v>
      </c>
      <c r="W718" t="s">
        <v>11807</v>
      </c>
      <c r="X718">
        <v>2</v>
      </c>
      <c r="Y718" t="s">
        <v>17304</v>
      </c>
      <c r="Z718" t="s">
        <v>22723</v>
      </c>
      <c r="AA718">
        <v>0.59132908365477599</v>
      </c>
      <c r="AB718" t="str">
        <f>HYPERLINK("Melting_Curves/meltCurve_F8W930_IGF2BP2.pdf", "Melting_Curves/meltCurve_F8W930_IGF2BP2.pdf")</f>
        <v>Melting_Curves/meltCurve_F8W930_IGF2BP2.pdf</v>
      </c>
    </row>
    <row r="719" spans="1:28" x14ac:dyDescent="0.25">
      <c r="A719" t="s">
        <v>723</v>
      </c>
      <c r="B719">
        <v>0.99299721793515405</v>
      </c>
      <c r="C719">
        <v>0.91754545260815601</v>
      </c>
      <c r="D719">
        <v>0.77978533784822601</v>
      </c>
      <c r="E719">
        <v>0.72795434472630205</v>
      </c>
      <c r="F719">
        <v>0.54607239537085395</v>
      </c>
      <c r="G719">
        <v>0.38901438580214498</v>
      </c>
      <c r="H719">
        <v>0.423158632359939</v>
      </c>
      <c r="I719">
        <v>0.45893950423318403</v>
      </c>
      <c r="J719">
        <v>0.43757041183228401</v>
      </c>
      <c r="K719">
        <v>0.22367371019037099</v>
      </c>
      <c r="L719">
        <v>502.64263426277199</v>
      </c>
      <c r="M719">
        <v>10.669814448731501</v>
      </c>
      <c r="N719">
        <v>52.091244238633202</v>
      </c>
      <c r="O719">
        <v>45.5444810093705</v>
      </c>
      <c r="P719">
        <v>-3.9853126851640303E-2</v>
      </c>
      <c r="Q719">
        <v>0.31980014052992001</v>
      </c>
      <c r="R719">
        <v>0.93132767889238799</v>
      </c>
      <c r="S719" t="s">
        <v>6270</v>
      </c>
      <c r="T719" t="s">
        <v>11100</v>
      </c>
      <c r="U719" t="s">
        <v>11100</v>
      </c>
      <c r="V719" t="s">
        <v>11100</v>
      </c>
      <c r="W719" t="s">
        <v>11808</v>
      </c>
      <c r="X719">
        <v>2</v>
      </c>
      <c r="Y719" t="s">
        <v>17305</v>
      </c>
      <c r="Z719" t="s">
        <v>22724</v>
      </c>
      <c r="AA719">
        <v>0.57557135954244898</v>
      </c>
      <c r="AB719" t="str">
        <f>HYPERLINK("Melting_Curves/meltCurve_F8W9B8_EXOC5.pdf", "Melting_Curves/meltCurve_F8W9B8_EXOC5.pdf")</f>
        <v>Melting_Curves/meltCurve_F8W9B8_EXOC5.pdf</v>
      </c>
    </row>
    <row r="720" spans="1:28" x14ac:dyDescent="0.25">
      <c r="A720" t="s">
        <v>724</v>
      </c>
      <c r="B720">
        <v>0.99299721793515405</v>
      </c>
      <c r="C720">
        <v>0.91729296427367202</v>
      </c>
      <c r="D720">
        <v>1.0812963613015201</v>
      </c>
      <c r="E720">
        <v>1.00631003267261</v>
      </c>
      <c r="F720">
        <v>0.57543416484962295</v>
      </c>
      <c r="G720">
        <v>0.33814528371657399</v>
      </c>
      <c r="H720">
        <v>0.16627272132932699</v>
      </c>
      <c r="I720">
        <v>0.18653093301153001</v>
      </c>
      <c r="J720">
        <v>0.18763818343945499</v>
      </c>
      <c r="K720">
        <v>0.34302296043442099</v>
      </c>
      <c r="L720">
        <v>2018.4524363683099</v>
      </c>
      <c r="M720">
        <v>40.3166593729255</v>
      </c>
      <c r="N720">
        <v>50.852501685616197</v>
      </c>
      <c r="O720">
        <v>49.942272576918199</v>
      </c>
      <c r="P720">
        <v>-0.15495515816245201</v>
      </c>
      <c r="Q720">
        <v>0.23219858668003701</v>
      </c>
      <c r="R720">
        <v>0.96869285229274404</v>
      </c>
      <c r="S720" t="s">
        <v>6271</v>
      </c>
      <c r="T720" t="s">
        <v>11100</v>
      </c>
      <c r="U720" t="s">
        <v>11100</v>
      </c>
      <c r="V720" t="s">
        <v>11100</v>
      </c>
      <c r="W720" t="s">
        <v>11809</v>
      </c>
      <c r="X720">
        <v>10</v>
      </c>
      <c r="Y720" t="s">
        <v>17306</v>
      </c>
      <c r="Z720" t="s">
        <v>22725</v>
      </c>
      <c r="AA720">
        <v>0.56918900551741791</v>
      </c>
      <c r="AB720" t="str">
        <f>HYPERLINK("Melting_Curves/meltCurve_F8W9F9_WNK2.pdf", "Melting_Curves/meltCurve_F8W9F9_WNK2.pdf")</f>
        <v>Melting_Curves/meltCurve_F8W9F9_WNK2.pdf</v>
      </c>
    </row>
    <row r="721" spans="1:28" x14ac:dyDescent="0.25">
      <c r="A721" t="s">
        <v>725</v>
      </c>
      <c r="B721">
        <v>0.99299721793515405</v>
      </c>
      <c r="C721">
        <v>0.95871095387118599</v>
      </c>
      <c r="D721">
        <v>0.85515175828562495</v>
      </c>
      <c r="E721">
        <v>0.70561179666645901</v>
      </c>
      <c r="F721">
        <v>0.40838719911416599</v>
      </c>
      <c r="G721">
        <v>0.35398952359582803</v>
      </c>
      <c r="H721">
        <v>0.24234948538877699</v>
      </c>
      <c r="I721">
        <v>0.13894319180269299</v>
      </c>
      <c r="J721">
        <v>0.115925711210191</v>
      </c>
      <c r="K721">
        <v>0.130520574570436</v>
      </c>
      <c r="L721">
        <v>611.975822854135</v>
      </c>
      <c r="M721">
        <v>12.526547145586299</v>
      </c>
      <c r="N721">
        <v>49.6605956055947</v>
      </c>
      <c r="O721">
        <v>47.659385207586702</v>
      </c>
      <c r="P721">
        <v>-5.9674650034416202E-2</v>
      </c>
      <c r="Q721">
        <v>9.2015758909001197E-2</v>
      </c>
      <c r="R721">
        <v>0.992511948828255</v>
      </c>
      <c r="S721" t="s">
        <v>6272</v>
      </c>
      <c r="T721" t="s">
        <v>11100</v>
      </c>
      <c r="U721" t="s">
        <v>11100</v>
      </c>
      <c r="V721" t="s">
        <v>11100</v>
      </c>
      <c r="W721" t="s">
        <v>11810</v>
      </c>
      <c r="X721">
        <v>4</v>
      </c>
      <c r="Y721" t="s">
        <v>17307</v>
      </c>
      <c r="Z721" t="s">
        <v>22726</v>
      </c>
      <c r="AA721">
        <v>0.47644756364698632</v>
      </c>
      <c r="AB721" t="str">
        <f>HYPERLINK("Melting_Curves/meltCurve_F8W9R9_MED24.pdf", "Melting_Curves/meltCurve_F8W9R9_MED24.pdf")</f>
        <v>Melting_Curves/meltCurve_F8W9R9_MED24.pdf</v>
      </c>
    </row>
    <row r="722" spans="1:28" x14ac:dyDescent="0.25">
      <c r="A722" t="s">
        <v>726</v>
      </c>
      <c r="B722">
        <v>0.99299721793515405</v>
      </c>
      <c r="C722">
        <v>1.1900611929639</v>
      </c>
      <c r="D722">
        <v>0.92295906059889599</v>
      </c>
      <c r="E722">
        <v>1.19350027112887</v>
      </c>
      <c r="F722">
        <v>0.92756447647972895</v>
      </c>
      <c r="G722">
        <v>0.185353279791864</v>
      </c>
      <c r="H722">
        <v>0.100177524826398</v>
      </c>
      <c r="I722">
        <v>0.2173282048847</v>
      </c>
      <c r="J722">
        <v>0.144636544628195</v>
      </c>
      <c r="K722">
        <v>0</v>
      </c>
      <c r="L722">
        <v>3692.9999761611002</v>
      </c>
      <c r="M722">
        <v>71.120980675855705</v>
      </c>
      <c r="N722">
        <v>52.1182098916222</v>
      </c>
      <c r="O722">
        <v>51.884591561071097</v>
      </c>
      <c r="P722">
        <v>-0.30308606494988499</v>
      </c>
      <c r="Q722">
        <v>0.115563656881478</v>
      </c>
      <c r="R722">
        <v>0.95252026301525705</v>
      </c>
      <c r="S722" t="s">
        <v>6273</v>
      </c>
      <c r="T722" t="s">
        <v>11100</v>
      </c>
      <c r="U722" t="s">
        <v>11100</v>
      </c>
      <c r="V722" t="s">
        <v>11100</v>
      </c>
      <c r="W722" t="s">
        <v>11811</v>
      </c>
      <c r="X722">
        <v>2</v>
      </c>
      <c r="Y722" t="s">
        <v>17308</v>
      </c>
      <c r="Z722" t="s">
        <v>22727</v>
      </c>
      <c r="AA722">
        <v>0.5565869746465324</v>
      </c>
      <c r="AB722" t="str">
        <f>HYPERLINK("Melting_Curves/meltCurve_F8W9Z6_STX16.pdf", "Melting_Curves/meltCurve_F8W9Z6_STX16.pdf")</f>
        <v>Melting_Curves/meltCurve_F8W9Z6_STX16.pdf</v>
      </c>
    </row>
    <row r="723" spans="1:28" x14ac:dyDescent="0.25">
      <c r="A723" t="s">
        <v>727</v>
      </c>
      <c r="B723">
        <v>0.99299721793515405</v>
      </c>
      <c r="C723">
        <v>1.03126219501061</v>
      </c>
      <c r="D723">
        <v>0.98472850887595997</v>
      </c>
      <c r="E723">
        <v>0.85481291577713103</v>
      </c>
      <c r="F723">
        <v>0.616341211918219</v>
      </c>
      <c r="G723">
        <v>0.36513764479710897</v>
      </c>
      <c r="H723">
        <v>0.26033406907650197</v>
      </c>
      <c r="I723">
        <v>0.24774455412233201</v>
      </c>
      <c r="J723">
        <v>0.24891091748036101</v>
      </c>
      <c r="K723">
        <v>0.23420475664913101</v>
      </c>
      <c r="L723">
        <v>1087.4975739506201</v>
      </c>
      <c r="M723">
        <v>21.7289151362571</v>
      </c>
      <c r="N723">
        <v>51.5164412728857</v>
      </c>
      <c r="O723">
        <v>49.630289946296301</v>
      </c>
      <c r="P723">
        <v>-8.4192645006389802E-2</v>
      </c>
      <c r="Q723">
        <v>0.23081159930439499</v>
      </c>
      <c r="R723">
        <v>0.99808407299370805</v>
      </c>
      <c r="S723" t="s">
        <v>6274</v>
      </c>
      <c r="T723" t="s">
        <v>11100</v>
      </c>
      <c r="U723" t="s">
        <v>11100</v>
      </c>
      <c r="V723" t="s">
        <v>11100</v>
      </c>
      <c r="W723" t="s">
        <v>11812</v>
      </c>
      <c r="X723">
        <v>9</v>
      </c>
      <c r="Y723" t="s">
        <v>17309</v>
      </c>
      <c r="Z723" t="s">
        <v>22728</v>
      </c>
      <c r="AA723">
        <v>0.57410528506084679</v>
      </c>
      <c r="AB723" t="str">
        <f>HYPERLINK("Melting_Curves/meltCurve_F8WA11_CLASP1.pdf", "Melting_Curves/meltCurve_F8WA11_CLASP1.pdf")</f>
        <v>Melting_Curves/meltCurve_F8WA11_CLASP1.pdf</v>
      </c>
    </row>
    <row r="724" spans="1:28" x14ac:dyDescent="0.25">
      <c r="A724" t="s">
        <v>728</v>
      </c>
      <c r="B724">
        <v>0.99299721793515405</v>
      </c>
      <c r="C724">
        <v>1.0565032467765001</v>
      </c>
      <c r="D724">
        <v>1.0210797265642899</v>
      </c>
      <c r="E724">
        <v>0.88897811317160502</v>
      </c>
      <c r="F724">
        <v>0.75101438059810299</v>
      </c>
      <c r="G724">
        <v>0.329904467316815</v>
      </c>
      <c r="H724">
        <v>0.18822395462261399</v>
      </c>
      <c r="I724">
        <v>0.17087978426269801</v>
      </c>
      <c r="J724">
        <v>0.15722458113035301</v>
      </c>
      <c r="K724">
        <v>0.11088051731979</v>
      </c>
      <c r="L724">
        <v>1369.3765238943399</v>
      </c>
      <c r="M724">
        <v>26.548579945634302</v>
      </c>
      <c r="N724">
        <v>52.201213898435498</v>
      </c>
      <c r="O724">
        <v>51.290043635298197</v>
      </c>
      <c r="P724">
        <v>-0.11187853801572099</v>
      </c>
      <c r="Q724">
        <v>0.13544237481117299</v>
      </c>
      <c r="R724">
        <v>0.99272391504106605</v>
      </c>
      <c r="S724" t="s">
        <v>6275</v>
      </c>
      <c r="T724" t="s">
        <v>11100</v>
      </c>
      <c r="U724" t="s">
        <v>11100</v>
      </c>
      <c r="V724" t="s">
        <v>11100</v>
      </c>
      <c r="W724" t="s">
        <v>11813</v>
      </c>
      <c r="X724">
        <v>13</v>
      </c>
      <c r="Y724" t="s">
        <v>17310</v>
      </c>
      <c r="Z724" t="s">
        <v>22729</v>
      </c>
      <c r="AA724">
        <v>0.56246601141128849</v>
      </c>
      <c r="AB724" t="str">
        <f>HYPERLINK("Melting_Curves/meltCurve_F8WA86_CNN3.pdf", "Melting_Curves/meltCurve_F8WA86_CNN3.pdf")</f>
        <v>Melting_Curves/meltCurve_F8WA86_CNN3.pdf</v>
      </c>
    </row>
    <row r="725" spans="1:28" x14ac:dyDescent="0.25">
      <c r="A725" t="s">
        <v>729</v>
      </c>
      <c r="B725">
        <v>0.99299721793515405</v>
      </c>
      <c r="C725">
        <v>0.89607636019659997</v>
      </c>
      <c r="D725">
        <v>0.90252901960620402</v>
      </c>
      <c r="E725">
        <v>0.77875194697212302</v>
      </c>
      <c r="F725">
        <v>0.53158388262628697</v>
      </c>
      <c r="G725">
        <v>0.45636747340365802</v>
      </c>
      <c r="H725">
        <v>0.344899219996534</v>
      </c>
      <c r="I725">
        <v>0.32296025091043801</v>
      </c>
      <c r="J725">
        <v>0.27807033768064898</v>
      </c>
      <c r="K725">
        <v>0.22174141218381399</v>
      </c>
      <c r="L725">
        <v>551.40552990618198</v>
      </c>
      <c r="M725">
        <v>11.1021900088565</v>
      </c>
      <c r="N725">
        <v>52.164331627273199</v>
      </c>
      <c r="O725">
        <v>48.136689059330998</v>
      </c>
      <c r="P725">
        <v>-4.5786229702019801E-2</v>
      </c>
      <c r="Q725">
        <v>0.20618193753651401</v>
      </c>
      <c r="R725">
        <v>0.988187303213797</v>
      </c>
      <c r="S725" t="s">
        <v>6276</v>
      </c>
      <c r="T725" t="s">
        <v>11100</v>
      </c>
      <c r="U725" t="s">
        <v>11100</v>
      </c>
      <c r="V725" t="s">
        <v>11100</v>
      </c>
      <c r="W725" t="s">
        <v>11814</v>
      </c>
      <c r="X725">
        <v>3</v>
      </c>
      <c r="Y725" t="s">
        <v>17311</v>
      </c>
      <c r="Z725" t="s">
        <v>22730</v>
      </c>
      <c r="AA725">
        <v>0.5662101409318514</v>
      </c>
      <c r="AB725" t="str">
        <f>HYPERLINK("Melting_Curves/meltCurve_F8WAC3_UCKL1.pdf", "Melting_Curves/meltCurve_F8WAC3_UCKL1.pdf")</f>
        <v>Melting_Curves/meltCurve_F8WAC3_UCKL1.pdf</v>
      </c>
    </row>
    <row r="726" spans="1:28" x14ac:dyDescent="0.25">
      <c r="A726" t="s">
        <v>730</v>
      </c>
      <c r="B726">
        <v>0.99299721793515405</v>
      </c>
      <c r="C726">
        <v>0.848005505027976</v>
      </c>
      <c r="D726">
        <v>0.77648751354339296</v>
      </c>
      <c r="E726">
        <v>0.73277877969378702</v>
      </c>
      <c r="F726">
        <v>0.65051750355394</v>
      </c>
      <c r="G726">
        <v>0.59881926947601705</v>
      </c>
      <c r="H726">
        <v>0.58115273029055703</v>
      </c>
      <c r="I726">
        <v>0.52984642815365202</v>
      </c>
      <c r="J726">
        <v>0.38925067603125302</v>
      </c>
      <c r="K726">
        <v>0.182018576133788</v>
      </c>
      <c r="L726">
        <v>272.82502587448198</v>
      </c>
      <c r="M726">
        <v>4.7443221712861003</v>
      </c>
      <c r="N726">
        <v>57.505601038136597</v>
      </c>
      <c r="O726">
        <v>49.554023210309403</v>
      </c>
      <c r="P726">
        <v>-2.4110440204197999E-2</v>
      </c>
      <c r="Q726">
        <v>0</v>
      </c>
      <c r="R726">
        <v>0.89753294632607195</v>
      </c>
      <c r="S726" t="s">
        <v>6277</v>
      </c>
      <c r="T726" t="s">
        <v>11100</v>
      </c>
      <c r="U726" t="s">
        <v>11100</v>
      </c>
      <c r="V726" t="s">
        <v>11100</v>
      </c>
      <c r="W726" t="s">
        <v>11815</v>
      </c>
      <c r="X726">
        <v>2</v>
      </c>
      <c r="Y726" t="s">
        <v>17312</v>
      </c>
      <c r="Z726" t="s">
        <v>22731</v>
      </c>
      <c r="AA726">
        <v>0.62985156685449339</v>
      </c>
      <c r="AB726" t="str">
        <f>HYPERLINK("Melting_Curves/meltCurve_F8WAD8_ADAM22.pdf", "Melting_Curves/meltCurve_F8WAD8_ADAM22.pdf")</f>
        <v>Melting_Curves/meltCurve_F8WAD8_ADAM22.pdf</v>
      </c>
    </row>
    <row r="727" spans="1:28" x14ac:dyDescent="0.25">
      <c r="A727" t="s">
        <v>731</v>
      </c>
      <c r="B727">
        <v>0.99299721793515405</v>
      </c>
      <c r="C727">
        <v>1.0491354819348999</v>
      </c>
      <c r="D727">
        <v>0.99161902856287298</v>
      </c>
      <c r="E727">
        <v>0.82114838996448603</v>
      </c>
      <c r="F727">
        <v>0.65505118185841704</v>
      </c>
      <c r="G727">
        <v>0.41287213667963601</v>
      </c>
      <c r="H727">
        <v>0.31724460040018199</v>
      </c>
      <c r="I727">
        <v>0.19569143458932201</v>
      </c>
      <c r="J727">
        <v>0.21957421310094699</v>
      </c>
      <c r="K727">
        <v>0.175040707246129</v>
      </c>
      <c r="L727">
        <v>816.06793743564197</v>
      </c>
      <c r="M727">
        <v>15.971063467359601</v>
      </c>
      <c r="N727">
        <v>52.430828806717102</v>
      </c>
      <c r="O727">
        <v>50.315706389363598</v>
      </c>
      <c r="P727">
        <v>-6.6108942432149903E-2</v>
      </c>
      <c r="Q727">
        <v>0.16697959959258801</v>
      </c>
      <c r="R727">
        <v>0.99322571194478704</v>
      </c>
      <c r="S727" t="s">
        <v>6278</v>
      </c>
      <c r="T727" t="s">
        <v>11100</v>
      </c>
      <c r="U727" t="s">
        <v>11100</v>
      </c>
      <c r="V727" t="s">
        <v>11100</v>
      </c>
      <c r="W727" t="s">
        <v>11816</v>
      </c>
      <c r="X727">
        <v>9</v>
      </c>
      <c r="Y727" t="s">
        <v>17313</v>
      </c>
      <c r="Z727" t="s">
        <v>22732</v>
      </c>
      <c r="AA727">
        <v>0.57376028474532181</v>
      </c>
      <c r="AB727" t="str">
        <f>HYPERLINK("Melting_Curves/meltCurve_F8WAE5_EIF2A.pdf", "Melting_Curves/meltCurve_F8WAE5_EIF2A.pdf")</f>
        <v>Melting_Curves/meltCurve_F8WAE5_EIF2A.pdf</v>
      </c>
    </row>
    <row r="728" spans="1:28" x14ac:dyDescent="0.25">
      <c r="A728" t="s">
        <v>732</v>
      </c>
      <c r="B728">
        <v>0.99299721793515405</v>
      </c>
      <c r="C728">
        <v>0.922541376147057</v>
      </c>
      <c r="D728">
        <v>0.71255295813758401</v>
      </c>
      <c r="E728">
        <v>0.75645693604242104</v>
      </c>
      <c r="F728">
        <v>0.483976232908365</v>
      </c>
      <c r="G728">
        <v>0.64530367671777</v>
      </c>
      <c r="H728">
        <v>0.58073955252839604</v>
      </c>
      <c r="I728">
        <v>0.289195403410208</v>
      </c>
      <c r="J728">
        <v>0.14676692669943101</v>
      </c>
      <c r="K728">
        <v>0</v>
      </c>
      <c r="L728">
        <v>380.68434697732999</v>
      </c>
      <c r="M728">
        <v>7.1314394366229097</v>
      </c>
      <c r="N728">
        <v>53.381137194111297</v>
      </c>
      <c r="O728">
        <v>49.661411562075401</v>
      </c>
      <c r="P728">
        <v>-3.5962485251453201E-2</v>
      </c>
      <c r="Q728">
        <v>0</v>
      </c>
      <c r="R728">
        <v>0.84636242624946201</v>
      </c>
      <c r="S728" t="s">
        <v>6279</v>
      </c>
      <c r="T728" t="s">
        <v>11100</v>
      </c>
      <c r="U728" t="s">
        <v>11100</v>
      </c>
      <c r="V728" t="s">
        <v>11100</v>
      </c>
      <c r="W728" t="s">
        <v>11817</v>
      </c>
      <c r="X728">
        <v>1</v>
      </c>
      <c r="Y728" t="s">
        <v>17314</v>
      </c>
      <c r="Z728" t="s">
        <v>22733</v>
      </c>
      <c r="AA728">
        <v>0.56340175893038114</v>
      </c>
      <c r="AB728" t="str">
        <f>HYPERLINK("Melting_Curves/meltCurve_F8WAK8_STAG2.pdf", "Melting_Curves/meltCurve_F8WAK8_STAG2.pdf")</f>
        <v>Melting_Curves/meltCurve_F8WAK8_STAG2.pdf</v>
      </c>
    </row>
    <row r="729" spans="1:28" x14ac:dyDescent="0.25">
      <c r="A729" t="s">
        <v>733</v>
      </c>
      <c r="B729">
        <v>0.99299721793515405</v>
      </c>
      <c r="C729">
        <v>0.95828289629389496</v>
      </c>
      <c r="D729">
        <v>0.94723524195928299</v>
      </c>
      <c r="E729">
        <v>0.75668028114866104</v>
      </c>
      <c r="F729">
        <v>0.75717951180075105</v>
      </c>
      <c r="G729">
        <v>0.40256784171676602</v>
      </c>
      <c r="H729">
        <v>0.28620158914562299</v>
      </c>
      <c r="I729">
        <v>0.190880677901556</v>
      </c>
      <c r="J729">
        <v>0.217453190024257</v>
      </c>
      <c r="K729">
        <v>0.19450960460934999</v>
      </c>
      <c r="L729">
        <v>716.38077688547105</v>
      </c>
      <c r="M729">
        <v>13.9087523829097</v>
      </c>
      <c r="N729">
        <v>52.738539813809702</v>
      </c>
      <c r="O729">
        <v>50.476081608961302</v>
      </c>
      <c r="P729">
        <v>-5.9335584275548997E-2</v>
      </c>
      <c r="Q729">
        <v>0.13878076721479901</v>
      </c>
      <c r="R729">
        <v>0.97700008404203897</v>
      </c>
      <c r="S729" t="s">
        <v>6280</v>
      </c>
      <c r="T729" t="s">
        <v>11100</v>
      </c>
      <c r="U729" t="s">
        <v>11100</v>
      </c>
      <c r="V729" t="s">
        <v>11100</v>
      </c>
      <c r="W729" t="s">
        <v>11465</v>
      </c>
      <c r="X729">
        <v>4</v>
      </c>
      <c r="Z729" t="s">
        <v>22734</v>
      </c>
      <c r="AA729">
        <v>0.57370661170096615</v>
      </c>
      <c r="AB729" t="str">
        <f>HYPERLINK("Melting_Curves/meltCurve_F8WAN1_.pdf", "Melting_Curves/meltCurve_F8WAN1_.pdf")</f>
        <v>Melting_Curves/meltCurve_F8WAN1_.pdf</v>
      </c>
    </row>
    <row r="730" spans="1:28" x14ac:dyDescent="0.25">
      <c r="A730" t="s">
        <v>734</v>
      </c>
      <c r="B730">
        <v>0.99299721793515405</v>
      </c>
      <c r="C730">
        <v>0.85129809260395695</v>
      </c>
      <c r="D730">
        <v>1.09730329766509</v>
      </c>
      <c r="E730">
        <v>0.67079927532598604</v>
      </c>
      <c r="F730">
        <v>0.48270647052233701</v>
      </c>
      <c r="G730">
        <v>0.63703519570488099</v>
      </c>
      <c r="H730">
        <v>1.3616186842670699</v>
      </c>
      <c r="I730">
        <v>1.6515652720543299</v>
      </c>
      <c r="J730">
        <v>1.29199078354106</v>
      </c>
      <c r="K730">
        <v>1.1845794055022101</v>
      </c>
      <c r="L730">
        <v>14165.178472501701</v>
      </c>
      <c r="M730">
        <v>250</v>
      </c>
      <c r="O730">
        <v>56.657088780513497</v>
      </c>
      <c r="P730">
        <v>0.41483178176581897</v>
      </c>
      <c r="Q730">
        <v>1.3760505716637901</v>
      </c>
      <c r="R730">
        <v>0.45496430393856502</v>
      </c>
      <c r="S730" t="s">
        <v>6281</v>
      </c>
      <c r="T730" t="s">
        <v>11100</v>
      </c>
      <c r="U730" t="s">
        <v>11100</v>
      </c>
      <c r="V730" t="s">
        <v>11100</v>
      </c>
      <c r="W730" t="s">
        <v>11818</v>
      </c>
      <c r="X730">
        <v>3</v>
      </c>
      <c r="Y730" t="s">
        <v>17315</v>
      </c>
      <c r="Z730" t="s">
        <v>22735</v>
      </c>
      <c r="AA730">
        <v>1.1295657544395239</v>
      </c>
      <c r="AB730" t="str">
        <f>HYPERLINK("Melting_Curves/meltCurve_F8WBH3_ALDH16A1.pdf", "Melting_Curves/meltCurve_F8WBH3_ALDH16A1.pdf")</f>
        <v>Melting_Curves/meltCurve_F8WBH3_ALDH16A1.pdf</v>
      </c>
    </row>
    <row r="731" spans="1:28" x14ac:dyDescent="0.25">
      <c r="A731" t="s">
        <v>735</v>
      </c>
      <c r="B731">
        <v>0.99299721793515405</v>
      </c>
      <c r="C731">
        <v>0.95604561962680201</v>
      </c>
      <c r="D731">
        <v>1.00372860522229</v>
      </c>
      <c r="E731">
        <v>1.06251769011272</v>
      </c>
      <c r="F731">
        <v>1.26178673346521</v>
      </c>
      <c r="G731">
        <v>1.23260688998389</v>
      </c>
      <c r="H731">
        <v>0.85827316980696899</v>
      </c>
      <c r="I731">
        <v>0.89137241355164298</v>
      </c>
      <c r="J731">
        <v>0.80181840114425296</v>
      </c>
      <c r="K731">
        <v>0.57444628002088505</v>
      </c>
      <c r="L731">
        <v>1332.1998145064399</v>
      </c>
      <c r="M731">
        <v>19.5490157895753</v>
      </c>
      <c r="Q731">
        <v>0</v>
      </c>
      <c r="R731">
        <v>0.60196161189924202</v>
      </c>
      <c r="S731" t="s">
        <v>6282</v>
      </c>
      <c r="T731" t="s">
        <v>11100</v>
      </c>
      <c r="U731" t="s">
        <v>11100</v>
      </c>
      <c r="V731" t="s">
        <v>11100</v>
      </c>
      <c r="W731" t="s">
        <v>11819</v>
      </c>
      <c r="X731">
        <v>1</v>
      </c>
      <c r="Y731" t="s">
        <v>17316</v>
      </c>
      <c r="Z731" t="s">
        <v>22736</v>
      </c>
      <c r="AA731">
        <v>0.94540119459183469</v>
      </c>
      <c r="AB731" t="str">
        <f>HYPERLINK("Melting_Curves/meltCurve_F8WBK5_MRPL40.pdf", "Melting_Curves/meltCurve_F8WBK5_MRPL40.pdf")</f>
        <v>Melting_Curves/meltCurve_F8WBK5_MRPL40.pdf</v>
      </c>
    </row>
    <row r="732" spans="1:28" x14ac:dyDescent="0.25">
      <c r="A732" t="s">
        <v>736</v>
      </c>
      <c r="B732">
        <v>0.99299721793515405</v>
      </c>
      <c r="C732">
        <v>1.00374629771225</v>
      </c>
      <c r="D732">
        <v>1.2996998232219401</v>
      </c>
      <c r="E732">
        <v>0.93212216706551598</v>
      </c>
      <c r="F732">
        <v>0.81618391459095097</v>
      </c>
      <c r="G732">
        <v>0.50066154729474499</v>
      </c>
      <c r="H732">
        <v>0.17492947751872001</v>
      </c>
      <c r="I732">
        <v>0.13439054719344001</v>
      </c>
      <c r="J732">
        <v>0.13133611749928201</v>
      </c>
      <c r="K732">
        <v>8.5831579695645199E-2</v>
      </c>
      <c r="L732">
        <v>1364.4535031620301</v>
      </c>
      <c r="M732">
        <v>25.690040783056499</v>
      </c>
      <c r="N732">
        <v>53.551218684770099</v>
      </c>
      <c r="O732">
        <v>52.793461881846703</v>
      </c>
      <c r="P732">
        <v>-0.11010221822458199</v>
      </c>
      <c r="Q732">
        <v>9.4963216348594906E-2</v>
      </c>
      <c r="R732">
        <v>0.94809772233572698</v>
      </c>
      <c r="S732" t="s">
        <v>6283</v>
      </c>
      <c r="T732" t="s">
        <v>11100</v>
      </c>
      <c r="U732" t="s">
        <v>11100</v>
      </c>
      <c r="V732" t="s">
        <v>11100</v>
      </c>
      <c r="W732" t="s">
        <v>11820</v>
      </c>
      <c r="X732">
        <v>5</v>
      </c>
      <c r="Y732" t="s">
        <v>17317</v>
      </c>
      <c r="Z732" t="s">
        <v>22737</v>
      </c>
      <c r="AA732">
        <v>0.5886582368757064</v>
      </c>
      <c r="AB732" t="str">
        <f>HYPERLINK("Melting_Curves/meltCurve_F8WC68_DOM3Z.pdf", "Melting_Curves/meltCurve_F8WC68_DOM3Z.pdf")</f>
        <v>Melting_Curves/meltCurve_F8WC68_DOM3Z.pdf</v>
      </c>
    </row>
    <row r="733" spans="1:28" x14ac:dyDescent="0.25">
      <c r="A733" t="s">
        <v>737</v>
      </c>
      <c r="B733">
        <v>0.99299721793515405</v>
      </c>
      <c r="C733">
        <v>0.92159108594008299</v>
      </c>
      <c r="D733">
        <v>0.85247278552927497</v>
      </c>
      <c r="E733">
        <v>0.80249122074950396</v>
      </c>
      <c r="F733">
        <v>0.61830471473601201</v>
      </c>
      <c r="G733">
        <v>0.33028086527783102</v>
      </c>
      <c r="H733">
        <v>0.28791478503755802</v>
      </c>
      <c r="I733">
        <v>0.16770162250479601</v>
      </c>
      <c r="J733">
        <v>0.17469220078775899</v>
      </c>
      <c r="K733">
        <v>0.236340338947921</v>
      </c>
      <c r="L733">
        <v>675.58727708434401</v>
      </c>
      <c r="M733">
        <v>13.494678928994899</v>
      </c>
      <c r="N733">
        <v>51.383716836106302</v>
      </c>
      <c r="O733">
        <v>49.002218433053201</v>
      </c>
      <c r="P733">
        <v>-5.87685114758488E-2</v>
      </c>
      <c r="Q733">
        <v>0.14652356324465299</v>
      </c>
      <c r="R733">
        <v>0.97956669973092503</v>
      </c>
      <c r="S733" t="s">
        <v>6284</v>
      </c>
      <c r="T733" t="s">
        <v>11100</v>
      </c>
      <c r="U733" t="s">
        <v>11100</v>
      </c>
      <c r="V733" t="s">
        <v>11100</v>
      </c>
      <c r="W733" t="s">
        <v>11821</v>
      </c>
      <c r="X733">
        <v>1</v>
      </c>
      <c r="Y733" t="s">
        <v>17318</v>
      </c>
      <c r="Z733" t="s">
        <v>22738</v>
      </c>
      <c r="AA733">
        <v>0.53874783335813559</v>
      </c>
      <c r="AB733" t="str">
        <f>HYPERLINK("Melting_Curves/meltCurve_F8WC89_SAC3D1.pdf", "Melting_Curves/meltCurve_F8WC89_SAC3D1.pdf")</f>
        <v>Melting_Curves/meltCurve_F8WC89_SAC3D1.pdf</v>
      </c>
    </row>
    <row r="734" spans="1:28" x14ac:dyDescent="0.25">
      <c r="A734" t="s">
        <v>738</v>
      </c>
      <c r="B734">
        <v>0.99299721793515405</v>
      </c>
      <c r="C734">
        <v>0.78653860364061601</v>
      </c>
      <c r="D734">
        <v>0.76311004017168904</v>
      </c>
      <c r="E734">
        <v>0.74186598744642895</v>
      </c>
      <c r="F734">
        <v>0.67485540682867895</v>
      </c>
      <c r="G734">
        <v>0.30976426188837097</v>
      </c>
      <c r="H734">
        <v>0.166293033658797</v>
      </c>
      <c r="I734">
        <v>0.45369855482704302</v>
      </c>
      <c r="J734">
        <v>0.648232623218156</v>
      </c>
      <c r="K734">
        <v>0.477042138065771</v>
      </c>
      <c r="L734">
        <v>532.88946649458899</v>
      </c>
      <c r="M734">
        <v>11.889593833698299</v>
      </c>
      <c r="N734">
        <v>52.592900395004698</v>
      </c>
      <c r="O734">
        <v>43.608335113233402</v>
      </c>
      <c r="P734">
        <v>-3.9970175983930198E-2</v>
      </c>
      <c r="Q734">
        <v>0.413740302349694</v>
      </c>
      <c r="R734">
        <v>0.63056418764081401</v>
      </c>
      <c r="S734" t="s">
        <v>6285</v>
      </c>
      <c r="T734" t="s">
        <v>11100</v>
      </c>
      <c r="U734" t="s">
        <v>11100</v>
      </c>
      <c r="V734" t="s">
        <v>11100</v>
      </c>
      <c r="W734" t="s">
        <v>11822</v>
      </c>
      <c r="X734">
        <v>1</v>
      </c>
      <c r="Y734" t="s">
        <v>17319</v>
      </c>
      <c r="Z734" t="s">
        <v>22739</v>
      </c>
      <c r="AA734">
        <v>0.58845887717407619</v>
      </c>
      <c r="AB734" t="str">
        <f>HYPERLINK("Melting_Curves/meltCurve_F8WCX2_ZNF687.pdf", "Melting_Curves/meltCurve_F8WCX2_ZNF687.pdf")</f>
        <v>Melting_Curves/meltCurve_F8WCX2_ZNF687.pdf</v>
      </c>
    </row>
    <row r="735" spans="1:28" x14ac:dyDescent="0.25">
      <c r="A735" t="s">
        <v>739</v>
      </c>
      <c r="B735">
        <v>0.99299721793515405</v>
      </c>
      <c r="C735">
        <v>1.0158119255915901</v>
      </c>
      <c r="D735">
        <v>0.97859403670266998</v>
      </c>
      <c r="E735">
        <v>0.86900704049701605</v>
      </c>
      <c r="F735">
        <v>0.67740276516531395</v>
      </c>
      <c r="G735">
        <v>0.161429623434651</v>
      </c>
      <c r="H735">
        <v>0.52743767807805098</v>
      </c>
      <c r="I735">
        <v>0.76518059561627705</v>
      </c>
      <c r="J735">
        <v>0.69583724232533795</v>
      </c>
      <c r="K735">
        <v>0.29675974789814502</v>
      </c>
      <c r="L735">
        <v>1845.0741198001001</v>
      </c>
      <c r="M735">
        <v>38.1516053071553</v>
      </c>
      <c r="N735">
        <v>59.453880252099502</v>
      </c>
      <c r="O735">
        <v>48.2293401171735</v>
      </c>
      <c r="P735">
        <v>-9.8961081573372606E-2</v>
      </c>
      <c r="Q735">
        <v>0.499594767067848</v>
      </c>
      <c r="R735">
        <v>0.64017843646564498</v>
      </c>
      <c r="S735" t="s">
        <v>6286</v>
      </c>
      <c r="T735" t="s">
        <v>11100</v>
      </c>
      <c r="U735" t="s">
        <v>11100</v>
      </c>
      <c r="V735" t="s">
        <v>11100</v>
      </c>
      <c r="W735" t="s">
        <v>11823</v>
      </c>
      <c r="X735">
        <v>1</v>
      </c>
      <c r="Y735" t="s">
        <v>17320</v>
      </c>
      <c r="Z735" t="s">
        <v>22740</v>
      </c>
      <c r="AA735">
        <v>0.69094886564122293</v>
      </c>
      <c r="AB735" t="str">
        <f>HYPERLINK("Melting_Curves/meltCurve_F8WE91_DNMT3A.pdf", "Melting_Curves/meltCurve_F8WE91_DNMT3A.pdf")</f>
        <v>Melting_Curves/meltCurve_F8WE91_DNMT3A.pdf</v>
      </c>
    </row>
    <row r="736" spans="1:28" x14ac:dyDescent="0.25">
      <c r="A736" t="s">
        <v>740</v>
      </c>
      <c r="B736">
        <v>0.99299721793515405</v>
      </c>
      <c r="C736">
        <v>0.95657423413255005</v>
      </c>
      <c r="D736">
        <v>0.904527797860458</v>
      </c>
      <c r="E736">
        <v>0.91893202482553904</v>
      </c>
      <c r="F736">
        <v>0.58782745774191902</v>
      </c>
      <c r="G736">
        <v>0.78526891218502004</v>
      </c>
      <c r="H736">
        <v>0.63757571530663404</v>
      </c>
      <c r="I736">
        <v>1.16252615822051</v>
      </c>
      <c r="J736">
        <v>1.0889480968324099</v>
      </c>
      <c r="K736">
        <v>0.99125955297184198</v>
      </c>
      <c r="L736">
        <v>1328.83174649338</v>
      </c>
      <c r="M736">
        <v>32.685562091959397</v>
      </c>
      <c r="O736">
        <v>40.503739450624799</v>
      </c>
      <c r="P736">
        <v>-2.3799321266202E-2</v>
      </c>
      <c r="Q736">
        <v>0.88203269795509398</v>
      </c>
      <c r="R736">
        <v>4.6182446651021898E-2</v>
      </c>
      <c r="S736" t="s">
        <v>6287</v>
      </c>
      <c r="T736" t="s">
        <v>11100</v>
      </c>
      <c r="U736" t="s">
        <v>11100</v>
      </c>
      <c r="V736" t="s">
        <v>11100</v>
      </c>
      <c r="W736" t="s">
        <v>11824</v>
      </c>
      <c r="X736">
        <v>2</v>
      </c>
      <c r="Y736" t="s">
        <v>17321</v>
      </c>
      <c r="Z736" t="s">
        <v>22741</v>
      </c>
      <c r="AA736">
        <v>0.89705305777601041</v>
      </c>
      <c r="AB736" t="str">
        <f>HYPERLINK("Melting_Curves/meltCurve_F8WEE4_ZFAND2B.pdf", "Melting_Curves/meltCurve_F8WEE4_ZFAND2B.pdf")</f>
        <v>Melting_Curves/meltCurve_F8WEE4_ZFAND2B.pdf</v>
      </c>
    </row>
    <row r="737" spans="1:28" x14ac:dyDescent="0.25">
      <c r="A737" t="s">
        <v>741</v>
      </c>
      <c r="B737">
        <v>0.99299721793515405</v>
      </c>
      <c r="C737">
        <v>1.08326660202023</v>
      </c>
      <c r="D737">
        <v>1.1919734398108099</v>
      </c>
      <c r="E737">
        <v>0.94830926206847299</v>
      </c>
      <c r="F737">
        <v>0.60432016908895003</v>
      </c>
      <c r="G737">
        <v>0.56310580956837097</v>
      </c>
      <c r="H737">
        <v>0.29616382222443999</v>
      </c>
      <c r="I737">
        <v>0.199608973885394</v>
      </c>
      <c r="J737">
        <v>0.172975850586363</v>
      </c>
      <c r="K737">
        <v>0.12577223587776501</v>
      </c>
      <c r="L737">
        <v>884.19942980813801</v>
      </c>
      <c r="M737">
        <v>16.7951696833324</v>
      </c>
      <c r="N737">
        <v>53.547984962621797</v>
      </c>
      <c r="O737">
        <v>51.916682895875198</v>
      </c>
      <c r="P737">
        <v>-7.0916505559765003E-2</v>
      </c>
      <c r="Q737">
        <v>0.123197595470596</v>
      </c>
      <c r="R737">
        <v>0.94928500422685902</v>
      </c>
      <c r="S737" t="s">
        <v>6288</v>
      </c>
      <c r="T737" t="s">
        <v>11100</v>
      </c>
      <c r="U737" t="s">
        <v>11100</v>
      </c>
      <c r="V737" t="s">
        <v>11100</v>
      </c>
      <c r="W737" t="s">
        <v>11825</v>
      </c>
      <c r="X737">
        <v>7</v>
      </c>
      <c r="Y737" t="s">
        <v>17322</v>
      </c>
      <c r="Z737" t="s">
        <v>22742</v>
      </c>
      <c r="AA737">
        <v>0.59463398400250356</v>
      </c>
      <c r="AB737" t="str">
        <f>HYPERLINK("Melting_Curves/meltCurve_F8WEG4_CBWD2.pdf", "Melting_Curves/meltCurve_F8WEG4_CBWD2.pdf")</f>
        <v>Melting_Curves/meltCurve_F8WEG4_CBWD2.pdf</v>
      </c>
    </row>
    <row r="738" spans="1:28" x14ac:dyDescent="0.25">
      <c r="A738" t="s">
        <v>742</v>
      </c>
      <c r="B738">
        <v>0.99299721793515405</v>
      </c>
      <c r="C738">
        <v>0.97751135221975105</v>
      </c>
      <c r="D738">
        <v>1.09779219921763</v>
      </c>
      <c r="E738">
        <v>0.69615424146571803</v>
      </c>
      <c r="F738">
        <v>0.82621072768206005</v>
      </c>
      <c r="G738">
        <v>0.63649877869085003</v>
      </c>
      <c r="H738">
        <v>0.32249194598280101</v>
      </c>
      <c r="I738">
        <v>9.6154044626983695E-2</v>
      </c>
      <c r="J738">
        <v>8.7650927061726003E-2</v>
      </c>
      <c r="K738">
        <v>7.6390967223601405E-2</v>
      </c>
      <c r="L738">
        <v>808.56033453843497</v>
      </c>
      <c r="M738">
        <v>14.803742318012601</v>
      </c>
      <c r="N738">
        <v>54.618644438794497</v>
      </c>
      <c r="O738">
        <v>53.651032651808599</v>
      </c>
      <c r="P738">
        <v>-6.8988967033174295E-2</v>
      </c>
      <c r="Q738">
        <v>0</v>
      </c>
      <c r="R738">
        <v>0.94423048687642996</v>
      </c>
      <c r="S738" t="s">
        <v>6289</v>
      </c>
      <c r="T738" t="s">
        <v>11100</v>
      </c>
      <c r="U738" t="s">
        <v>11100</v>
      </c>
      <c r="V738" t="s">
        <v>11100</v>
      </c>
      <c r="W738" t="s">
        <v>11826</v>
      </c>
      <c r="X738">
        <v>1</v>
      </c>
      <c r="Y738" t="s">
        <v>17323</v>
      </c>
      <c r="Z738" t="s">
        <v>22743</v>
      </c>
      <c r="AA738">
        <v>0.60234791599241888</v>
      </c>
      <c r="AB738" t="str">
        <f>HYPERLINK("Melting_Curves/meltCurve_F8WF93_ALG3.pdf", "Melting_Curves/meltCurve_F8WF93_ALG3.pdf")</f>
        <v>Melting_Curves/meltCurve_F8WF93_ALG3.pdf</v>
      </c>
    </row>
    <row r="739" spans="1:28" x14ac:dyDescent="0.25">
      <c r="A739" t="s">
        <v>743</v>
      </c>
      <c r="B739">
        <v>0.99299721793515405</v>
      </c>
      <c r="C739">
        <v>0.95186317497665895</v>
      </c>
      <c r="D739">
        <v>0.84451067297557803</v>
      </c>
      <c r="E739">
        <v>0.84003182506646801</v>
      </c>
      <c r="F739">
        <v>0.704410493582596</v>
      </c>
      <c r="G739">
        <v>1.2090530713416501</v>
      </c>
      <c r="H739">
        <v>1.2236996431075</v>
      </c>
      <c r="I739">
        <v>0.40068964078189701</v>
      </c>
      <c r="J739">
        <v>0.25768004005969802</v>
      </c>
      <c r="K739">
        <v>0.16987020264684399</v>
      </c>
      <c r="L739">
        <v>15000</v>
      </c>
      <c r="M739">
        <v>247.06675132595501</v>
      </c>
      <c r="N739">
        <v>60.849741996712901</v>
      </c>
      <c r="O739">
        <v>60.708359574856097</v>
      </c>
      <c r="P739">
        <v>-0.79993246490815695</v>
      </c>
      <c r="Q739">
        <v>0.21377381001652501</v>
      </c>
      <c r="R739">
        <v>0.810932522569763</v>
      </c>
      <c r="S739" t="s">
        <v>6290</v>
      </c>
      <c r="T739" t="s">
        <v>11100</v>
      </c>
      <c r="U739" t="s">
        <v>11100</v>
      </c>
      <c r="V739" t="s">
        <v>11100</v>
      </c>
      <c r="W739" t="s">
        <v>11827</v>
      </c>
      <c r="X739">
        <v>7</v>
      </c>
      <c r="Y739" t="s">
        <v>17324</v>
      </c>
      <c r="Z739" t="s">
        <v>22744</v>
      </c>
      <c r="AA739">
        <v>0.83530160968640565</v>
      </c>
      <c r="AB739" t="str">
        <f>HYPERLINK("Melting_Curves/meltCurve_G3V0I5_NDUFV1.pdf", "Melting_Curves/meltCurve_G3V0I5_NDUFV1.pdf")</f>
        <v>Melting_Curves/meltCurve_G3V0I5_NDUFV1.pdf</v>
      </c>
    </row>
    <row r="740" spans="1:28" x14ac:dyDescent="0.25">
      <c r="A740" t="s">
        <v>744</v>
      </c>
      <c r="B740">
        <v>0.99299721793515405</v>
      </c>
      <c r="C740">
        <v>0.82395106242097105</v>
      </c>
      <c r="D740">
        <v>0.96070763369831402</v>
      </c>
      <c r="E740">
        <v>0.64160719568952296</v>
      </c>
      <c r="F740">
        <v>0.67178833030702501</v>
      </c>
      <c r="G740">
        <v>0.48404897397048802</v>
      </c>
      <c r="H740">
        <v>0.33018162198316398</v>
      </c>
      <c r="I740">
        <v>0.21696601169511501</v>
      </c>
      <c r="J740">
        <v>0.22689663527856299</v>
      </c>
      <c r="K740">
        <v>0.16689779477837399</v>
      </c>
      <c r="L740">
        <v>412.03659137776498</v>
      </c>
      <c r="M740">
        <v>7.7936651406281001</v>
      </c>
      <c r="N740">
        <v>52.8681414836107</v>
      </c>
      <c r="O740">
        <v>49.726114835240601</v>
      </c>
      <c r="P740">
        <v>-3.9231788990117103E-2</v>
      </c>
      <c r="Q740">
        <v>0</v>
      </c>
      <c r="R740">
        <v>0.95447993084900395</v>
      </c>
      <c r="S740" t="s">
        <v>6291</v>
      </c>
      <c r="T740" t="s">
        <v>11100</v>
      </c>
      <c r="U740" t="s">
        <v>11100</v>
      </c>
      <c r="V740" t="s">
        <v>11100</v>
      </c>
      <c r="W740" t="s">
        <v>11828</v>
      </c>
      <c r="X740">
        <v>2</v>
      </c>
      <c r="Y740" t="s">
        <v>17325</v>
      </c>
      <c r="Z740" t="s">
        <v>22745</v>
      </c>
      <c r="AA740">
        <v>0.55150344861685996</v>
      </c>
      <c r="AB740" t="str">
        <f>HYPERLINK("Melting_Curves/meltCurve_G3V0I6_OTUD4.pdf", "Melting_Curves/meltCurve_G3V0I6_OTUD4.pdf")</f>
        <v>Melting_Curves/meltCurve_G3V0I6_OTUD4.pdf</v>
      </c>
    </row>
    <row r="741" spans="1:28" x14ac:dyDescent="0.25">
      <c r="A741" t="s">
        <v>745</v>
      </c>
      <c r="B741">
        <v>0.99299721793515405</v>
      </c>
      <c r="C741">
        <v>1.00151628134028</v>
      </c>
      <c r="D741">
        <v>1.0385722902021399</v>
      </c>
      <c r="E741">
        <v>0.78230849292893201</v>
      </c>
      <c r="F741">
        <v>0.58607509837235305</v>
      </c>
      <c r="G741">
        <v>0.279924423930906</v>
      </c>
      <c r="H741">
        <v>0.132865941309149</v>
      </c>
      <c r="I741">
        <v>9.5768242590598102E-2</v>
      </c>
      <c r="J741">
        <v>0.103031534495881</v>
      </c>
      <c r="K741">
        <v>8.4293282929046406E-2</v>
      </c>
      <c r="L741">
        <v>970.705198894825</v>
      </c>
      <c r="M741">
        <v>19.259773835295299</v>
      </c>
      <c r="N741">
        <v>50.8100723795596</v>
      </c>
      <c r="O741">
        <v>49.866726575416202</v>
      </c>
      <c r="P741">
        <v>-8.9620002889782696E-2</v>
      </c>
      <c r="Q741">
        <v>7.1871186124188594E-2</v>
      </c>
      <c r="R741">
        <v>0.99333977193329903</v>
      </c>
      <c r="S741" t="s">
        <v>6292</v>
      </c>
      <c r="T741" t="s">
        <v>11100</v>
      </c>
      <c r="U741" t="s">
        <v>11100</v>
      </c>
      <c r="V741" t="s">
        <v>11100</v>
      </c>
      <c r="W741" t="s">
        <v>11829</v>
      </c>
      <c r="X741">
        <v>2</v>
      </c>
      <c r="Y741" t="s">
        <v>17326</v>
      </c>
      <c r="Z741" t="s">
        <v>22746</v>
      </c>
      <c r="AA741">
        <v>0.49946712139985933</v>
      </c>
      <c r="AB741" t="str">
        <f>HYPERLINK("Melting_Curves/meltCurve_G3V130_MTERFD1.pdf", "Melting_Curves/meltCurve_G3V130_MTERFD1.pdf")</f>
        <v>Melting_Curves/meltCurve_G3V130_MTERFD1.pdf</v>
      </c>
    </row>
    <row r="742" spans="1:28" x14ac:dyDescent="0.25">
      <c r="A742" t="s">
        <v>746</v>
      </c>
      <c r="B742">
        <v>0.99299721793515405</v>
      </c>
      <c r="C742">
        <v>1.0408996291349799</v>
      </c>
      <c r="D742">
        <v>1.0178057156137399</v>
      </c>
      <c r="E742">
        <v>0.89052744434659004</v>
      </c>
      <c r="F742">
        <v>0.78917739031492096</v>
      </c>
      <c r="G742">
        <v>0.63279121742781097</v>
      </c>
      <c r="H742">
        <v>0.35510066098395698</v>
      </c>
      <c r="I742">
        <v>0.147542340639365</v>
      </c>
      <c r="J742">
        <v>0.11636772035583599</v>
      </c>
      <c r="K742">
        <v>9.08189261659475E-2</v>
      </c>
      <c r="L742">
        <v>820.11057758919196</v>
      </c>
      <c r="M742">
        <v>14.8884048141959</v>
      </c>
      <c r="N742">
        <v>55.101021529023001</v>
      </c>
      <c r="O742">
        <v>54.118737298035498</v>
      </c>
      <c r="P742">
        <v>-6.8624479290244206E-2</v>
      </c>
      <c r="Q742">
        <v>2.3151789647906399E-3</v>
      </c>
      <c r="R742">
        <v>0.99267777452113104</v>
      </c>
      <c r="S742" t="s">
        <v>6293</v>
      </c>
      <c r="T742" t="s">
        <v>11100</v>
      </c>
      <c r="U742" t="s">
        <v>11100</v>
      </c>
      <c r="V742" t="s">
        <v>11100</v>
      </c>
      <c r="W742" t="s">
        <v>11830</v>
      </c>
      <c r="X742">
        <v>27</v>
      </c>
      <c r="Y742" t="s">
        <v>17327</v>
      </c>
      <c r="Z742" t="s">
        <v>22747</v>
      </c>
      <c r="AA742">
        <v>0.61762030683702962</v>
      </c>
      <c r="AB742" t="str">
        <f>HYPERLINK("Melting_Curves/meltCurve_G3V1D3_DPP3.pdf", "Melting_Curves/meltCurve_G3V1D3_DPP3.pdf")</f>
        <v>Melting_Curves/meltCurve_G3V1D3_DPP3.pdf</v>
      </c>
    </row>
    <row r="743" spans="1:28" x14ac:dyDescent="0.25">
      <c r="A743" t="s">
        <v>747</v>
      </c>
      <c r="B743">
        <v>0.99299721793515405</v>
      </c>
      <c r="C743">
        <v>1.0870910633746</v>
      </c>
      <c r="D743">
        <v>0.87471439571520704</v>
      </c>
      <c r="E743">
        <v>0.89844768710684597</v>
      </c>
      <c r="F743">
        <v>0.74707303209904297</v>
      </c>
      <c r="G743">
        <v>0.25239475753129997</v>
      </c>
      <c r="H743">
        <v>0.16743748984331999</v>
      </c>
      <c r="I743">
        <v>0.103906796930867</v>
      </c>
      <c r="J743">
        <v>9.1165232115101899E-2</v>
      </c>
      <c r="K743">
        <v>7.7568411452488495E-2</v>
      </c>
      <c r="L743">
        <v>1511.85195973604</v>
      </c>
      <c r="M743">
        <v>29.359219308970498</v>
      </c>
      <c r="N743">
        <v>51.846839299108602</v>
      </c>
      <c r="O743">
        <v>51.2578331989925</v>
      </c>
      <c r="P743">
        <v>-0.130260034103164</v>
      </c>
      <c r="Q743">
        <v>9.0330119416733495E-2</v>
      </c>
      <c r="R743">
        <v>0.98087629524233799</v>
      </c>
      <c r="S743" t="s">
        <v>6294</v>
      </c>
      <c r="T743" t="s">
        <v>11100</v>
      </c>
      <c r="U743" t="s">
        <v>11100</v>
      </c>
      <c r="V743" t="s">
        <v>11100</v>
      </c>
      <c r="W743" t="s">
        <v>11831</v>
      </c>
      <c r="X743">
        <v>4</v>
      </c>
      <c r="Y743" t="s">
        <v>17328</v>
      </c>
      <c r="Z743" t="s">
        <v>22748</v>
      </c>
      <c r="AA743">
        <v>0.53579912322133938</v>
      </c>
      <c r="AB743" t="str">
        <f>HYPERLINK("Melting_Curves/meltCurve_G3V1K3_PON2.pdf", "Melting_Curves/meltCurve_G3V1K3_PON2.pdf")</f>
        <v>Melting_Curves/meltCurve_G3V1K3_PON2.pdf</v>
      </c>
    </row>
    <row r="744" spans="1:28" x14ac:dyDescent="0.25">
      <c r="A744" t="s">
        <v>748</v>
      </c>
      <c r="B744">
        <v>0.99299721793515405</v>
      </c>
      <c r="C744">
        <v>0.73986225749257895</v>
      </c>
      <c r="D744">
        <v>0.86144854724716002</v>
      </c>
      <c r="E744">
        <v>0.88736921312766004</v>
      </c>
      <c r="F744">
        <v>0.80504114074240896</v>
      </c>
      <c r="G744">
        <v>2.05339589933046</v>
      </c>
      <c r="H744">
        <v>0.91436210006194596</v>
      </c>
      <c r="I744">
        <v>0.93809261064220595</v>
      </c>
      <c r="J744">
        <v>0.52514981419846496</v>
      </c>
      <c r="K744">
        <v>0.40133257498879099</v>
      </c>
      <c r="L744">
        <v>4276.2949282872196</v>
      </c>
      <c r="M744">
        <v>67.971502988244296</v>
      </c>
      <c r="N744">
        <v>64.358437758864198</v>
      </c>
      <c r="O744">
        <v>62.858666083758301</v>
      </c>
      <c r="P744">
        <v>-0.16453805739694799</v>
      </c>
      <c r="Q744">
        <v>0.39135434048090001</v>
      </c>
      <c r="R744">
        <v>0.28913786845073802</v>
      </c>
      <c r="S744" t="s">
        <v>6295</v>
      </c>
      <c r="T744" t="s">
        <v>11100</v>
      </c>
      <c r="U744" t="s">
        <v>11100</v>
      </c>
      <c r="V744" t="s">
        <v>11100</v>
      </c>
      <c r="W744" t="s">
        <v>11832</v>
      </c>
      <c r="X744">
        <v>5</v>
      </c>
      <c r="Y744" t="s">
        <v>17329</v>
      </c>
      <c r="Z744" t="s">
        <v>22749</v>
      </c>
      <c r="AA744">
        <v>0.91764949106992799</v>
      </c>
      <c r="AB744" t="str">
        <f>HYPERLINK("Melting_Curves/meltCurve_G3V1N2_HBA2.pdf", "Melting_Curves/meltCurve_G3V1N2_HBA2.pdf")</f>
        <v>Melting_Curves/meltCurve_G3V1N2_HBA2.pdf</v>
      </c>
    </row>
    <row r="745" spans="1:28" x14ac:dyDescent="0.25">
      <c r="A745" t="s">
        <v>749</v>
      </c>
      <c r="B745">
        <v>0.99299721793515405</v>
      </c>
      <c r="C745">
        <v>0.92980769652915796</v>
      </c>
      <c r="D745">
        <v>1.0420038212996401</v>
      </c>
      <c r="E745">
        <v>0.90892575069147097</v>
      </c>
      <c r="F745">
        <v>0.78290653864555404</v>
      </c>
      <c r="G745">
        <v>0.69076169214733196</v>
      </c>
      <c r="H745">
        <v>0.64000272255774704</v>
      </c>
      <c r="I745">
        <v>0.56477110492551497</v>
      </c>
      <c r="J745">
        <v>0.37136493589841002</v>
      </c>
      <c r="K745">
        <v>0.218145854404203</v>
      </c>
      <c r="L745">
        <v>500.18000916350098</v>
      </c>
      <c r="M745">
        <v>8.3089920571000402</v>
      </c>
      <c r="N745">
        <v>60.197428100065899</v>
      </c>
      <c r="O745">
        <v>57.013004155135903</v>
      </c>
      <c r="P745">
        <v>-3.6470390854543497E-2</v>
      </c>
      <c r="Q745">
        <v>0</v>
      </c>
      <c r="R745">
        <v>0.95393605031534601</v>
      </c>
      <c r="S745" t="s">
        <v>6296</v>
      </c>
      <c r="T745" t="s">
        <v>11100</v>
      </c>
      <c r="U745" t="s">
        <v>11100</v>
      </c>
      <c r="V745" t="s">
        <v>11100</v>
      </c>
      <c r="W745" t="s">
        <v>11833</v>
      </c>
      <c r="X745">
        <v>7</v>
      </c>
      <c r="Y745" t="s">
        <v>17330</v>
      </c>
      <c r="Z745" t="s">
        <v>22750</v>
      </c>
      <c r="AA745">
        <v>0.73057701981937295</v>
      </c>
      <c r="AB745" t="str">
        <f>HYPERLINK("Melting_Curves/meltCurve_G3V1P3_LOH12CR1.pdf", "Melting_Curves/meltCurve_G3V1P3_LOH12CR1.pdf")</f>
        <v>Melting_Curves/meltCurve_G3V1P3_LOH12CR1.pdf</v>
      </c>
    </row>
    <row r="746" spans="1:28" x14ac:dyDescent="0.25">
      <c r="A746" t="s">
        <v>750</v>
      </c>
      <c r="B746">
        <v>0.99299721793515405</v>
      </c>
      <c r="C746">
        <v>0.74740362105977498</v>
      </c>
      <c r="D746">
        <v>1.1787885535335101</v>
      </c>
      <c r="E746">
        <v>0.79531726405881698</v>
      </c>
      <c r="F746">
        <v>0.59706001168050504</v>
      </c>
      <c r="G746">
        <v>0.35367900951366299</v>
      </c>
      <c r="H746">
        <v>0.233817940806087</v>
      </c>
      <c r="I746">
        <v>0.36037863579570301</v>
      </c>
      <c r="J746">
        <v>0.410984848802116</v>
      </c>
      <c r="K746">
        <v>0.221285936244704</v>
      </c>
      <c r="L746">
        <v>1280.7019763568501</v>
      </c>
      <c r="M746">
        <v>26.068609428937599</v>
      </c>
      <c r="N746">
        <v>50.940686170783799</v>
      </c>
      <c r="O746">
        <v>48.841767404504303</v>
      </c>
      <c r="P746">
        <v>-9.3105892536089405E-2</v>
      </c>
      <c r="Q746">
        <v>0.30224063792327499</v>
      </c>
      <c r="R746">
        <v>0.86131243495919396</v>
      </c>
      <c r="S746" t="s">
        <v>6297</v>
      </c>
      <c r="T746" t="s">
        <v>11100</v>
      </c>
      <c r="U746" t="s">
        <v>11100</v>
      </c>
      <c r="V746" t="s">
        <v>11100</v>
      </c>
      <c r="W746" t="s">
        <v>11834</v>
      </c>
      <c r="X746">
        <v>1</v>
      </c>
      <c r="Y746" t="s">
        <v>17331</v>
      </c>
      <c r="Z746" t="s">
        <v>22751</v>
      </c>
      <c r="AA746">
        <v>0.58989124102276402</v>
      </c>
      <c r="AB746" t="str">
        <f>HYPERLINK("Melting_Curves/meltCurve_G3V1R3_ZEB1.pdf", "Melting_Curves/meltCurve_G3V1R3_ZEB1.pdf")</f>
        <v>Melting_Curves/meltCurve_G3V1R3_ZEB1.pdf</v>
      </c>
    </row>
    <row r="747" spans="1:28" x14ac:dyDescent="0.25">
      <c r="A747" t="s">
        <v>751</v>
      </c>
      <c r="B747">
        <v>0.99299721793515405</v>
      </c>
      <c r="C747">
        <v>0.94976611585825299</v>
      </c>
      <c r="D747">
        <v>0.880621607175329</v>
      </c>
      <c r="E747">
        <v>0.81852311769682495</v>
      </c>
      <c r="F747">
        <v>0.73971766372066305</v>
      </c>
      <c r="G747">
        <v>0.72691401848462001</v>
      </c>
      <c r="H747">
        <v>0.90451455918947199</v>
      </c>
      <c r="I747">
        <v>1.06182090679361</v>
      </c>
      <c r="J747">
        <v>1.00402410560156</v>
      </c>
      <c r="K747">
        <v>0.79919244772678</v>
      </c>
      <c r="L747">
        <v>1704.16086308015</v>
      </c>
      <c r="M747">
        <v>42.185987750047502</v>
      </c>
      <c r="O747">
        <v>40.3059186757391</v>
      </c>
      <c r="P747">
        <v>-3.5169210911771998E-2</v>
      </c>
      <c r="Q747">
        <v>0.86559282563753204</v>
      </c>
      <c r="R747">
        <v>0.15486040004691101</v>
      </c>
      <c r="S747" t="s">
        <v>6298</v>
      </c>
      <c r="T747" t="s">
        <v>11100</v>
      </c>
      <c r="U747" t="s">
        <v>11100</v>
      </c>
      <c r="V747" t="s">
        <v>11100</v>
      </c>
      <c r="W747" t="s">
        <v>11835</v>
      </c>
      <c r="X747">
        <v>18</v>
      </c>
      <c r="Y747" t="s">
        <v>17332</v>
      </c>
      <c r="Z747" t="s">
        <v>22752</v>
      </c>
      <c r="AA747">
        <v>0.88121767964238873</v>
      </c>
      <c r="AB747" t="str">
        <f>HYPERLINK("Melting_Curves/meltCurve_G3V1R9_ISYNA1.pdf", "Melting_Curves/meltCurve_G3V1R9_ISYNA1.pdf")</f>
        <v>Melting_Curves/meltCurve_G3V1R9_ISYNA1.pdf</v>
      </c>
    </row>
    <row r="748" spans="1:28" x14ac:dyDescent="0.25">
      <c r="A748" t="s">
        <v>752</v>
      </c>
      <c r="B748">
        <v>0.99299721793515405</v>
      </c>
      <c r="C748">
        <v>0.93673551686716405</v>
      </c>
      <c r="D748">
        <v>0.99081764087116597</v>
      </c>
      <c r="E748">
        <v>0.87262403223407803</v>
      </c>
      <c r="F748">
        <v>0.76131077586430895</v>
      </c>
      <c r="G748">
        <v>0.53035770082525902</v>
      </c>
      <c r="H748">
        <v>0.23621280438669101</v>
      </c>
      <c r="I748">
        <v>0.20195744758311401</v>
      </c>
      <c r="J748">
        <v>0.20074488422843201</v>
      </c>
      <c r="K748">
        <v>0.17589745579748001</v>
      </c>
      <c r="L748">
        <v>953.09317004940306</v>
      </c>
      <c r="M748">
        <v>18.119508245408301</v>
      </c>
      <c r="N748">
        <v>53.620026785251703</v>
      </c>
      <c r="O748">
        <v>51.972254940246401</v>
      </c>
      <c r="P748">
        <v>-7.4461130739031198E-2</v>
      </c>
      <c r="Q748">
        <v>0.14573248414012199</v>
      </c>
      <c r="R748">
        <v>0.98851427532907798</v>
      </c>
      <c r="S748" t="s">
        <v>6299</v>
      </c>
      <c r="T748" t="s">
        <v>11100</v>
      </c>
      <c r="U748" t="s">
        <v>11100</v>
      </c>
      <c r="V748" t="s">
        <v>11100</v>
      </c>
      <c r="W748" t="s">
        <v>11836</v>
      </c>
      <c r="X748">
        <v>10</v>
      </c>
      <c r="Y748" t="s">
        <v>17333</v>
      </c>
      <c r="Z748" t="s">
        <v>22753</v>
      </c>
      <c r="AA748">
        <v>0.60249271785032432</v>
      </c>
      <c r="AB748" t="str">
        <f>HYPERLINK("Melting_Curves/meltCurve_G3V1S6_GALNT2.pdf", "Melting_Curves/meltCurve_G3V1S6_GALNT2.pdf")</f>
        <v>Melting_Curves/meltCurve_G3V1S6_GALNT2.pdf</v>
      </c>
    </row>
    <row r="749" spans="1:28" x14ac:dyDescent="0.25">
      <c r="A749" t="s">
        <v>753</v>
      </c>
      <c r="B749">
        <v>0.99299721793515405</v>
      </c>
      <c r="C749">
        <v>0.98350706336003602</v>
      </c>
      <c r="D749">
        <v>0.88481924715239302</v>
      </c>
      <c r="E749">
        <v>0.82723642942383502</v>
      </c>
      <c r="F749">
        <v>0.57231061844396802</v>
      </c>
      <c r="G749">
        <v>0.21953104090745301</v>
      </c>
      <c r="H749">
        <v>0.23655757166229099</v>
      </c>
      <c r="I749">
        <v>0.248125846573097</v>
      </c>
      <c r="J749">
        <v>0.23659068677866901</v>
      </c>
      <c r="K749">
        <v>0.19016643280189699</v>
      </c>
      <c r="L749">
        <v>1120.39512331634</v>
      </c>
      <c r="M749">
        <v>22.739500946650999</v>
      </c>
      <c r="N749">
        <v>50.434943997978898</v>
      </c>
      <c r="O749">
        <v>48.894574534130697</v>
      </c>
      <c r="P749">
        <v>-9.2530769614829395E-2</v>
      </c>
      <c r="Q749">
        <v>0.20417532247589701</v>
      </c>
      <c r="R749">
        <v>0.98144567152169204</v>
      </c>
      <c r="S749" t="s">
        <v>6300</v>
      </c>
      <c r="T749" t="s">
        <v>11100</v>
      </c>
      <c r="U749" t="s">
        <v>11100</v>
      </c>
      <c r="V749" t="s">
        <v>11100</v>
      </c>
      <c r="W749" t="s">
        <v>11837</v>
      </c>
      <c r="X749">
        <v>8</v>
      </c>
      <c r="Y749" t="s">
        <v>17334</v>
      </c>
      <c r="Z749" t="s">
        <v>22754</v>
      </c>
      <c r="AA749">
        <v>0.53796308894533007</v>
      </c>
      <c r="AB749" t="str">
        <f>HYPERLINK("Melting_Curves/meltCurve_G3V1U0_ATF7IP.pdf", "Melting_Curves/meltCurve_G3V1U0_ATF7IP.pdf")</f>
        <v>Melting_Curves/meltCurve_G3V1U0_ATF7IP.pdf</v>
      </c>
    </row>
    <row r="750" spans="1:28" x14ac:dyDescent="0.25">
      <c r="A750" t="s">
        <v>754</v>
      </c>
      <c r="B750">
        <v>0.99299721793515405</v>
      </c>
      <c r="C750">
        <v>1.1208841373859999</v>
      </c>
      <c r="D750">
        <v>0.93019735922941604</v>
      </c>
      <c r="E750">
        <v>0.95752536114215703</v>
      </c>
      <c r="F750">
        <v>0.83991227997747897</v>
      </c>
      <c r="G750">
        <v>0.63651163470761596</v>
      </c>
      <c r="H750">
        <v>0.63320306195716602</v>
      </c>
      <c r="I750">
        <v>0.64768251720344705</v>
      </c>
      <c r="J750">
        <v>0.67973810612282204</v>
      </c>
      <c r="K750">
        <v>0.44548600213370798</v>
      </c>
      <c r="L750">
        <v>1134.0351863599301</v>
      </c>
      <c r="M750">
        <v>22.3038110179405</v>
      </c>
      <c r="O750">
        <v>50.441473549464497</v>
      </c>
      <c r="P750">
        <v>-4.6074118013146398E-2</v>
      </c>
      <c r="Q750">
        <v>0.58321079298862</v>
      </c>
      <c r="R750">
        <v>0.86923257352732997</v>
      </c>
      <c r="S750" t="s">
        <v>6301</v>
      </c>
      <c r="T750" t="s">
        <v>11100</v>
      </c>
      <c r="U750" t="s">
        <v>11100</v>
      </c>
      <c r="V750" t="s">
        <v>11100</v>
      </c>
      <c r="W750" t="s">
        <v>11838</v>
      </c>
      <c r="X750">
        <v>1</v>
      </c>
      <c r="Y750" t="s">
        <v>17335</v>
      </c>
      <c r="Z750" t="s">
        <v>22755</v>
      </c>
      <c r="AA750">
        <v>0.78008158870731203</v>
      </c>
      <c r="AB750" t="str">
        <f>HYPERLINK("Melting_Curves/meltCurve_G3V1U5_GOLT1B.pdf", "Melting_Curves/meltCurve_G3V1U5_GOLT1B.pdf")</f>
        <v>Melting_Curves/meltCurve_G3V1U5_GOLT1B.pdf</v>
      </c>
    </row>
    <row r="751" spans="1:28" x14ac:dyDescent="0.25">
      <c r="A751" t="s">
        <v>755</v>
      </c>
      <c r="B751">
        <v>0.99299721793515405</v>
      </c>
      <c r="C751">
        <v>0.94357458674333505</v>
      </c>
      <c r="D751">
        <v>0.94674553845687304</v>
      </c>
      <c r="E751">
        <v>0.87355821197802497</v>
      </c>
      <c r="F751">
        <v>0.93054663568192597</v>
      </c>
      <c r="G751">
        <v>0.77838966667291398</v>
      </c>
      <c r="H751">
        <v>0.44249614684862498</v>
      </c>
      <c r="I751">
        <v>0.31968128886588698</v>
      </c>
      <c r="J751">
        <v>0.28584404815668402</v>
      </c>
      <c r="K751">
        <v>0.268958342582445</v>
      </c>
      <c r="L751">
        <v>1389.54510995859</v>
      </c>
      <c r="M751">
        <v>25.153276235439399</v>
      </c>
      <c r="N751">
        <v>56.875321715363803</v>
      </c>
      <c r="O751">
        <v>54.8974822472005</v>
      </c>
      <c r="P751">
        <v>-8.5100770995495706E-2</v>
      </c>
      <c r="Q751">
        <v>0.25707383779769599</v>
      </c>
      <c r="R751">
        <v>0.97450809848323805</v>
      </c>
      <c r="S751" t="s">
        <v>6302</v>
      </c>
      <c r="T751" t="s">
        <v>11100</v>
      </c>
      <c r="U751" t="s">
        <v>11100</v>
      </c>
      <c r="V751" t="s">
        <v>11100</v>
      </c>
      <c r="W751" t="s">
        <v>11839</v>
      </c>
      <c r="X751">
        <v>6</v>
      </c>
      <c r="Y751" t="s">
        <v>17336</v>
      </c>
      <c r="Z751" t="s">
        <v>22756</v>
      </c>
      <c r="AA751">
        <v>0.7150543483044437</v>
      </c>
      <c r="AB751" t="str">
        <f>HYPERLINK("Melting_Curves/meltCurve_G3V203_RPL18.pdf", "Melting_Curves/meltCurve_G3V203_RPL18.pdf")</f>
        <v>Melting_Curves/meltCurve_G3V203_RPL18.pdf</v>
      </c>
    </row>
    <row r="752" spans="1:28" x14ac:dyDescent="0.25">
      <c r="A752" t="s">
        <v>756</v>
      </c>
      <c r="B752">
        <v>0.99299721793515405</v>
      </c>
      <c r="C752">
        <v>1.10298079791404</v>
      </c>
      <c r="D752">
        <v>1.08927462555819</v>
      </c>
      <c r="E752">
        <v>0.94841579876792304</v>
      </c>
      <c r="F752">
        <v>0.72917932463601898</v>
      </c>
      <c r="G752">
        <v>0.30703747731094899</v>
      </c>
      <c r="H752">
        <v>0.15333061375996701</v>
      </c>
      <c r="I752">
        <v>0.125233256283105</v>
      </c>
      <c r="J752">
        <v>6.8537579892693004E-2</v>
      </c>
      <c r="K752">
        <v>7.9168331653086899E-2</v>
      </c>
      <c r="L752">
        <v>1456.87609695113</v>
      </c>
      <c r="M752">
        <v>28.178457384243799</v>
      </c>
      <c r="N752">
        <v>52.056908801023297</v>
      </c>
      <c r="O752">
        <v>51.443481022691401</v>
      </c>
      <c r="P752">
        <v>-0.12496539446879</v>
      </c>
      <c r="Q752">
        <v>8.7444557485674507E-2</v>
      </c>
      <c r="R752">
        <v>0.98860388889956596</v>
      </c>
      <c r="S752" t="s">
        <v>6303</v>
      </c>
      <c r="T752" t="s">
        <v>11100</v>
      </c>
      <c r="U752" t="s">
        <v>11100</v>
      </c>
      <c r="V752" t="s">
        <v>11100</v>
      </c>
      <c r="W752" t="s">
        <v>11840</v>
      </c>
      <c r="X752">
        <v>1</v>
      </c>
      <c r="Y752" t="s">
        <v>17337</v>
      </c>
      <c r="Z752" t="s">
        <v>22757</v>
      </c>
      <c r="AA752">
        <v>0.5411186033646127</v>
      </c>
      <c r="AB752" t="str">
        <f>HYPERLINK("Melting_Curves/meltCurve_G3V238_METTL10.pdf", "Melting_Curves/meltCurve_G3V238_METTL10.pdf")</f>
        <v>Melting_Curves/meltCurve_G3V238_METTL10.pdf</v>
      </c>
    </row>
    <row r="753" spans="1:28" x14ac:dyDescent="0.25">
      <c r="A753" t="s">
        <v>757</v>
      </c>
      <c r="B753">
        <v>0.99299721793515405</v>
      </c>
      <c r="C753">
        <v>1.0193336672254001</v>
      </c>
      <c r="D753">
        <v>0.72666467782781896</v>
      </c>
      <c r="E753">
        <v>0.791108676488948</v>
      </c>
      <c r="F753">
        <v>0.54307634508336</v>
      </c>
      <c r="G753">
        <v>0.55625891534489103</v>
      </c>
      <c r="H753">
        <v>0.46727806272153999</v>
      </c>
      <c r="I753">
        <v>0.44577501779817302</v>
      </c>
      <c r="J753">
        <v>0.21843473182408499</v>
      </c>
      <c r="K753">
        <v>0.13452072547536001</v>
      </c>
      <c r="L753">
        <v>358.52485897005198</v>
      </c>
      <c r="M753">
        <v>6.5842065193327199</v>
      </c>
      <c r="N753">
        <v>54.452249927891501</v>
      </c>
      <c r="O753">
        <v>50.085469398377299</v>
      </c>
      <c r="P753">
        <v>-3.2941043039409798E-2</v>
      </c>
      <c r="Q753">
        <v>0</v>
      </c>
      <c r="R753">
        <v>0.916492519960456</v>
      </c>
      <c r="S753" t="s">
        <v>6304</v>
      </c>
      <c r="T753" t="s">
        <v>11100</v>
      </c>
      <c r="U753" t="s">
        <v>11100</v>
      </c>
      <c r="V753" t="s">
        <v>11100</v>
      </c>
      <c r="W753" t="s">
        <v>11841</v>
      </c>
      <c r="X753">
        <v>6</v>
      </c>
      <c r="Y753" t="s">
        <v>17338</v>
      </c>
      <c r="Z753" t="s">
        <v>22758</v>
      </c>
      <c r="AA753">
        <v>0.58694819900060269</v>
      </c>
      <c r="AB753" t="str">
        <f>HYPERLINK("Melting_Curves/meltCurve_G3V2F7_TMEM189.pdf", "Melting_Curves/meltCurve_G3V2F7_TMEM189.pdf")</f>
        <v>Melting_Curves/meltCurve_G3V2F7_TMEM189.pdf</v>
      </c>
    </row>
    <row r="754" spans="1:28" x14ac:dyDescent="0.25">
      <c r="A754" t="s">
        <v>758</v>
      </c>
      <c r="B754">
        <v>0.99299721793515405</v>
      </c>
      <c r="C754">
        <v>0.98911149314863001</v>
      </c>
      <c r="D754">
        <v>0.87843313354159303</v>
      </c>
      <c r="E754">
        <v>0.68639449011577602</v>
      </c>
      <c r="F754">
        <v>0.65090988500270097</v>
      </c>
      <c r="G754">
        <v>6.8608233633340204E-2</v>
      </c>
      <c r="H754">
        <v>8.47421533710946E-2</v>
      </c>
      <c r="I754">
        <v>0.12801581055140701</v>
      </c>
      <c r="J754">
        <v>7.1117827329846395E-2</v>
      </c>
      <c r="K754">
        <v>2.51696639496981E-2</v>
      </c>
      <c r="L754">
        <v>838.50452144105395</v>
      </c>
      <c r="M754">
        <v>16.866987178442301</v>
      </c>
      <c r="N754">
        <v>49.843353693696002</v>
      </c>
      <c r="O754">
        <v>49.029737316473401</v>
      </c>
      <c r="P754">
        <v>-8.4150250264043505E-2</v>
      </c>
      <c r="Q754">
        <v>2.16147636067365E-2</v>
      </c>
      <c r="R754">
        <v>0.95261038553827604</v>
      </c>
      <c r="S754" t="s">
        <v>6305</v>
      </c>
      <c r="T754" t="s">
        <v>11100</v>
      </c>
      <c r="U754" t="s">
        <v>11100</v>
      </c>
      <c r="V754" t="s">
        <v>11100</v>
      </c>
      <c r="W754" t="s">
        <v>11842</v>
      </c>
      <c r="X754">
        <v>1</v>
      </c>
      <c r="Y754" t="s">
        <v>17339</v>
      </c>
      <c r="Z754" t="s">
        <v>22759</v>
      </c>
      <c r="AA754">
        <v>0.45342256781907808</v>
      </c>
      <c r="AB754" t="str">
        <f>HYPERLINK("Melting_Curves/meltCurve_G3V2J7_CDKN3.pdf", "Melting_Curves/meltCurve_G3V2J7_CDKN3.pdf")</f>
        <v>Melting_Curves/meltCurve_G3V2J7_CDKN3.pdf</v>
      </c>
    </row>
    <row r="755" spans="1:28" x14ac:dyDescent="0.25">
      <c r="A755" t="s">
        <v>759</v>
      </c>
      <c r="B755">
        <v>0.99299721793515405</v>
      </c>
      <c r="C755">
        <v>1.24794042661252</v>
      </c>
      <c r="D755">
        <v>1.00611286335732</v>
      </c>
      <c r="E755">
        <v>0.79391830761578397</v>
      </c>
      <c r="F755">
        <v>0.94092555040867998</v>
      </c>
      <c r="G755">
        <v>0.19796236599556799</v>
      </c>
      <c r="H755">
        <v>0.45883806836383301</v>
      </c>
      <c r="I755">
        <v>0.172710351044013</v>
      </c>
      <c r="J755">
        <v>0.15222795918457399</v>
      </c>
      <c r="K755">
        <v>9.3348158163747502E-2</v>
      </c>
      <c r="L755">
        <v>12675.932861896001</v>
      </c>
      <c r="M755">
        <v>250</v>
      </c>
      <c r="N755">
        <v>50.818006970779699</v>
      </c>
      <c r="O755">
        <v>50.700510535405201</v>
      </c>
      <c r="P755">
        <v>-0.96767155247219905</v>
      </c>
      <c r="Q755">
        <v>0.21501729870605599</v>
      </c>
      <c r="R755">
        <v>0.89247318404063802</v>
      </c>
      <c r="S755" t="s">
        <v>6306</v>
      </c>
      <c r="T755" t="s">
        <v>11100</v>
      </c>
      <c r="U755" t="s">
        <v>11100</v>
      </c>
      <c r="V755" t="s">
        <v>11100</v>
      </c>
      <c r="W755" t="s">
        <v>11843</v>
      </c>
      <c r="X755">
        <v>1</v>
      </c>
      <c r="Y755" t="s">
        <v>17340</v>
      </c>
      <c r="Z755" t="s">
        <v>22760</v>
      </c>
      <c r="AA755">
        <v>0.57366022079487811</v>
      </c>
      <c r="AB755" t="str">
        <f>HYPERLINK("Melting_Curves/meltCurve_G3V2N2_SIX4.pdf", "Melting_Curves/meltCurve_G3V2N2_SIX4.pdf")</f>
        <v>Melting_Curves/meltCurve_G3V2N2_SIX4.pdf</v>
      </c>
    </row>
    <row r="756" spans="1:28" x14ac:dyDescent="0.25">
      <c r="A756" t="s">
        <v>760</v>
      </c>
      <c r="B756">
        <v>0.99299721793515405</v>
      </c>
      <c r="C756">
        <v>1.0801551767200299</v>
      </c>
      <c r="D756">
        <v>0.95546990143339905</v>
      </c>
      <c r="E756">
        <v>0.86530435445147302</v>
      </c>
      <c r="F756">
        <v>0.47897416789646802</v>
      </c>
      <c r="G756">
        <v>0.46358366899303399</v>
      </c>
      <c r="H756">
        <v>0.45396459849627802</v>
      </c>
      <c r="I756">
        <v>0.43743171025566302</v>
      </c>
      <c r="J756">
        <v>0.37897235109135502</v>
      </c>
      <c r="K756">
        <v>0.31448026212792501</v>
      </c>
      <c r="L756">
        <v>1879.4142552798701</v>
      </c>
      <c r="M756">
        <v>39.180497560205701</v>
      </c>
      <c r="N756">
        <v>50.096754855418297</v>
      </c>
      <c r="O756">
        <v>47.843656791564598</v>
      </c>
      <c r="P756">
        <v>-0.121736322421825</v>
      </c>
      <c r="Q756">
        <v>0.40538807985743902</v>
      </c>
      <c r="R756">
        <v>0.97034640979532205</v>
      </c>
      <c r="S756" t="s">
        <v>6307</v>
      </c>
      <c r="T756" t="s">
        <v>11100</v>
      </c>
      <c r="U756" t="s">
        <v>11100</v>
      </c>
      <c r="V756" t="s">
        <v>11100</v>
      </c>
      <c r="W756" t="s">
        <v>11844</v>
      </c>
      <c r="X756">
        <v>6</v>
      </c>
      <c r="Y756" t="s">
        <v>17341</v>
      </c>
      <c r="Z756" t="s">
        <v>22761</v>
      </c>
      <c r="AA756">
        <v>0.62483592660153886</v>
      </c>
      <c r="AB756" t="str">
        <f>HYPERLINK("Melting_Curves/meltCurve_G3V325_ATP5J2_PTCD1.pdf", "Melting_Curves/meltCurve_G3V325_ATP5J2_PTCD1.pdf")</f>
        <v>Melting_Curves/meltCurve_G3V325_ATP5J2_PTCD1.pdf</v>
      </c>
    </row>
    <row r="757" spans="1:28" x14ac:dyDescent="0.25">
      <c r="A757" t="s">
        <v>761</v>
      </c>
      <c r="B757">
        <v>0.99299721793515405</v>
      </c>
      <c r="C757">
        <v>0.85163544484114595</v>
      </c>
      <c r="D757">
        <v>0.86532283251884001</v>
      </c>
      <c r="E757">
        <v>0.66218546721177496</v>
      </c>
      <c r="F757">
        <v>0.67241618126243297</v>
      </c>
      <c r="G757">
        <v>0.79507783272605603</v>
      </c>
      <c r="H757">
        <v>0.55288714395463101</v>
      </c>
      <c r="I757">
        <v>0.19829061208323001</v>
      </c>
      <c r="J757">
        <v>0.140654335688849</v>
      </c>
      <c r="K757">
        <v>9.8986828341093194E-2</v>
      </c>
      <c r="L757">
        <v>461.197012615147</v>
      </c>
      <c r="M757">
        <v>8.3549826542124794</v>
      </c>
      <c r="N757">
        <v>55.200236507943103</v>
      </c>
      <c r="O757">
        <v>52.309491179662302</v>
      </c>
      <c r="P757">
        <v>-3.9968912537039498E-2</v>
      </c>
      <c r="Q757">
        <v>0</v>
      </c>
      <c r="R757">
        <v>0.84681697229634201</v>
      </c>
      <c r="S757" t="s">
        <v>6308</v>
      </c>
      <c r="T757" t="s">
        <v>11100</v>
      </c>
      <c r="U757" t="s">
        <v>11100</v>
      </c>
      <c r="V757" t="s">
        <v>11100</v>
      </c>
      <c r="W757" t="s">
        <v>11845</v>
      </c>
      <c r="X757">
        <v>6</v>
      </c>
      <c r="Y757" t="s">
        <v>17342</v>
      </c>
      <c r="Z757" t="s">
        <v>22762</v>
      </c>
      <c r="AA757">
        <v>0.61320109970605441</v>
      </c>
      <c r="AB757" t="str">
        <f>HYPERLINK("Melting_Curves/meltCurve_G3V3G9_DCAF8.pdf", "Melting_Curves/meltCurve_G3V3G9_DCAF8.pdf")</f>
        <v>Melting_Curves/meltCurve_G3V3G9_DCAF8.pdf</v>
      </c>
    </row>
    <row r="758" spans="1:28" x14ac:dyDescent="0.25">
      <c r="A758" t="s">
        <v>762</v>
      </c>
      <c r="B758">
        <v>0.99299721793515405</v>
      </c>
      <c r="C758">
        <v>0.93567614648808795</v>
      </c>
      <c r="D758">
        <v>1.0099182646937901</v>
      </c>
      <c r="E758">
        <v>0.82536011123294395</v>
      </c>
      <c r="F758">
        <v>0.68313606622461398</v>
      </c>
      <c r="G758">
        <v>0.28016396236184599</v>
      </c>
      <c r="H758">
        <v>0.129528203347619</v>
      </c>
      <c r="I758">
        <v>0.11880632036697999</v>
      </c>
      <c r="J758">
        <v>0.11921201840781399</v>
      </c>
      <c r="K758">
        <v>0.110538777373748</v>
      </c>
      <c r="L758">
        <v>1141.5013455754799</v>
      </c>
      <c r="M758">
        <v>22.3868578814863</v>
      </c>
      <c r="N758">
        <v>51.460380328739603</v>
      </c>
      <c r="O758">
        <v>50.588164301373503</v>
      </c>
      <c r="P758">
        <v>-0.100394624773781</v>
      </c>
      <c r="Q758">
        <v>9.2561540235757203E-2</v>
      </c>
      <c r="R758">
        <v>0.98902434832020503</v>
      </c>
      <c r="S758" t="s">
        <v>6309</v>
      </c>
      <c r="T758" t="s">
        <v>11100</v>
      </c>
      <c r="U758" t="s">
        <v>11100</v>
      </c>
      <c r="V758" t="s">
        <v>11100</v>
      </c>
      <c r="W758" t="s">
        <v>11846</v>
      </c>
      <c r="X758">
        <v>19</v>
      </c>
      <c r="Y758" t="s">
        <v>17343</v>
      </c>
      <c r="Z758" t="s">
        <v>22763</v>
      </c>
      <c r="AA758">
        <v>0.5255091172852604</v>
      </c>
      <c r="AB758" t="str">
        <f>HYPERLINK("Melting_Curves/meltCurve_G3V3M6_APEX1.pdf", "Melting_Curves/meltCurve_G3V3M6_APEX1.pdf")</f>
        <v>Melting_Curves/meltCurve_G3V3M6_APEX1.pdf</v>
      </c>
    </row>
    <row r="759" spans="1:28" x14ac:dyDescent="0.25">
      <c r="A759" t="s">
        <v>763</v>
      </c>
      <c r="B759">
        <v>0.99299721793515405</v>
      </c>
      <c r="C759">
        <v>0.92952986940595395</v>
      </c>
      <c r="D759">
        <v>0.86787284462187697</v>
      </c>
      <c r="E759">
        <v>0.85189931159808696</v>
      </c>
      <c r="F759">
        <v>0.75163566336991305</v>
      </c>
      <c r="G759">
        <v>0.29738226359792003</v>
      </c>
      <c r="H759">
        <v>0.21071002650686799</v>
      </c>
      <c r="I759">
        <v>0.155040681056032</v>
      </c>
      <c r="J759">
        <v>0.152707496861439</v>
      </c>
      <c r="K759">
        <v>0.10314853752353299</v>
      </c>
      <c r="L759">
        <v>1047.66100257625</v>
      </c>
      <c r="M759">
        <v>20.370986291864501</v>
      </c>
      <c r="N759">
        <v>52.066973335829701</v>
      </c>
      <c r="O759">
        <v>50.941175140830403</v>
      </c>
      <c r="P759">
        <v>-8.8935260746303105E-2</v>
      </c>
      <c r="Q759">
        <v>0.110435067316347</v>
      </c>
      <c r="R759">
        <v>0.97260715009362497</v>
      </c>
      <c r="S759" t="s">
        <v>6310</v>
      </c>
      <c r="T759" t="s">
        <v>11100</v>
      </c>
      <c r="U759" t="s">
        <v>11100</v>
      </c>
      <c r="V759" t="s">
        <v>11100</v>
      </c>
      <c r="W759" t="s">
        <v>11847</v>
      </c>
      <c r="X759">
        <v>10</v>
      </c>
      <c r="Y759" t="s">
        <v>17344</v>
      </c>
      <c r="Z759" t="s">
        <v>22764</v>
      </c>
      <c r="AA759">
        <v>0.5495367823336158</v>
      </c>
      <c r="AB759" t="str">
        <f>HYPERLINK("Melting_Curves/meltCurve_G3V3R7_ATXN3.pdf", "Melting_Curves/meltCurve_G3V3R7_ATXN3.pdf")</f>
        <v>Melting_Curves/meltCurve_G3V3R7_ATXN3.pdf</v>
      </c>
    </row>
    <row r="760" spans="1:28" x14ac:dyDescent="0.25">
      <c r="A760" t="s">
        <v>764</v>
      </c>
      <c r="B760">
        <v>0.99299721793515405</v>
      </c>
      <c r="C760">
        <v>0.93193106320407804</v>
      </c>
      <c r="D760">
        <v>0.88747499921888495</v>
      </c>
      <c r="E760">
        <v>0.72598722995784803</v>
      </c>
      <c r="F760">
        <v>0.51372562999898896</v>
      </c>
      <c r="G760">
        <v>0.22843397821263101</v>
      </c>
      <c r="H760">
        <v>0.22552108287116701</v>
      </c>
      <c r="I760">
        <v>0.17933128893671499</v>
      </c>
      <c r="J760">
        <v>0.158106880116925</v>
      </c>
      <c r="K760">
        <v>0.127939651252999</v>
      </c>
      <c r="L760">
        <v>741.58182727960798</v>
      </c>
      <c r="M760">
        <v>15.1752928852751</v>
      </c>
      <c r="N760">
        <v>49.799910322887499</v>
      </c>
      <c r="O760">
        <v>48.042703303764199</v>
      </c>
      <c r="P760">
        <v>-6.9210924671538401E-2</v>
      </c>
      <c r="Q760">
        <v>0.123639227825961</v>
      </c>
      <c r="R760">
        <v>0.99201725230985205</v>
      </c>
      <c r="S760" t="s">
        <v>6311</v>
      </c>
      <c r="T760" t="s">
        <v>11100</v>
      </c>
      <c r="U760" t="s">
        <v>11100</v>
      </c>
      <c r="V760" t="s">
        <v>11100</v>
      </c>
      <c r="W760" t="s">
        <v>11848</v>
      </c>
      <c r="X760">
        <v>2</v>
      </c>
      <c r="Y760" t="s">
        <v>17345</v>
      </c>
      <c r="Z760" t="s">
        <v>22765</v>
      </c>
      <c r="AA760">
        <v>0.48888836872212937</v>
      </c>
      <c r="AB760" t="str">
        <f>HYPERLINK("Melting_Curves/meltCurve_G3V439_SIVA1.pdf", "Melting_Curves/meltCurve_G3V439_SIVA1.pdf")</f>
        <v>Melting_Curves/meltCurve_G3V439_SIVA1.pdf</v>
      </c>
    </row>
    <row r="761" spans="1:28" x14ac:dyDescent="0.25">
      <c r="A761" t="s">
        <v>765</v>
      </c>
      <c r="B761">
        <v>0.99299721793515405</v>
      </c>
      <c r="C761">
        <v>1.21121163123486</v>
      </c>
      <c r="D761">
        <v>1.0918479079122401</v>
      </c>
      <c r="E761">
        <v>0.800147958046452</v>
      </c>
      <c r="F761">
        <v>0.72669415258231096</v>
      </c>
      <c r="G761">
        <v>0.36832002588740498</v>
      </c>
      <c r="H761">
        <v>0.23342582907617801</v>
      </c>
      <c r="I761">
        <v>0.273758165071674</v>
      </c>
      <c r="J761">
        <v>9.5357301334944897E-2</v>
      </c>
      <c r="K761">
        <v>9.9873358028855899E-2</v>
      </c>
      <c r="L761">
        <v>946.08304586070903</v>
      </c>
      <c r="M761">
        <v>18.304094450873599</v>
      </c>
      <c r="N761">
        <v>52.459807075801301</v>
      </c>
      <c r="O761">
        <v>51.081904968805397</v>
      </c>
      <c r="P761">
        <v>-7.8998979241806794E-2</v>
      </c>
      <c r="Q761">
        <v>0.118179770196759</v>
      </c>
      <c r="R761">
        <v>0.946763565596629</v>
      </c>
      <c r="S761" t="s">
        <v>6312</v>
      </c>
      <c r="T761" t="s">
        <v>11100</v>
      </c>
      <c r="U761" t="s">
        <v>11100</v>
      </c>
      <c r="V761" t="s">
        <v>11100</v>
      </c>
      <c r="W761" t="s">
        <v>11849</v>
      </c>
      <c r="X761">
        <v>1</v>
      </c>
      <c r="Y761" t="s">
        <v>17346</v>
      </c>
      <c r="Z761" t="s">
        <v>22766</v>
      </c>
      <c r="AA761">
        <v>0.56301640796506447</v>
      </c>
      <c r="AB761" t="str">
        <f>HYPERLINK("Melting_Curves/meltCurve_G3V541_HAUS4.pdf", "Melting_Curves/meltCurve_G3V541_HAUS4.pdf")</f>
        <v>Melting_Curves/meltCurve_G3V541_HAUS4.pdf</v>
      </c>
    </row>
    <row r="762" spans="1:28" x14ac:dyDescent="0.25">
      <c r="A762" t="s">
        <v>766</v>
      </c>
      <c r="B762">
        <v>0.99299721793515405</v>
      </c>
      <c r="C762">
        <v>0.86623478642900598</v>
      </c>
      <c r="D762">
        <v>1.0270628336899399</v>
      </c>
      <c r="E762">
        <v>0.98584188370649894</v>
      </c>
      <c r="F762">
        <v>0.99555122943776997</v>
      </c>
      <c r="G762">
        <v>0.726538102178796</v>
      </c>
      <c r="H762">
        <v>0.61922669584789003</v>
      </c>
      <c r="I762">
        <v>0.21156900597230299</v>
      </c>
      <c r="J762">
        <v>0.16917440794788199</v>
      </c>
      <c r="K762">
        <v>0.171753404905091</v>
      </c>
      <c r="L762">
        <v>1195.69461596311</v>
      </c>
      <c r="M762">
        <v>20.9233581304278</v>
      </c>
      <c r="N762">
        <v>57.729978588474196</v>
      </c>
      <c r="O762">
        <v>56.632099446258103</v>
      </c>
      <c r="P762">
        <v>-8.3563382432527297E-2</v>
      </c>
      <c r="Q762">
        <v>9.5319408632310906E-2</v>
      </c>
      <c r="R762">
        <v>0.96432148473581503</v>
      </c>
      <c r="S762" t="s">
        <v>6313</v>
      </c>
      <c r="T762" t="s">
        <v>11100</v>
      </c>
      <c r="U762" t="s">
        <v>11100</v>
      </c>
      <c r="V762" t="s">
        <v>11100</v>
      </c>
      <c r="W762" t="s">
        <v>11850</v>
      </c>
      <c r="X762">
        <v>3</v>
      </c>
      <c r="Y762" t="s">
        <v>17347</v>
      </c>
      <c r="Z762" t="s">
        <v>22767</v>
      </c>
      <c r="AA762">
        <v>0.7104390380736707</v>
      </c>
      <c r="AB762" t="str">
        <f>HYPERLINK("Melting_Curves/meltCurve_G3V578_NDRG2.pdf", "Melting_Curves/meltCurve_G3V578_NDRG2.pdf")</f>
        <v>Melting_Curves/meltCurve_G3V578_NDRG2.pdf</v>
      </c>
    </row>
    <row r="763" spans="1:28" x14ac:dyDescent="0.25">
      <c r="A763" t="s">
        <v>767</v>
      </c>
      <c r="B763">
        <v>0.99299721793515405</v>
      </c>
      <c r="C763">
        <v>1.0459784628378801</v>
      </c>
      <c r="D763">
        <v>0.89545928330479396</v>
      </c>
      <c r="E763">
        <v>1.0085762287642599</v>
      </c>
      <c r="F763">
        <v>0.73089037231862497</v>
      </c>
      <c r="G763">
        <v>0.48133093750381301</v>
      </c>
      <c r="H763">
        <v>0.37883863553663</v>
      </c>
      <c r="I763">
        <v>0.41812708847431101</v>
      </c>
      <c r="J763">
        <v>0.46406432333575198</v>
      </c>
      <c r="K763">
        <v>0.38778862673721398</v>
      </c>
      <c r="L763">
        <v>2008.9288081613799</v>
      </c>
      <c r="M763">
        <v>39.800652664460003</v>
      </c>
      <c r="N763">
        <v>52.825062673020099</v>
      </c>
      <c r="O763">
        <v>50.347870395919102</v>
      </c>
      <c r="P763">
        <v>-0.115632257176155</v>
      </c>
      <c r="Q763">
        <v>0.414901729758272</v>
      </c>
      <c r="R763">
        <v>0.97342429594170299</v>
      </c>
      <c r="S763" t="s">
        <v>6314</v>
      </c>
      <c r="T763" t="s">
        <v>11100</v>
      </c>
      <c r="U763" t="s">
        <v>11100</v>
      </c>
      <c r="V763" t="s">
        <v>11100</v>
      </c>
      <c r="W763" t="s">
        <v>11851</v>
      </c>
      <c r="X763">
        <v>3</v>
      </c>
      <c r="Y763" t="s">
        <v>17348</v>
      </c>
      <c r="Z763" t="s">
        <v>22768</v>
      </c>
      <c r="AA763">
        <v>0.67976401046025292</v>
      </c>
      <c r="AB763" t="str">
        <f>HYPERLINK("Melting_Curves/meltCurve_G3V583_FAM177A1.pdf", "Melting_Curves/meltCurve_G3V583_FAM177A1.pdf")</f>
        <v>Melting_Curves/meltCurve_G3V583_FAM177A1.pdf</v>
      </c>
    </row>
    <row r="764" spans="1:28" x14ac:dyDescent="0.25">
      <c r="A764" t="s">
        <v>768</v>
      </c>
      <c r="B764">
        <v>0.99299721793515405</v>
      </c>
      <c r="C764">
        <v>0.871591363631675</v>
      </c>
      <c r="D764">
        <v>0.98962039521899903</v>
      </c>
      <c r="E764">
        <v>0.746775123503572</v>
      </c>
      <c r="F764">
        <v>0.73685011156551306</v>
      </c>
      <c r="G764">
        <v>0.39491240823278401</v>
      </c>
      <c r="H764">
        <v>0.270270853487593</v>
      </c>
      <c r="I764">
        <v>0.23493931020818601</v>
      </c>
      <c r="J764">
        <v>0.20810404163583801</v>
      </c>
      <c r="K764">
        <v>0.176600094409222</v>
      </c>
      <c r="L764">
        <v>679.05998237281995</v>
      </c>
      <c r="M764">
        <v>13.2172944796612</v>
      </c>
      <c r="N764">
        <v>52.599183127153701</v>
      </c>
      <c r="O764">
        <v>50.243272698583198</v>
      </c>
      <c r="P764">
        <v>-5.70782362492517E-2</v>
      </c>
      <c r="Q764">
        <v>0.13225134073418601</v>
      </c>
      <c r="R764">
        <v>0.96597348647604497</v>
      </c>
      <c r="S764" t="s">
        <v>6315</v>
      </c>
      <c r="T764" t="s">
        <v>11100</v>
      </c>
      <c r="U764" t="s">
        <v>11100</v>
      </c>
      <c r="V764" t="s">
        <v>11100</v>
      </c>
      <c r="W764" t="s">
        <v>11852</v>
      </c>
      <c r="X764">
        <v>8</v>
      </c>
      <c r="Y764" t="s">
        <v>17349</v>
      </c>
      <c r="Z764" t="s">
        <v>22769</v>
      </c>
      <c r="AA764">
        <v>0.56797705889095762</v>
      </c>
      <c r="AB764" t="str">
        <f>HYPERLINK("Melting_Curves/meltCurve_G3V599_CTAGE5.pdf", "Melting_Curves/meltCurve_G3V599_CTAGE5.pdf")</f>
        <v>Melting_Curves/meltCurve_G3V599_CTAGE5.pdf</v>
      </c>
    </row>
    <row r="765" spans="1:28" x14ac:dyDescent="0.25">
      <c r="A765" t="s">
        <v>769</v>
      </c>
      <c r="B765">
        <v>0.99299721793515405</v>
      </c>
      <c r="C765">
        <v>0.94259522355224401</v>
      </c>
      <c r="D765">
        <v>1.1004202651842201</v>
      </c>
      <c r="E765">
        <v>1.0187757759425</v>
      </c>
      <c r="F765">
        <v>0.87340855481657598</v>
      </c>
      <c r="G765">
        <v>0.87152992025480502</v>
      </c>
      <c r="H765">
        <v>0.56107972001518802</v>
      </c>
      <c r="I765">
        <v>0.17469071684787199</v>
      </c>
      <c r="J765">
        <v>0.116265030007103</v>
      </c>
      <c r="K765">
        <v>6.5781209921919201E-2</v>
      </c>
      <c r="L765">
        <v>1484.3049919954899</v>
      </c>
      <c r="M765">
        <v>25.784265410110599</v>
      </c>
      <c r="N765">
        <v>57.723172773192303</v>
      </c>
      <c r="O765">
        <v>57.223413700977197</v>
      </c>
      <c r="P765">
        <v>-0.10883723648541101</v>
      </c>
      <c r="Q765">
        <v>3.3835339084107997E-2</v>
      </c>
      <c r="R765">
        <v>0.98138761468538305</v>
      </c>
      <c r="S765" t="s">
        <v>6316</v>
      </c>
      <c r="T765" t="s">
        <v>11100</v>
      </c>
      <c r="U765" t="s">
        <v>11100</v>
      </c>
      <c r="V765" t="s">
        <v>11100</v>
      </c>
      <c r="W765" t="s">
        <v>11853</v>
      </c>
      <c r="X765">
        <v>2</v>
      </c>
      <c r="Y765" t="s">
        <v>17350</v>
      </c>
      <c r="Z765" t="s">
        <v>22770</v>
      </c>
      <c r="AA765">
        <v>0.70273975106205444</v>
      </c>
      <c r="AB765" t="str">
        <f>HYPERLINK("Melting_Curves/meltCurve_G3V5E1_CCNK.pdf", "Melting_Curves/meltCurve_G3V5E1_CCNK.pdf")</f>
        <v>Melting_Curves/meltCurve_G3V5E1_CCNK.pdf</v>
      </c>
    </row>
    <row r="766" spans="1:28" x14ac:dyDescent="0.25">
      <c r="A766" t="s">
        <v>770</v>
      </c>
      <c r="B766">
        <v>0.99299721793515405</v>
      </c>
      <c r="C766">
        <v>0.991076601661389</v>
      </c>
      <c r="D766">
        <v>0.92569491787945501</v>
      </c>
      <c r="E766">
        <v>0.89145097037745202</v>
      </c>
      <c r="F766">
        <v>0.81643284928585502</v>
      </c>
      <c r="G766">
        <v>0.66631959543039099</v>
      </c>
      <c r="H766">
        <v>0.53508353918053997</v>
      </c>
      <c r="I766">
        <v>0.24026508688238299</v>
      </c>
      <c r="J766">
        <v>0.20362362557928301</v>
      </c>
      <c r="K766">
        <v>0.102151281385763</v>
      </c>
      <c r="L766">
        <v>690.59740105036599</v>
      </c>
      <c r="M766">
        <v>12.1810882893092</v>
      </c>
      <c r="N766">
        <v>56.694228472127499</v>
      </c>
      <c r="O766">
        <v>55.2311664295475</v>
      </c>
      <c r="P766">
        <v>-5.5149384154286898E-2</v>
      </c>
      <c r="Q766">
        <v>0</v>
      </c>
      <c r="R766">
        <v>0.98655997143760399</v>
      </c>
      <c r="S766" t="s">
        <v>6317</v>
      </c>
      <c r="T766" t="s">
        <v>11100</v>
      </c>
      <c r="U766" t="s">
        <v>11100</v>
      </c>
      <c r="V766" t="s">
        <v>11100</v>
      </c>
      <c r="W766" t="s">
        <v>11854</v>
      </c>
      <c r="X766">
        <v>6</v>
      </c>
      <c r="Y766" t="s">
        <v>17351</v>
      </c>
      <c r="Z766" t="s">
        <v>22771</v>
      </c>
      <c r="AA766">
        <v>0.66308163729842862</v>
      </c>
      <c r="AB766" t="str">
        <f>HYPERLINK("Melting_Curves/meltCurve_G3V5T0_GSTZ1.pdf", "Melting_Curves/meltCurve_G3V5T0_GSTZ1.pdf")</f>
        <v>Melting_Curves/meltCurve_G3V5T0_GSTZ1.pdf</v>
      </c>
    </row>
    <row r="767" spans="1:28" x14ac:dyDescent="0.25">
      <c r="A767" t="s">
        <v>771</v>
      </c>
      <c r="B767">
        <v>0.99299721793515405</v>
      </c>
      <c r="C767">
        <v>1.0486998087756401</v>
      </c>
      <c r="D767">
        <v>1.0272531308414099</v>
      </c>
      <c r="E767">
        <v>0.910540729320378</v>
      </c>
      <c r="F767">
        <v>0.70862690095400205</v>
      </c>
      <c r="G767">
        <v>0.629705246076115</v>
      </c>
      <c r="H767">
        <v>0.38437167228517599</v>
      </c>
      <c r="I767">
        <v>0.23746082226533</v>
      </c>
      <c r="J767">
        <v>0.18137124002239999</v>
      </c>
      <c r="K767">
        <v>0.134319385380329</v>
      </c>
      <c r="L767">
        <v>697.92389286964601</v>
      </c>
      <c r="M767">
        <v>12.738423602888</v>
      </c>
      <c r="N767">
        <v>55.221521921066604</v>
      </c>
      <c r="O767">
        <v>53.491280384884298</v>
      </c>
      <c r="P767">
        <v>-5.6718501820740598E-2</v>
      </c>
      <c r="Q767">
        <v>4.7491151136985703E-2</v>
      </c>
      <c r="R767">
        <v>0.98898930710213895</v>
      </c>
      <c r="S767" t="s">
        <v>6318</v>
      </c>
      <c r="T767" t="s">
        <v>11100</v>
      </c>
      <c r="U767" t="s">
        <v>11100</v>
      </c>
      <c r="V767" t="s">
        <v>11100</v>
      </c>
      <c r="W767" t="s">
        <v>11855</v>
      </c>
      <c r="X767">
        <v>14</v>
      </c>
      <c r="Y767" t="s">
        <v>17352</v>
      </c>
      <c r="Z767" t="s">
        <v>22772</v>
      </c>
      <c r="AA767">
        <v>0.62671740552679933</v>
      </c>
      <c r="AB767" t="str">
        <f>HYPERLINK("Melting_Curves/meltCurve_G3V5T9_CDK2.pdf", "Melting_Curves/meltCurve_G3V5T9_CDK2.pdf")</f>
        <v>Melting_Curves/meltCurve_G3V5T9_CDK2.pdf</v>
      </c>
    </row>
    <row r="768" spans="1:28" x14ac:dyDescent="0.25">
      <c r="A768" t="s">
        <v>772</v>
      </c>
      <c r="B768">
        <v>0.99299721793515405</v>
      </c>
      <c r="C768">
        <v>0.99107463909228</v>
      </c>
      <c r="D768">
        <v>1.0674639425938699</v>
      </c>
      <c r="E768">
        <v>0.82657157176008</v>
      </c>
      <c r="F768">
        <v>0.61054196811817096</v>
      </c>
      <c r="G768">
        <v>0.42893480840688603</v>
      </c>
      <c r="H768">
        <v>0.33686143080088099</v>
      </c>
      <c r="I768">
        <v>0.25073032344985502</v>
      </c>
      <c r="J768">
        <v>0.21928808897727201</v>
      </c>
      <c r="K768">
        <v>9.2328659271800201E-2</v>
      </c>
      <c r="L768">
        <v>742.43896735654096</v>
      </c>
      <c r="M768">
        <v>14.422170592049699</v>
      </c>
      <c r="N768">
        <v>52.661253807737801</v>
      </c>
      <c r="O768">
        <v>50.5196210024137</v>
      </c>
      <c r="P768">
        <v>-6.1506402171264601E-2</v>
      </c>
      <c r="Q768">
        <v>0.138295018184695</v>
      </c>
      <c r="R768">
        <v>0.97969570758751501</v>
      </c>
      <c r="S768" t="s">
        <v>6319</v>
      </c>
      <c r="T768" t="s">
        <v>11100</v>
      </c>
      <c r="U768" t="s">
        <v>11100</v>
      </c>
      <c r="V768" t="s">
        <v>11100</v>
      </c>
      <c r="W768" t="s">
        <v>11856</v>
      </c>
      <c r="X768">
        <v>2</v>
      </c>
      <c r="Y768" t="s">
        <v>17353</v>
      </c>
      <c r="Z768" t="s">
        <v>22773</v>
      </c>
      <c r="AA768">
        <v>0.57197096913499179</v>
      </c>
      <c r="AB768" t="str">
        <f>HYPERLINK("Melting_Curves/meltCurve_G3V5X4_SYNE2.pdf", "Melting_Curves/meltCurve_G3V5X4_SYNE2.pdf")</f>
        <v>Melting_Curves/meltCurve_G3V5X4_SYNE2.pdf</v>
      </c>
    </row>
    <row r="769" spans="1:28" x14ac:dyDescent="0.25">
      <c r="A769" t="s">
        <v>773</v>
      </c>
      <c r="B769">
        <v>0.99299721793515405</v>
      </c>
      <c r="C769">
        <v>0.96325398414705699</v>
      </c>
      <c r="D769">
        <v>0.93310107904571904</v>
      </c>
      <c r="E769">
        <v>0.88036173520122596</v>
      </c>
      <c r="F769">
        <v>0.82761577042355805</v>
      </c>
      <c r="G769">
        <v>0.96996925846022897</v>
      </c>
      <c r="H769">
        <v>1.36469888790598</v>
      </c>
      <c r="I769">
        <v>1.2766105927943201</v>
      </c>
      <c r="J769">
        <v>1.2946216622143001</v>
      </c>
      <c r="K769">
        <v>1.7411584970579801</v>
      </c>
      <c r="L769">
        <v>1444.1337340863899</v>
      </c>
      <c r="M769">
        <v>24.869219053072399</v>
      </c>
      <c r="O769">
        <v>57.6975599184914</v>
      </c>
      <c r="P769">
        <v>5.38791426114636E-2</v>
      </c>
      <c r="Q769">
        <v>1.5</v>
      </c>
      <c r="R769">
        <v>0.74491084084547898</v>
      </c>
      <c r="S769" t="s">
        <v>6320</v>
      </c>
      <c r="T769" t="s">
        <v>11100</v>
      </c>
      <c r="U769" t="s">
        <v>11100</v>
      </c>
      <c r="V769" t="s">
        <v>11100</v>
      </c>
      <c r="W769" t="s">
        <v>11857</v>
      </c>
      <c r="X769">
        <v>6</v>
      </c>
      <c r="Y769" t="s">
        <v>17354</v>
      </c>
      <c r="Z769" t="s">
        <v>22774</v>
      </c>
      <c r="AA769">
        <v>1.1456306857581391</v>
      </c>
      <c r="AB769" t="str">
        <f>HYPERLINK("Melting_Curves/meltCurve_G3V5Z7_PSMA6.pdf", "Melting_Curves/meltCurve_G3V5Z7_PSMA6.pdf")</f>
        <v>Melting_Curves/meltCurve_G3V5Z7_PSMA6.pdf</v>
      </c>
    </row>
    <row r="770" spans="1:28" x14ac:dyDescent="0.25">
      <c r="A770" t="s">
        <v>774</v>
      </c>
      <c r="B770">
        <v>0.99299721793515405</v>
      </c>
      <c r="C770">
        <v>0.98884678774847801</v>
      </c>
      <c r="D770">
        <v>0.89273567369547002</v>
      </c>
      <c r="E770">
        <v>0.81613828940959898</v>
      </c>
      <c r="F770">
        <v>0.70350904943298898</v>
      </c>
      <c r="G770">
        <v>0.588864015824071</v>
      </c>
      <c r="H770">
        <v>0.48423872273762297</v>
      </c>
      <c r="I770">
        <v>0.21399088103753999</v>
      </c>
      <c r="J770">
        <v>0.17395887095162299</v>
      </c>
      <c r="K770">
        <v>0.13671735573507399</v>
      </c>
      <c r="L770">
        <v>531.06165280317896</v>
      </c>
      <c r="M770">
        <v>9.6547016924412201</v>
      </c>
      <c r="N770">
        <v>55.005495122162998</v>
      </c>
      <c r="O770">
        <v>52.801112386139799</v>
      </c>
      <c r="P770">
        <v>-4.57380119397678E-2</v>
      </c>
      <c r="Q770">
        <v>0</v>
      </c>
      <c r="R770">
        <v>0.98314903076774496</v>
      </c>
      <c r="S770" t="s">
        <v>6321</v>
      </c>
      <c r="T770" t="s">
        <v>11100</v>
      </c>
      <c r="U770" t="s">
        <v>11100</v>
      </c>
      <c r="V770" t="s">
        <v>11100</v>
      </c>
      <c r="W770" t="s">
        <v>11858</v>
      </c>
      <c r="X770">
        <v>8</v>
      </c>
      <c r="Y770" t="s">
        <v>17355</v>
      </c>
      <c r="Z770" t="s">
        <v>22775</v>
      </c>
      <c r="AA770">
        <v>0.61168599238595323</v>
      </c>
      <c r="AB770" t="str">
        <f>HYPERLINK("Melting_Curves/meltCurve_G3XA81_TMEM48.pdf", "Melting_Curves/meltCurve_G3XA81_TMEM48.pdf")</f>
        <v>Melting_Curves/meltCurve_G3XA81_TMEM48.pdf</v>
      </c>
    </row>
    <row r="771" spans="1:28" x14ac:dyDescent="0.25">
      <c r="A771" t="s">
        <v>775</v>
      </c>
      <c r="B771">
        <v>0.99299721793515405</v>
      </c>
      <c r="C771">
        <v>0.64993230936169</v>
      </c>
      <c r="D771">
        <v>1.13507265001713</v>
      </c>
      <c r="E771">
        <v>0.80214431920986595</v>
      </c>
      <c r="F771">
        <v>0.76392243440867502</v>
      </c>
      <c r="G771">
        <v>0.49471351713412098</v>
      </c>
      <c r="H771">
        <v>0.375251064430632</v>
      </c>
      <c r="I771">
        <v>0.42262480277344999</v>
      </c>
      <c r="J771">
        <v>0.30001282530190898</v>
      </c>
      <c r="K771">
        <v>0.55148052874638798</v>
      </c>
      <c r="L771">
        <v>1047.5617293023599</v>
      </c>
      <c r="M771">
        <v>20.909796302412801</v>
      </c>
      <c r="N771">
        <v>54.261599900302301</v>
      </c>
      <c r="O771">
        <v>49.647617397795798</v>
      </c>
      <c r="P771">
        <v>-6.3233430851587696E-2</v>
      </c>
      <c r="Q771">
        <v>0.39945789780402702</v>
      </c>
      <c r="R771">
        <v>0.70869937949167705</v>
      </c>
      <c r="S771" t="s">
        <v>6322</v>
      </c>
      <c r="T771" t="s">
        <v>11100</v>
      </c>
      <c r="U771" t="s">
        <v>11100</v>
      </c>
      <c r="V771" t="s">
        <v>11100</v>
      </c>
      <c r="W771" t="s">
        <v>11859</v>
      </c>
      <c r="X771">
        <v>2</v>
      </c>
      <c r="Y771" t="s">
        <v>17356</v>
      </c>
      <c r="Z771" t="s">
        <v>22776</v>
      </c>
      <c r="AA771">
        <v>0.66898663079193776</v>
      </c>
      <c r="AB771" t="str">
        <f>HYPERLINK("Melting_Curves/meltCurve_G3XAA0_ARID1B.pdf", "Melting_Curves/meltCurve_G3XAA0_ARID1B.pdf")</f>
        <v>Melting_Curves/meltCurve_G3XAA0_ARID1B.pdf</v>
      </c>
    </row>
    <row r="772" spans="1:28" x14ac:dyDescent="0.25">
      <c r="A772" t="s">
        <v>776</v>
      </c>
      <c r="B772">
        <v>0.99299721793515405</v>
      </c>
      <c r="C772">
        <v>1.00222544681004</v>
      </c>
      <c r="D772">
        <v>1.1658404013438599</v>
      </c>
      <c r="E772">
        <v>0.85088469910537001</v>
      </c>
      <c r="F772">
        <v>0.70013690252062299</v>
      </c>
      <c r="G772">
        <v>0.42209431818044602</v>
      </c>
      <c r="H772">
        <v>0.197675842134693</v>
      </c>
      <c r="I772">
        <v>0.170357495582837</v>
      </c>
      <c r="J772">
        <v>0.16416812650981499</v>
      </c>
      <c r="K772">
        <v>0.17039603204436801</v>
      </c>
      <c r="L772">
        <v>1102.5899792319101</v>
      </c>
      <c r="M772">
        <v>21.380862072760898</v>
      </c>
      <c r="N772">
        <v>52.420163478715303</v>
      </c>
      <c r="O772">
        <v>51.124255908440901</v>
      </c>
      <c r="P772">
        <v>-8.9222102426864694E-2</v>
      </c>
      <c r="Q772">
        <v>0.146657503103481</v>
      </c>
      <c r="R772">
        <v>0.97330702774550704</v>
      </c>
      <c r="S772" t="s">
        <v>6323</v>
      </c>
      <c r="T772" t="s">
        <v>11100</v>
      </c>
      <c r="U772" t="s">
        <v>11100</v>
      </c>
      <c r="V772" t="s">
        <v>11100</v>
      </c>
      <c r="W772" t="s">
        <v>11860</v>
      </c>
      <c r="X772">
        <v>11</v>
      </c>
      <c r="Y772" t="s">
        <v>17357</v>
      </c>
      <c r="Z772" t="s">
        <v>22777</v>
      </c>
      <c r="AA772">
        <v>0.57101138503680315</v>
      </c>
      <c r="AB772" t="str">
        <f>HYPERLINK("Melting_Curves/meltCurve_G3XAA2_MAP4K4.pdf", "Melting_Curves/meltCurve_G3XAA2_MAP4K4.pdf")</f>
        <v>Melting_Curves/meltCurve_G3XAA2_MAP4K4.pdf</v>
      </c>
    </row>
    <row r="773" spans="1:28" x14ac:dyDescent="0.25">
      <c r="A773" t="s">
        <v>777</v>
      </c>
      <c r="B773">
        <v>0.99299721793515405</v>
      </c>
      <c r="C773">
        <v>0.95732793764947</v>
      </c>
      <c r="D773">
        <v>0.91953310562636303</v>
      </c>
      <c r="E773">
        <v>0.84234697766991895</v>
      </c>
      <c r="F773">
        <v>0.72258823912650705</v>
      </c>
      <c r="G773">
        <v>0.60461742477013103</v>
      </c>
      <c r="H773">
        <v>0.52575345766811699</v>
      </c>
      <c r="I773">
        <v>0.40889995254122502</v>
      </c>
      <c r="J773">
        <v>0.36639700796520602</v>
      </c>
      <c r="K773">
        <v>0.31860635296509698</v>
      </c>
      <c r="L773">
        <v>443.29504028081601</v>
      </c>
      <c r="M773">
        <v>8.0949599158151706</v>
      </c>
      <c r="N773">
        <v>57.637860786183502</v>
      </c>
      <c r="O773">
        <v>51.723702929071997</v>
      </c>
      <c r="P773">
        <v>-3.2660426938395402E-2</v>
      </c>
      <c r="Q773">
        <v>0.166151508894892</v>
      </c>
      <c r="R773">
        <v>0.99868344853389301</v>
      </c>
      <c r="S773" t="s">
        <v>6324</v>
      </c>
      <c r="T773" t="s">
        <v>11100</v>
      </c>
      <c r="U773" t="s">
        <v>11100</v>
      </c>
      <c r="V773" t="s">
        <v>11100</v>
      </c>
      <c r="W773" t="s">
        <v>11861</v>
      </c>
      <c r="X773">
        <v>23</v>
      </c>
      <c r="Y773" t="s">
        <v>17358</v>
      </c>
      <c r="Z773" t="s">
        <v>22778</v>
      </c>
      <c r="AA773">
        <v>0.66736880041313307</v>
      </c>
      <c r="AB773" t="str">
        <f>HYPERLINK("Melting_Curves/meltCurve_G3XAI2_LAMB1.pdf", "Melting_Curves/meltCurve_G3XAI2_LAMB1.pdf")</f>
        <v>Melting_Curves/meltCurve_G3XAI2_LAMB1.pdf</v>
      </c>
    </row>
    <row r="774" spans="1:28" x14ac:dyDescent="0.25">
      <c r="A774" t="s">
        <v>778</v>
      </c>
      <c r="B774">
        <v>0.99299721793515405</v>
      </c>
      <c r="C774">
        <v>0.89838964173968705</v>
      </c>
      <c r="D774">
        <v>1.0605628006319201</v>
      </c>
      <c r="E774">
        <v>0.92211978167285602</v>
      </c>
      <c r="F774">
        <v>0.89980168298602003</v>
      </c>
      <c r="G774">
        <v>0.89231646758433503</v>
      </c>
      <c r="H774">
        <v>0.73748010940213504</v>
      </c>
      <c r="I774">
        <v>0.88918821360323497</v>
      </c>
      <c r="J774">
        <v>1.0686801406967701</v>
      </c>
      <c r="K774">
        <v>1.03803877867038</v>
      </c>
      <c r="L774">
        <v>11455.6460719557</v>
      </c>
      <c r="M774">
        <v>250</v>
      </c>
      <c r="O774">
        <v>45.819651964972998</v>
      </c>
      <c r="P774">
        <v>-0.107871955831268</v>
      </c>
      <c r="Q774">
        <v>0.92091751255730203</v>
      </c>
      <c r="R774">
        <v>8.1014351963877199E-2</v>
      </c>
      <c r="S774" t="s">
        <v>6325</v>
      </c>
      <c r="T774" t="s">
        <v>11100</v>
      </c>
      <c r="U774" t="s">
        <v>11100</v>
      </c>
      <c r="V774" t="s">
        <v>11100</v>
      </c>
      <c r="W774" t="s">
        <v>11862</v>
      </c>
      <c r="X774">
        <v>7</v>
      </c>
      <c r="Y774" t="s">
        <v>17359</v>
      </c>
      <c r="Z774" t="s">
        <v>22779</v>
      </c>
      <c r="AA774">
        <v>0.94418093591175967</v>
      </c>
      <c r="AB774" t="str">
        <f>HYPERLINK("Melting_Curves/meltCurve_G3XAN8_TIMM8B.pdf", "Melting_Curves/meltCurve_G3XAN8_TIMM8B.pdf")</f>
        <v>Melting_Curves/meltCurve_G3XAN8_TIMM8B.pdf</v>
      </c>
    </row>
    <row r="775" spans="1:28" x14ac:dyDescent="0.25">
      <c r="A775" t="s">
        <v>779</v>
      </c>
      <c r="B775">
        <v>0.99299721793515405</v>
      </c>
      <c r="C775">
        <v>0.87080848000159305</v>
      </c>
      <c r="D775">
        <v>0.82131823372826496</v>
      </c>
      <c r="E775">
        <v>0.78768886207401301</v>
      </c>
      <c r="F775">
        <v>0.62279849671179699</v>
      </c>
      <c r="G775">
        <v>0.449561829625721</v>
      </c>
      <c r="H775">
        <v>0.22363227516581999</v>
      </c>
      <c r="I775">
        <v>0.153815195984774</v>
      </c>
      <c r="J775">
        <v>0.21167586099925301</v>
      </c>
      <c r="K775">
        <v>0.12794150938551399</v>
      </c>
      <c r="L775">
        <v>474.02151490023601</v>
      </c>
      <c r="M775">
        <v>9.1126091981010404</v>
      </c>
      <c r="N775">
        <v>52.018198553666402</v>
      </c>
      <c r="O775">
        <v>49.696723155085998</v>
      </c>
      <c r="P775">
        <v>-4.5872856197181698E-2</v>
      </c>
      <c r="Q775">
        <v>0</v>
      </c>
      <c r="R775">
        <v>0.97571861414666905</v>
      </c>
      <c r="S775" t="s">
        <v>6326</v>
      </c>
      <c r="T775" t="s">
        <v>11100</v>
      </c>
      <c r="U775" t="s">
        <v>11100</v>
      </c>
      <c r="V775" t="s">
        <v>11100</v>
      </c>
      <c r="W775" t="s">
        <v>11863</v>
      </c>
      <c r="X775">
        <v>6</v>
      </c>
      <c r="Y775" t="s">
        <v>17360</v>
      </c>
      <c r="Z775" t="s">
        <v>22780</v>
      </c>
      <c r="AA775">
        <v>0.52820796476460696</v>
      </c>
      <c r="AB775" t="str">
        <f>HYPERLINK("Melting_Curves/meltCurve_G3XAP3_ABCB8.pdf", "Melting_Curves/meltCurve_G3XAP3_ABCB8.pdf")</f>
        <v>Melting_Curves/meltCurve_G3XAP3_ABCB8.pdf</v>
      </c>
    </row>
    <row r="776" spans="1:28" x14ac:dyDescent="0.25">
      <c r="A776" t="s">
        <v>780</v>
      </c>
      <c r="B776">
        <v>0.99299721793515405</v>
      </c>
      <c r="C776">
        <v>1.0027794266474099</v>
      </c>
      <c r="D776">
        <v>0.91007884932604199</v>
      </c>
      <c r="E776">
        <v>0.81597561581852796</v>
      </c>
      <c r="F776">
        <v>0.80147103053463198</v>
      </c>
      <c r="G776">
        <v>0.216395212256798</v>
      </c>
      <c r="H776">
        <v>0.162285713408996</v>
      </c>
      <c r="I776">
        <v>0.154542567143896</v>
      </c>
      <c r="J776">
        <v>0.12638788753468899</v>
      </c>
      <c r="K776">
        <v>0.14572450259370201</v>
      </c>
      <c r="L776">
        <v>2379.89386943709</v>
      </c>
      <c r="M776">
        <v>46.321199154871401</v>
      </c>
      <c r="N776">
        <v>51.750226136258497</v>
      </c>
      <c r="O776">
        <v>51.282589317709999</v>
      </c>
      <c r="P776">
        <v>-0.19382604286470401</v>
      </c>
      <c r="Q776">
        <v>0.14165525700433701</v>
      </c>
      <c r="R776">
        <v>0.971423749600969</v>
      </c>
      <c r="S776" t="s">
        <v>6327</v>
      </c>
      <c r="T776" t="s">
        <v>11100</v>
      </c>
      <c r="U776" t="s">
        <v>11100</v>
      </c>
      <c r="V776" t="s">
        <v>11100</v>
      </c>
      <c r="W776" t="s">
        <v>11864</v>
      </c>
      <c r="X776">
        <v>1</v>
      </c>
      <c r="Y776" t="s">
        <v>17361</v>
      </c>
      <c r="Z776" t="s">
        <v>22781</v>
      </c>
      <c r="AA776">
        <v>0.55530079547191558</v>
      </c>
      <c r="AB776" t="str">
        <f>HYPERLINK("Melting_Curves/meltCurve_G5E979_ATG4A.pdf", "Melting_Curves/meltCurve_G5E979_ATG4A.pdf")</f>
        <v>Melting_Curves/meltCurve_G5E979_ATG4A.pdf</v>
      </c>
    </row>
    <row r="777" spans="1:28" x14ac:dyDescent="0.25">
      <c r="A777" t="s">
        <v>781</v>
      </c>
      <c r="B777">
        <v>0.99299721793515405</v>
      </c>
      <c r="C777">
        <v>0.87480103413374199</v>
      </c>
      <c r="D777">
        <v>0.87502437227073704</v>
      </c>
      <c r="E777">
        <v>0.85326598469359305</v>
      </c>
      <c r="F777">
        <v>0.67692380225899695</v>
      </c>
      <c r="G777">
        <v>0.542174568227069</v>
      </c>
      <c r="H777">
        <v>0.56152149163020804</v>
      </c>
      <c r="I777">
        <v>0.56278840947030095</v>
      </c>
      <c r="J777">
        <v>0.45280767606625</v>
      </c>
      <c r="K777">
        <v>0.36853800914131501</v>
      </c>
      <c r="L777">
        <v>344.89927777980699</v>
      </c>
      <c r="M777">
        <v>6.4714471882886704</v>
      </c>
      <c r="N777">
        <v>60.041639929604202</v>
      </c>
      <c r="O777">
        <v>48.891125349606398</v>
      </c>
      <c r="P777">
        <v>-2.46026303637043E-2</v>
      </c>
      <c r="Q777">
        <v>0.258348725195712</v>
      </c>
      <c r="R777">
        <v>0.94402245666973195</v>
      </c>
      <c r="S777" t="s">
        <v>6328</v>
      </c>
      <c r="T777" t="s">
        <v>11100</v>
      </c>
      <c r="U777" t="s">
        <v>11100</v>
      </c>
      <c r="V777" t="s">
        <v>11100</v>
      </c>
      <c r="W777" t="s">
        <v>11865</v>
      </c>
      <c r="X777">
        <v>5</v>
      </c>
      <c r="Y777" t="s">
        <v>17362</v>
      </c>
      <c r="Z777" t="s">
        <v>22782</v>
      </c>
      <c r="AA777">
        <v>0.6732277239812654</v>
      </c>
      <c r="AB777" t="str">
        <f>HYPERLINK("Melting_Curves/meltCurve_G5E994_GPR107.pdf", "Melting_Curves/meltCurve_G5E994_GPR107.pdf")</f>
        <v>Melting_Curves/meltCurve_G5E994_GPR107.pdf</v>
      </c>
    </row>
    <row r="778" spans="1:28" x14ac:dyDescent="0.25">
      <c r="A778" t="s">
        <v>782</v>
      </c>
      <c r="B778">
        <v>0.99299721793515405</v>
      </c>
      <c r="C778">
        <v>1.0612759299494801</v>
      </c>
      <c r="D778">
        <v>0.95345632303887995</v>
      </c>
      <c r="E778">
        <v>0.87561808444190803</v>
      </c>
      <c r="F778">
        <v>0.48763644772424802</v>
      </c>
      <c r="G778">
        <v>0.28429420680610801</v>
      </c>
      <c r="H778">
        <v>0.21907262693495</v>
      </c>
      <c r="I778">
        <v>0.174028962274942</v>
      </c>
      <c r="J778">
        <v>0.15887756234919601</v>
      </c>
      <c r="K778">
        <v>0.116448670324291</v>
      </c>
      <c r="L778">
        <v>1180.00489322671</v>
      </c>
      <c r="M778">
        <v>23.806779406158199</v>
      </c>
      <c r="N778">
        <v>50.355936941089702</v>
      </c>
      <c r="O778">
        <v>49.2201588297048</v>
      </c>
      <c r="P778">
        <v>-0.102077558743056</v>
      </c>
      <c r="Q778">
        <v>0.155838470553295</v>
      </c>
      <c r="R778">
        <v>0.99331687215471198</v>
      </c>
      <c r="S778" t="s">
        <v>6329</v>
      </c>
      <c r="T778" t="s">
        <v>11100</v>
      </c>
      <c r="U778" t="s">
        <v>11100</v>
      </c>
      <c r="V778" t="s">
        <v>11100</v>
      </c>
      <c r="W778" t="s">
        <v>11311</v>
      </c>
      <c r="X778">
        <v>6</v>
      </c>
      <c r="Y778" t="s">
        <v>17363</v>
      </c>
      <c r="Z778" t="s">
        <v>22783</v>
      </c>
      <c r="AA778">
        <v>0.51749367782950528</v>
      </c>
      <c r="AB778" t="str">
        <f>HYPERLINK("Melting_Curves/meltCurve_G5E9A6_USP11.pdf", "Melting_Curves/meltCurve_G5E9A6_USP11.pdf")</f>
        <v>Melting_Curves/meltCurve_G5E9A6_USP11.pdf</v>
      </c>
    </row>
    <row r="779" spans="1:28" x14ac:dyDescent="0.25">
      <c r="A779" t="s">
        <v>783</v>
      </c>
      <c r="B779">
        <v>0.99299721793515405</v>
      </c>
      <c r="C779">
        <v>1.00619980696919</v>
      </c>
      <c r="D779">
        <v>1.0170676105027601</v>
      </c>
      <c r="E779">
        <v>1.0025144060364299</v>
      </c>
      <c r="F779">
        <v>0.84883920439761795</v>
      </c>
      <c r="G779">
        <v>0.34946409166442599</v>
      </c>
      <c r="H779">
        <v>0.31661890617867799</v>
      </c>
      <c r="I779">
        <v>0.35292092449489998</v>
      </c>
      <c r="J779">
        <v>0.26681866963529199</v>
      </c>
      <c r="K779">
        <v>0.154294664694996</v>
      </c>
      <c r="L779">
        <v>2514.9328189245798</v>
      </c>
      <c r="M779">
        <v>48.767609742300998</v>
      </c>
      <c r="N779">
        <v>52.404062331716702</v>
      </c>
      <c r="O779">
        <v>51.483249013084297</v>
      </c>
      <c r="P779">
        <v>-0.17287985653176199</v>
      </c>
      <c r="Q779">
        <v>0.26997384492156101</v>
      </c>
      <c r="R779">
        <v>0.98166874493787404</v>
      </c>
      <c r="S779" t="s">
        <v>6330</v>
      </c>
      <c r="T779" t="s">
        <v>11100</v>
      </c>
      <c r="U779" t="s">
        <v>11100</v>
      </c>
      <c r="V779" t="s">
        <v>11100</v>
      </c>
      <c r="W779" t="s">
        <v>11866</v>
      </c>
      <c r="X779">
        <v>3</v>
      </c>
      <c r="Y779" t="s">
        <v>17364</v>
      </c>
      <c r="Z779" t="s">
        <v>22784</v>
      </c>
      <c r="AA779">
        <v>0.62626234330186226</v>
      </c>
      <c r="AB779" t="str">
        <f>HYPERLINK("Melting_Curves/meltCurve_G5E9C8_SOS1.pdf", "Melting_Curves/meltCurve_G5E9C8_SOS1.pdf")</f>
        <v>Melting_Curves/meltCurve_G5E9C8_SOS1.pdf</v>
      </c>
    </row>
    <row r="780" spans="1:28" x14ac:dyDescent="0.25">
      <c r="A780" t="s">
        <v>784</v>
      </c>
      <c r="B780">
        <v>0.99299721793515405</v>
      </c>
      <c r="C780">
        <v>0.89987725886460501</v>
      </c>
      <c r="D780">
        <v>0.97089727904455003</v>
      </c>
      <c r="E780">
        <v>0.85276778251804997</v>
      </c>
      <c r="F780">
        <v>0.75496409619261495</v>
      </c>
      <c r="G780">
        <v>0.47228809003380201</v>
      </c>
      <c r="H780">
        <v>0.422984005660824</v>
      </c>
      <c r="I780">
        <v>0.303013352985396</v>
      </c>
      <c r="J780">
        <v>0.28377170884580799</v>
      </c>
      <c r="K780">
        <v>0.205792096719083</v>
      </c>
      <c r="L780">
        <v>632.36476493430905</v>
      </c>
      <c r="M780">
        <v>11.9867656591091</v>
      </c>
      <c r="N780">
        <v>54.621594011116898</v>
      </c>
      <c r="O780">
        <v>51.351279390536803</v>
      </c>
      <c r="P780">
        <v>-4.8562597717060597E-2</v>
      </c>
      <c r="Q780">
        <v>0.16803309988752499</v>
      </c>
      <c r="R780">
        <v>0.98175578275429598</v>
      </c>
      <c r="S780" t="s">
        <v>6331</v>
      </c>
      <c r="T780" t="s">
        <v>11100</v>
      </c>
      <c r="U780" t="s">
        <v>11100</v>
      </c>
      <c r="V780" t="s">
        <v>11100</v>
      </c>
      <c r="W780" t="s">
        <v>11867</v>
      </c>
      <c r="X780">
        <v>3</v>
      </c>
      <c r="Y780" t="s">
        <v>17365</v>
      </c>
      <c r="Z780" t="s">
        <v>22785</v>
      </c>
      <c r="AA780">
        <v>0.62308929006714564</v>
      </c>
      <c r="AB780" t="str">
        <f>HYPERLINK("Melting_Curves/meltCurve_G5E9E7_TJP1.pdf", "Melting_Curves/meltCurve_G5E9E7_TJP1.pdf")</f>
        <v>Melting_Curves/meltCurve_G5E9E7_TJP1.pdf</v>
      </c>
    </row>
    <row r="781" spans="1:28" x14ac:dyDescent="0.25">
      <c r="A781" t="s">
        <v>785</v>
      </c>
      <c r="B781">
        <v>0.99299721793515405</v>
      </c>
      <c r="C781">
        <v>0.93931310690189296</v>
      </c>
      <c r="D781">
        <v>0.98054992356612403</v>
      </c>
      <c r="E781">
        <v>0.77727382083141106</v>
      </c>
      <c r="F781">
        <v>0.67946181953818596</v>
      </c>
      <c r="G781">
        <v>0.58098283375286397</v>
      </c>
      <c r="H781">
        <v>0.48056533395225398</v>
      </c>
      <c r="I781">
        <v>0.47934235179761497</v>
      </c>
      <c r="J781">
        <v>0.45828036414567302</v>
      </c>
      <c r="K781">
        <v>0.28817244513489798</v>
      </c>
      <c r="L781">
        <v>483.53372082719198</v>
      </c>
      <c r="M781">
        <v>9.3523070940806896</v>
      </c>
      <c r="N781">
        <v>57.156052350476102</v>
      </c>
      <c r="O781">
        <v>49.503376135557801</v>
      </c>
      <c r="P781">
        <v>-3.3310517988699301E-2</v>
      </c>
      <c r="Q781">
        <v>0.29516920650061002</v>
      </c>
      <c r="R781">
        <v>0.962943985080285</v>
      </c>
      <c r="S781" t="s">
        <v>6332</v>
      </c>
      <c r="T781" t="s">
        <v>11100</v>
      </c>
      <c r="U781" t="s">
        <v>11100</v>
      </c>
      <c r="V781" t="s">
        <v>11100</v>
      </c>
      <c r="W781" t="s">
        <v>11868</v>
      </c>
      <c r="X781">
        <v>9</v>
      </c>
      <c r="Y781" t="s">
        <v>17059</v>
      </c>
      <c r="Z781" t="s">
        <v>22786</v>
      </c>
      <c r="AA781">
        <v>0.66089867464375973</v>
      </c>
      <c r="AB781" t="str">
        <f>HYPERLINK("Melting_Curves/meltCurve_G5E9T8_GOSR1.pdf", "Melting_Curves/meltCurve_G5E9T8_GOSR1.pdf")</f>
        <v>Melting_Curves/meltCurve_G5E9T8_GOSR1.pdf</v>
      </c>
    </row>
    <row r="782" spans="1:28" x14ac:dyDescent="0.25">
      <c r="A782" t="s">
        <v>786</v>
      </c>
      <c r="B782">
        <v>0.99299721793515405</v>
      </c>
      <c r="C782">
        <v>0.99801843148042502</v>
      </c>
      <c r="D782">
        <v>0.97554573164879999</v>
      </c>
      <c r="E782">
        <v>0.87194689696473004</v>
      </c>
      <c r="F782">
        <v>0.70742575555829001</v>
      </c>
      <c r="G782">
        <v>0.37351664472561802</v>
      </c>
      <c r="H782">
        <v>0.32547497409605602</v>
      </c>
      <c r="I782">
        <v>0.28237968088441301</v>
      </c>
      <c r="J782">
        <v>0.27993962183086102</v>
      </c>
      <c r="K782">
        <v>0.207426842431891</v>
      </c>
      <c r="L782">
        <v>1068.11925954238</v>
      </c>
      <c r="M782">
        <v>21.033899389210202</v>
      </c>
      <c r="N782">
        <v>52.442559194281003</v>
      </c>
      <c r="O782">
        <v>50.328535033379097</v>
      </c>
      <c r="P782">
        <v>-7.9070102256925595E-2</v>
      </c>
      <c r="Q782">
        <v>0.24324516090112699</v>
      </c>
      <c r="R782">
        <v>0.99228741864131198</v>
      </c>
      <c r="S782" t="s">
        <v>6333</v>
      </c>
      <c r="T782" t="s">
        <v>11100</v>
      </c>
      <c r="U782" t="s">
        <v>11100</v>
      </c>
      <c r="V782" t="s">
        <v>11100</v>
      </c>
      <c r="W782" t="s">
        <v>11869</v>
      </c>
      <c r="X782">
        <v>2</v>
      </c>
      <c r="Y782" t="s">
        <v>17366</v>
      </c>
      <c r="Z782" t="s">
        <v>22787</v>
      </c>
      <c r="AA782">
        <v>0.59997581777139819</v>
      </c>
      <c r="AB782" t="str">
        <f>HYPERLINK("Melting_Curves/meltCurve_G5E9Z4_PI4K2B.pdf", "Melting_Curves/meltCurve_G5E9Z4_PI4K2B.pdf")</f>
        <v>Melting_Curves/meltCurve_G5E9Z4_PI4K2B.pdf</v>
      </c>
    </row>
    <row r="783" spans="1:28" x14ac:dyDescent="0.25">
      <c r="A783" t="s">
        <v>787</v>
      </c>
      <c r="B783">
        <v>0.99299721793515405</v>
      </c>
      <c r="C783">
        <v>0.97043129706730102</v>
      </c>
      <c r="D783">
        <v>0.929272127695142</v>
      </c>
      <c r="E783">
        <v>0.72994085962463695</v>
      </c>
      <c r="F783">
        <v>0.52701047955568903</v>
      </c>
      <c r="G783">
        <v>0.31726119600124503</v>
      </c>
      <c r="H783">
        <v>0.20134071055458599</v>
      </c>
      <c r="I783">
        <v>0.15035465490771799</v>
      </c>
      <c r="J783">
        <v>0.12646666426412501</v>
      </c>
      <c r="K783">
        <v>0.119729417460732</v>
      </c>
      <c r="L783">
        <v>718.94013104103306</v>
      </c>
      <c r="M783">
        <v>14.470503721400201</v>
      </c>
      <c r="N783">
        <v>50.406677170034598</v>
      </c>
      <c r="O783">
        <v>48.763217339085301</v>
      </c>
      <c r="P783">
        <v>-6.7238261781726705E-2</v>
      </c>
      <c r="Q783">
        <v>9.3777862242237803E-2</v>
      </c>
      <c r="R783">
        <v>0.99929415005218802</v>
      </c>
      <c r="S783" t="s">
        <v>6334</v>
      </c>
      <c r="T783" t="s">
        <v>11100</v>
      </c>
      <c r="U783" t="s">
        <v>11100</v>
      </c>
      <c r="V783" t="s">
        <v>11100</v>
      </c>
      <c r="W783" t="s">
        <v>11870</v>
      </c>
      <c r="X783">
        <v>10</v>
      </c>
      <c r="Y783" t="s">
        <v>17367</v>
      </c>
      <c r="Z783" t="s">
        <v>22788</v>
      </c>
      <c r="AA783">
        <v>0.49706824706818831</v>
      </c>
      <c r="AB783" t="str">
        <f>HYPERLINK("Melting_Curves/meltCurve_G5EA30_CELF1.pdf", "Melting_Curves/meltCurve_G5EA30_CELF1.pdf")</f>
        <v>Melting_Curves/meltCurve_G5EA30_CELF1.pdf</v>
      </c>
    </row>
    <row r="784" spans="1:28" x14ac:dyDescent="0.25">
      <c r="A784" t="s">
        <v>788</v>
      </c>
      <c r="B784">
        <v>0.99299721793515405</v>
      </c>
      <c r="C784">
        <v>0.73642361962563796</v>
      </c>
      <c r="D784">
        <v>0.63649122851422002</v>
      </c>
      <c r="E784">
        <v>0.56211244552890005</v>
      </c>
      <c r="F784">
        <v>0.85578871551040703</v>
      </c>
      <c r="G784">
        <v>0.24512788023100199</v>
      </c>
      <c r="H784">
        <v>0.16852785997547701</v>
      </c>
      <c r="I784">
        <v>0.12509689286421799</v>
      </c>
      <c r="J784">
        <v>9.9124040553338302E-2</v>
      </c>
      <c r="K784">
        <v>1.51997209191719E-2</v>
      </c>
      <c r="L784">
        <v>395.37441998413198</v>
      </c>
      <c r="M784">
        <v>8.0363013864922408</v>
      </c>
      <c r="N784">
        <v>49.1985516424119</v>
      </c>
      <c r="O784">
        <v>46.432713905519499</v>
      </c>
      <c r="P784">
        <v>-4.33166468452134E-2</v>
      </c>
      <c r="Q784">
        <v>0</v>
      </c>
      <c r="R784">
        <v>0.80485897463940403</v>
      </c>
      <c r="S784" t="s">
        <v>6335</v>
      </c>
      <c r="T784" t="s">
        <v>11100</v>
      </c>
      <c r="U784" t="s">
        <v>11100</v>
      </c>
      <c r="V784" t="s">
        <v>11100</v>
      </c>
      <c r="W784" t="s">
        <v>11871</v>
      </c>
      <c r="X784">
        <v>3</v>
      </c>
      <c r="Y784" t="s">
        <v>17368</v>
      </c>
      <c r="Z784" t="s">
        <v>22789</v>
      </c>
      <c r="AA784">
        <v>0.45173911635165481</v>
      </c>
      <c r="AB784" t="str">
        <f>HYPERLINK("Melting_Curves/meltCurve_G5EA42_TMOD2.pdf", "Melting_Curves/meltCurve_G5EA42_TMOD2.pdf")</f>
        <v>Melting_Curves/meltCurve_G5EA42_TMOD2.pdf</v>
      </c>
    </row>
    <row r="785" spans="1:28" x14ac:dyDescent="0.25">
      <c r="A785" t="s">
        <v>789</v>
      </c>
      <c r="B785">
        <v>0.99299721793515405</v>
      </c>
      <c r="C785">
        <v>1.0018055364574601</v>
      </c>
      <c r="D785">
        <v>0.98824623653204402</v>
      </c>
      <c r="E785">
        <v>0.91904561454386202</v>
      </c>
      <c r="F785">
        <v>0.69600048937493797</v>
      </c>
      <c r="G785">
        <v>0.35530337339007001</v>
      </c>
      <c r="H785">
        <v>0.26513057139728902</v>
      </c>
      <c r="I785">
        <v>0.209208892529715</v>
      </c>
      <c r="J785">
        <v>0.17734176374431701</v>
      </c>
      <c r="K785">
        <v>0.152849153248097</v>
      </c>
      <c r="L785">
        <v>1176.62899374376</v>
      </c>
      <c r="M785">
        <v>22.959907491854199</v>
      </c>
      <c r="N785">
        <v>52.2089763578457</v>
      </c>
      <c r="O785">
        <v>50.863115062195803</v>
      </c>
      <c r="P785">
        <v>-9.3390941522604798E-2</v>
      </c>
      <c r="Q785">
        <v>0.17245943504806299</v>
      </c>
      <c r="R785">
        <v>0.99806381426212498</v>
      </c>
      <c r="S785" t="s">
        <v>6336</v>
      </c>
      <c r="T785" t="s">
        <v>11100</v>
      </c>
      <c r="U785" t="s">
        <v>11100</v>
      </c>
      <c r="V785" t="s">
        <v>11100</v>
      </c>
      <c r="W785" t="s">
        <v>11872</v>
      </c>
      <c r="X785">
        <v>51</v>
      </c>
      <c r="Y785" t="s">
        <v>17369</v>
      </c>
      <c r="Z785" t="s">
        <v>22790</v>
      </c>
      <c r="AA785">
        <v>0.57399333133942876</v>
      </c>
      <c r="AB785" t="str">
        <f>HYPERLINK("Melting_Curves/meltCurve_G5EA52_PDIA3.pdf", "Melting_Curves/meltCurve_G5EA52_PDIA3.pdf")</f>
        <v>Melting_Curves/meltCurve_G5EA52_PDIA3.pdf</v>
      </c>
    </row>
    <row r="786" spans="1:28" x14ac:dyDescent="0.25">
      <c r="A786" t="s">
        <v>790</v>
      </c>
      <c r="B786">
        <v>0.99299721793515405</v>
      </c>
      <c r="C786">
        <v>0.82245568517539402</v>
      </c>
      <c r="D786">
        <v>0.85883571141304704</v>
      </c>
      <c r="E786">
        <v>0.71047336563600305</v>
      </c>
      <c r="F786">
        <v>0.51305673755011905</v>
      </c>
      <c r="G786">
        <v>0.214065857196858</v>
      </c>
      <c r="H786">
        <v>0.194300631524158</v>
      </c>
      <c r="I786">
        <v>0.204752534781101</v>
      </c>
      <c r="J786">
        <v>0.22233086946356001</v>
      </c>
      <c r="K786">
        <v>0.17463387891609</v>
      </c>
      <c r="L786">
        <v>651.68568271666697</v>
      </c>
      <c r="M786">
        <v>13.5363853139485</v>
      </c>
      <c r="N786">
        <v>49.402589661321699</v>
      </c>
      <c r="O786">
        <v>47.128992847087197</v>
      </c>
      <c r="P786">
        <v>-6.1337159621575398E-2</v>
      </c>
      <c r="Q786">
        <v>0.14591016038007501</v>
      </c>
      <c r="R786">
        <v>0.96365101194810798</v>
      </c>
      <c r="S786" t="s">
        <v>6337</v>
      </c>
      <c r="T786" t="s">
        <v>11100</v>
      </c>
      <c r="U786" t="s">
        <v>11100</v>
      </c>
      <c r="V786" t="s">
        <v>11100</v>
      </c>
      <c r="W786" t="s">
        <v>11873</v>
      </c>
      <c r="X786">
        <v>1</v>
      </c>
      <c r="Y786" t="s">
        <v>17370</v>
      </c>
      <c r="Z786" t="s">
        <v>22791</v>
      </c>
      <c r="AA786">
        <v>0.48529598476159508</v>
      </c>
      <c r="AB786" t="str">
        <f>HYPERLINK("Melting_Curves/meltCurve_G5EA54_MIPOL1.pdf", "Melting_Curves/meltCurve_G5EA54_MIPOL1.pdf")</f>
        <v>Melting_Curves/meltCurve_G5EA54_MIPOL1.pdf</v>
      </c>
    </row>
    <row r="787" spans="1:28" x14ac:dyDescent="0.25">
      <c r="A787" t="s">
        <v>791</v>
      </c>
      <c r="B787">
        <v>0.99299721793515405</v>
      </c>
      <c r="C787">
        <v>0.89692524711598098</v>
      </c>
      <c r="D787">
        <v>1.0697619997558101</v>
      </c>
      <c r="E787">
        <v>0.77093236350898098</v>
      </c>
      <c r="F787">
        <v>0.65417310258960104</v>
      </c>
      <c r="G787">
        <v>0.31268426840443497</v>
      </c>
      <c r="H787">
        <v>0.22777647126100001</v>
      </c>
      <c r="I787">
        <v>0.26933534413806998</v>
      </c>
      <c r="J787">
        <v>0.28981627904968599</v>
      </c>
      <c r="K787">
        <v>0.204086059389647</v>
      </c>
      <c r="L787">
        <v>1052.9396537697201</v>
      </c>
      <c r="M787">
        <v>21.146480613787499</v>
      </c>
      <c r="N787">
        <v>51.265139488456498</v>
      </c>
      <c r="O787">
        <v>49.353801427066401</v>
      </c>
      <c r="P787">
        <v>-8.2737784660938396E-2</v>
      </c>
      <c r="Q787">
        <v>0.22761292075637099</v>
      </c>
      <c r="R787">
        <v>0.96268379579751295</v>
      </c>
      <c r="S787" t="s">
        <v>6338</v>
      </c>
      <c r="T787" t="s">
        <v>11100</v>
      </c>
      <c r="U787" t="s">
        <v>11100</v>
      </c>
      <c r="V787" t="s">
        <v>11100</v>
      </c>
      <c r="W787" t="s">
        <v>11874</v>
      </c>
      <c r="X787">
        <v>4</v>
      </c>
      <c r="Y787" t="s">
        <v>17371</v>
      </c>
      <c r="Z787" t="s">
        <v>22792</v>
      </c>
      <c r="AA787">
        <v>0.56618649593551795</v>
      </c>
      <c r="AB787" t="str">
        <f>HYPERLINK("Melting_Curves/meltCurve_G8JL86_COBLL1.pdf", "Melting_Curves/meltCurve_G8JL86_COBLL1.pdf")</f>
        <v>Melting_Curves/meltCurve_G8JL86_COBLL1.pdf</v>
      </c>
    </row>
    <row r="788" spans="1:28" x14ac:dyDescent="0.25">
      <c r="A788" t="s">
        <v>792</v>
      </c>
      <c r="B788">
        <v>0.99299721793515405</v>
      </c>
      <c r="C788">
        <v>0.95937867075990402</v>
      </c>
      <c r="D788">
        <v>1.1880045858141</v>
      </c>
      <c r="E788">
        <v>0.59878737065726895</v>
      </c>
      <c r="F788">
        <v>0.28842777727853902</v>
      </c>
      <c r="G788">
        <v>0.269519471422697</v>
      </c>
      <c r="H788">
        <v>0.15133412371708399</v>
      </c>
      <c r="I788">
        <v>0.151531886856445</v>
      </c>
      <c r="J788">
        <v>0.14617308505482399</v>
      </c>
      <c r="K788">
        <v>0.130040393080841</v>
      </c>
      <c r="L788">
        <v>2874.9004363205599</v>
      </c>
      <c r="M788">
        <v>61.624276910686397</v>
      </c>
      <c r="N788">
        <v>47.009443450265699</v>
      </c>
      <c r="O788">
        <v>46.603022801395198</v>
      </c>
      <c r="P788">
        <v>-0.26875563381880502</v>
      </c>
      <c r="Q788">
        <v>0.18702038045198099</v>
      </c>
      <c r="R788">
        <v>0.96017393276770002</v>
      </c>
      <c r="S788" t="s">
        <v>6339</v>
      </c>
      <c r="T788" t="s">
        <v>11100</v>
      </c>
      <c r="U788" t="s">
        <v>11100</v>
      </c>
      <c r="V788" t="s">
        <v>11100</v>
      </c>
      <c r="W788" t="s">
        <v>11875</v>
      </c>
      <c r="X788">
        <v>2</v>
      </c>
      <c r="Y788" t="s">
        <v>17372</v>
      </c>
      <c r="Z788" t="s">
        <v>22793</v>
      </c>
      <c r="AA788">
        <v>0.44968432334124658</v>
      </c>
      <c r="AB788" t="str">
        <f>HYPERLINK("Melting_Curves/meltCurve_G8JL98_TDG.pdf", "Melting_Curves/meltCurve_G8JL98_TDG.pdf")</f>
        <v>Melting_Curves/meltCurve_G8JL98_TDG.pdf</v>
      </c>
    </row>
    <row r="789" spans="1:28" x14ac:dyDescent="0.25">
      <c r="A789" t="s">
        <v>793</v>
      </c>
      <c r="B789">
        <v>0.99299721793515405</v>
      </c>
      <c r="C789">
        <v>0.99163897246640798</v>
      </c>
      <c r="D789">
        <v>0.92874067712249997</v>
      </c>
      <c r="E789">
        <v>0.86702129813043705</v>
      </c>
      <c r="F789">
        <v>0.72495424454879198</v>
      </c>
      <c r="G789">
        <v>0.85274180084406104</v>
      </c>
      <c r="H789">
        <v>1.07506526943479</v>
      </c>
      <c r="I789">
        <v>1.1614373491038701</v>
      </c>
      <c r="J789">
        <v>1.3528616993910501</v>
      </c>
      <c r="K789">
        <v>1.2222228041488301</v>
      </c>
      <c r="L789">
        <v>2705.57267447289</v>
      </c>
      <c r="M789">
        <v>45.097792942678304</v>
      </c>
      <c r="O789">
        <v>59.875854181002602</v>
      </c>
      <c r="P789">
        <v>5.37659874401882E-2</v>
      </c>
      <c r="Q789">
        <v>1.2855377231859799</v>
      </c>
      <c r="R789">
        <v>0.58506402335638297</v>
      </c>
      <c r="S789" t="s">
        <v>6340</v>
      </c>
      <c r="T789" t="s">
        <v>11100</v>
      </c>
      <c r="U789" t="s">
        <v>11100</v>
      </c>
      <c r="V789" t="s">
        <v>11100</v>
      </c>
      <c r="W789" t="s">
        <v>11876</v>
      </c>
      <c r="X789">
        <v>12</v>
      </c>
      <c r="Y789" t="s">
        <v>17373</v>
      </c>
      <c r="Z789" t="s">
        <v>22794</v>
      </c>
      <c r="AA789">
        <v>1.065905939289099</v>
      </c>
      <c r="AB789" t="str">
        <f>HYPERLINK("Melting_Curves/meltCurve_G8JLA2_MYL6.pdf", "Melting_Curves/meltCurve_G8JLA2_MYL6.pdf")</f>
        <v>Melting_Curves/meltCurve_G8JLA2_MYL6.pdf</v>
      </c>
    </row>
    <row r="790" spans="1:28" x14ac:dyDescent="0.25">
      <c r="A790" t="s">
        <v>794</v>
      </c>
      <c r="B790">
        <v>0.99299721793515405</v>
      </c>
      <c r="C790">
        <v>0.92399359009344095</v>
      </c>
      <c r="D790">
        <v>0.97504196432479195</v>
      </c>
      <c r="E790">
        <v>0.85635235656097197</v>
      </c>
      <c r="F790">
        <v>0.38287032089170198</v>
      </c>
      <c r="G790">
        <v>0.185610317446431</v>
      </c>
      <c r="H790">
        <v>0.113319433131397</v>
      </c>
      <c r="I790">
        <v>0.12566111936085</v>
      </c>
      <c r="J790">
        <v>0.127415170819035</v>
      </c>
      <c r="K790">
        <v>0.119893057360713</v>
      </c>
      <c r="L790">
        <v>1553.4523623715199</v>
      </c>
      <c r="M790">
        <v>31.766709101351701</v>
      </c>
      <c r="N790">
        <v>49.3369758682297</v>
      </c>
      <c r="O790">
        <v>48.709329696488403</v>
      </c>
      <c r="P790">
        <v>-0.14312582408142399</v>
      </c>
      <c r="Q790">
        <v>0.122159395097291</v>
      </c>
      <c r="R790">
        <v>0.99544179856395898</v>
      </c>
      <c r="S790" t="s">
        <v>6341</v>
      </c>
      <c r="T790" t="s">
        <v>11100</v>
      </c>
      <c r="U790" t="s">
        <v>11100</v>
      </c>
      <c r="V790" t="s">
        <v>11100</v>
      </c>
      <c r="W790" t="s">
        <v>11877</v>
      </c>
      <c r="X790">
        <v>8</v>
      </c>
      <c r="Y790" t="s">
        <v>17374</v>
      </c>
      <c r="Z790" t="s">
        <v>22795</v>
      </c>
      <c r="AA790">
        <v>0.47513948266462092</v>
      </c>
      <c r="AB790" t="str">
        <f>HYPERLINK("Melting_Curves/meltCurve_G8JLB3_PUS1.pdf", "Melting_Curves/meltCurve_G8JLB3_PUS1.pdf")</f>
        <v>Melting_Curves/meltCurve_G8JLB3_PUS1.pdf</v>
      </c>
    </row>
    <row r="791" spans="1:28" x14ac:dyDescent="0.25">
      <c r="A791" t="s">
        <v>795</v>
      </c>
      <c r="B791">
        <v>0.99299721793515405</v>
      </c>
      <c r="C791">
        <v>0.94707846902321502</v>
      </c>
      <c r="D791">
        <v>0.99943649915488497</v>
      </c>
      <c r="E791">
        <v>0.84390945894324298</v>
      </c>
      <c r="F791">
        <v>0.72234026511368499</v>
      </c>
      <c r="G791">
        <v>0.49364178264691499</v>
      </c>
      <c r="H791">
        <v>0.39011905038473099</v>
      </c>
      <c r="I791">
        <v>0.35620187854108498</v>
      </c>
      <c r="J791">
        <v>0.27670536729706402</v>
      </c>
      <c r="K791">
        <v>0.23212464776901501</v>
      </c>
      <c r="L791">
        <v>698.35195664770094</v>
      </c>
      <c r="M791">
        <v>13.4367340879942</v>
      </c>
      <c r="N791">
        <v>54.325472088802499</v>
      </c>
      <c r="O791">
        <v>50.862637810006497</v>
      </c>
      <c r="P791">
        <v>-5.1486433590131102E-2</v>
      </c>
      <c r="Q791">
        <v>0.22054567834331901</v>
      </c>
      <c r="R791">
        <v>0.99114962606299195</v>
      </c>
      <c r="S791" t="s">
        <v>6342</v>
      </c>
      <c r="T791" t="s">
        <v>11100</v>
      </c>
      <c r="U791" t="s">
        <v>11100</v>
      </c>
      <c r="V791" t="s">
        <v>11100</v>
      </c>
      <c r="W791" t="s">
        <v>11878</v>
      </c>
      <c r="X791">
        <v>35</v>
      </c>
      <c r="Y791" t="s">
        <v>17375</v>
      </c>
      <c r="Z791" t="s">
        <v>22796</v>
      </c>
      <c r="AA791">
        <v>0.62638111007987418</v>
      </c>
      <c r="AB791" t="str">
        <f>HYPERLINK("Melting_Curves/meltCurve_G8JLC6_MIA3.pdf", "Melting_Curves/meltCurve_G8JLC6_MIA3.pdf")</f>
        <v>Melting_Curves/meltCurve_G8JLC6_MIA3.pdf</v>
      </c>
    </row>
    <row r="792" spans="1:28" x14ac:dyDescent="0.25">
      <c r="A792" t="s">
        <v>796</v>
      </c>
      <c r="B792">
        <v>0.99299721793515405</v>
      </c>
      <c r="C792">
        <v>1.0520614405158299</v>
      </c>
      <c r="D792">
        <v>0.99979323889640404</v>
      </c>
      <c r="E792">
        <v>0.90918124008419698</v>
      </c>
      <c r="F792">
        <v>0.61009562644614401</v>
      </c>
      <c r="G792">
        <v>0.41295695664777998</v>
      </c>
      <c r="H792">
        <v>0.31795016484598898</v>
      </c>
      <c r="I792">
        <v>0.25238401536305899</v>
      </c>
      <c r="J792">
        <v>0.20843516145860799</v>
      </c>
      <c r="K792">
        <v>0.16579991629722499</v>
      </c>
      <c r="L792">
        <v>958.76392915258498</v>
      </c>
      <c r="M792">
        <v>18.848973230281</v>
      </c>
      <c r="N792">
        <v>52.258892872168701</v>
      </c>
      <c r="O792">
        <v>50.303404178584501</v>
      </c>
      <c r="P792">
        <v>-7.5177832453999102E-2</v>
      </c>
      <c r="Q792">
        <v>0.197506068338209</v>
      </c>
      <c r="R792">
        <v>0.99186156456785202</v>
      </c>
      <c r="S792" t="s">
        <v>6343</v>
      </c>
      <c r="T792" t="s">
        <v>11100</v>
      </c>
      <c r="U792" t="s">
        <v>11100</v>
      </c>
      <c r="V792" t="s">
        <v>11100</v>
      </c>
      <c r="W792" t="s">
        <v>11879</v>
      </c>
      <c r="X792">
        <v>17</v>
      </c>
      <c r="Y792" t="s">
        <v>17376</v>
      </c>
      <c r="Z792" t="s">
        <v>22797</v>
      </c>
      <c r="AA792">
        <v>0.58000513102038953</v>
      </c>
      <c r="AB792" t="str">
        <f>HYPERLINK("Melting_Curves/meltCurve_G8JLD3_ERC1.pdf", "Melting_Curves/meltCurve_G8JLD3_ERC1.pdf")</f>
        <v>Melting_Curves/meltCurve_G8JLD3_ERC1.pdf</v>
      </c>
    </row>
    <row r="793" spans="1:28" x14ac:dyDescent="0.25">
      <c r="A793" t="s">
        <v>797</v>
      </c>
      <c r="B793">
        <v>0.99299721793515405</v>
      </c>
      <c r="C793">
        <v>0.90232528754597296</v>
      </c>
      <c r="D793">
        <v>1.3282670867514801</v>
      </c>
      <c r="E793">
        <v>0.89585492733334304</v>
      </c>
      <c r="F793">
        <v>0.68768829017574495</v>
      </c>
      <c r="G793">
        <v>0.13931918812295299</v>
      </c>
      <c r="H793">
        <v>0.45397154556970698</v>
      </c>
      <c r="I793">
        <v>0.156245287151898</v>
      </c>
      <c r="J793">
        <v>0</v>
      </c>
      <c r="K793">
        <v>0.131885407856875</v>
      </c>
      <c r="L793">
        <v>12574.756535995</v>
      </c>
      <c r="M793">
        <v>250</v>
      </c>
      <c r="N793">
        <v>50.386646962208097</v>
      </c>
      <c r="O793">
        <v>50.295807312513098</v>
      </c>
      <c r="P793">
        <v>-1.0235889571307699</v>
      </c>
      <c r="Q793">
        <v>0.17628427323538601</v>
      </c>
      <c r="R793">
        <v>0.87168531184810305</v>
      </c>
      <c r="S793" t="s">
        <v>6344</v>
      </c>
      <c r="T793" t="s">
        <v>11100</v>
      </c>
      <c r="U793" t="s">
        <v>11100</v>
      </c>
      <c r="V793" t="s">
        <v>11100</v>
      </c>
      <c r="W793" t="s">
        <v>11880</v>
      </c>
      <c r="X793">
        <v>1</v>
      </c>
      <c r="Y793" t="s">
        <v>17377</v>
      </c>
      <c r="Z793" t="s">
        <v>22798</v>
      </c>
      <c r="AA793">
        <v>0.54151088543908987</v>
      </c>
      <c r="AB793" t="str">
        <f>HYPERLINK("Melting_Curves/meltCurve_G8JLH2_CDC25B.pdf", "Melting_Curves/meltCurve_G8JLH2_CDC25B.pdf")</f>
        <v>Melting_Curves/meltCurve_G8JLH2_CDC25B.pdf</v>
      </c>
    </row>
    <row r="794" spans="1:28" x14ac:dyDescent="0.25">
      <c r="A794" t="s">
        <v>798</v>
      </c>
      <c r="B794">
        <v>0.99299721793515405</v>
      </c>
      <c r="C794">
        <v>0.93251497644072101</v>
      </c>
      <c r="D794">
        <v>0.87065293371813801</v>
      </c>
      <c r="E794">
        <v>0.76088840725583196</v>
      </c>
      <c r="F794">
        <v>0.60948396706098396</v>
      </c>
      <c r="G794">
        <v>0.48095882476282098</v>
      </c>
      <c r="H794">
        <v>0.44430117931506402</v>
      </c>
      <c r="I794">
        <v>0.31962151698761598</v>
      </c>
      <c r="J794">
        <v>0.156166898124797</v>
      </c>
      <c r="K794">
        <v>0.14432075466921099</v>
      </c>
      <c r="L794">
        <v>421.73491363033401</v>
      </c>
      <c r="M794">
        <v>7.8602273962276996</v>
      </c>
      <c r="N794">
        <v>53.654289165744601</v>
      </c>
      <c r="O794">
        <v>50.514251489631903</v>
      </c>
      <c r="P794">
        <v>-3.8948024763455602E-2</v>
      </c>
      <c r="Q794">
        <v>0</v>
      </c>
      <c r="R794">
        <v>0.98602540882350997</v>
      </c>
      <c r="S794" t="s">
        <v>6345</v>
      </c>
      <c r="T794" t="s">
        <v>11100</v>
      </c>
      <c r="U794" t="s">
        <v>11100</v>
      </c>
      <c r="V794" t="s">
        <v>11100</v>
      </c>
      <c r="W794" t="s">
        <v>11881</v>
      </c>
      <c r="X794">
        <v>7</v>
      </c>
      <c r="Y794" t="s">
        <v>17378</v>
      </c>
      <c r="Z794" t="s">
        <v>22799</v>
      </c>
      <c r="AA794">
        <v>0.57202230287169287</v>
      </c>
      <c r="AB794" t="str">
        <f>HYPERLINK("Melting_Curves/meltCurve_G8JLI5_WDR45.pdf", "Melting_Curves/meltCurve_G8JLI5_WDR45.pdf")</f>
        <v>Melting_Curves/meltCurve_G8JLI5_WDR45.pdf</v>
      </c>
    </row>
    <row r="795" spans="1:28" x14ac:dyDescent="0.25">
      <c r="A795" t="s">
        <v>799</v>
      </c>
      <c r="B795">
        <v>0.99299721793515405</v>
      </c>
      <c r="C795">
        <v>1.1079470165524099</v>
      </c>
      <c r="D795">
        <v>0.97543192532548795</v>
      </c>
      <c r="E795">
        <v>0.88638745350419001</v>
      </c>
      <c r="F795">
        <v>0.88243799551469204</v>
      </c>
      <c r="G795">
        <v>0.61766800736277405</v>
      </c>
      <c r="H795">
        <v>0.495468156767645</v>
      </c>
      <c r="I795">
        <v>0.37237188632761098</v>
      </c>
      <c r="J795">
        <v>0.33809601694154501</v>
      </c>
      <c r="K795">
        <v>0.31655676727370202</v>
      </c>
      <c r="L795">
        <v>861.11723538026502</v>
      </c>
      <c r="M795">
        <v>15.977151085553301</v>
      </c>
      <c r="N795">
        <v>56.893057565724597</v>
      </c>
      <c r="O795">
        <v>53.073648354978403</v>
      </c>
      <c r="P795">
        <v>-5.3855781162906097E-2</v>
      </c>
      <c r="Q795">
        <v>0.28445365444776999</v>
      </c>
      <c r="R795">
        <v>0.976214009976905</v>
      </c>
      <c r="S795" t="s">
        <v>6346</v>
      </c>
      <c r="T795" t="s">
        <v>11100</v>
      </c>
      <c r="U795" t="s">
        <v>11100</v>
      </c>
      <c r="V795" t="s">
        <v>11100</v>
      </c>
      <c r="W795" t="s">
        <v>11882</v>
      </c>
      <c r="X795">
        <v>4</v>
      </c>
      <c r="Y795" t="s">
        <v>17379</v>
      </c>
      <c r="Z795" t="s">
        <v>22800</v>
      </c>
      <c r="AA795">
        <v>0.69860586341758812</v>
      </c>
      <c r="AB795" t="str">
        <f>HYPERLINK("Melting_Curves/meltCurve_G8JLI6_LEPREL2.pdf", "Melting_Curves/meltCurve_G8JLI6_LEPREL2.pdf")</f>
        <v>Melting_Curves/meltCurve_G8JLI6_LEPREL2.pdf</v>
      </c>
    </row>
    <row r="796" spans="1:28" x14ac:dyDescent="0.25">
      <c r="A796" t="s">
        <v>800</v>
      </c>
      <c r="B796">
        <v>0.99299721793515405</v>
      </c>
      <c r="C796">
        <v>0.90951007860517696</v>
      </c>
      <c r="D796">
        <v>0.901085328523058</v>
      </c>
      <c r="E796">
        <v>0.886374394808639</v>
      </c>
      <c r="F796">
        <v>0.76487937456860899</v>
      </c>
      <c r="G796">
        <v>0.53157108227341898</v>
      </c>
      <c r="H796">
        <v>0.46768794867496899</v>
      </c>
      <c r="I796">
        <v>0.460418273201464</v>
      </c>
      <c r="J796">
        <v>0.45167914280911498</v>
      </c>
      <c r="K796">
        <v>0.47721158406726299</v>
      </c>
      <c r="L796">
        <v>821.12577694561696</v>
      </c>
      <c r="M796">
        <v>16.379672514428002</v>
      </c>
      <c r="N796">
        <v>57.190650850907097</v>
      </c>
      <c r="O796">
        <v>49.401435474250199</v>
      </c>
      <c r="P796">
        <v>-4.6935791434508503E-2</v>
      </c>
      <c r="Q796">
        <v>0.433803179500028</v>
      </c>
      <c r="R796">
        <v>0.96189059033506497</v>
      </c>
      <c r="S796" t="s">
        <v>6347</v>
      </c>
      <c r="T796" t="s">
        <v>11100</v>
      </c>
      <c r="U796" t="s">
        <v>11100</v>
      </c>
      <c r="V796" t="s">
        <v>11100</v>
      </c>
      <c r="W796" t="s">
        <v>11883</v>
      </c>
      <c r="X796">
        <v>14</v>
      </c>
      <c r="Y796" t="s">
        <v>17380</v>
      </c>
      <c r="Z796" t="s">
        <v>22801</v>
      </c>
      <c r="AA796">
        <v>0.6919667252160896</v>
      </c>
      <c r="AB796" t="str">
        <f>HYPERLINK("Melting_Curves/meltCurve_G8JLK4_TACC1.pdf", "Melting_Curves/meltCurve_G8JLK4_TACC1.pdf")</f>
        <v>Melting_Curves/meltCurve_G8JLK4_TACC1.pdf</v>
      </c>
    </row>
    <row r="797" spans="1:28" x14ac:dyDescent="0.25">
      <c r="A797" t="s">
        <v>801</v>
      </c>
      <c r="B797">
        <v>0.99299721793515405</v>
      </c>
      <c r="C797">
        <v>1.0636612485805099</v>
      </c>
      <c r="D797">
        <v>0.86744356565111802</v>
      </c>
      <c r="E797">
        <v>0.86728071915195404</v>
      </c>
      <c r="F797">
        <v>0.76342010197588805</v>
      </c>
      <c r="G797">
        <v>0.63014980871182502</v>
      </c>
      <c r="H797">
        <v>0.58382178130984996</v>
      </c>
      <c r="I797">
        <v>0.59649420490933502</v>
      </c>
      <c r="J797">
        <v>0.33256464326393298</v>
      </c>
      <c r="K797">
        <v>0.12991515928268099</v>
      </c>
      <c r="L797">
        <v>458.01617357778701</v>
      </c>
      <c r="M797">
        <v>7.7910356816177897</v>
      </c>
      <c r="N797">
        <v>58.7875830892498</v>
      </c>
      <c r="O797">
        <v>55.291652698758398</v>
      </c>
      <c r="P797">
        <v>-3.52709706071897E-2</v>
      </c>
      <c r="Q797">
        <v>0</v>
      </c>
      <c r="R797">
        <v>0.91101917775494501</v>
      </c>
      <c r="S797" t="s">
        <v>6348</v>
      </c>
      <c r="T797" t="s">
        <v>11100</v>
      </c>
      <c r="U797" t="s">
        <v>11100</v>
      </c>
      <c r="V797" t="s">
        <v>11100</v>
      </c>
      <c r="W797" t="s">
        <v>11884</v>
      </c>
      <c r="X797">
        <v>1</v>
      </c>
      <c r="Y797" t="s">
        <v>17381</v>
      </c>
      <c r="Z797" t="s">
        <v>22802</v>
      </c>
      <c r="AA797">
        <v>0.69500207546882253</v>
      </c>
      <c r="AB797" t="str">
        <f>HYPERLINK("Melting_Curves/meltCurve_G8JLL2_PPT2.pdf", "Melting_Curves/meltCurve_G8JLL2_PPT2.pdf")</f>
        <v>Melting_Curves/meltCurve_G8JLL2_PPT2.pdf</v>
      </c>
    </row>
    <row r="798" spans="1:28" x14ac:dyDescent="0.25">
      <c r="A798" t="s">
        <v>802</v>
      </c>
      <c r="B798">
        <v>0.99299721793515405</v>
      </c>
      <c r="C798">
        <v>0.96110905134861802</v>
      </c>
      <c r="D798">
        <v>0.75706708052183402</v>
      </c>
      <c r="E798">
        <v>0.815466340208433</v>
      </c>
      <c r="F798">
        <v>0.62445171138200795</v>
      </c>
      <c r="G798">
        <v>0.35377178707103502</v>
      </c>
      <c r="H798">
        <v>0.21753198836281001</v>
      </c>
      <c r="I798">
        <v>0.28861539105047801</v>
      </c>
      <c r="J798">
        <v>0.242207278644193</v>
      </c>
      <c r="K798">
        <v>0.22564471057676599</v>
      </c>
      <c r="L798">
        <v>596.19004218354303</v>
      </c>
      <c r="M798">
        <v>12.0097894750346</v>
      </c>
      <c r="N798">
        <v>51.433868151669103</v>
      </c>
      <c r="O798">
        <v>48.325734589847698</v>
      </c>
      <c r="P798">
        <v>-5.15207720814869E-2</v>
      </c>
      <c r="Q798">
        <v>0.17094933457484099</v>
      </c>
      <c r="R798">
        <v>0.95535021324193004</v>
      </c>
      <c r="S798" t="s">
        <v>6349</v>
      </c>
      <c r="T798" t="s">
        <v>11100</v>
      </c>
      <c r="U798" t="s">
        <v>11100</v>
      </c>
      <c r="V798" t="s">
        <v>11100</v>
      </c>
      <c r="W798" t="s">
        <v>11885</v>
      </c>
      <c r="X798">
        <v>1</v>
      </c>
      <c r="Y798" t="s">
        <v>17382</v>
      </c>
      <c r="Z798" t="s">
        <v>22803</v>
      </c>
      <c r="AA798">
        <v>0.54402563433115814</v>
      </c>
      <c r="AB798" t="str">
        <f>HYPERLINK("Melting_Curves/meltCurve_G8JLL7_MVB12B.pdf", "Melting_Curves/meltCurve_G8JLL7_MVB12B.pdf")</f>
        <v>Melting_Curves/meltCurve_G8JLL7_MVB12B.pdf</v>
      </c>
    </row>
    <row r="799" spans="1:28" x14ac:dyDescent="0.25">
      <c r="A799" t="s">
        <v>803</v>
      </c>
      <c r="B799">
        <v>0.99299721793515405</v>
      </c>
      <c r="C799">
        <v>0.977682728788272</v>
      </c>
      <c r="D799">
        <v>0.85936960054648404</v>
      </c>
      <c r="E799">
        <v>0.88648520227877003</v>
      </c>
      <c r="F799">
        <v>0.70930261522952998</v>
      </c>
      <c r="G799">
        <v>0.35469692220479399</v>
      </c>
      <c r="H799">
        <v>0.252135600214903</v>
      </c>
      <c r="I799">
        <v>0.221866763588946</v>
      </c>
      <c r="J799">
        <v>0.205281585973379</v>
      </c>
      <c r="K799">
        <v>0.15747659458480401</v>
      </c>
      <c r="L799">
        <v>967.24753846716305</v>
      </c>
      <c r="M799">
        <v>18.9045585222539</v>
      </c>
      <c r="N799">
        <v>52.2728463817392</v>
      </c>
      <c r="O799">
        <v>50.602572924984599</v>
      </c>
      <c r="P799">
        <v>-7.7981825073415695E-2</v>
      </c>
      <c r="Q799">
        <v>0.16508589096600301</v>
      </c>
      <c r="R799">
        <v>0.98171842693449796</v>
      </c>
      <c r="S799" t="s">
        <v>6350</v>
      </c>
      <c r="T799" t="s">
        <v>11100</v>
      </c>
      <c r="U799" t="s">
        <v>11100</v>
      </c>
      <c r="V799" t="s">
        <v>11100</v>
      </c>
      <c r="W799" t="s">
        <v>11886</v>
      </c>
      <c r="X799">
        <v>3</v>
      </c>
      <c r="Y799" t="s">
        <v>17383</v>
      </c>
      <c r="Z799" t="s">
        <v>22804</v>
      </c>
      <c r="AA799">
        <v>0.571253834136496</v>
      </c>
      <c r="AB799" t="str">
        <f>HYPERLINK("Melting_Curves/meltCurve_H0UI80_TH1L.pdf", "Melting_Curves/meltCurve_H0UI80_TH1L.pdf")</f>
        <v>Melting_Curves/meltCurve_H0UI80_TH1L.pdf</v>
      </c>
    </row>
    <row r="800" spans="1:28" x14ac:dyDescent="0.25">
      <c r="A800" t="s">
        <v>804</v>
      </c>
      <c r="B800">
        <v>0.99299721793515405</v>
      </c>
      <c r="C800">
        <v>1.1853794457095499</v>
      </c>
      <c r="D800">
        <v>1.02857310787448</v>
      </c>
      <c r="E800">
        <v>1.0244651324960901</v>
      </c>
      <c r="F800">
        <v>0.74663056330451605</v>
      </c>
      <c r="G800">
        <v>0.49649512134677598</v>
      </c>
      <c r="H800">
        <v>0.25813084710760198</v>
      </c>
      <c r="I800">
        <v>0.10720903417109399</v>
      </c>
      <c r="J800">
        <v>4.0631950046310601E-2</v>
      </c>
      <c r="K800">
        <v>2.22478976637988E-2</v>
      </c>
      <c r="L800">
        <v>1014.88810926284</v>
      </c>
      <c r="M800">
        <v>18.880250074315299</v>
      </c>
      <c r="N800">
        <v>53.786666079535898</v>
      </c>
      <c r="O800">
        <v>53.161810316722601</v>
      </c>
      <c r="P800">
        <v>-8.82835007248058E-2</v>
      </c>
      <c r="Q800">
        <v>5.7083755042326096E-3</v>
      </c>
      <c r="R800">
        <v>0.97629323747076502</v>
      </c>
      <c r="S800" t="s">
        <v>6351</v>
      </c>
      <c r="T800" t="s">
        <v>11100</v>
      </c>
      <c r="U800" t="s">
        <v>11100</v>
      </c>
      <c r="V800" t="s">
        <v>11100</v>
      </c>
      <c r="W800" t="s">
        <v>11887</v>
      </c>
      <c r="X800">
        <v>1</v>
      </c>
      <c r="Y800" t="s">
        <v>17384</v>
      </c>
      <c r="Z800" t="s">
        <v>22805</v>
      </c>
      <c r="AA800">
        <v>0.57408460726095234</v>
      </c>
      <c r="AB800" t="str">
        <f>HYPERLINK("Melting_Curves/meltCurve_H0Y2L5_ARFRP1.pdf", "Melting_Curves/meltCurve_H0Y2L5_ARFRP1.pdf")</f>
        <v>Melting_Curves/meltCurve_H0Y2L5_ARFRP1.pdf</v>
      </c>
    </row>
    <row r="801" spans="1:28" x14ac:dyDescent="0.25">
      <c r="A801" t="s">
        <v>805</v>
      </c>
      <c r="B801">
        <v>0.99299721793515405</v>
      </c>
      <c r="C801">
        <v>0.86206831071100398</v>
      </c>
      <c r="D801">
        <v>0.76673551714459098</v>
      </c>
      <c r="E801">
        <v>0.814251200882527</v>
      </c>
      <c r="F801">
        <v>0.78313229998648304</v>
      </c>
      <c r="G801">
        <v>0.482298854083902</v>
      </c>
      <c r="H801">
        <v>0.45162818702452701</v>
      </c>
      <c r="I801">
        <v>0.33278317236284299</v>
      </c>
      <c r="J801">
        <v>0.197618520307418</v>
      </c>
      <c r="K801">
        <v>0.25529013120576699</v>
      </c>
      <c r="L801">
        <v>379.86474271683699</v>
      </c>
      <c r="M801">
        <v>6.9056233396442499</v>
      </c>
      <c r="N801">
        <v>55.008052131409102</v>
      </c>
      <c r="O801">
        <v>50.950319468819799</v>
      </c>
      <c r="P801">
        <v>-3.39501130509667E-2</v>
      </c>
      <c r="Q801">
        <v>0</v>
      </c>
      <c r="R801">
        <v>0.93888956247895605</v>
      </c>
      <c r="S801" t="s">
        <v>6352</v>
      </c>
      <c r="T801" t="s">
        <v>11100</v>
      </c>
      <c r="U801" t="s">
        <v>11100</v>
      </c>
      <c r="V801" t="s">
        <v>11100</v>
      </c>
      <c r="W801" t="s">
        <v>11888</v>
      </c>
      <c r="X801">
        <v>3</v>
      </c>
      <c r="Y801" t="s">
        <v>17385</v>
      </c>
      <c r="Z801" t="s">
        <v>22806</v>
      </c>
      <c r="AA801">
        <v>0.6017137602967717</v>
      </c>
      <c r="AB801" t="str">
        <f>HYPERLINK("Melting_Curves/meltCurve_H0Y2P9_PIGX.pdf", "Melting_Curves/meltCurve_H0Y2P9_PIGX.pdf")</f>
        <v>Melting_Curves/meltCurve_H0Y2P9_PIGX.pdf</v>
      </c>
    </row>
    <row r="802" spans="1:28" x14ac:dyDescent="0.25">
      <c r="A802" t="s">
        <v>806</v>
      </c>
      <c r="B802">
        <v>0.99299721793515405</v>
      </c>
      <c r="C802">
        <v>1.0369905049699599</v>
      </c>
      <c r="D802">
        <v>1.7924525984573301</v>
      </c>
      <c r="E802">
        <v>0.973055918853309</v>
      </c>
      <c r="F802">
        <v>0.65532708654835103</v>
      </c>
      <c r="G802">
        <v>0.89070549450011005</v>
      </c>
      <c r="H802">
        <v>0.38152334130471599</v>
      </c>
      <c r="I802">
        <v>0.31544595367060202</v>
      </c>
      <c r="J802">
        <v>0.29082911950064499</v>
      </c>
      <c r="K802">
        <v>0.232019810565468</v>
      </c>
      <c r="L802">
        <v>1046.5669203269899</v>
      </c>
      <c r="M802">
        <v>18.916389000412799</v>
      </c>
      <c r="N802">
        <v>56.920149752365901</v>
      </c>
      <c r="O802">
        <v>54.718755322264201</v>
      </c>
      <c r="P802">
        <v>-6.8655668762052896E-2</v>
      </c>
      <c r="Q802">
        <v>0.20564112648075999</v>
      </c>
      <c r="R802">
        <v>0.65045845513336198</v>
      </c>
      <c r="S802" t="s">
        <v>6353</v>
      </c>
      <c r="T802" t="s">
        <v>11100</v>
      </c>
      <c r="U802" t="s">
        <v>11100</v>
      </c>
      <c r="V802" t="s">
        <v>11100</v>
      </c>
      <c r="W802" t="s">
        <v>11889</v>
      </c>
      <c r="X802">
        <v>7</v>
      </c>
      <c r="Y802" t="s">
        <v>17386</v>
      </c>
      <c r="Z802" t="s">
        <v>22807</v>
      </c>
      <c r="AA802">
        <v>0.70012604767645403</v>
      </c>
      <c r="AB802" t="str">
        <f>HYPERLINK("Melting_Curves/meltCurve_H0Y2V6_CEP170.pdf", "Melting_Curves/meltCurve_H0Y2V6_CEP170.pdf")</f>
        <v>Melting_Curves/meltCurve_H0Y2V6_CEP170.pdf</v>
      </c>
    </row>
    <row r="803" spans="1:28" x14ac:dyDescent="0.25">
      <c r="A803" t="s">
        <v>807</v>
      </c>
      <c r="B803">
        <v>0.99299721793515405</v>
      </c>
      <c r="C803">
        <v>0.86550485703258995</v>
      </c>
      <c r="D803">
        <v>0.78868402740139398</v>
      </c>
      <c r="E803">
        <v>0.66306999204273898</v>
      </c>
      <c r="F803">
        <v>0.56182833259970899</v>
      </c>
      <c r="G803">
        <v>0.39236610583827503</v>
      </c>
      <c r="H803">
        <v>0.20799087772435401</v>
      </c>
      <c r="I803">
        <v>0.24885458390496501</v>
      </c>
      <c r="J803">
        <v>0.216944198660277</v>
      </c>
      <c r="K803">
        <v>0.20501481713250899</v>
      </c>
      <c r="L803">
        <v>451.437719228719</v>
      </c>
      <c r="M803">
        <v>9.2162615319448395</v>
      </c>
      <c r="N803">
        <v>50.404900789844604</v>
      </c>
      <c r="O803">
        <v>46.842141138411797</v>
      </c>
      <c r="P803">
        <v>-4.3585384439470201E-2</v>
      </c>
      <c r="Q803">
        <v>0.114487571024445</v>
      </c>
      <c r="R803">
        <v>0.98207928298029301</v>
      </c>
      <c r="S803" t="s">
        <v>6354</v>
      </c>
      <c r="T803" t="s">
        <v>11100</v>
      </c>
      <c r="U803" t="s">
        <v>11100</v>
      </c>
      <c r="V803" t="s">
        <v>11100</v>
      </c>
      <c r="W803" t="s">
        <v>11890</v>
      </c>
      <c r="X803">
        <v>6</v>
      </c>
      <c r="Y803" t="s">
        <v>17387</v>
      </c>
      <c r="Z803" t="s">
        <v>22808</v>
      </c>
      <c r="AA803">
        <v>0.50413254434483845</v>
      </c>
      <c r="AB803" t="str">
        <f>HYPERLINK("Melting_Curves/meltCurve_H0Y327_MTHFD1L.pdf", "Melting_Curves/meltCurve_H0Y327_MTHFD1L.pdf")</f>
        <v>Melting_Curves/meltCurve_H0Y327_MTHFD1L.pdf</v>
      </c>
    </row>
    <row r="804" spans="1:28" x14ac:dyDescent="0.25">
      <c r="A804" t="s">
        <v>808</v>
      </c>
      <c r="B804">
        <v>0.99299721793515405</v>
      </c>
      <c r="C804">
        <v>0.921891331069701</v>
      </c>
      <c r="D804">
        <v>0.92037788109811403</v>
      </c>
      <c r="E804">
        <v>0.80012625195381903</v>
      </c>
      <c r="F804">
        <v>0.75863219275642602</v>
      </c>
      <c r="G804">
        <v>1.0579084313890601</v>
      </c>
      <c r="H804">
        <v>1.2790441976135001</v>
      </c>
      <c r="I804">
        <v>1.1352719901047901</v>
      </c>
      <c r="J804">
        <v>0.56921093581896798</v>
      </c>
      <c r="K804">
        <v>0.27063461019656498</v>
      </c>
      <c r="L804">
        <v>15000</v>
      </c>
      <c r="M804">
        <v>234.37584797237301</v>
      </c>
      <c r="N804">
        <v>64.213260431956201</v>
      </c>
      <c r="O804">
        <v>63.995108857913898</v>
      </c>
      <c r="P804">
        <v>-0.66782765581716996</v>
      </c>
      <c r="Q804">
        <v>0.27061250144049098</v>
      </c>
      <c r="R804">
        <v>0.72352557158546504</v>
      </c>
      <c r="S804" t="s">
        <v>6355</v>
      </c>
      <c r="T804" t="s">
        <v>11100</v>
      </c>
      <c r="U804" t="s">
        <v>11100</v>
      </c>
      <c r="V804" t="s">
        <v>11100</v>
      </c>
      <c r="W804" t="s">
        <v>11891</v>
      </c>
      <c r="X804">
        <v>24</v>
      </c>
      <c r="Y804" t="s">
        <v>17388</v>
      </c>
      <c r="Z804" t="s">
        <v>22809</v>
      </c>
      <c r="AA804">
        <v>0.92714863052989793</v>
      </c>
      <c r="AB804" t="str">
        <f>HYPERLINK("Melting_Curves/meltCurve_H0Y360_AMPD2.pdf", "Melting_Curves/meltCurve_H0Y360_AMPD2.pdf")</f>
        <v>Melting_Curves/meltCurve_H0Y360_AMPD2.pdf</v>
      </c>
    </row>
    <row r="805" spans="1:28" x14ac:dyDescent="0.25">
      <c r="A805" t="s">
        <v>809</v>
      </c>
      <c r="B805">
        <v>0.99299721793515405</v>
      </c>
      <c r="C805">
        <v>1.28614643048546</v>
      </c>
      <c r="D805">
        <v>0.96160119893391005</v>
      </c>
      <c r="E805">
        <v>0.84544050052723296</v>
      </c>
      <c r="F805">
        <v>0.70079745531890603</v>
      </c>
      <c r="G805">
        <v>0.67265684994623698</v>
      </c>
      <c r="H805">
        <v>0.61035737567909698</v>
      </c>
      <c r="I805">
        <v>0.71849039190598596</v>
      </c>
      <c r="J805">
        <v>0.53294730937134505</v>
      </c>
      <c r="K805">
        <v>0.25315744166135501</v>
      </c>
      <c r="L805">
        <v>391.39313716870799</v>
      </c>
      <c r="M805">
        <v>6.2698374565682098</v>
      </c>
      <c r="N805">
        <v>62.424766129562002</v>
      </c>
      <c r="O805">
        <v>56.9757575781844</v>
      </c>
      <c r="P805">
        <v>-2.7587086521814699E-2</v>
      </c>
      <c r="Q805">
        <v>0</v>
      </c>
      <c r="R805">
        <v>0.752734071138354</v>
      </c>
      <c r="S805" t="s">
        <v>6356</v>
      </c>
      <c r="T805" t="s">
        <v>11100</v>
      </c>
      <c r="U805" t="s">
        <v>11100</v>
      </c>
      <c r="V805" t="s">
        <v>11100</v>
      </c>
      <c r="W805" t="s">
        <v>11892</v>
      </c>
      <c r="X805">
        <v>1</v>
      </c>
      <c r="Y805" t="s">
        <v>17389</v>
      </c>
      <c r="Z805" t="s">
        <v>22810</v>
      </c>
      <c r="AA805">
        <v>0.74556514151170172</v>
      </c>
      <c r="AB805" t="str">
        <f>HYPERLINK("Melting_Curves/meltCurve_H0Y362_SLC30A7.pdf", "Melting_Curves/meltCurve_H0Y362_SLC30A7.pdf")</f>
        <v>Melting_Curves/meltCurve_H0Y362_SLC30A7.pdf</v>
      </c>
    </row>
    <row r="806" spans="1:28" x14ac:dyDescent="0.25">
      <c r="A806" t="s">
        <v>810</v>
      </c>
      <c r="B806">
        <v>0.99299721793515405</v>
      </c>
      <c r="C806">
        <v>0.86119599512974898</v>
      </c>
      <c r="D806">
        <v>0.82083866506505299</v>
      </c>
      <c r="E806">
        <v>0.75038804741654996</v>
      </c>
      <c r="F806">
        <v>0.60135208791490202</v>
      </c>
      <c r="G806">
        <v>0.41505547167460899</v>
      </c>
      <c r="H806">
        <v>0.44110628483365999</v>
      </c>
      <c r="I806">
        <v>0.34068651873929701</v>
      </c>
      <c r="J806">
        <v>0.26448596471042202</v>
      </c>
      <c r="K806">
        <v>0.32735983837696098</v>
      </c>
      <c r="L806">
        <v>425.77675148937698</v>
      </c>
      <c r="M806">
        <v>8.5983297619254309</v>
      </c>
      <c r="N806">
        <v>52.9525568919262</v>
      </c>
      <c r="O806">
        <v>47.058365614975003</v>
      </c>
      <c r="P806">
        <v>-3.5947930215189897E-2</v>
      </c>
      <c r="Q806">
        <v>0.21371122375042101</v>
      </c>
      <c r="R806">
        <v>0.97498194052647202</v>
      </c>
      <c r="S806" t="s">
        <v>6357</v>
      </c>
      <c r="T806" t="s">
        <v>11100</v>
      </c>
      <c r="U806" t="s">
        <v>11100</v>
      </c>
      <c r="V806" t="s">
        <v>11100</v>
      </c>
      <c r="W806" t="s">
        <v>11893</v>
      </c>
      <c r="X806">
        <v>1</v>
      </c>
      <c r="Y806" t="s">
        <v>17390</v>
      </c>
      <c r="Z806" t="s">
        <v>22811</v>
      </c>
      <c r="AA806">
        <v>0.57402926651691988</v>
      </c>
      <c r="AB806" t="str">
        <f>HYPERLINK("Melting_Curves/meltCurve_H0Y384_ODF2.pdf", "Melting_Curves/meltCurve_H0Y384_ODF2.pdf")</f>
        <v>Melting_Curves/meltCurve_H0Y384_ODF2.pdf</v>
      </c>
    </row>
    <row r="807" spans="1:28" x14ac:dyDescent="0.25">
      <c r="A807" t="s">
        <v>811</v>
      </c>
      <c r="B807">
        <v>0.99299721793515405</v>
      </c>
      <c r="C807">
        <v>1.2387335135961499</v>
      </c>
      <c r="D807">
        <v>0.93206978101104299</v>
      </c>
      <c r="E807">
        <v>1.0303015171182299</v>
      </c>
      <c r="F807">
        <v>0.85406259531352102</v>
      </c>
      <c r="G807">
        <v>0.491647253772376</v>
      </c>
      <c r="H807">
        <v>0.42080606409894</v>
      </c>
      <c r="I807">
        <v>0.25273772108911402</v>
      </c>
      <c r="J807">
        <v>0.126626225135375</v>
      </c>
      <c r="K807">
        <v>0.11799869471226999</v>
      </c>
      <c r="L807">
        <v>955.34044221147201</v>
      </c>
      <c r="M807">
        <v>17.607681321277099</v>
      </c>
      <c r="N807">
        <v>54.987831673405204</v>
      </c>
      <c r="O807">
        <v>53.571693287533499</v>
      </c>
      <c r="P807">
        <v>-7.3600592424473504E-2</v>
      </c>
      <c r="Q807">
        <v>0.10432357237235</v>
      </c>
      <c r="R807">
        <v>0.94453590990288105</v>
      </c>
      <c r="S807" t="s">
        <v>6358</v>
      </c>
      <c r="T807" t="s">
        <v>11100</v>
      </c>
      <c r="U807" t="s">
        <v>11100</v>
      </c>
      <c r="V807" t="s">
        <v>11100</v>
      </c>
      <c r="W807" t="s">
        <v>11894</v>
      </c>
      <c r="X807">
        <v>1</v>
      </c>
      <c r="Y807" t="s">
        <v>17391</v>
      </c>
      <c r="Z807" t="s">
        <v>22812</v>
      </c>
      <c r="AA807">
        <v>0.63187066079221543</v>
      </c>
      <c r="AB807" t="str">
        <f>HYPERLINK("Melting_Curves/meltCurve_H0Y3A0_RPL35.pdf", "Melting_Curves/meltCurve_H0Y3A0_RPL35.pdf")</f>
        <v>Melting_Curves/meltCurve_H0Y3A0_RPL35.pdf</v>
      </c>
    </row>
    <row r="808" spans="1:28" x14ac:dyDescent="0.25">
      <c r="A808" t="s">
        <v>812</v>
      </c>
      <c r="B808">
        <v>0.99299721793515405</v>
      </c>
      <c r="C808">
        <v>1.2487255841059599</v>
      </c>
      <c r="D808">
        <v>1.07289512551509</v>
      </c>
      <c r="E808">
        <v>0.98615763762349895</v>
      </c>
      <c r="F808">
        <v>0.83767888052216499</v>
      </c>
      <c r="G808">
        <v>0.59315837908173397</v>
      </c>
      <c r="H808">
        <v>0.71858482270878399</v>
      </c>
      <c r="I808">
        <v>0.71721314246769696</v>
      </c>
      <c r="J808">
        <v>0.81511776467180797</v>
      </c>
      <c r="K808">
        <v>0.74879039118477797</v>
      </c>
      <c r="L808">
        <v>12534.4599273361</v>
      </c>
      <c r="M808">
        <v>250</v>
      </c>
      <c r="O808">
        <v>50.134636391571902</v>
      </c>
      <c r="P808">
        <v>-0.35083919588037599</v>
      </c>
      <c r="Q808">
        <v>0.71857290103461202</v>
      </c>
      <c r="R808">
        <v>0.73678680703683797</v>
      </c>
      <c r="S808" t="s">
        <v>6359</v>
      </c>
      <c r="T808" t="s">
        <v>11100</v>
      </c>
      <c r="U808" t="s">
        <v>11100</v>
      </c>
      <c r="V808" t="s">
        <v>11100</v>
      </c>
      <c r="W808" t="s">
        <v>11895</v>
      </c>
      <c r="X808">
        <v>1</v>
      </c>
      <c r="Y808" t="s">
        <v>17392</v>
      </c>
      <c r="Z808" t="s">
        <v>22813</v>
      </c>
      <c r="AA808">
        <v>0.84184246799170703</v>
      </c>
      <c r="AB808" t="str">
        <f>HYPERLINK("Melting_Curves/meltCurve_H0Y3A3_DAB2IP.pdf", "Melting_Curves/meltCurve_H0Y3A3_DAB2IP.pdf")</f>
        <v>Melting_Curves/meltCurve_H0Y3A3_DAB2IP.pdf</v>
      </c>
    </row>
    <row r="809" spans="1:28" x14ac:dyDescent="0.25">
      <c r="A809" t="s">
        <v>813</v>
      </c>
      <c r="B809">
        <v>0.99299721793515405</v>
      </c>
      <c r="C809">
        <v>1.08317219551577</v>
      </c>
      <c r="D809">
        <v>1.1772339813844499</v>
      </c>
      <c r="E809">
        <v>0.88716514327555096</v>
      </c>
      <c r="F809">
        <v>0.52822418108333402</v>
      </c>
      <c r="G809">
        <v>0.21146940375304599</v>
      </c>
      <c r="H809">
        <v>0.187169301898268</v>
      </c>
      <c r="I809">
        <v>0.15671166641439199</v>
      </c>
      <c r="J809">
        <v>0.14506945562035001</v>
      </c>
      <c r="K809">
        <v>0.120649737517263</v>
      </c>
      <c r="L809">
        <v>1590.2596181364199</v>
      </c>
      <c r="M809">
        <v>31.922320157924101</v>
      </c>
      <c r="N809">
        <v>50.365230854258897</v>
      </c>
      <c r="O809">
        <v>49.622272406781903</v>
      </c>
      <c r="P809">
        <v>-0.13720690409981101</v>
      </c>
      <c r="Q809">
        <v>0.146868635306073</v>
      </c>
      <c r="R809">
        <v>0.97536007776032096</v>
      </c>
      <c r="S809" t="s">
        <v>6360</v>
      </c>
      <c r="T809" t="s">
        <v>11100</v>
      </c>
      <c r="U809" t="s">
        <v>11100</v>
      </c>
      <c r="V809" t="s">
        <v>11100</v>
      </c>
      <c r="W809" t="s">
        <v>11896</v>
      </c>
      <c r="X809">
        <v>22</v>
      </c>
      <c r="Y809" t="s">
        <v>17393</v>
      </c>
      <c r="Z809" t="s">
        <v>22814</v>
      </c>
      <c r="AA809">
        <v>0.51595527592382739</v>
      </c>
      <c r="AB809" t="str">
        <f>HYPERLINK("Melting_Curves/meltCurve_H0Y3P2_EIF4G2.pdf", "Melting_Curves/meltCurve_H0Y3P2_EIF4G2.pdf")</f>
        <v>Melting_Curves/meltCurve_H0Y3P2_EIF4G2.pdf</v>
      </c>
    </row>
    <row r="810" spans="1:28" x14ac:dyDescent="0.25">
      <c r="A810" t="s">
        <v>814</v>
      </c>
      <c r="B810">
        <v>0.99299721793515405</v>
      </c>
      <c r="C810">
        <v>1.0633735883845301</v>
      </c>
      <c r="D810">
        <v>0.99527099330476398</v>
      </c>
      <c r="E810">
        <v>0.92235828827800304</v>
      </c>
      <c r="F810">
        <v>0.53917561487042298</v>
      </c>
      <c r="G810">
        <v>0.182877871323123</v>
      </c>
      <c r="H810">
        <v>0.13849246968312801</v>
      </c>
      <c r="I810">
        <v>0.12653353589262401</v>
      </c>
      <c r="J810">
        <v>9.3988179420722906E-2</v>
      </c>
      <c r="K810">
        <v>7.0524259192276798E-2</v>
      </c>
      <c r="L810">
        <v>1581.5583970446701</v>
      </c>
      <c r="M810">
        <v>31.563033176285799</v>
      </c>
      <c r="N810">
        <v>50.465492981851099</v>
      </c>
      <c r="O810">
        <v>49.908073068275002</v>
      </c>
      <c r="P810">
        <v>-0.14226520474259399</v>
      </c>
      <c r="Q810">
        <v>0.10019480236537701</v>
      </c>
      <c r="R810">
        <v>0.99637074510078505</v>
      </c>
      <c r="S810" t="s">
        <v>6361</v>
      </c>
      <c r="T810" t="s">
        <v>11100</v>
      </c>
      <c r="U810" t="s">
        <v>11100</v>
      </c>
      <c r="V810" t="s">
        <v>11100</v>
      </c>
      <c r="W810" t="s">
        <v>11897</v>
      </c>
      <c r="X810">
        <v>5</v>
      </c>
      <c r="Y810" t="s">
        <v>17394</v>
      </c>
      <c r="Z810" t="s">
        <v>22815</v>
      </c>
      <c r="AA810">
        <v>0.49834961347233497</v>
      </c>
      <c r="AB810" t="str">
        <f>HYPERLINK("Melting_Curves/meltCurve_H0Y3X6_NELFA.pdf", "Melting_Curves/meltCurve_H0Y3X6_NELFA.pdf")</f>
        <v>Melting_Curves/meltCurve_H0Y3X6_NELFA.pdf</v>
      </c>
    </row>
    <row r="811" spans="1:28" x14ac:dyDescent="0.25">
      <c r="A811" t="s">
        <v>815</v>
      </c>
      <c r="B811">
        <v>0.99299721793515405</v>
      </c>
      <c r="C811">
        <v>0.85581153858606696</v>
      </c>
      <c r="D811">
        <v>0.89766944665659099</v>
      </c>
      <c r="E811">
        <v>0.70670538918189196</v>
      </c>
      <c r="F811">
        <v>0.620655087719302</v>
      </c>
      <c r="G811">
        <v>0.48650144729739903</v>
      </c>
      <c r="H811">
        <v>0.431063040235936</v>
      </c>
      <c r="I811">
        <v>0.43997926117816599</v>
      </c>
      <c r="J811">
        <v>0.516419569179844</v>
      </c>
      <c r="K811">
        <v>0.38960176493973597</v>
      </c>
      <c r="L811">
        <v>552.79624179313703</v>
      </c>
      <c r="M811">
        <v>11.792895844689699</v>
      </c>
      <c r="N811">
        <v>54.7964791039049</v>
      </c>
      <c r="O811">
        <v>45.588411963164504</v>
      </c>
      <c r="P811">
        <v>-3.8224400975889299E-2</v>
      </c>
      <c r="Q811">
        <v>0.40908842943772999</v>
      </c>
      <c r="R811">
        <v>0.95286073062166898</v>
      </c>
      <c r="S811" t="s">
        <v>6362</v>
      </c>
      <c r="T811" t="s">
        <v>11100</v>
      </c>
      <c r="U811" t="s">
        <v>11100</v>
      </c>
      <c r="V811" t="s">
        <v>11100</v>
      </c>
      <c r="W811" t="s">
        <v>11898</v>
      </c>
      <c r="X811">
        <v>3</v>
      </c>
      <c r="Y811" t="s">
        <v>17395</v>
      </c>
      <c r="Z811" t="s">
        <v>22816</v>
      </c>
      <c r="AA811">
        <v>0.62368753820340339</v>
      </c>
      <c r="AB811" t="str">
        <f>HYPERLINK("Melting_Curves/meltCurve_H0Y4M8_ZNF185.pdf", "Melting_Curves/meltCurve_H0Y4M8_ZNF185.pdf")</f>
        <v>Melting_Curves/meltCurve_H0Y4M8_ZNF185.pdf</v>
      </c>
    </row>
    <row r="812" spans="1:28" x14ac:dyDescent="0.25">
      <c r="A812" t="s">
        <v>816</v>
      </c>
      <c r="B812">
        <v>0.99299721793515405</v>
      </c>
      <c r="C812">
        <v>1.2467075398483101</v>
      </c>
      <c r="D812">
        <v>1.5293760625873201</v>
      </c>
      <c r="E812">
        <v>1.0148087466239399</v>
      </c>
      <c r="F812">
        <v>0.86733842863178601</v>
      </c>
      <c r="G812">
        <v>0.934055351226737</v>
      </c>
      <c r="H812">
        <v>0.76527032477508505</v>
      </c>
      <c r="I812">
        <v>0.74742822728653802</v>
      </c>
      <c r="J812">
        <v>0.53374382418309696</v>
      </c>
      <c r="K812">
        <v>0.71904471083785904</v>
      </c>
      <c r="L812">
        <v>1121.0401343016199</v>
      </c>
      <c r="M812">
        <v>19.905874806062599</v>
      </c>
      <c r="O812">
        <v>55.757916111974701</v>
      </c>
      <c r="P812">
        <v>-3.3263802624696401E-2</v>
      </c>
      <c r="Q812">
        <v>0.62731423163552802</v>
      </c>
      <c r="R812">
        <v>0.48552717659148098</v>
      </c>
      <c r="S812" t="s">
        <v>6363</v>
      </c>
      <c r="T812" t="s">
        <v>11100</v>
      </c>
      <c r="U812" t="s">
        <v>11100</v>
      </c>
      <c r="V812" t="s">
        <v>11100</v>
      </c>
      <c r="W812" t="s">
        <v>11899</v>
      </c>
      <c r="X812">
        <v>3</v>
      </c>
      <c r="Y812" t="s">
        <v>17396</v>
      </c>
      <c r="Z812" t="s">
        <v>22817</v>
      </c>
      <c r="AA812">
        <v>0.87097244915548422</v>
      </c>
      <c r="AB812" t="str">
        <f>HYPERLINK("Melting_Curves/meltCurve_H0Y4R1_IMPDH2.pdf", "Melting_Curves/meltCurve_H0Y4R1_IMPDH2.pdf")</f>
        <v>Melting_Curves/meltCurve_H0Y4R1_IMPDH2.pdf</v>
      </c>
    </row>
    <row r="813" spans="1:28" x14ac:dyDescent="0.25">
      <c r="A813" t="s">
        <v>817</v>
      </c>
      <c r="B813">
        <v>0.99299721793515405</v>
      </c>
      <c r="C813">
        <v>0.86428969639895803</v>
      </c>
      <c r="D813">
        <v>0.87449286730216202</v>
      </c>
      <c r="E813">
        <v>0.72258699077115596</v>
      </c>
      <c r="F813">
        <v>0.58818788853352799</v>
      </c>
      <c r="G813">
        <v>0.43871071350582502</v>
      </c>
      <c r="H813">
        <v>0.30732845153821697</v>
      </c>
      <c r="I813">
        <v>0.32773995698580599</v>
      </c>
      <c r="J813">
        <v>0.35154445923785899</v>
      </c>
      <c r="K813">
        <v>0.325679155679513</v>
      </c>
      <c r="L813">
        <v>556.10108475508196</v>
      </c>
      <c r="M813">
        <v>11.5330160290187</v>
      </c>
      <c r="N813">
        <v>51.865848702633301</v>
      </c>
      <c r="O813">
        <v>46.8368538503629</v>
      </c>
      <c r="P813">
        <v>-4.4469774655239699E-2</v>
      </c>
      <c r="Q813">
        <v>0.27781632010342</v>
      </c>
      <c r="R813">
        <v>0.978163437515287</v>
      </c>
      <c r="S813" t="s">
        <v>6364</v>
      </c>
      <c r="T813" t="s">
        <v>11100</v>
      </c>
      <c r="U813" t="s">
        <v>11100</v>
      </c>
      <c r="V813" t="s">
        <v>11100</v>
      </c>
      <c r="W813" t="s">
        <v>11900</v>
      </c>
      <c r="X813">
        <v>1</v>
      </c>
      <c r="Y813" t="s">
        <v>17397</v>
      </c>
      <c r="Z813" t="s">
        <v>22818</v>
      </c>
      <c r="AA813">
        <v>0.57152385891294466</v>
      </c>
      <c r="AB813" t="str">
        <f>HYPERLINK("Melting_Curves/meltCurve_H0Y544_SLC23A2.pdf", "Melting_Curves/meltCurve_H0Y544_SLC23A2.pdf")</f>
        <v>Melting_Curves/meltCurve_H0Y544_SLC23A2.pdf</v>
      </c>
    </row>
    <row r="814" spans="1:28" x14ac:dyDescent="0.25">
      <c r="A814" t="s">
        <v>818</v>
      </c>
      <c r="B814">
        <v>0.99299721793515405</v>
      </c>
      <c r="C814">
        <v>0.98766352167028504</v>
      </c>
      <c r="D814">
        <v>0.86347549037895999</v>
      </c>
      <c r="E814">
        <v>0.90331794711537206</v>
      </c>
      <c r="F814">
        <v>0.79597212186345701</v>
      </c>
      <c r="G814">
        <v>0.68960500593100504</v>
      </c>
      <c r="H814">
        <v>0.69545452735857904</v>
      </c>
      <c r="I814">
        <v>0.55707083838583404</v>
      </c>
      <c r="J814">
        <v>0.48773771840366098</v>
      </c>
      <c r="K814">
        <v>0.39871014202045202</v>
      </c>
      <c r="L814">
        <v>343.93222285695998</v>
      </c>
      <c r="M814">
        <v>5.4277096971946097</v>
      </c>
      <c r="N814">
        <v>63.365994506125901</v>
      </c>
      <c r="O814">
        <v>56.311558636327703</v>
      </c>
      <c r="P814">
        <v>-2.4207945701472999E-2</v>
      </c>
      <c r="Q814">
        <v>0</v>
      </c>
      <c r="R814">
        <v>0.97051379458461096</v>
      </c>
      <c r="S814" t="s">
        <v>6365</v>
      </c>
      <c r="T814" t="s">
        <v>11100</v>
      </c>
      <c r="U814" t="s">
        <v>11100</v>
      </c>
      <c r="V814" t="s">
        <v>11100</v>
      </c>
      <c r="W814" t="s">
        <v>11901</v>
      </c>
      <c r="X814">
        <v>3</v>
      </c>
      <c r="Y814" t="s">
        <v>17398</v>
      </c>
      <c r="Z814" t="s">
        <v>22819</v>
      </c>
      <c r="AA814">
        <v>0.74354577655375209</v>
      </c>
      <c r="AB814" t="str">
        <f>HYPERLINK("Melting_Curves/meltCurve_H0Y5C0_LPHN2.pdf", "Melting_Curves/meltCurve_H0Y5C0_LPHN2.pdf")</f>
        <v>Melting_Curves/meltCurve_H0Y5C0_LPHN2.pdf</v>
      </c>
    </row>
    <row r="815" spans="1:28" x14ac:dyDescent="0.25">
      <c r="A815" t="s">
        <v>819</v>
      </c>
      <c r="B815">
        <v>0.99299721793515405</v>
      </c>
      <c r="C815">
        <v>0.91763843440920201</v>
      </c>
      <c r="D815">
        <v>0.76178379783060302</v>
      </c>
      <c r="E815">
        <v>0.89045802799918605</v>
      </c>
      <c r="F815">
        <v>0.719282991326744</v>
      </c>
      <c r="G815">
        <v>0.33028324782526602</v>
      </c>
      <c r="H815">
        <v>0.16353566161550101</v>
      </c>
      <c r="I815">
        <v>8.3411816135927005E-2</v>
      </c>
      <c r="J815">
        <v>2.6415321510537101E-2</v>
      </c>
      <c r="K815">
        <v>2.6701081725097699E-2</v>
      </c>
      <c r="L815">
        <v>855.44842455525497</v>
      </c>
      <c r="M815">
        <v>16.434473928209702</v>
      </c>
      <c r="N815">
        <v>52.0520692235038</v>
      </c>
      <c r="O815">
        <v>51.2997073040872</v>
      </c>
      <c r="P815">
        <v>-8.0096158443770799E-2</v>
      </c>
      <c r="Q815">
        <v>0</v>
      </c>
      <c r="R815">
        <v>0.96102441418916895</v>
      </c>
      <c r="S815" t="s">
        <v>6366</v>
      </c>
      <c r="T815" t="s">
        <v>11100</v>
      </c>
      <c r="U815" t="s">
        <v>11100</v>
      </c>
      <c r="V815" t="s">
        <v>11100</v>
      </c>
      <c r="W815" t="s">
        <v>11902</v>
      </c>
      <c r="X815">
        <v>2</v>
      </c>
      <c r="Y815" t="s">
        <v>17399</v>
      </c>
      <c r="Z815" t="s">
        <v>22820</v>
      </c>
      <c r="AA815">
        <v>0.51880904631540103</v>
      </c>
      <c r="AB815" t="str">
        <f>HYPERLINK("Melting_Curves/meltCurve_H0Y5Y0_PREP.pdf", "Melting_Curves/meltCurve_H0Y5Y0_PREP.pdf")</f>
        <v>Melting_Curves/meltCurve_H0Y5Y0_PREP.pdf</v>
      </c>
    </row>
    <row r="816" spans="1:28" x14ac:dyDescent="0.25">
      <c r="A816" t="s">
        <v>820</v>
      </c>
      <c r="B816">
        <v>0.99299721793515405</v>
      </c>
      <c r="C816">
        <v>0.93885688354390995</v>
      </c>
      <c r="D816">
        <v>0.77597966279925801</v>
      </c>
      <c r="E816">
        <v>0.90784550147721299</v>
      </c>
      <c r="F816">
        <v>0.71052707402962101</v>
      </c>
      <c r="G816">
        <v>0.38960571847287101</v>
      </c>
      <c r="H816">
        <v>0.45930514425854502</v>
      </c>
      <c r="I816">
        <v>0.457335250131992</v>
      </c>
      <c r="J816">
        <v>0.41977708133056602</v>
      </c>
      <c r="K816">
        <v>0.26587776117228301</v>
      </c>
      <c r="L816">
        <v>489.44226981631999</v>
      </c>
      <c r="M816">
        <v>9.6294926167715307</v>
      </c>
      <c r="N816">
        <v>55.290190752536503</v>
      </c>
      <c r="O816">
        <v>48.780499708499697</v>
      </c>
      <c r="P816">
        <v>-3.6038374714200801E-2</v>
      </c>
      <c r="Q816">
        <v>0.270165946621169</v>
      </c>
      <c r="R816">
        <v>0.89224313660652299</v>
      </c>
      <c r="S816" t="s">
        <v>6367</v>
      </c>
      <c r="T816" t="s">
        <v>11100</v>
      </c>
      <c r="U816" t="s">
        <v>11100</v>
      </c>
      <c r="V816" t="s">
        <v>11100</v>
      </c>
      <c r="W816" t="s">
        <v>11903</v>
      </c>
      <c r="X816">
        <v>13</v>
      </c>
      <c r="Y816" t="s">
        <v>17400</v>
      </c>
      <c r="Z816" t="s">
        <v>22821</v>
      </c>
      <c r="AA816">
        <v>0.62990866415094848</v>
      </c>
      <c r="AB816" t="str">
        <f>HYPERLINK("Melting_Curves/meltCurve_H0Y612_TRIM33.pdf", "Melting_Curves/meltCurve_H0Y612_TRIM33.pdf")</f>
        <v>Melting_Curves/meltCurve_H0Y612_TRIM33.pdf</v>
      </c>
    </row>
    <row r="817" spans="1:28" x14ac:dyDescent="0.25">
      <c r="A817" t="s">
        <v>821</v>
      </c>
      <c r="B817">
        <v>0.99299721793515405</v>
      </c>
      <c r="C817">
        <v>1.36387096053687</v>
      </c>
      <c r="D817">
        <v>1.1256943140529601</v>
      </c>
      <c r="E817">
        <v>0.89675574331577101</v>
      </c>
      <c r="F817">
        <v>1.00925432190732</v>
      </c>
      <c r="G817">
        <v>0.82428476856300703</v>
      </c>
      <c r="H817">
        <v>0.70052141240671395</v>
      </c>
      <c r="I817">
        <v>0.64870667661110204</v>
      </c>
      <c r="J817">
        <v>0.51769247148058795</v>
      </c>
      <c r="K817">
        <v>0.28338629008362498</v>
      </c>
      <c r="L817">
        <v>703.27285948840699</v>
      </c>
      <c r="M817">
        <v>11.133264423822901</v>
      </c>
      <c r="N817">
        <v>63.168602891779599</v>
      </c>
      <c r="O817">
        <v>61.233348738880103</v>
      </c>
      <c r="P817">
        <v>-4.5468887411728102E-2</v>
      </c>
      <c r="Q817">
        <v>0</v>
      </c>
      <c r="R817">
        <v>0.79912581410058603</v>
      </c>
      <c r="S817" t="s">
        <v>6368</v>
      </c>
      <c r="T817" t="s">
        <v>11100</v>
      </c>
      <c r="U817" t="s">
        <v>11100</v>
      </c>
      <c r="V817" t="s">
        <v>11100</v>
      </c>
      <c r="W817" t="s">
        <v>11904</v>
      </c>
      <c r="X817">
        <v>3</v>
      </c>
      <c r="Y817" t="s">
        <v>17401</v>
      </c>
      <c r="Z817" t="s">
        <v>22822</v>
      </c>
      <c r="AA817">
        <v>0.81674080690449069</v>
      </c>
      <c r="AB817" t="str">
        <f>HYPERLINK("Melting_Curves/meltCurve_H0Y614_UFM1.pdf", "Melting_Curves/meltCurve_H0Y614_UFM1.pdf")</f>
        <v>Melting_Curves/meltCurve_H0Y614_UFM1.pdf</v>
      </c>
    </row>
    <row r="818" spans="1:28" x14ac:dyDescent="0.25">
      <c r="A818" t="s">
        <v>822</v>
      </c>
      <c r="B818">
        <v>0.99299721793515405</v>
      </c>
      <c r="C818">
        <v>0.92145567733163702</v>
      </c>
      <c r="D818">
        <v>0.95397148272909105</v>
      </c>
      <c r="E818">
        <v>0.95780943069469704</v>
      </c>
      <c r="F818">
        <v>0.66032525727217495</v>
      </c>
      <c r="G818">
        <v>0.37529356834206801</v>
      </c>
      <c r="H818">
        <v>0.236584168697171</v>
      </c>
      <c r="I818">
        <v>0.13102253496640101</v>
      </c>
      <c r="J818">
        <v>0.13248420492113</v>
      </c>
      <c r="K818">
        <v>0.125690081808081</v>
      </c>
      <c r="L818">
        <v>1085.64943859494</v>
      </c>
      <c r="M818">
        <v>21.062609067600299</v>
      </c>
      <c r="N818">
        <v>52.214496073747902</v>
      </c>
      <c r="O818">
        <v>51.0860441004696</v>
      </c>
      <c r="P818">
        <v>-9.0861985216798793E-2</v>
      </c>
      <c r="Q818">
        <v>0.118503113623738</v>
      </c>
      <c r="R818">
        <v>0.99226210748913601</v>
      </c>
      <c r="S818" t="s">
        <v>6369</v>
      </c>
      <c r="T818" t="s">
        <v>11100</v>
      </c>
      <c r="U818" t="s">
        <v>11100</v>
      </c>
      <c r="V818" t="s">
        <v>11100</v>
      </c>
      <c r="W818" t="s">
        <v>11905</v>
      </c>
      <c r="X818">
        <v>14</v>
      </c>
      <c r="Y818" t="s">
        <v>17402</v>
      </c>
      <c r="Z818" t="s">
        <v>22823</v>
      </c>
      <c r="AA818">
        <v>0.55638428532691286</v>
      </c>
      <c r="AB818" t="str">
        <f>HYPERLINK("Melting_Curves/meltCurve_H0Y6A0_ARFGAP3.pdf", "Melting_Curves/meltCurve_H0Y6A0_ARFGAP3.pdf")</f>
        <v>Melting_Curves/meltCurve_H0Y6A0_ARFGAP3.pdf</v>
      </c>
    </row>
    <row r="819" spans="1:28" x14ac:dyDescent="0.25">
      <c r="A819" t="s">
        <v>823</v>
      </c>
      <c r="B819">
        <v>0.99299721793515405</v>
      </c>
      <c r="C819">
        <v>1.04596105541559</v>
      </c>
      <c r="D819">
        <v>0.947334503278905</v>
      </c>
      <c r="E819">
        <v>0.92383885829442902</v>
      </c>
      <c r="F819">
        <v>0.79209084449084699</v>
      </c>
      <c r="G819">
        <v>0.63133532123464897</v>
      </c>
      <c r="H819">
        <v>0.32335728390535301</v>
      </c>
      <c r="I819">
        <v>0.401248065684708</v>
      </c>
      <c r="J819">
        <v>0.27881596488119798</v>
      </c>
      <c r="K819">
        <v>0.25820346432323199</v>
      </c>
      <c r="L819">
        <v>900.30593310444101</v>
      </c>
      <c r="M819">
        <v>16.951493526601102</v>
      </c>
      <c r="N819">
        <v>55.366378920678898</v>
      </c>
      <c r="O819">
        <v>52.3881116993375</v>
      </c>
      <c r="P819">
        <v>-6.0725432185533598E-2</v>
      </c>
      <c r="Q819">
        <v>0.24936598610627</v>
      </c>
      <c r="R819">
        <v>0.97742516717212302</v>
      </c>
      <c r="S819" t="s">
        <v>6370</v>
      </c>
      <c r="T819" t="s">
        <v>11100</v>
      </c>
      <c r="U819" t="s">
        <v>11100</v>
      </c>
      <c r="V819" t="s">
        <v>11100</v>
      </c>
      <c r="W819" t="s">
        <v>11906</v>
      </c>
      <c r="X819">
        <v>4</v>
      </c>
      <c r="Y819" t="s">
        <v>17403</v>
      </c>
      <c r="Z819" t="s">
        <v>22824</v>
      </c>
      <c r="AA819">
        <v>0.66414912662897596</v>
      </c>
      <c r="AB819" t="str">
        <f>HYPERLINK("Melting_Curves/meltCurve_H0Y6F5_ZHX3.pdf", "Melting_Curves/meltCurve_H0Y6F5_ZHX3.pdf")</f>
        <v>Melting_Curves/meltCurve_H0Y6F5_ZHX3.pdf</v>
      </c>
    </row>
    <row r="820" spans="1:28" x14ac:dyDescent="0.25">
      <c r="A820" t="s">
        <v>824</v>
      </c>
      <c r="B820">
        <v>0.99299721793515405</v>
      </c>
      <c r="C820">
        <v>1.1070595753264401</v>
      </c>
      <c r="D820">
        <v>1.01573647713878</v>
      </c>
      <c r="E820">
        <v>0.94939162258474397</v>
      </c>
      <c r="F820">
        <v>0.44041743283435902</v>
      </c>
      <c r="G820">
        <v>0.26655425527614302</v>
      </c>
      <c r="H820">
        <v>0.28009535347158798</v>
      </c>
      <c r="I820">
        <v>0.27088853926529999</v>
      </c>
      <c r="J820">
        <v>0.165368994768158</v>
      </c>
      <c r="K820">
        <v>0.14020860995659901</v>
      </c>
      <c r="L820">
        <v>2194.5175959522699</v>
      </c>
      <c r="M820">
        <v>44.604100319780798</v>
      </c>
      <c r="N820">
        <v>49.847823504633702</v>
      </c>
      <c r="O820">
        <v>49.101319417675299</v>
      </c>
      <c r="P820">
        <v>-0.177144460197556</v>
      </c>
      <c r="Q820">
        <v>0.219980673073532</v>
      </c>
      <c r="R820">
        <v>0.98041878418506001</v>
      </c>
      <c r="S820" t="s">
        <v>6371</v>
      </c>
      <c r="T820" t="s">
        <v>11100</v>
      </c>
      <c r="U820" t="s">
        <v>11100</v>
      </c>
      <c r="V820" t="s">
        <v>11100</v>
      </c>
      <c r="W820" t="s">
        <v>11907</v>
      </c>
      <c r="X820">
        <v>11</v>
      </c>
      <c r="Y820" t="s">
        <v>17404</v>
      </c>
      <c r="Z820" t="s">
        <v>22825</v>
      </c>
      <c r="AA820">
        <v>0.53931597531883146</v>
      </c>
      <c r="AB820" t="str">
        <f>HYPERLINK("Melting_Curves/meltCurve_H0Y6I0_GOLGA4.pdf", "Melting_Curves/meltCurve_H0Y6I0_GOLGA4.pdf")</f>
        <v>Melting_Curves/meltCurve_H0Y6I0_GOLGA4.pdf</v>
      </c>
    </row>
    <row r="821" spans="1:28" x14ac:dyDescent="0.25">
      <c r="A821" t="s">
        <v>825</v>
      </c>
      <c r="B821">
        <v>0.99299721793515405</v>
      </c>
      <c r="C821">
        <v>1.0653069433484801</v>
      </c>
      <c r="D821">
        <v>0.77997855994384802</v>
      </c>
      <c r="E821">
        <v>0.94819998120911597</v>
      </c>
      <c r="F821">
        <v>0.74450603281932204</v>
      </c>
      <c r="G821">
        <v>0.60888088177717004</v>
      </c>
      <c r="H821">
        <v>0.60653658745000505</v>
      </c>
      <c r="I821">
        <v>0.67571751875505004</v>
      </c>
      <c r="J821">
        <v>0.74778259908033096</v>
      </c>
      <c r="K821">
        <v>0.542689528029355</v>
      </c>
      <c r="L821">
        <v>690.79505415116398</v>
      </c>
      <c r="M821">
        <v>14.507268550262699</v>
      </c>
      <c r="O821">
        <v>46.7398217947121</v>
      </c>
      <c r="P821">
        <v>-2.9505785515167599E-2</v>
      </c>
      <c r="Q821">
        <v>0.61979434687447099</v>
      </c>
      <c r="R821">
        <v>0.74353181469288798</v>
      </c>
      <c r="S821" t="s">
        <v>6372</v>
      </c>
      <c r="T821" t="s">
        <v>11100</v>
      </c>
      <c r="U821" t="s">
        <v>11100</v>
      </c>
      <c r="V821" t="s">
        <v>11100</v>
      </c>
      <c r="W821" t="s">
        <v>11908</v>
      </c>
      <c r="X821">
        <v>2</v>
      </c>
      <c r="Y821" t="s">
        <v>17405</v>
      </c>
      <c r="Z821" t="s">
        <v>22826</v>
      </c>
      <c r="AA821">
        <v>0.76329212327802742</v>
      </c>
      <c r="AB821" t="str">
        <f>HYPERLINK("Melting_Curves/meltCurve_H0Y6J0_NME4.pdf", "Melting_Curves/meltCurve_H0Y6J0_NME4.pdf")</f>
        <v>Melting_Curves/meltCurve_H0Y6J0_NME4.pdf</v>
      </c>
    </row>
    <row r="822" spans="1:28" x14ac:dyDescent="0.25">
      <c r="A822" t="s">
        <v>826</v>
      </c>
      <c r="B822">
        <v>0.99299721793515405</v>
      </c>
      <c r="C822">
        <v>0.89052401349386101</v>
      </c>
      <c r="D822">
        <v>1.0354594650032101</v>
      </c>
      <c r="E822">
        <v>0.713697853003604</v>
      </c>
      <c r="F822">
        <v>0.46374798319803401</v>
      </c>
      <c r="G822">
        <v>0.275255558806624</v>
      </c>
      <c r="H822">
        <v>0.23230315216581701</v>
      </c>
      <c r="I822">
        <v>0.22095998391837501</v>
      </c>
      <c r="J822">
        <v>0.226312336578429</v>
      </c>
      <c r="K822">
        <v>0.202088311814902</v>
      </c>
      <c r="L822">
        <v>1080.49634969918</v>
      </c>
      <c r="M822">
        <v>22.417252654651101</v>
      </c>
      <c r="N822">
        <v>49.421349537371697</v>
      </c>
      <c r="O822">
        <v>47.820682908202301</v>
      </c>
      <c r="P822">
        <v>-9.2261405314789005E-2</v>
      </c>
      <c r="Q822">
        <v>0.212764909434115</v>
      </c>
      <c r="R822">
        <v>0.981779020218011</v>
      </c>
      <c r="S822" t="s">
        <v>6373</v>
      </c>
      <c r="T822" t="s">
        <v>11100</v>
      </c>
      <c r="U822" t="s">
        <v>11100</v>
      </c>
      <c r="V822" t="s">
        <v>11100</v>
      </c>
      <c r="W822" t="s">
        <v>11909</v>
      </c>
      <c r="X822">
        <v>4</v>
      </c>
      <c r="Y822" t="s">
        <v>17406</v>
      </c>
      <c r="Z822" t="s">
        <v>22827</v>
      </c>
      <c r="AA822">
        <v>0.51497393431225058</v>
      </c>
      <c r="AB822" t="str">
        <f>HYPERLINK("Melting_Curves/meltCurve_H0Y6K2_BRD2.pdf", "Melting_Curves/meltCurve_H0Y6K2_BRD2.pdf")</f>
        <v>Melting_Curves/meltCurve_H0Y6K2_BRD2.pdf</v>
      </c>
    </row>
    <row r="823" spans="1:28" x14ac:dyDescent="0.25">
      <c r="A823" t="s">
        <v>827</v>
      </c>
      <c r="B823">
        <v>0.99299721793515405</v>
      </c>
      <c r="C823">
        <v>0.746765107672966</v>
      </c>
      <c r="D823">
        <v>0.89729377484311801</v>
      </c>
      <c r="E823">
        <v>0.73584389307049602</v>
      </c>
      <c r="F823">
        <v>0.68958560812391201</v>
      </c>
      <c r="G823">
        <v>0.34724307667545501</v>
      </c>
      <c r="H823">
        <v>0.35995403388694303</v>
      </c>
      <c r="I823">
        <v>0.28219935450261202</v>
      </c>
      <c r="J823">
        <v>0.300136666728676</v>
      </c>
      <c r="K823">
        <v>0.21969540823997299</v>
      </c>
      <c r="L823">
        <v>398.15226766224202</v>
      </c>
      <c r="M823">
        <v>7.7658770497240797</v>
      </c>
      <c r="N823">
        <v>52.701370541584701</v>
      </c>
      <c r="O823">
        <v>48.202753460367703</v>
      </c>
      <c r="P823">
        <v>-3.6492293093782699E-2</v>
      </c>
      <c r="Q823">
        <v>9.5113864380691096E-2</v>
      </c>
      <c r="R823">
        <v>0.91742642472883396</v>
      </c>
      <c r="S823" t="s">
        <v>6374</v>
      </c>
      <c r="T823" t="s">
        <v>11100</v>
      </c>
      <c r="U823" t="s">
        <v>11100</v>
      </c>
      <c r="V823" t="s">
        <v>11100</v>
      </c>
      <c r="W823" t="s">
        <v>11910</v>
      </c>
      <c r="X823">
        <v>5</v>
      </c>
      <c r="Y823" t="s">
        <v>17407</v>
      </c>
      <c r="Z823" t="s">
        <v>22828</v>
      </c>
      <c r="AA823">
        <v>0.55587421510214119</v>
      </c>
      <c r="AB823" t="str">
        <f>HYPERLINK("Melting_Curves/meltCurve_H0Y6K5_SP3.pdf", "Melting_Curves/meltCurve_H0Y6K5_SP3.pdf")</f>
        <v>Melting_Curves/meltCurve_H0Y6K5_SP3.pdf</v>
      </c>
    </row>
    <row r="824" spans="1:28" x14ac:dyDescent="0.25">
      <c r="A824" t="s">
        <v>828</v>
      </c>
      <c r="B824">
        <v>0.99299721793515405</v>
      </c>
      <c r="C824">
        <v>1.16056119549574</v>
      </c>
      <c r="D824">
        <v>1.0769614397879801</v>
      </c>
      <c r="E824">
        <v>0.92137794472694601</v>
      </c>
      <c r="F824">
        <v>0.51083774144644101</v>
      </c>
      <c r="G824">
        <v>0.27353637819530802</v>
      </c>
      <c r="H824">
        <v>0.14098094193393301</v>
      </c>
      <c r="I824">
        <v>8.9782387212970202E-2</v>
      </c>
      <c r="J824">
        <v>0.140012455864686</v>
      </c>
      <c r="K824">
        <v>9.8035242076255705E-2</v>
      </c>
      <c r="L824">
        <v>1404.0193744271901</v>
      </c>
      <c r="M824">
        <v>28.041168938344502</v>
      </c>
      <c r="N824">
        <v>50.546236681840398</v>
      </c>
      <c r="O824">
        <v>49.817369835688602</v>
      </c>
      <c r="P824">
        <v>-0.124382834166024</v>
      </c>
      <c r="Q824">
        <v>0.116103669053151</v>
      </c>
      <c r="R824">
        <v>0.97861522298618497</v>
      </c>
      <c r="S824" t="s">
        <v>6375</v>
      </c>
      <c r="T824" t="s">
        <v>11100</v>
      </c>
      <c r="U824" t="s">
        <v>11100</v>
      </c>
      <c r="V824" t="s">
        <v>11100</v>
      </c>
      <c r="W824" t="s">
        <v>11911</v>
      </c>
      <c r="X824">
        <v>2</v>
      </c>
      <c r="Y824" t="s">
        <v>17408</v>
      </c>
      <c r="Z824" t="s">
        <v>22829</v>
      </c>
      <c r="AA824">
        <v>0.5073848236236298</v>
      </c>
      <c r="AB824" t="str">
        <f>HYPERLINK("Melting_Curves/meltCurve_H0Y7L9_ABCD1.pdf", "Melting_Curves/meltCurve_H0Y7L9_ABCD1.pdf")</f>
        <v>Melting_Curves/meltCurve_H0Y7L9_ABCD1.pdf</v>
      </c>
    </row>
    <row r="825" spans="1:28" x14ac:dyDescent="0.25">
      <c r="A825" t="s">
        <v>829</v>
      </c>
      <c r="B825">
        <v>0.99299721793515405</v>
      </c>
      <c r="C825">
        <v>0.81139561549217998</v>
      </c>
      <c r="D825">
        <v>0.896451692838098</v>
      </c>
      <c r="E825">
        <v>0.75632729063718696</v>
      </c>
      <c r="F825">
        <v>0.77975356560938502</v>
      </c>
      <c r="G825">
        <v>0.26972264987240802</v>
      </c>
      <c r="H825">
        <v>0.24853176283165901</v>
      </c>
      <c r="I825">
        <v>0.24388072791554799</v>
      </c>
      <c r="J825">
        <v>0.232237713843475</v>
      </c>
      <c r="K825">
        <v>0.25180435576246202</v>
      </c>
      <c r="L825">
        <v>732.56396430065797</v>
      </c>
      <c r="M825">
        <v>14.5765416506206</v>
      </c>
      <c r="N825">
        <v>51.864371936350103</v>
      </c>
      <c r="O825">
        <v>49.338905100336703</v>
      </c>
      <c r="P825">
        <v>-6.0438526466766701E-2</v>
      </c>
      <c r="Q825">
        <v>0.18179942686015099</v>
      </c>
      <c r="R825">
        <v>0.90211994742920398</v>
      </c>
      <c r="S825" t="s">
        <v>6376</v>
      </c>
      <c r="T825" t="s">
        <v>11100</v>
      </c>
      <c r="U825" t="s">
        <v>11100</v>
      </c>
      <c r="V825" t="s">
        <v>11100</v>
      </c>
      <c r="W825" t="s">
        <v>11912</v>
      </c>
      <c r="X825">
        <v>4</v>
      </c>
      <c r="Y825" t="s">
        <v>17409</v>
      </c>
      <c r="Z825" t="s">
        <v>22830</v>
      </c>
      <c r="AA825">
        <v>0.56099156248935711</v>
      </c>
      <c r="AB825" t="str">
        <f>HYPERLINK("Melting_Curves/meltCurve_H0Y860_STIM2.pdf", "Melting_Curves/meltCurve_H0Y860_STIM2.pdf")</f>
        <v>Melting_Curves/meltCurve_H0Y860_STIM2.pdf</v>
      </c>
    </row>
    <row r="826" spans="1:28" x14ac:dyDescent="0.25">
      <c r="A826" t="s">
        <v>830</v>
      </c>
      <c r="B826">
        <v>0.99299721793515405</v>
      </c>
      <c r="C826">
        <v>1.0297564828872601</v>
      </c>
      <c r="D826">
        <v>0.93525637651737004</v>
      </c>
      <c r="E826">
        <v>0.82804992021929702</v>
      </c>
      <c r="F826">
        <v>0.76740439638403701</v>
      </c>
      <c r="G826">
        <v>0.54507663642850901</v>
      </c>
      <c r="H826">
        <v>0.44601604884842</v>
      </c>
      <c r="I826">
        <v>0.26446752012806801</v>
      </c>
      <c r="J826">
        <v>0.14656306840071501</v>
      </c>
      <c r="K826">
        <v>0.131625301664965</v>
      </c>
      <c r="L826">
        <v>583.42604865675798</v>
      </c>
      <c r="M826">
        <v>10.5778444094324</v>
      </c>
      <c r="N826">
        <v>55.155465809006003</v>
      </c>
      <c r="O826">
        <v>53.293682876296302</v>
      </c>
      <c r="P826">
        <v>-4.9639996335256703E-2</v>
      </c>
      <c r="Q826">
        <v>0</v>
      </c>
      <c r="R826">
        <v>0.99110433693446298</v>
      </c>
      <c r="S826" t="s">
        <v>6377</v>
      </c>
      <c r="T826" t="s">
        <v>11100</v>
      </c>
      <c r="U826" t="s">
        <v>11100</v>
      </c>
      <c r="V826" t="s">
        <v>11100</v>
      </c>
      <c r="W826" t="s">
        <v>11913</v>
      </c>
      <c r="X826">
        <v>4</v>
      </c>
      <c r="Y826" t="s">
        <v>17410</v>
      </c>
      <c r="Z826" t="s">
        <v>22831</v>
      </c>
      <c r="AA826">
        <v>0.61738032995432879</v>
      </c>
      <c r="AB826" t="str">
        <f>HYPERLINK("Melting_Curves/meltCurve_H0Y8C3_MTCH1.pdf", "Melting_Curves/meltCurve_H0Y8C3_MTCH1.pdf")</f>
        <v>Melting_Curves/meltCurve_H0Y8C3_MTCH1.pdf</v>
      </c>
    </row>
    <row r="827" spans="1:28" x14ac:dyDescent="0.25">
      <c r="A827" t="s">
        <v>831</v>
      </c>
      <c r="B827">
        <v>0.99299721793515405</v>
      </c>
      <c r="C827">
        <v>1.0431620060101601</v>
      </c>
      <c r="D827">
        <v>0.96142796518989604</v>
      </c>
      <c r="E827">
        <v>0.88634414880214396</v>
      </c>
      <c r="F827">
        <v>0.59165138036452602</v>
      </c>
      <c r="G827">
        <v>0.453041073064685</v>
      </c>
      <c r="H827">
        <v>0.24944999196158901</v>
      </c>
      <c r="I827">
        <v>0.11818714533152901</v>
      </c>
      <c r="J827">
        <v>0.103588388991413</v>
      </c>
      <c r="K827">
        <v>0.11178248130858</v>
      </c>
      <c r="L827">
        <v>785.427711999434</v>
      </c>
      <c r="M827">
        <v>15.1339797417107</v>
      </c>
      <c r="N827">
        <v>52.358680445109201</v>
      </c>
      <c r="O827">
        <v>51.017447997456898</v>
      </c>
      <c r="P827">
        <v>-6.9547438273158804E-2</v>
      </c>
      <c r="Q827">
        <v>6.2299080886215399E-2</v>
      </c>
      <c r="R827">
        <v>0.99251811190241301</v>
      </c>
      <c r="S827" t="s">
        <v>6378</v>
      </c>
      <c r="T827" t="s">
        <v>11100</v>
      </c>
      <c r="U827" t="s">
        <v>11100</v>
      </c>
      <c r="V827" t="s">
        <v>11100</v>
      </c>
      <c r="W827" t="s">
        <v>11914</v>
      </c>
      <c r="X827">
        <v>5</v>
      </c>
      <c r="Y827" t="s">
        <v>17411</v>
      </c>
      <c r="Z827" t="s">
        <v>22832</v>
      </c>
      <c r="AA827">
        <v>0.54583255214112225</v>
      </c>
      <c r="AB827" t="str">
        <f>HYPERLINK("Melting_Curves/meltCurve_H0Y9S9_PPIP5K2.pdf", "Melting_Curves/meltCurve_H0Y9S9_PPIP5K2.pdf")</f>
        <v>Melting_Curves/meltCurve_H0Y9S9_PPIP5K2.pdf</v>
      </c>
    </row>
    <row r="828" spans="1:28" x14ac:dyDescent="0.25">
      <c r="A828" t="s">
        <v>832</v>
      </c>
      <c r="B828">
        <v>0.99299721793515405</v>
      </c>
      <c r="C828">
        <v>1.41682065459332</v>
      </c>
      <c r="D828">
        <v>1.0478862399609099</v>
      </c>
      <c r="E828">
        <v>1.16180411689213</v>
      </c>
      <c r="F828">
        <v>0.90774154374464999</v>
      </c>
      <c r="G828">
        <v>0.69254946870279599</v>
      </c>
      <c r="H828">
        <v>0.53040284937017801</v>
      </c>
      <c r="I828">
        <v>0.51055921141237304</v>
      </c>
      <c r="J828">
        <v>0.42481361809778201</v>
      </c>
      <c r="K828">
        <v>0.35650424205207998</v>
      </c>
      <c r="L828">
        <v>1366.69392698975</v>
      </c>
      <c r="M828">
        <v>25.342459741233501</v>
      </c>
      <c r="N828">
        <v>57.977957833730002</v>
      </c>
      <c r="O828">
        <v>53.5965813379607</v>
      </c>
      <c r="P828">
        <v>-6.9174917380382395E-2</v>
      </c>
      <c r="Q828">
        <v>0.41481736512593698</v>
      </c>
      <c r="R828">
        <v>0.80903891138229</v>
      </c>
      <c r="S828" t="s">
        <v>6379</v>
      </c>
      <c r="T828" t="s">
        <v>11100</v>
      </c>
      <c r="U828" t="s">
        <v>11100</v>
      </c>
      <c r="V828" t="s">
        <v>11100</v>
      </c>
      <c r="W828" t="s">
        <v>11915</v>
      </c>
      <c r="X828">
        <v>2</v>
      </c>
      <c r="Y828" t="s">
        <v>17412</v>
      </c>
      <c r="Z828" t="s">
        <v>22833</v>
      </c>
      <c r="AA828">
        <v>0.75003920708899163</v>
      </c>
      <c r="AB828" t="str">
        <f>HYPERLINK("Melting_Curves/meltCurve_H0Y9V2_UBE2B.pdf", "Melting_Curves/meltCurve_H0Y9V2_UBE2B.pdf")</f>
        <v>Melting_Curves/meltCurve_H0Y9V2_UBE2B.pdf</v>
      </c>
    </row>
    <row r="829" spans="1:28" x14ac:dyDescent="0.25">
      <c r="A829" t="s">
        <v>833</v>
      </c>
      <c r="B829">
        <v>0.99299721793515405</v>
      </c>
      <c r="C829">
        <v>0.96841819318155498</v>
      </c>
      <c r="D829">
        <v>1.03426083044205</v>
      </c>
      <c r="E829">
        <v>0.83125120718317802</v>
      </c>
      <c r="F829">
        <v>0.76729830675287902</v>
      </c>
      <c r="G829">
        <v>0.46437965007460702</v>
      </c>
      <c r="H829">
        <v>0.273480061672009</v>
      </c>
      <c r="I829">
        <v>0.20364675979710101</v>
      </c>
      <c r="J829">
        <v>0.14670004895126201</v>
      </c>
      <c r="K829">
        <v>0.150850712744759</v>
      </c>
      <c r="L829">
        <v>870.20656239495702</v>
      </c>
      <c r="M829">
        <v>16.557401950753601</v>
      </c>
      <c r="N829">
        <v>53.3909670875491</v>
      </c>
      <c r="O829">
        <v>51.808269601123698</v>
      </c>
      <c r="P829">
        <v>-7.0798037550332205E-2</v>
      </c>
      <c r="Q829">
        <v>0.113950127055808</v>
      </c>
      <c r="R829">
        <v>0.99027626546608505</v>
      </c>
      <c r="S829" t="s">
        <v>6380</v>
      </c>
      <c r="T829" t="s">
        <v>11100</v>
      </c>
      <c r="U829" t="s">
        <v>11100</v>
      </c>
      <c r="V829" t="s">
        <v>11100</v>
      </c>
      <c r="W829" t="s">
        <v>11916</v>
      </c>
      <c r="X829">
        <v>4</v>
      </c>
      <c r="Y829" t="s">
        <v>17413</v>
      </c>
      <c r="Z829" t="s">
        <v>22834</v>
      </c>
      <c r="AA829">
        <v>0.58804641161473592</v>
      </c>
      <c r="AB829" t="str">
        <f>HYPERLINK("Melting_Curves/meltCurve_H0Y9X1_TMA16.pdf", "Melting_Curves/meltCurve_H0Y9X1_TMA16.pdf")</f>
        <v>Melting_Curves/meltCurve_H0Y9X1_TMA16.pdf</v>
      </c>
    </row>
    <row r="830" spans="1:28" x14ac:dyDescent="0.25">
      <c r="A830" t="s">
        <v>834</v>
      </c>
      <c r="B830">
        <v>0.99299721793515405</v>
      </c>
      <c r="C830">
        <v>0.81622331736349696</v>
      </c>
      <c r="D830">
        <v>0.79179994978489998</v>
      </c>
      <c r="E830">
        <v>0.67698026624756802</v>
      </c>
      <c r="F830">
        <v>0.62568597121119596</v>
      </c>
      <c r="G830">
        <v>0.311903794105301</v>
      </c>
      <c r="H830">
        <v>0.27980970593679599</v>
      </c>
      <c r="I830">
        <v>0.33701245248718897</v>
      </c>
      <c r="J830">
        <v>0.37073549228475899</v>
      </c>
      <c r="K830">
        <v>0.415295195810505</v>
      </c>
      <c r="L830">
        <v>519.79341326455699</v>
      </c>
      <c r="M830">
        <v>11.227838088889101</v>
      </c>
      <c r="N830">
        <v>50.637663557714603</v>
      </c>
      <c r="O830">
        <v>44.899363523789603</v>
      </c>
      <c r="P830">
        <v>-4.32059701967209E-2</v>
      </c>
      <c r="Q830">
        <v>0.30910443093929801</v>
      </c>
      <c r="R830">
        <v>0.90455767810120502</v>
      </c>
      <c r="S830" t="s">
        <v>6381</v>
      </c>
      <c r="T830" t="s">
        <v>11100</v>
      </c>
      <c r="U830" t="s">
        <v>11100</v>
      </c>
      <c r="V830" t="s">
        <v>11100</v>
      </c>
      <c r="W830" t="s">
        <v>11917</v>
      </c>
      <c r="X830">
        <v>1</v>
      </c>
      <c r="Y830" t="s">
        <v>17414</v>
      </c>
      <c r="Z830" t="s">
        <v>22835</v>
      </c>
      <c r="AA830">
        <v>0.54935896998379385</v>
      </c>
      <c r="AB830" t="str">
        <f>HYPERLINK("Melting_Curves/meltCurve_H0YA61_RBM24.pdf", "Melting_Curves/meltCurve_H0YA61_RBM24.pdf")</f>
        <v>Melting_Curves/meltCurve_H0YA61_RBM24.pdf</v>
      </c>
    </row>
    <row r="831" spans="1:28" x14ac:dyDescent="0.25">
      <c r="A831" t="s">
        <v>835</v>
      </c>
      <c r="B831">
        <v>0.99299721793515405</v>
      </c>
      <c r="C831">
        <v>1.1087903688912699</v>
      </c>
      <c r="D831">
        <v>0.74041508169843595</v>
      </c>
      <c r="E831">
        <v>0.78130422044116898</v>
      </c>
      <c r="F831">
        <v>0.76965626024135303</v>
      </c>
      <c r="G831">
        <v>0.41019085450749498</v>
      </c>
      <c r="H831">
        <v>0.61178538327467502</v>
      </c>
      <c r="I831">
        <v>0.15474834446654601</v>
      </c>
      <c r="J831">
        <v>0.217173042713835</v>
      </c>
      <c r="K831">
        <v>0.15458566784590599</v>
      </c>
      <c r="L831">
        <v>463.96759351523002</v>
      </c>
      <c r="M831">
        <v>8.5062132098094896</v>
      </c>
      <c r="N831">
        <v>54.544554145855301</v>
      </c>
      <c r="O831">
        <v>51.7805384421371</v>
      </c>
      <c r="P831">
        <v>-4.1105494866341602E-2</v>
      </c>
      <c r="Q831">
        <v>0</v>
      </c>
      <c r="R831">
        <v>0.87001644360331298</v>
      </c>
      <c r="S831" t="s">
        <v>6382</v>
      </c>
      <c r="T831" t="s">
        <v>11100</v>
      </c>
      <c r="U831" t="s">
        <v>11100</v>
      </c>
      <c r="V831" t="s">
        <v>11100</v>
      </c>
      <c r="W831" t="s">
        <v>11918</v>
      </c>
      <c r="X831">
        <v>1</v>
      </c>
      <c r="Y831" t="s">
        <v>17415</v>
      </c>
      <c r="Z831" t="s">
        <v>22836</v>
      </c>
      <c r="AA831">
        <v>0.59672559083791665</v>
      </c>
      <c r="AB831" t="str">
        <f>HYPERLINK("Melting_Curves/meltCurve_H0YAJ5_APBB2.pdf", "Melting_Curves/meltCurve_H0YAJ5_APBB2.pdf")</f>
        <v>Melting_Curves/meltCurve_H0YAJ5_APBB2.pdf</v>
      </c>
    </row>
    <row r="832" spans="1:28" x14ac:dyDescent="0.25">
      <c r="A832" t="s">
        <v>836</v>
      </c>
      <c r="B832">
        <v>0.99299721793515405</v>
      </c>
      <c r="C832">
        <v>0.97986762933949001</v>
      </c>
      <c r="D832">
        <v>1.0621913871361199</v>
      </c>
      <c r="E832">
        <v>0.96409549027716102</v>
      </c>
      <c r="F832">
        <v>0.961451600561819</v>
      </c>
      <c r="G832">
        <v>0.72942737833589399</v>
      </c>
      <c r="H832">
        <v>0.59973702793512496</v>
      </c>
      <c r="I832">
        <v>0.243338918808193</v>
      </c>
      <c r="J832">
        <v>0.22643198355232599</v>
      </c>
      <c r="K832">
        <v>0.14418092781500899</v>
      </c>
      <c r="L832">
        <v>1035.60906004392</v>
      </c>
      <c r="M832">
        <v>18.080585034421102</v>
      </c>
      <c r="N832">
        <v>57.842211177602699</v>
      </c>
      <c r="O832">
        <v>56.590538666047301</v>
      </c>
      <c r="P832">
        <v>-7.3414749183474806E-2</v>
      </c>
      <c r="Q832">
        <v>8.0919456293043299E-2</v>
      </c>
      <c r="R832">
        <v>0.98439017881572799</v>
      </c>
      <c r="S832" t="s">
        <v>6383</v>
      </c>
      <c r="T832" t="s">
        <v>11100</v>
      </c>
      <c r="U832" t="s">
        <v>11100</v>
      </c>
      <c r="V832" t="s">
        <v>11100</v>
      </c>
      <c r="W832" t="s">
        <v>11919</v>
      </c>
      <c r="X832">
        <v>3</v>
      </c>
      <c r="Y832" t="s">
        <v>17416</v>
      </c>
      <c r="Z832" t="s">
        <v>22837</v>
      </c>
      <c r="AA832">
        <v>0.70977388337368574</v>
      </c>
      <c r="AB832" t="str">
        <f>HYPERLINK("Melting_Curves/meltCurve_H0YAT2_MRPS28.pdf", "Melting_Curves/meltCurve_H0YAT2_MRPS28.pdf")</f>
        <v>Melting_Curves/meltCurve_H0YAT2_MRPS28.pdf</v>
      </c>
    </row>
    <row r="833" spans="1:28" x14ac:dyDescent="0.25">
      <c r="A833" t="s">
        <v>837</v>
      </c>
      <c r="B833">
        <v>0.99299721793515405</v>
      </c>
      <c r="C833">
        <v>0.91863707495046798</v>
      </c>
      <c r="D833">
        <v>0.93346350452013005</v>
      </c>
      <c r="E833">
        <v>0.81615443732745396</v>
      </c>
      <c r="F833">
        <v>0.73907042932913003</v>
      </c>
      <c r="G833">
        <v>0.52099618812481896</v>
      </c>
      <c r="H833">
        <v>0.25070128819767401</v>
      </c>
      <c r="I833">
        <v>0.14903776951216299</v>
      </c>
      <c r="J833">
        <v>0.122512109969106</v>
      </c>
      <c r="K833">
        <v>0.119563088143099</v>
      </c>
      <c r="L833">
        <v>668.34465474494198</v>
      </c>
      <c r="M833">
        <v>12.5208395275041</v>
      </c>
      <c r="N833">
        <v>53.475318489375297</v>
      </c>
      <c r="O833">
        <v>52.071834280241603</v>
      </c>
      <c r="P833">
        <v>-5.9452292344806201E-2</v>
      </c>
      <c r="Q833">
        <v>1.11978132793126E-2</v>
      </c>
      <c r="R833">
        <v>0.98679373580860896</v>
      </c>
      <c r="S833" t="s">
        <v>6384</v>
      </c>
      <c r="T833" t="s">
        <v>11100</v>
      </c>
      <c r="U833" t="s">
        <v>11100</v>
      </c>
      <c r="V833" t="s">
        <v>11100</v>
      </c>
      <c r="W833" t="s">
        <v>11920</v>
      </c>
      <c r="X833">
        <v>5</v>
      </c>
      <c r="Y833" t="s">
        <v>17417</v>
      </c>
      <c r="Z833" t="s">
        <v>22838</v>
      </c>
      <c r="AA833">
        <v>0.57038273225935066</v>
      </c>
      <c r="AB833" t="str">
        <f>HYPERLINK("Melting_Curves/meltCurve_H0YB09_C14orf159.pdf", "Melting_Curves/meltCurve_H0YB09_C14orf159.pdf")</f>
        <v>Melting_Curves/meltCurve_H0YB09_C14orf159.pdf</v>
      </c>
    </row>
    <row r="834" spans="1:28" x14ac:dyDescent="0.25">
      <c r="A834" t="s">
        <v>838</v>
      </c>
      <c r="B834">
        <v>0.99299721793515405</v>
      </c>
      <c r="C834">
        <v>1.14178975834654</v>
      </c>
      <c r="D834">
        <v>0.97928313061417704</v>
      </c>
      <c r="E834">
        <v>0.77006921935271599</v>
      </c>
      <c r="F834">
        <v>0.75638294709244702</v>
      </c>
      <c r="G834">
        <v>0</v>
      </c>
      <c r="H834">
        <v>0</v>
      </c>
      <c r="I834">
        <v>0</v>
      </c>
      <c r="J834">
        <v>0.12738905861213301</v>
      </c>
      <c r="K834">
        <v>0</v>
      </c>
      <c r="L834">
        <v>12605.1540404362</v>
      </c>
      <c r="M834">
        <v>250</v>
      </c>
      <c r="N834">
        <v>50.431166102927897</v>
      </c>
      <c r="O834">
        <v>50.417389860047201</v>
      </c>
      <c r="P834">
        <v>-1.20806807094997</v>
      </c>
      <c r="Q834">
        <v>2.5477784048880701E-2</v>
      </c>
      <c r="R834">
        <v>0.95992482981493299</v>
      </c>
      <c r="S834" t="s">
        <v>6385</v>
      </c>
      <c r="T834" t="s">
        <v>11100</v>
      </c>
      <c r="U834" t="s">
        <v>11100</v>
      </c>
      <c r="V834" t="s">
        <v>11100</v>
      </c>
      <c r="W834" t="s">
        <v>11921</v>
      </c>
      <c r="X834">
        <v>2</v>
      </c>
      <c r="Y834" t="s">
        <v>17418</v>
      </c>
      <c r="Z834" t="s">
        <v>22839</v>
      </c>
      <c r="AA834">
        <v>0.46152030369517533</v>
      </c>
      <c r="AB834" t="str">
        <f>HYPERLINK("Melting_Curves/meltCurve_H0YBS1_INTS8.pdf", "Melting_Curves/meltCurve_H0YBS1_INTS8.pdf")</f>
        <v>Melting_Curves/meltCurve_H0YBS1_INTS8.pdf</v>
      </c>
    </row>
    <row r="835" spans="1:28" x14ac:dyDescent="0.25">
      <c r="A835" t="s">
        <v>839</v>
      </c>
      <c r="B835">
        <v>0.99299721793515405</v>
      </c>
      <c r="C835">
        <v>0.89986892706005495</v>
      </c>
      <c r="D835">
        <v>1.0227944281655601</v>
      </c>
      <c r="E835">
        <v>0.88301604557922297</v>
      </c>
      <c r="F835">
        <v>0.84513171469624904</v>
      </c>
      <c r="G835">
        <v>1.49442734123191</v>
      </c>
      <c r="H835">
        <v>0.64561352682022299</v>
      </c>
      <c r="I835">
        <v>0.60149819097984603</v>
      </c>
      <c r="J835">
        <v>0.58497412711266605</v>
      </c>
      <c r="K835">
        <v>0.89349570864083305</v>
      </c>
      <c r="L835">
        <v>13959.988718873399</v>
      </c>
      <c r="M835">
        <v>250</v>
      </c>
      <c r="O835">
        <v>55.836376848239802</v>
      </c>
      <c r="P835">
        <v>-0.35670536948787501</v>
      </c>
      <c r="Q835">
        <v>0.68132580690194799</v>
      </c>
      <c r="R835">
        <v>0.43839194909991502</v>
      </c>
      <c r="S835" t="s">
        <v>6386</v>
      </c>
      <c r="T835" t="s">
        <v>11100</v>
      </c>
      <c r="U835" t="s">
        <v>11100</v>
      </c>
      <c r="V835" t="s">
        <v>11100</v>
      </c>
      <c r="W835" t="s">
        <v>11922</v>
      </c>
      <c r="X835">
        <v>1</v>
      </c>
      <c r="Y835" t="s">
        <v>17419</v>
      </c>
      <c r="Z835" t="s">
        <v>22840</v>
      </c>
      <c r="AA835">
        <v>0.88148395034746885</v>
      </c>
      <c r="AB835" t="str">
        <f>HYPERLINK("Melting_Curves/meltCurve_H0YCG2_LAMP2.pdf", "Melting_Curves/meltCurve_H0YCG2_LAMP2.pdf")</f>
        <v>Melting_Curves/meltCurve_H0YCG2_LAMP2.pdf</v>
      </c>
    </row>
    <row r="836" spans="1:28" x14ac:dyDescent="0.25">
      <c r="A836" t="s">
        <v>840</v>
      </c>
      <c r="B836">
        <v>0.99299721793515405</v>
      </c>
      <c r="C836">
        <v>0.97253201199490102</v>
      </c>
      <c r="D836">
        <v>1.0248541700462701</v>
      </c>
      <c r="E836">
        <v>0.830926310546511</v>
      </c>
      <c r="F836">
        <v>0.69084812633435799</v>
      </c>
      <c r="G836">
        <v>0.46150277574037002</v>
      </c>
      <c r="H836">
        <v>0.35616910213157399</v>
      </c>
      <c r="I836">
        <v>0.32697467423677001</v>
      </c>
      <c r="J836">
        <v>0.31305313133036899</v>
      </c>
      <c r="K836">
        <v>0.25948122700286402</v>
      </c>
      <c r="L836">
        <v>864.55815466921695</v>
      </c>
      <c r="M836">
        <v>17.041751860331701</v>
      </c>
      <c r="N836">
        <v>53.202616995962202</v>
      </c>
      <c r="O836">
        <v>50.048651854313</v>
      </c>
      <c r="P836">
        <v>-6.1855576018318599E-2</v>
      </c>
      <c r="Q836">
        <v>0.27340823133736603</v>
      </c>
      <c r="R836">
        <v>0.992059087457829</v>
      </c>
      <c r="S836" t="s">
        <v>6387</v>
      </c>
      <c r="T836" t="s">
        <v>11100</v>
      </c>
      <c r="U836" t="s">
        <v>11100</v>
      </c>
      <c r="V836" t="s">
        <v>11100</v>
      </c>
      <c r="W836" t="s">
        <v>11923</v>
      </c>
      <c r="X836">
        <v>7</v>
      </c>
      <c r="Y836" t="s">
        <v>17420</v>
      </c>
      <c r="Z836" t="s">
        <v>22841</v>
      </c>
      <c r="AA836">
        <v>0.61831136913121509</v>
      </c>
      <c r="AB836" t="str">
        <f>HYPERLINK("Melting_Curves/meltCurve_H0YCK3_ADAR.pdf", "Melting_Curves/meltCurve_H0YCK3_ADAR.pdf")</f>
        <v>Melting_Curves/meltCurve_H0YCK3_ADAR.pdf</v>
      </c>
    </row>
    <row r="837" spans="1:28" x14ac:dyDescent="0.25">
      <c r="A837" t="s">
        <v>841</v>
      </c>
      <c r="B837">
        <v>0.99299721793515405</v>
      </c>
      <c r="C837">
        <v>1.03666445755022</v>
      </c>
      <c r="D837">
        <v>0.89368798272108296</v>
      </c>
      <c r="E837">
        <v>0.81925796003722795</v>
      </c>
      <c r="F837">
        <v>0.81814957716800696</v>
      </c>
      <c r="G837">
        <v>0.58606617576990905</v>
      </c>
      <c r="H837">
        <v>0.486907000026785</v>
      </c>
      <c r="I837">
        <v>0.200214637319334</v>
      </c>
      <c r="J837">
        <v>0.10995556516614</v>
      </c>
      <c r="K837">
        <v>0.103849331192641</v>
      </c>
      <c r="L837">
        <v>669.81884902005504</v>
      </c>
      <c r="M837">
        <v>12.0805467278826</v>
      </c>
      <c r="N837">
        <v>55.446070830184297</v>
      </c>
      <c r="O837">
        <v>53.992334036730298</v>
      </c>
      <c r="P837">
        <v>-5.5949537385162201E-2</v>
      </c>
      <c r="Q837">
        <v>0</v>
      </c>
      <c r="R837">
        <v>0.97414808592424595</v>
      </c>
      <c r="S837" t="s">
        <v>6388</v>
      </c>
      <c r="T837" t="s">
        <v>11100</v>
      </c>
      <c r="U837" t="s">
        <v>11100</v>
      </c>
      <c r="V837" t="s">
        <v>11100</v>
      </c>
      <c r="W837" t="s">
        <v>11924</v>
      </c>
      <c r="X837">
        <v>1</v>
      </c>
      <c r="Y837" t="s">
        <v>17421</v>
      </c>
      <c r="Z837" t="s">
        <v>22842</v>
      </c>
      <c r="AA837">
        <v>0.62724215916935577</v>
      </c>
      <c r="AB837" t="str">
        <f>HYPERLINK("Melting_Curves/meltCurve_H0YDQ1_ALG8.pdf", "Melting_Curves/meltCurve_H0YDQ1_ALG8.pdf")</f>
        <v>Melting_Curves/meltCurve_H0YDQ1_ALG8.pdf</v>
      </c>
    </row>
    <row r="838" spans="1:28" x14ac:dyDescent="0.25">
      <c r="A838" t="s">
        <v>842</v>
      </c>
      <c r="B838">
        <v>0.99299721793515405</v>
      </c>
      <c r="C838">
        <v>0.89835225998238999</v>
      </c>
      <c r="D838">
        <v>1.02467025097266</v>
      </c>
      <c r="E838">
        <v>0.82230427441147103</v>
      </c>
      <c r="F838">
        <v>0.72350046920215105</v>
      </c>
      <c r="G838">
        <v>0.49900574438962703</v>
      </c>
      <c r="H838">
        <v>0.39106164159152201</v>
      </c>
      <c r="I838">
        <v>0.38171144174126598</v>
      </c>
      <c r="J838">
        <v>0.29335457226956402</v>
      </c>
      <c r="K838">
        <v>0.24950304343811799</v>
      </c>
      <c r="L838">
        <v>673.81206732187297</v>
      </c>
      <c r="M838">
        <v>13.013888660455599</v>
      </c>
      <c r="N838">
        <v>54.468211532225403</v>
      </c>
      <c r="O838">
        <v>50.599573715366098</v>
      </c>
      <c r="P838">
        <v>-4.9056637338065201E-2</v>
      </c>
      <c r="Q838">
        <v>0.23718163937895001</v>
      </c>
      <c r="R838">
        <v>0.97619226505905599</v>
      </c>
      <c r="S838" t="s">
        <v>6389</v>
      </c>
      <c r="T838" t="s">
        <v>11100</v>
      </c>
      <c r="U838" t="s">
        <v>11100</v>
      </c>
      <c r="V838" t="s">
        <v>11100</v>
      </c>
      <c r="W838" t="s">
        <v>11925</v>
      </c>
      <c r="X838">
        <v>1</v>
      </c>
      <c r="Y838" t="s">
        <v>17422</v>
      </c>
      <c r="Z838" t="s">
        <v>22843</v>
      </c>
      <c r="AA838">
        <v>0.63013463585847695</v>
      </c>
      <c r="AB838" t="str">
        <f>HYPERLINK("Melting_Curves/meltCurve_H0YDR5_SIGIRR.pdf", "Melting_Curves/meltCurve_H0YDR5_SIGIRR.pdf")</f>
        <v>Melting_Curves/meltCurve_H0YDR5_SIGIRR.pdf</v>
      </c>
    </row>
    <row r="839" spans="1:28" x14ac:dyDescent="0.25">
      <c r="A839" t="s">
        <v>843</v>
      </c>
      <c r="B839">
        <v>0.99299721793515405</v>
      </c>
      <c r="C839">
        <v>1.0533049179253899</v>
      </c>
      <c r="D839">
        <v>1.19944898826873</v>
      </c>
      <c r="E839">
        <v>0.97298090250289504</v>
      </c>
      <c r="F839">
        <v>0.76002500071057</v>
      </c>
      <c r="G839">
        <v>0.74981568504687002</v>
      </c>
      <c r="H839">
        <v>0.36915045029737598</v>
      </c>
      <c r="I839">
        <v>0.23048524213168001</v>
      </c>
      <c r="J839">
        <v>0.197367959563926</v>
      </c>
      <c r="K839">
        <v>0.14817999880279401</v>
      </c>
      <c r="L839">
        <v>976.95492739355302</v>
      </c>
      <c r="M839">
        <v>17.688478345259401</v>
      </c>
      <c r="N839">
        <v>55.994273743375999</v>
      </c>
      <c r="O839">
        <v>54.539736372460297</v>
      </c>
      <c r="P839">
        <v>-7.2400248174082305E-2</v>
      </c>
      <c r="Q839">
        <v>0.107106525019138</v>
      </c>
      <c r="R839">
        <v>0.95178524540504705</v>
      </c>
      <c r="S839" t="s">
        <v>6390</v>
      </c>
      <c r="T839" t="s">
        <v>11100</v>
      </c>
      <c r="U839" t="s">
        <v>11100</v>
      </c>
      <c r="V839" t="s">
        <v>11100</v>
      </c>
      <c r="W839" t="s">
        <v>11926</v>
      </c>
      <c r="X839">
        <v>27</v>
      </c>
      <c r="Y839" t="s">
        <v>17423</v>
      </c>
      <c r="Z839" t="s">
        <v>22844</v>
      </c>
      <c r="AA839">
        <v>0.66080918720820714</v>
      </c>
      <c r="AB839" t="str">
        <f>HYPERLINK("Melting_Curves/meltCurve_H0YDU8_PPP5C.pdf", "Melting_Curves/meltCurve_H0YDU8_PPP5C.pdf")</f>
        <v>Melting_Curves/meltCurve_H0YDU8_PPP5C.pdf</v>
      </c>
    </row>
    <row r="840" spans="1:28" x14ac:dyDescent="0.25">
      <c r="A840" t="s">
        <v>844</v>
      </c>
      <c r="B840">
        <v>0.99299721793515405</v>
      </c>
      <c r="C840">
        <v>0.79321860726508697</v>
      </c>
      <c r="D840">
        <v>1.0278349120549</v>
      </c>
      <c r="E840">
        <v>0.79388315712337898</v>
      </c>
      <c r="F840">
        <v>0.83260237231948997</v>
      </c>
      <c r="G840">
        <v>0.61428912188620799</v>
      </c>
      <c r="H840">
        <v>0.55742290129985395</v>
      </c>
      <c r="I840">
        <v>0.76229427333109001</v>
      </c>
      <c r="J840">
        <v>0.87352345968849499</v>
      </c>
      <c r="K840">
        <v>1.01624585090289</v>
      </c>
      <c r="L840">
        <v>597.13105823443402</v>
      </c>
      <c r="M840">
        <v>14.1938960984502</v>
      </c>
      <c r="O840">
        <v>41.260938625410297</v>
      </c>
      <c r="P840">
        <v>-1.9324623169422399E-2</v>
      </c>
      <c r="Q840">
        <v>0.77532542314519903</v>
      </c>
      <c r="R840">
        <v>0.16797418655613</v>
      </c>
      <c r="S840" t="s">
        <v>6391</v>
      </c>
      <c r="T840" t="s">
        <v>11100</v>
      </c>
      <c r="U840" t="s">
        <v>11100</v>
      </c>
      <c r="V840" t="s">
        <v>11100</v>
      </c>
      <c r="W840" t="s">
        <v>11927</v>
      </c>
      <c r="X840">
        <v>1</v>
      </c>
      <c r="Y840" t="s">
        <v>17424</v>
      </c>
      <c r="Z840" t="s">
        <v>22845</v>
      </c>
      <c r="AA840">
        <v>0.82052351999344553</v>
      </c>
      <c r="AB840" t="str">
        <f>HYPERLINK("Melting_Curves/meltCurve_H0YE23_CD40.pdf", "Melting_Curves/meltCurve_H0YE23_CD40.pdf")</f>
        <v>Melting_Curves/meltCurve_H0YE23_CD40.pdf</v>
      </c>
    </row>
    <row r="841" spans="1:28" x14ac:dyDescent="0.25">
      <c r="A841" t="s">
        <v>845</v>
      </c>
      <c r="B841">
        <v>0.99299721793515405</v>
      </c>
      <c r="C841">
        <v>0.93760472868818501</v>
      </c>
      <c r="D841">
        <v>1.0110865328002001</v>
      </c>
      <c r="E841">
        <v>0.92225442739901697</v>
      </c>
      <c r="F841">
        <v>0.819188706754717</v>
      </c>
      <c r="G841">
        <v>0.99913715487434096</v>
      </c>
      <c r="H841">
        <v>1.2775602397500501</v>
      </c>
      <c r="I841">
        <v>1.37733935057191</v>
      </c>
      <c r="J841">
        <v>1.5506663242430301</v>
      </c>
      <c r="K841">
        <v>1.5821177006126601</v>
      </c>
      <c r="L841">
        <v>2250.6160633570098</v>
      </c>
      <c r="M841">
        <v>39.178891297879403</v>
      </c>
      <c r="O841">
        <v>57.295561215885499</v>
      </c>
      <c r="P841">
        <v>8.5475599586553194E-2</v>
      </c>
      <c r="Q841">
        <v>1.5</v>
      </c>
      <c r="R841">
        <v>0.90999008251790303</v>
      </c>
      <c r="S841" t="s">
        <v>6392</v>
      </c>
      <c r="T841" t="s">
        <v>11100</v>
      </c>
      <c r="U841" t="s">
        <v>11100</v>
      </c>
      <c r="V841" t="s">
        <v>11100</v>
      </c>
      <c r="W841" t="s">
        <v>11928</v>
      </c>
      <c r="X841">
        <v>10</v>
      </c>
      <c r="Y841" t="s">
        <v>17425</v>
      </c>
      <c r="Z841" t="s">
        <v>22846</v>
      </c>
      <c r="AA841">
        <v>1.157318076985453</v>
      </c>
      <c r="AB841" t="str">
        <f>HYPERLINK("Melting_Curves/meltCurve_H0YEB6_SSSCA1.pdf", "Melting_Curves/meltCurve_H0YEB6_SSSCA1.pdf")</f>
        <v>Melting_Curves/meltCurve_H0YEB6_SSSCA1.pdf</v>
      </c>
    </row>
    <row r="842" spans="1:28" x14ac:dyDescent="0.25">
      <c r="A842" t="s">
        <v>846</v>
      </c>
      <c r="B842">
        <v>0.99299721793515405</v>
      </c>
      <c r="C842">
        <v>1.024750979459</v>
      </c>
      <c r="D842">
        <v>0.982847650852812</v>
      </c>
      <c r="E842">
        <v>0.97924330976014795</v>
      </c>
      <c r="F842">
        <v>0.71480896278976602</v>
      </c>
      <c r="G842">
        <v>0.25710248824056098</v>
      </c>
      <c r="H842">
        <v>0.196148195120598</v>
      </c>
      <c r="I842">
        <v>0.1899637684461</v>
      </c>
      <c r="J842">
        <v>0.22655366683433001</v>
      </c>
      <c r="K842">
        <v>0.196436346670298</v>
      </c>
      <c r="L842">
        <v>2360.04309278562</v>
      </c>
      <c r="M842">
        <v>46.430136470916402</v>
      </c>
      <c r="N842">
        <v>51.399248264849597</v>
      </c>
      <c r="O842">
        <v>50.7359598125121</v>
      </c>
      <c r="P842">
        <v>-0.18279352827901901</v>
      </c>
      <c r="Q842">
        <v>0.20101940635650001</v>
      </c>
      <c r="R842">
        <v>0.99861743038955297</v>
      </c>
      <c r="S842" t="s">
        <v>6393</v>
      </c>
      <c r="T842" t="s">
        <v>11100</v>
      </c>
      <c r="U842" t="s">
        <v>11100</v>
      </c>
      <c r="V842" t="s">
        <v>11100</v>
      </c>
      <c r="W842" t="s">
        <v>11929</v>
      </c>
      <c r="X842">
        <v>3</v>
      </c>
      <c r="Y842" t="s">
        <v>17426</v>
      </c>
      <c r="Z842" t="s">
        <v>22847</v>
      </c>
      <c r="AA842">
        <v>0.57142766072244577</v>
      </c>
      <c r="AB842" t="str">
        <f>HYPERLINK("Melting_Curves/meltCurve_H0YEF3_RNASEH2C.pdf", "Melting_Curves/meltCurve_H0YEF3_RNASEH2C.pdf")</f>
        <v>Melting_Curves/meltCurve_H0YEF3_RNASEH2C.pdf</v>
      </c>
    </row>
    <row r="843" spans="1:28" x14ac:dyDescent="0.25">
      <c r="A843" t="s">
        <v>847</v>
      </c>
      <c r="B843">
        <v>0.99299721793515405</v>
      </c>
      <c r="C843">
        <v>0.92850354123080503</v>
      </c>
      <c r="D843">
        <v>0.90172925512464797</v>
      </c>
      <c r="E843">
        <v>0.77644774228874902</v>
      </c>
      <c r="F843">
        <v>0.60780107733594202</v>
      </c>
      <c r="G843">
        <v>0.27090510797829498</v>
      </c>
      <c r="H843">
        <v>0.26026917949987999</v>
      </c>
      <c r="I843">
        <v>0.20310066168051299</v>
      </c>
      <c r="J843">
        <v>0.15302732454326101</v>
      </c>
      <c r="K843">
        <v>0.153476758747567</v>
      </c>
      <c r="L843">
        <v>736.58359559590394</v>
      </c>
      <c r="M843">
        <v>14.752874542414901</v>
      </c>
      <c r="N843">
        <v>50.956429489945798</v>
      </c>
      <c r="O843">
        <v>49.037699538228203</v>
      </c>
      <c r="P843">
        <v>-6.5536106061353405E-2</v>
      </c>
      <c r="Q843">
        <v>0.12874116762757001</v>
      </c>
      <c r="R843">
        <v>0.98703845647565402</v>
      </c>
      <c r="S843" t="s">
        <v>6394</v>
      </c>
      <c r="T843" t="s">
        <v>11100</v>
      </c>
      <c r="U843" t="s">
        <v>11100</v>
      </c>
      <c r="V843" t="s">
        <v>11100</v>
      </c>
      <c r="W843" t="s">
        <v>11930</v>
      </c>
      <c r="X843">
        <v>11</v>
      </c>
      <c r="Y843" t="s">
        <v>17427</v>
      </c>
      <c r="Z843" t="s">
        <v>22848</v>
      </c>
      <c r="AA843">
        <v>0.52289744080578415</v>
      </c>
      <c r="AB843" t="str">
        <f>HYPERLINK("Melting_Curves/meltCurve_H0YEN5_RPS2.pdf", "Melting_Curves/meltCurve_H0YEN5_RPS2.pdf")</f>
        <v>Melting_Curves/meltCurve_H0YEN5_RPS2.pdf</v>
      </c>
    </row>
    <row r="844" spans="1:28" x14ac:dyDescent="0.25">
      <c r="A844" t="s">
        <v>848</v>
      </c>
      <c r="B844">
        <v>0.99299721793515405</v>
      </c>
      <c r="C844">
        <v>0.90671962422308405</v>
      </c>
      <c r="D844">
        <v>1.04267037899309</v>
      </c>
      <c r="E844">
        <v>0.742701715037549</v>
      </c>
      <c r="F844">
        <v>0.822525626500898</v>
      </c>
      <c r="G844">
        <v>0.61357372257584497</v>
      </c>
      <c r="H844">
        <v>0.38120604208408898</v>
      </c>
      <c r="I844">
        <v>0.30108261121785701</v>
      </c>
      <c r="J844">
        <v>0.12877904097887899</v>
      </c>
      <c r="K844">
        <v>7.9274825493821199E-2</v>
      </c>
      <c r="L844">
        <v>634.17061335625203</v>
      </c>
      <c r="M844">
        <v>11.4609477060021</v>
      </c>
      <c r="N844">
        <v>55.333173991100303</v>
      </c>
      <c r="O844">
        <v>53.728971711383998</v>
      </c>
      <c r="P844">
        <v>-5.3342955133603299E-2</v>
      </c>
      <c r="Q844">
        <v>0</v>
      </c>
      <c r="R844">
        <v>0.95932073821362496</v>
      </c>
      <c r="S844" t="s">
        <v>6395</v>
      </c>
      <c r="T844" t="s">
        <v>11100</v>
      </c>
      <c r="U844" t="s">
        <v>11100</v>
      </c>
      <c r="V844" t="s">
        <v>11100</v>
      </c>
      <c r="W844" t="s">
        <v>11931</v>
      </c>
      <c r="X844">
        <v>5</v>
      </c>
      <c r="Y844" t="s">
        <v>17428</v>
      </c>
      <c r="Z844" t="s">
        <v>22849</v>
      </c>
      <c r="AA844">
        <v>0.62345541505394075</v>
      </c>
      <c r="AB844" t="str">
        <f>HYPERLINK("Melting_Curves/meltCurve_H0YF29_C8orf82.pdf", "Melting_Curves/meltCurve_H0YF29_C8orf82.pdf")</f>
        <v>Melting_Curves/meltCurve_H0YF29_C8orf82.pdf</v>
      </c>
    </row>
    <row r="845" spans="1:28" x14ac:dyDescent="0.25">
      <c r="A845" t="s">
        <v>849</v>
      </c>
      <c r="B845">
        <v>0.99299721793515405</v>
      </c>
      <c r="C845">
        <v>1.0071877371414599</v>
      </c>
      <c r="D845">
        <v>1.0234634041006501</v>
      </c>
      <c r="E845">
        <v>0.83623706374723095</v>
      </c>
      <c r="F845">
        <v>0.78916329053294998</v>
      </c>
      <c r="G845">
        <v>0.65135999360868002</v>
      </c>
      <c r="H845">
        <v>0.65173220645991303</v>
      </c>
      <c r="I845">
        <v>0.84609947211595404</v>
      </c>
      <c r="J845">
        <v>0.85177188346842103</v>
      </c>
      <c r="K845">
        <v>1.1012727387363599</v>
      </c>
      <c r="L845">
        <v>11554.2968145084</v>
      </c>
      <c r="M845">
        <v>250</v>
      </c>
      <c r="O845">
        <v>46.214230118416701</v>
      </c>
      <c r="P845">
        <v>-0.249878037568002</v>
      </c>
      <c r="Q845">
        <v>0.81523326395538598</v>
      </c>
      <c r="R845">
        <v>0.35261103213542799</v>
      </c>
      <c r="S845" t="s">
        <v>6396</v>
      </c>
      <c r="T845" t="s">
        <v>11100</v>
      </c>
      <c r="U845" t="s">
        <v>11100</v>
      </c>
      <c r="V845" t="s">
        <v>11100</v>
      </c>
      <c r="W845" t="s">
        <v>11932</v>
      </c>
      <c r="X845">
        <v>9</v>
      </c>
      <c r="Y845" t="s">
        <v>17429</v>
      </c>
      <c r="Z845" t="s">
        <v>22850</v>
      </c>
      <c r="AA845">
        <v>0.87201590397340756</v>
      </c>
      <c r="AB845" t="str">
        <f>HYPERLINK("Melting_Curves/meltCurve_H0YGA7_CADM1.pdf", "Melting_Curves/meltCurve_H0YGA7_CADM1.pdf")</f>
        <v>Melting_Curves/meltCurve_H0YGA7_CADM1.pdf</v>
      </c>
    </row>
    <row r="846" spans="1:28" x14ac:dyDescent="0.25">
      <c r="A846" t="s">
        <v>850</v>
      </c>
      <c r="B846">
        <v>0.99299721793515405</v>
      </c>
      <c r="C846">
        <v>1.00562000448017</v>
      </c>
      <c r="D846">
        <v>0.83399196730525305</v>
      </c>
      <c r="E846">
        <v>0.78225064521182497</v>
      </c>
      <c r="F846">
        <v>0.706389538294104</v>
      </c>
      <c r="G846">
        <v>0.47006559448780499</v>
      </c>
      <c r="H846">
        <v>0.57533867523382398</v>
      </c>
      <c r="I846">
        <v>0.73523130492155697</v>
      </c>
      <c r="J846">
        <v>0.81960042236106601</v>
      </c>
      <c r="K846">
        <v>0.70597757926678295</v>
      </c>
      <c r="L846">
        <v>1046.1016190898999</v>
      </c>
      <c r="M846">
        <v>23.889641808309602</v>
      </c>
      <c r="O846">
        <v>43.485574212615703</v>
      </c>
      <c r="P846">
        <v>-4.5281476421820697E-2</v>
      </c>
      <c r="Q846">
        <v>0.67030760769215103</v>
      </c>
      <c r="R846">
        <v>0.66232007469122101</v>
      </c>
      <c r="S846" t="s">
        <v>6397</v>
      </c>
      <c r="T846" t="s">
        <v>11100</v>
      </c>
      <c r="U846" t="s">
        <v>11100</v>
      </c>
      <c r="V846" t="s">
        <v>11100</v>
      </c>
      <c r="W846" t="s">
        <v>11933</v>
      </c>
      <c r="X846">
        <v>11</v>
      </c>
      <c r="Y846" t="s">
        <v>17430</v>
      </c>
      <c r="Z846" t="s">
        <v>22851</v>
      </c>
      <c r="AA846">
        <v>0.74791441825636418</v>
      </c>
      <c r="AB846" t="str">
        <f>HYPERLINK("Melting_Curves/meltCurve_H0YGR4_REXO2.pdf", "Melting_Curves/meltCurve_H0YGR4_REXO2.pdf")</f>
        <v>Melting_Curves/meltCurve_H0YGR4_REXO2.pdf</v>
      </c>
    </row>
    <row r="847" spans="1:28" x14ac:dyDescent="0.25">
      <c r="A847" t="s">
        <v>851</v>
      </c>
      <c r="B847">
        <v>0.99299721793515405</v>
      </c>
      <c r="C847">
        <v>0.71239723682052203</v>
      </c>
      <c r="D847">
        <v>0.72536055536770205</v>
      </c>
      <c r="E847">
        <v>0.67044864864711995</v>
      </c>
      <c r="F847">
        <v>0.58868366864496002</v>
      </c>
      <c r="G847">
        <v>0.39893903099752498</v>
      </c>
      <c r="H847">
        <v>0.338374063101332</v>
      </c>
      <c r="I847">
        <v>0.28726500537084398</v>
      </c>
      <c r="J847">
        <v>0.26237263739186301</v>
      </c>
      <c r="K847">
        <v>0.16608440595216201</v>
      </c>
      <c r="L847">
        <v>292.54453889856001</v>
      </c>
      <c r="M847">
        <v>5.7214375159356399</v>
      </c>
      <c r="N847">
        <v>51.131300060349098</v>
      </c>
      <c r="O847">
        <v>45.916727875695599</v>
      </c>
      <c r="P847">
        <v>-3.1270586422008299E-2</v>
      </c>
      <c r="Q847">
        <v>0</v>
      </c>
      <c r="R847">
        <v>0.94839856157165803</v>
      </c>
      <c r="S847" t="s">
        <v>6398</v>
      </c>
      <c r="T847" t="s">
        <v>11100</v>
      </c>
      <c r="U847" t="s">
        <v>11100</v>
      </c>
      <c r="V847" t="s">
        <v>11100</v>
      </c>
      <c r="W847" t="s">
        <v>11934</v>
      </c>
      <c r="X847">
        <v>2</v>
      </c>
      <c r="Y847" t="s">
        <v>17431</v>
      </c>
      <c r="Z847" t="s">
        <v>22852</v>
      </c>
      <c r="AA847">
        <v>0.50816753617964883</v>
      </c>
      <c r="AB847" t="str">
        <f>HYPERLINK("Melting_Curves/meltCurve_H0YGT9_JOSD1.pdf", "Melting_Curves/meltCurve_H0YGT9_JOSD1.pdf")</f>
        <v>Melting_Curves/meltCurve_H0YGT9_JOSD1.pdf</v>
      </c>
    </row>
    <row r="848" spans="1:28" x14ac:dyDescent="0.25">
      <c r="A848" t="s">
        <v>852</v>
      </c>
      <c r="B848">
        <v>0.99299721793515405</v>
      </c>
      <c r="C848">
        <v>1.0187134917804099</v>
      </c>
      <c r="D848">
        <v>1.07135753850222</v>
      </c>
      <c r="E848">
        <v>0.91153808216809495</v>
      </c>
      <c r="F848">
        <v>0.71659702175104001</v>
      </c>
      <c r="G848">
        <v>0.46717199380093499</v>
      </c>
      <c r="H848">
        <v>0.26880608349993401</v>
      </c>
      <c r="I848">
        <v>0.15325078344822399</v>
      </c>
      <c r="J848">
        <v>0.117397011295824</v>
      </c>
      <c r="K848">
        <v>0.126825725796579</v>
      </c>
      <c r="L848">
        <v>962.90859016979505</v>
      </c>
      <c r="M848">
        <v>18.308039717616602</v>
      </c>
      <c r="N848">
        <v>53.224472073124602</v>
      </c>
      <c r="O848">
        <v>51.979405247317203</v>
      </c>
      <c r="P848">
        <v>-7.9484615015666393E-2</v>
      </c>
      <c r="Q848">
        <v>9.7364417554862401E-2</v>
      </c>
      <c r="R848">
        <v>0.99376200358922895</v>
      </c>
      <c r="S848" t="s">
        <v>6399</v>
      </c>
      <c r="T848" t="s">
        <v>11100</v>
      </c>
      <c r="U848" t="s">
        <v>11100</v>
      </c>
      <c r="V848" t="s">
        <v>11100</v>
      </c>
      <c r="W848" t="s">
        <v>11935</v>
      </c>
      <c r="X848">
        <v>8</v>
      </c>
      <c r="Y848" t="s">
        <v>17432</v>
      </c>
      <c r="Z848" t="s">
        <v>22853</v>
      </c>
      <c r="AA848">
        <v>0.57963715471838007</v>
      </c>
      <c r="AB848" t="str">
        <f>HYPERLINK("Melting_Curves/meltCurve_H0YH87_ATXN2.pdf", "Melting_Curves/meltCurve_H0YH87_ATXN2.pdf")</f>
        <v>Melting_Curves/meltCurve_H0YH87_ATXN2.pdf</v>
      </c>
    </row>
    <row r="849" spans="1:28" x14ac:dyDescent="0.25">
      <c r="A849" t="s">
        <v>853</v>
      </c>
      <c r="B849">
        <v>0.99299721793515405</v>
      </c>
      <c r="C849">
        <v>1.11944245310672</v>
      </c>
      <c r="D849">
        <v>0.99808716204709802</v>
      </c>
      <c r="E849">
        <v>0.97122863397075698</v>
      </c>
      <c r="F849">
        <v>0.90654980618734005</v>
      </c>
      <c r="G849">
        <v>0.71012345433021995</v>
      </c>
      <c r="H849">
        <v>0.40778401912109702</v>
      </c>
      <c r="I849">
        <v>0.28695091935390998</v>
      </c>
      <c r="J849">
        <v>0.219392053515816</v>
      </c>
      <c r="K849">
        <v>0.17170319137228701</v>
      </c>
      <c r="L849">
        <v>1153.06418291351</v>
      </c>
      <c r="M849">
        <v>20.866059927922901</v>
      </c>
      <c r="N849">
        <v>56.347983481377497</v>
      </c>
      <c r="O849">
        <v>54.760230681940001</v>
      </c>
      <c r="P849">
        <v>-7.9471509462567702E-2</v>
      </c>
      <c r="Q849">
        <v>0.16577286101375299</v>
      </c>
      <c r="R849">
        <v>0.98717565868054002</v>
      </c>
      <c r="S849" t="s">
        <v>6400</v>
      </c>
      <c r="T849" t="s">
        <v>11100</v>
      </c>
      <c r="U849" t="s">
        <v>11100</v>
      </c>
      <c r="V849" t="s">
        <v>11100</v>
      </c>
      <c r="W849" t="s">
        <v>11936</v>
      </c>
      <c r="X849">
        <v>1</v>
      </c>
      <c r="Y849" t="s">
        <v>17433</v>
      </c>
      <c r="Z849" t="s">
        <v>22854</v>
      </c>
      <c r="AA849">
        <v>0.68239850267456992</v>
      </c>
      <c r="AB849" t="str">
        <f>HYPERLINK("Melting_Curves/meltCurve_H0YI02_RAB3IP.pdf", "Melting_Curves/meltCurve_H0YI02_RAB3IP.pdf")</f>
        <v>Melting_Curves/meltCurve_H0YI02_RAB3IP.pdf</v>
      </c>
    </row>
    <row r="850" spans="1:28" x14ac:dyDescent="0.25">
      <c r="A850" t="s">
        <v>854</v>
      </c>
      <c r="B850">
        <v>0.99299721793515405</v>
      </c>
      <c r="C850">
        <v>0.76444589276568398</v>
      </c>
      <c r="D850">
        <v>0.786545519384792</v>
      </c>
      <c r="E850">
        <v>0.85942569850834205</v>
      </c>
      <c r="F850">
        <v>0.73918205129631798</v>
      </c>
      <c r="G850">
        <v>0.431114294864678</v>
      </c>
      <c r="H850">
        <v>0.38374926552565802</v>
      </c>
      <c r="I850">
        <v>0.36143314200141502</v>
      </c>
      <c r="J850">
        <v>0.46529959512125002</v>
      </c>
      <c r="K850">
        <v>0.369579520408645</v>
      </c>
      <c r="L850">
        <v>363.67500087137603</v>
      </c>
      <c r="M850">
        <v>7.2027746327554203</v>
      </c>
      <c r="N850">
        <v>55.592523531189997</v>
      </c>
      <c r="O850">
        <v>47.034293771848603</v>
      </c>
      <c r="P850">
        <v>-2.9074875219033101E-2</v>
      </c>
      <c r="Q850">
        <v>0.24182673769594401</v>
      </c>
      <c r="R850">
        <v>0.84028781190352597</v>
      </c>
      <c r="S850" t="s">
        <v>6401</v>
      </c>
      <c r="T850" t="s">
        <v>11100</v>
      </c>
      <c r="U850" t="s">
        <v>11100</v>
      </c>
      <c r="V850" t="s">
        <v>11100</v>
      </c>
      <c r="W850" t="s">
        <v>11937</v>
      </c>
      <c r="X850">
        <v>2</v>
      </c>
      <c r="Y850" t="s">
        <v>17434</v>
      </c>
      <c r="Z850" t="s">
        <v>22855</v>
      </c>
      <c r="AA850">
        <v>0.61317130030880562</v>
      </c>
      <c r="AB850" t="str">
        <f>HYPERLINK("Melting_Curves/meltCurve_H0YIE9_FBXO21.pdf", "Melting_Curves/meltCurve_H0YIE9_FBXO21.pdf")</f>
        <v>Melting_Curves/meltCurve_H0YIE9_FBXO21.pdf</v>
      </c>
    </row>
    <row r="851" spans="1:28" x14ac:dyDescent="0.25">
      <c r="A851" t="s">
        <v>855</v>
      </c>
      <c r="B851">
        <v>0.99299721793515405</v>
      </c>
      <c r="C851">
        <v>0.92769140813398099</v>
      </c>
      <c r="D851">
        <v>0.73102717883212698</v>
      </c>
      <c r="E851">
        <v>0.72361393981031796</v>
      </c>
      <c r="F851">
        <v>0.72613168327486</v>
      </c>
      <c r="G851">
        <v>0.37326805376665301</v>
      </c>
      <c r="H851">
        <v>0.34964491470404402</v>
      </c>
      <c r="I851">
        <v>0.22552606077714399</v>
      </c>
      <c r="J851">
        <v>0.150903422368111</v>
      </c>
      <c r="K851">
        <v>0.16893469339659001</v>
      </c>
      <c r="L851">
        <v>413.30380531106601</v>
      </c>
      <c r="M851">
        <v>7.9002107298029198</v>
      </c>
      <c r="N851">
        <v>52.315541860666897</v>
      </c>
      <c r="O851">
        <v>49.2818412874323</v>
      </c>
      <c r="P851">
        <v>-4.0124162541811302E-2</v>
      </c>
      <c r="Q851">
        <v>0</v>
      </c>
      <c r="R851">
        <v>0.95307481355204804</v>
      </c>
      <c r="S851" t="s">
        <v>6402</v>
      </c>
      <c r="T851" t="s">
        <v>11100</v>
      </c>
      <c r="U851" t="s">
        <v>11100</v>
      </c>
      <c r="V851" t="s">
        <v>11100</v>
      </c>
      <c r="W851" t="s">
        <v>11938</v>
      </c>
      <c r="X851">
        <v>1</v>
      </c>
      <c r="Y851" t="s">
        <v>17435</v>
      </c>
      <c r="Z851" t="s">
        <v>22856</v>
      </c>
      <c r="AA851">
        <v>0.53700270131882077</v>
      </c>
      <c r="AB851" t="str">
        <f>HYPERLINK("Melting_Curves/meltCurve_H0YIV5_LETMD1.pdf", "Melting_Curves/meltCurve_H0YIV5_LETMD1.pdf")</f>
        <v>Melting_Curves/meltCurve_H0YIV5_LETMD1.pdf</v>
      </c>
    </row>
    <row r="852" spans="1:28" x14ac:dyDescent="0.25">
      <c r="A852" t="s">
        <v>856</v>
      </c>
      <c r="B852">
        <v>0.99299721793515405</v>
      </c>
      <c r="C852">
        <v>0.97481192595931399</v>
      </c>
      <c r="D852">
        <v>0.87919426870341699</v>
      </c>
      <c r="E852">
        <v>0.92937506409217996</v>
      </c>
      <c r="F852">
        <v>0.76976509594611697</v>
      </c>
      <c r="G852">
        <v>0.37397970366627198</v>
      </c>
      <c r="H852">
        <v>0.33376735627688098</v>
      </c>
      <c r="I852">
        <v>0.40373163231109999</v>
      </c>
      <c r="J852">
        <v>0.48227322891607299</v>
      </c>
      <c r="K852">
        <v>0.47503842166796501</v>
      </c>
      <c r="L852">
        <v>12571.8796843646</v>
      </c>
      <c r="M852">
        <v>250</v>
      </c>
      <c r="N852">
        <v>50.643534412297299</v>
      </c>
      <c r="O852">
        <v>50.284300650761601</v>
      </c>
      <c r="P852">
        <v>-0.72865925866356496</v>
      </c>
      <c r="Q852">
        <v>0.41375806071149002</v>
      </c>
      <c r="R852">
        <v>0.94444451011254305</v>
      </c>
      <c r="S852" t="s">
        <v>6403</v>
      </c>
      <c r="T852" t="s">
        <v>11100</v>
      </c>
      <c r="U852" t="s">
        <v>11100</v>
      </c>
      <c r="V852" t="s">
        <v>11100</v>
      </c>
      <c r="W852" t="s">
        <v>11939</v>
      </c>
      <c r="X852">
        <v>9</v>
      </c>
      <c r="Z852" t="s">
        <v>22857</v>
      </c>
      <c r="AA852">
        <v>0.67346649056381958</v>
      </c>
      <c r="AB852" t="str">
        <f>HYPERLINK("Melting_Curves/meltCurve_H0YIV9_.pdf", "Melting_Curves/meltCurve_H0YIV9_.pdf")</f>
        <v>Melting_Curves/meltCurve_H0YIV9_.pdf</v>
      </c>
    </row>
    <row r="853" spans="1:28" x14ac:dyDescent="0.25">
      <c r="A853" t="s">
        <v>857</v>
      </c>
      <c r="B853">
        <v>0.99299721793515405</v>
      </c>
      <c r="C853">
        <v>1.1235331748075299</v>
      </c>
      <c r="D853">
        <v>1.3959429522047999</v>
      </c>
      <c r="E853">
        <v>0.77508200500581603</v>
      </c>
      <c r="F853">
        <v>0.89287033661735804</v>
      </c>
      <c r="G853">
        <v>1.15668425880162</v>
      </c>
      <c r="H853">
        <v>1.3236917185014601</v>
      </c>
      <c r="I853">
        <v>0.79983553122593698</v>
      </c>
      <c r="J853">
        <v>0.475984470782087</v>
      </c>
      <c r="K853">
        <v>0.43168490891987199</v>
      </c>
      <c r="L853">
        <v>7996.5002446858698</v>
      </c>
      <c r="M853">
        <v>130.53624803508399</v>
      </c>
      <c r="N853">
        <v>62.387839511792301</v>
      </c>
      <c r="O853">
        <v>61.244473897782001</v>
      </c>
      <c r="P853">
        <v>-0.291524499078953</v>
      </c>
      <c r="Q853">
        <v>0.45289482384382101</v>
      </c>
      <c r="R853">
        <v>0.62085707321922001</v>
      </c>
      <c r="S853" t="s">
        <v>6404</v>
      </c>
      <c r="T853" t="s">
        <v>11100</v>
      </c>
      <c r="U853" t="s">
        <v>11100</v>
      </c>
      <c r="V853" t="s">
        <v>11100</v>
      </c>
      <c r="W853" t="s">
        <v>11940</v>
      </c>
      <c r="X853">
        <v>1</v>
      </c>
      <c r="Y853" t="s">
        <v>17436</v>
      </c>
      <c r="Z853" t="s">
        <v>22858</v>
      </c>
      <c r="AA853">
        <v>0.895515266643793</v>
      </c>
      <c r="AB853" t="str">
        <f>HYPERLINK("Melting_Curves/meltCurve_H0YK61_EMC4.pdf", "Melting_Curves/meltCurve_H0YK61_EMC4.pdf")</f>
        <v>Melting_Curves/meltCurve_H0YK61_EMC4.pdf</v>
      </c>
    </row>
    <row r="854" spans="1:28" x14ac:dyDescent="0.25">
      <c r="A854" t="s">
        <v>858</v>
      </c>
      <c r="B854">
        <v>0.99299721793515405</v>
      </c>
      <c r="C854">
        <v>0.97146965803235497</v>
      </c>
      <c r="D854">
        <v>1.05632574116891</v>
      </c>
      <c r="E854">
        <v>0.80151669157527095</v>
      </c>
      <c r="F854">
        <v>0.73640288938320697</v>
      </c>
      <c r="G854">
        <v>0.71021791333529805</v>
      </c>
      <c r="H854">
        <v>0.59411659987608101</v>
      </c>
      <c r="I854">
        <v>0.52368169394715702</v>
      </c>
      <c r="J854">
        <v>0.32710969564258802</v>
      </c>
      <c r="K854">
        <v>0.20486514494640701</v>
      </c>
      <c r="L854">
        <v>467.26287191915998</v>
      </c>
      <c r="M854">
        <v>7.9075071299030704</v>
      </c>
      <c r="N854">
        <v>59.091043468537499</v>
      </c>
      <c r="O854">
        <v>55.670213109719498</v>
      </c>
      <c r="P854">
        <v>-3.5552446035999802E-2</v>
      </c>
      <c r="Q854">
        <v>0</v>
      </c>
      <c r="R854">
        <v>0.94531758430846802</v>
      </c>
      <c r="S854" t="s">
        <v>6405</v>
      </c>
      <c r="T854" t="s">
        <v>11100</v>
      </c>
      <c r="U854" t="s">
        <v>11100</v>
      </c>
      <c r="V854" t="s">
        <v>11100</v>
      </c>
      <c r="W854" t="s">
        <v>11941</v>
      </c>
      <c r="X854">
        <v>18</v>
      </c>
      <c r="Y854" t="s">
        <v>17437</v>
      </c>
      <c r="Z854" t="s">
        <v>22859</v>
      </c>
      <c r="AA854">
        <v>0.70276645435222995</v>
      </c>
      <c r="AB854" t="str">
        <f>HYPERLINK("Melting_Curves/meltCurve_H0YKT5_TLE3.pdf", "Melting_Curves/meltCurve_H0YKT5_TLE3.pdf")</f>
        <v>Melting_Curves/meltCurve_H0YKT5_TLE3.pdf</v>
      </c>
    </row>
    <row r="855" spans="1:28" x14ac:dyDescent="0.25">
      <c r="A855" t="s">
        <v>859</v>
      </c>
      <c r="B855">
        <v>0.99299721793515405</v>
      </c>
      <c r="C855">
        <v>0.95500313863089104</v>
      </c>
      <c r="D855">
        <v>0.94269744689034196</v>
      </c>
      <c r="E855">
        <v>0.94336856263086999</v>
      </c>
      <c r="F855">
        <v>0.76332329580027003</v>
      </c>
      <c r="G855">
        <v>0.79125363576797902</v>
      </c>
      <c r="H855">
        <v>0.66253908218090496</v>
      </c>
      <c r="I855">
        <v>0.38268199629370497</v>
      </c>
      <c r="J855">
        <v>0.193726115959405</v>
      </c>
      <c r="K855">
        <v>0.13102145754693401</v>
      </c>
      <c r="L855">
        <v>755.55647796760002</v>
      </c>
      <c r="M855">
        <v>12.8833351578108</v>
      </c>
      <c r="N855">
        <v>58.646031445775499</v>
      </c>
      <c r="O855">
        <v>57.286970038787501</v>
      </c>
      <c r="P855">
        <v>-5.6233085881727998E-2</v>
      </c>
      <c r="Q855">
        <v>0</v>
      </c>
      <c r="R855">
        <v>0.96166434373961396</v>
      </c>
      <c r="S855" t="s">
        <v>6406</v>
      </c>
      <c r="T855" t="s">
        <v>11100</v>
      </c>
      <c r="U855" t="s">
        <v>11100</v>
      </c>
      <c r="V855" t="s">
        <v>11100</v>
      </c>
      <c r="W855" t="s">
        <v>11942</v>
      </c>
      <c r="X855">
        <v>18</v>
      </c>
      <c r="Y855" t="s">
        <v>17438</v>
      </c>
      <c r="Z855" t="s">
        <v>22860</v>
      </c>
      <c r="AA855">
        <v>0.71837607166849626</v>
      </c>
      <c r="AB855" t="str">
        <f>HYPERLINK("Melting_Curves/meltCurve_H0YL72_IDH3A.pdf", "Melting_Curves/meltCurve_H0YL72_IDH3A.pdf")</f>
        <v>Melting_Curves/meltCurve_H0YL72_IDH3A.pdf</v>
      </c>
    </row>
    <row r="856" spans="1:28" x14ac:dyDescent="0.25">
      <c r="A856" t="s">
        <v>860</v>
      </c>
      <c r="B856">
        <v>0.99299721793515405</v>
      </c>
      <c r="C856">
        <v>1.0799624679584301</v>
      </c>
      <c r="D856">
        <v>0.93503991751160398</v>
      </c>
      <c r="E856">
        <v>0.85617659826802806</v>
      </c>
      <c r="F856">
        <v>0.74034048020770604</v>
      </c>
      <c r="G856">
        <v>0.310182882316616</v>
      </c>
      <c r="H856">
        <v>0.22989704395239399</v>
      </c>
      <c r="I856">
        <v>0.17821552287532499</v>
      </c>
      <c r="J856">
        <v>0.119797440343112</v>
      </c>
      <c r="K856">
        <v>8.5884475031423296E-2</v>
      </c>
      <c r="L856">
        <v>1036.4642006885001</v>
      </c>
      <c r="M856">
        <v>20.094571691946701</v>
      </c>
      <c r="N856">
        <v>52.183339719595999</v>
      </c>
      <c r="O856">
        <v>51.076641775205502</v>
      </c>
      <c r="P856">
        <v>-8.8151903022863007E-2</v>
      </c>
      <c r="Q856">
        <v>0.10376605058369499</v>
      </c>
      <c r="R856">
        <v>0.98404298570558502</v>
      </c>
      <c r="S856" t="s">
        <v>6407</v>
      </c>
      <c r="T856" t="s">
        <v>11100</v>
      </c>
      <c r="U856" t="s">
        <v>11100</v>
      </c>
      <c r="V856" t="s">
        <v>11100</v>
      </c>
      <c r="W856" t="s">
        <v>11943</v>
      </c>
      <c r="X856">
        <v>3</v>
      </c>
      <c r="Y856" t="s">
        <v>17439</v>
      </c>
      <c r="Z856" t="s">
        <v>22861</v>
      </c>
      <c r="AA856">
        <v>0.550881487836962</v>
      </c>
      <c r="AB856" t="str">
        <f>HYPERLINK("Melting_Curves/meltCurve_H0YLB5_POU2F1.pdf", "Melting_Curves/meltCurve_H0YLB5_POU2F1.pdf")</f>
        <v>Melting_Curves/meltCurve_H0YLB5_POU2F1.pdf</v>
      </c>
    </row>
    <row r="857" spans="1:28" x14ac:dyDescent="0.25">
      <c r="A857" t="s">
        <v>861</v>
      </c>
      <c r="B857">
        <v>0.99299721793515405</v>
      </c>
      <c r="C857">
        <v>1.04938732813927</v>
      </c>
      <c r="D857">
        <v>0.96590166321378701</v>
      </c>
      <c r="E857">
        <v>0.821491545700204</v>
      </c>
      <c r="F857">
        <v>0.65328484172073398</v>
      </c>
      <c r="G857">
        <v>0.58896106537982895</v>
      </c>
      <c r="H857">
        <v>0.40377509275427897</v>
      </c>
      <c r="I857">
        <v>0.31647130114305499</v>
      </c>
      <c r="J857">
        <v>0.23852315840395599</v>
      </c>
      <c r="K857">
        <v>0.185286520539446</v>
      </c>
      <c r="L857">
        <v>543.49694107942605</v>
      </c>
      <c r="M857">
        <v>10.0830082691612</v>
      </c>
      <c r="N857">
        <v>54.940397906962801</v>
      </c>
      <c r="O857">
        <v>51.9108685189521</v>
      </c>
      <c r="P857">
        <v>-4.4368221751743903E-2</v>
      </c>
      <c r="Q857">
        <v>8.6737648560505407E-2</v>
      </c>
      <c r="R857">
        <v>0.98749407130481504</v>
      </c>
      <c r="S857" t="s">
        <v>6408</v>
      </c>
      <c r="T857" t="s">
        <v>11100</v>
      </c>
      <c r="U857" t="s">
        <v>11100</v>
      </c>
      <c r="V857" t="s">
        <v>11100</v>
      </c>
      <c r="W857" t="s">
        <v>11944</v>
      </c>
      <c r="X857">
        <v>3</v>
      </c>
      <c r="Y857" t="s">
        <v>17440</v>
      </c>
      <c r="Z857" t="s">
        <v>22862</v>
      </c>
      <c r="AA857">
        <v>0.61783668762347077</v>
      </c>
      <c r="AB857" t="str">
        <f>HYPERLINK("Melting_Curves/meltCurve_H0YLY9_PIGH.pdf", "Melting_Curves/meltCurve_H0YLY9_PIGH.pdf")</f>
        <v>Melting_Curves/meltCurve_H0YLY9_PIGH.pdf</v>
      </c>
    </row>
    <row r="858" spans="1:28" x14ac:dyDescent="0.25">
      <c r="A858" t="s">
        <v>862</v>
      </c>
      <c r="B858">
        <v>0.99299721793515405</v>
      </c>
      <c r="C858">
        <v>0.94562062555722304</v>
      </c>
      <c r="D858">
        <v>0.91797600291875403</v>
      </c>
      <c r="E858">
        <v>0.73834451436766402</v>
      </c>
      <c r="F858">
        <v>0.74693902042709004</v>
      </c>
      <c r="G858">
        <v>1.1173457511115601</v>
      </c>
      <c r="H858">
        <v>1.58408576430874</v>
      </c>
      <c r="I858">
        <v>1.8116245492273699</v>
      </c>
      <c r="J858">
        <v>1.91597251252339</v>
      </c>
      <c r="K858">
        <v>2.0878129217810102</v>
      </c>
      <c r="L858">
        <v>13513.591863969699</v>
      </c>
      <c r="M858">
        <v>250</v>
      </c>
      <c r="O858">
        <v>54.050907077385503</v>
      </c>
      <c r="P858">
        <v>0.57815864708021902</v>
      </c>
      <c r="Q858">
        <v>1.5</v>
      </c>
      <c r="R858">
        <v>0.67599716922328601</v>
      </c>
      <c r="S858" t="s">
        <v>6409</v>
      </c>
      <c r="T858" t="s">
        <v>11100</v>
      </c>
      <c r="U858" t="s">
        <v>11100</v>
      </c>
      <c r="V858" t="s">
        <v>11100</v>
      </c>
      <c r="W858" t="s">
        <v>11945</v>
      </c>
      <c r="X858">
        <v>10</v>
      </c>
      <c r="Y858" t="s">
        <v>17441</v>
      </c>
      <c r="Z858" t="s">
        <v>22863</v>
      </c>
      <c r="AA858">
        <v>1.2157131101152141</v>
      </c>
      <c r="AB858" t="str">
        <f>HYPERLINK("Melting_Curves/meltCurve_H0YMB3_GMPR2.pdf", "Melting_Curves/meltCurve_H0YMB3_GMPR2.pdf")</f>
        <v>Melting_Curves/meltCurve_H0YMB3_GMPR2.pdf</v>
      </c>
    </row>
    <row r="859" spans="1:28" x14ac:dyDescent="0.25">
      <c r="A859" t="s">
        <v>863</v>
      </c>
      <c r="B859">
        <v>0.99299721793515405</v>
      </c>
      <c r="C859">
        <v>1.08470457000495</v>
      </c>
      <c r="D859">
        <v>1.0871395902135299</v>
      </c>
      <c r="E859">
        <v>0.95112041198143604</v>
      </c>
      <c r="F859">
        <v>0.65218339255150404</v>
      </c>
      <c r="G859">
        <v>0.62767091164161803</v>
      </c>
      <c r="H859">
        <v>0.53788378100319101</v>
      </c>
      <c r="I859">
        <v>0.406441792727534</v>
      </c>
      <c r="J859">
        <v>0.225197587740807</v>
      </c>
      <c r="K859">
        <v>0.16738978277186101</v>
      </c>
      <c r="L859">
        <v>558.49031313171099</v>
      </c>
      <c r="M859">
        <v>9.7817724550369292</v>
      </c>
      <c r="N859">
        <v>57.095021351271903</v>
      </c>
      <c r="O859">
        <v>54.862169522268502</v>
      </c>
      <c r="P859">
        <v>-4.45978927465022E-2</v>
      </c>
      <c r="Q859">
        <v>0</v>
      </c>
      <c r="R859">
        <v>0.94769715991290204</v>
      </c>
      <c r="S859" t="s">
        <v>6410</v>
      </c>
      <c r="T859" t="s">
        <v>11100</v>
      </c>
      <c r="U859" t="s">
        <v>11100</v>
      </c>
      <c r="V859" t="s">
        <v>11100</v>
      </c>
      <c r="W859" t="s">
        <v>11946</v>
      </c>
      <c r="X859">
        <v>8</v>
      </c>
      <c r="Y859" t="s">
        <v>17442</v>
      </c>
      <c r="Z859" t="s">
        <v>22864</v>
      </c>
      <c r="AA859">
        <v>0.66744569556392963</v>
      </c>
      <c r="AB859" t="str">
        <f>HYPERLINK("Melting_Curves/meltCurve_H0YMF4_RPL28.pdf", "Melting_Curves/meltCurve_H0YMF4_RPL28.pdf")</f>
        <v>Melting_Curves/meltCurve_H0YMF4_RPL28.pdf</v>
      </c>
    </row>
    <row r="860" spans="1:28" x14ac:dyDescent="0.25">
      <c r="A860" t="s">
        <v>864</v>
      </c>
      <c r="B860">
        <v>0.99299721793515405</v>
      </c>
      <c r="C860">
        <v>1.0410598811383101</v>
      </c>
      <c r="D860">
        <v>1.0165833784367</v>
      </c>
      <c r="E860">
        <v>0.97212032329271802</v>
      </c>
      <c r="F860">
        <v>0.70705156390365198</v>
      </c>
      <c r="G860">
        <v>0.41826203147650398</v>
      </c>
      <c r="H860">
        <v>0.354536175557286</v>
      </c>
      <c r="I860">
        <v>0.32497196063406297</v>
      </c>
      <c r="J860">
        <v>0.26473387843555501</v>
      </c>
      <c r="K860">
        <v>0.17879717395637401</v>
      </c>
      <c r="L860">
        <v>1221.5550492110599</v>
      </c>
      <c r="M860">
        <v>23.826553595762601</v>
      </c>
      <c r="N860">
        <v>52.856532657896501</v>
      </c>
      <c r="O860">
        <v>50.911595248246499</v>
      </c>
      <c r="P860">
        <v>-8.7096415967421598E-2</v>
      </c>
      <c r="Q860">
        <v>0.25559605478948</v>
      </c>
      <c r="R860">
        <v>0.98634715116504801</v>
      </c>
      <c r="S860" t="s">
        <v>6411</v>
      </c>
      <c r="T860" t="s">
        <v>11100</v>
      </c>
      <c r="U860" t="s">
        <v>11100</v>
      </c>
      <c r="V860" t="s">
        <v>11100</v>
      </c>
      <c r="W860" t="s">
        <v>11947</v>
      </c>
      <c r="X860">
        <v>1</v>
      </c>
      <c r="Y860" t="s">
        <v>17443</v>
      </c>
      <c r="Z860" t="s">
        <v>22865</v>
      </c>
      <c r="AA860">
        <v>0.61683219249016941</v>
      </c>
      <c r="AB860" t="str">
        <f>HYPERLINK("Melting_Curves/meltCurve_H0YMI8_TRAF3.pdf", "Melting_Curves/meltCurve_H0YMI8_TRAF3.pdf")</f>
        <v>Melting_Curves/meltCurve_H0YMI8_TRAF3.pdf</v>
      </c>
    </row>
    <row r="861" spans="1:28" x14ac:dyDescent="0.25">
      <c r="A861" t="s">
        <v>865</v>
      </c>
      <c r="B861">
        <v>0.99299721793515405</v>
      </c>
      <c r="C861">
        <v>0.84303940811470401</v>
      </c>
      <c r="D861">
        <v>0.80973532160682204</v>
      </c>
      <c r="E861">
        <v>0.81627545468650198</v>
      </c>
      <c r="F861">
        <v>0.57373700915672599</v>
      </c>
      <c r="G861">
        <v>0.31764141121915002</v>
      </c>
      <c r="H861">
        <v>0.10412291574037801</v>
      </c>
      <c r="I861">
        <v>0.120631869776401</v>
      </c>
      <c r="J861">
        <v>0.12335496145784999</v>
      </c>
      <c r="K861">
        <v>3.2142798946051099E-2</v>
      </c>
      <c r="L861">
        <v>612.39540101977298</v>
      </c>
      <c r="M861">
        <v>12.089727594449799</v>
      </c>
      <c r="N861">
        <v>50.6541954111918</v>
      </c>
      <c r="O861">
        <v>49.3280248738333</v>
      </c>
      <c r="P861">
        <v>-6.1286455940129603E-2</v>
      </c>
      <c r="Q861">
        <v>0</v>
      </c>
      <c r="R861">
        <v>0.96734289375053195</v>
      </c>
      <c r="S861" t="s">
        <v>6412</v>
      </c>
      <c r="T861" t="s">
        <v>11100</v>
      </c>
      <c r="U861" t="s">
        <v>11100</v>
      </c>
      <c r="V861" t="s">
        <v>11100</v>
      </c>
      <c r="W861" t="s">
        <v>11948</v>
      </c>
      <c r="X861">
        <v>1</v>
      </c>
      <c r="Y861" t="s">
        <v>17444</v>
      </c>
      <c r="Z861" t="s">
        <v>22866</v>
      </c>
      <c r="AA861">
        <v>0.48167125687735091</v>
      </c>
      <c r="AB861" t="str">
        <f>HYPERLINK("Melting_Curves/meltCurve_H0YMJ1_ASB7.pdf", "Melting_Curves/meltCurve_H0YMJ1_ASB7.pdf")</f>
        <v>Melting_Curves/meltCurve_H0YMJ1_ASB7.pdf</v>
      </c>
    </row>
    <row r="862" spans="1:28" x14ac:dyDescent="0.25">
      <c r="A862" t="s">
        <v>866</v>
      </c>
      <c r="B862">
        <v>0.99299721793515405</v>
      </c>
      <c r="C862">
        <v>0.84740804833144601</v>
      </c>
      <c r="D862">
        <v>0.73456766589981404</v>
      </c>
      <c r="E862">
        <v>0.75275009826828199</v>
      </c>
      <c r="F862">
        <v>0.56827161155994999</v>
      </c>
      <c r="G862">
        <v>0.39098345906972498</v>
      </c>
      <c r="H862">
        <v>0.28440472473836098</v>
      </c>
      <c r="I862">
        <v>0.16975072797101201</v>
      </c>
      <c r="J862">
        <v>0.20986172819829199</v>
      </c>
      <c r="K862">
        <v>8.8610746495257298E-2</v>
      </c>
      <c r="L862">
        <v>406.60286214197498</v>
      </c>
      <c r="M862">
        <v>7.9687505571663104</v>
      </c>
      <c r="N862">
        <v>51.024669068196197</v>
      </c>
      <c r="O862">
        <v>48.111843302491401</v>
      </c>
      <c r="P862">
        <v>-4.1454947129360598E-2</v>
      </c>
      <c r="Q862">
        <v>0</v>
      </c>
      <c r="R862">
        <v>0.97419241741634899</v>
      </c>
      <c r="S862" t="s">
        <v>6413</v>
      </c>
      <c r="T862" t="s">
        <v>11100</v>
      </c>
      <c r="U862" t="s">
        <v>11100</v>
      </c>
      <c r="V862" t="s">
        <v>11100</v>
      </c>
      <c r="W862" t="s">
        <v>11949</v>
      </c>
      <c r="X862">
        <v>6</v>
      </c>
      <c r="Y862" t="s">
        <v>17445</v>
      </c>
      <c r="Z862" t="s">
        <v>22867</v>
      </c>
      <c r="AA862">
        <v>0.50222858404094328</v>
      </c>
      <c r="AB862" t="str">
        <f>HYPERLINK("Melting_Curves/meltCurve_H0YMW2_AKAP13.pdf", "Melting_Curves/meltCurve_H0YMW2_AKAP13.pdf")</f>
        <v>Melting_Curves/meltCurve_H0YMW2_AKAP13.pdf</v>
      </c>
    </row>
    <row r="863" spans="1:28" x14ac:dyDescent="0.25">
      <c r="A863" t="s">
        <v>867</v>
      </c>
      <c r="B863">
        <v>0.99299721793515405</v>
      </c>
      <c r="C863">
        <v>0.98923909943771304</v>
      </c>
      <c r="D863">
        <v>0.94246755673660798</v>
      </c>
      <c r="E863">
        <v>0.89557191817173099</v>
      </c>
      <c r="F863">
        <v>0.76323854596579999</v>
      </c>
      <c r="G863">
        <v>0.56104244334021902</v>
      </c>
      <c r="H863">
        <v>0.31425363242238402</v>
      </c>
      <c r="I863">
        <v>0.23601318417112699</v>
      </c>
      <c r="J863">
        <v>0.192875237050634</v>
      </c>
      <c r="K863">
        <v>0.15753681248749701</v>
      </c>
      <c r="L863">
        <v>784.43803042644095</v>
      </c>
      <c r="M863">
        <v>14.66697628417</v>
      </c>
      <c r="N863">
        <v>54.410403218143898</v>
      </c>
      <c r="O863">
        <v>52.518555625748398</v>
      </c>
      <c r="P863">
        <v>-6.2105310592777699E-2</v>
      </c>
      <c r="Q863">
        <v>0.11056740325110299</v>
      </c>
      <c r="R863">
        <v>0.99693415841412303</v>
      </c>
      <c r="S863" t="s">
        <v>6414</v>
      </c>
      <c r="T863" t="s">
        <v>11100</v>
      </c>
      <c r="U863" t="s">
        <v>11100</v>
      </c>
      <c r="V863" t="s">
        <v>11100</v>
      </c>
      <c r="W863" t="s">
        <v>11950</v>
      </c>
      <c r="X863">
        <v>8</v>
      </c>
      <c r="Y863" t="s">
        <v>17446</v>
      </c>
      <c r="Z863" t="s">
        <v>22868</v>
      </c>
      <c r="AA863">
        <v>0.61475522270627747</v>
      </c>
      <c r="AB863" t="str">
        <f>HYPERLINK("Melting_Curves/meltCurve_H0YNG3_SEC11A.pdf", "Melting_Curves/meltCurve_H0YNG3_SEC11A.pdf")</f>
        <v>Melting_Curves/meltCurve_H0YNG3_SEC11A.pdf</v>
      </c>
    </row>
    <row r="864" spans="1:28" x14ac:dyDescent="0.25">
      <c r="A864" t="s">
        <v>868</v>
      </c>
      <c r="B864">
        <v>0.99299721793515405</v>
      </c>
      <c r="C864">
        <v>0.94818828556338397</v>
      </c>
      <c r="D864">
        <v>1.1194733094163001</v>
      </c>
      <c r="E864">
        <v>0.86094475548220994</v>
      </c>
      <c r="F864">
        <v>0.80088637280928199</v>
      </c>
      <c r="G864">
        <v>0.61891717620185305</v>
      </c>
      <c r="H864">
        <v>0.67298438354247203</v>
      </c>
      <c r="I864">
        <v>0.57829277846888005</v>
      </c>
      <c r="J864">
        <v>0.51030810804376603</v>
      </c>
      <c r="K864">
        <v>0.514974147900637</v>
      </c>
      <c r="L864">
        <v>819.90386113452496</v>
      </c>
      <c r="M864">
        <v>16.1078681946343</v>
      </c>
      <c r="O864">
        <v>50.135700831014503</v>
      </c>
      <c r="P864">
        <v>-3.7937815041258899E-2</v>
      </c>
      <c r="Q864">
        <v>0.52771061087780202</v>
      </c>
      <c r="R864">
        <v>0.91271395655819099</v>
      </c>
      <c r="S864" t="s">
        <v>6415</v>
      </c>
      <c r="T864" t="s">
        <v>11100</v>
      </c>
      <c r="U864" t="s">
        <v>11100</v>
      </c>
      <c r="V864" t="s">
        <v>11100</v>
      </c>
      <c r="W864" t="s">
        <v>11951</v>
      </c>
      <c r="X864">
        <v>1</v>
      </c>
      <c r="Y864" t="s">
        <v>17447</v>
      </c>
      <c r="Z864" t="s">
        <v>22869</v>
      </c>
      <c r="AA864">
        <v>0.75521031165135921</v>
      </c>
      <c r="AB864" t="str">
        <f>HYPERLINK("Melting_Curves/meltCurve_H2N331_ITGA7.pdf", "Melting_Curves/meltCurve_H2N331_ITGA7.pdf")</f>
        <v>Melting_Curves/meltCurve_H2N331_ITGA7.pdf</v>
      </c>
    </row>
    <row r="865" spans="1:28" x14ac:dyDescent="0.25">
      <c r="A865" t="s">
        <v>869</v>
      </c>
      <c r="B865">
        <v>0.99299721793515405</v>
      </c>
      <c r="C865">
        <v>0.98553543567559398</v>
      </c>
      <c r="D865">
        <v>1.0662883788088</v>
      </c>
      <c r="E865">
        <v>0.92837325243974</v>
      </c>
      <c r="F865">
        <v>0.79614972849480303</v>
      </c>
      <c r="G865">
        <v>0.73469730976230496</v>
      </c>
      <c r="H865">
        <v>0.260836099640465</v>
      </c>
      <c r="I865">
        <v>0.138840503854683</v>
      </c>
      <c r="J865">
        <v>0.11260326377016699</v>
      </c>
      <c r="K865">
        <v>0.106824432558929</v>
      </c>
      <c r="L865">
        <v>1204.8801139533</v>
      </c>
      <c r="M865">
        <v>21.952535728868199</v>
      </c>
      <c r="N865">
        <v>55.231666641834501</v>
      </c>
      <c r="O865">
        <v>54.436330726846499</v>
      </c>
      <c r="P865">
        <v>-9.4343002999545594E-2</v>
      </c>
      <c r="Q865">
        <v>6.4240892829408702E-2</v>
      </c>
      <c r="R865">
        <v>0.978381623642267</v>
      </c>
      <c r="S865" t="s">
        <v>6416</v>
      </c>
      <c r="T865" t="s">
        <v>11100</v>
      </c>
      <c r="U865" t="s">
        <v>11100</v>
      </c>
      <c r="V865" t="s">
        <v>11100</v>
      </c>
      <c r="W865" t="s">
        <v>11952</v>
      </c>
      <c r="X865">
        <v>12</v>
      </c>
      <c r="Y865" t="s">
        <v>17448</v>
      </c>
      <c r="Z865" t="s">
        <v>22870</v>
      </c>
      <c r="AA865">
        <v>0.6317078231550407</v>
      </c>
      <c r="AB865" t="str">
        <f>HYPERLINK("Melting_Curves/meltCurve_H3BLU7_AKR7A2.pdf", "Melting_Curves/meltCurve_H3BLU7_AKR7A2.pdf")</f>
        <v>Melting_Curves/meltCurve_H3BLU7_AKR7A2.pdf</v>
      </c>
    </row>
    <row r="866" spans="1:28" x14ac:dyDescent="0.25">
      <c r="A866" t="s">
        <v>870</v>
      </c>
      <c r="B866">
        <v>0.99299721793515405</v>
      </c>
      <c r="C866">
        <v>1.06060469676668</v>
      </c>
      <c r="D866">
        <v>0.94670050411354101</v>
      </c>
      <c r="E866">
        <v>0.93722388231501097</v>
      </c>
      <c r="F866">
        <v>0.85063596970742605</v>
      </c>
      <c r="G866">
        <v>0.55692701676508105</v>
      </c>
      <c r="H866">
        <v>0.570816529515628</v>
      </c>
      <c r="I866">
        <v>0.87907515260453595</v>
      </c>
      <c r="J866">
        <v>0.54256975155090703</v>
      </c>
      <c r="K866">
        <v>0.26110833169342601</v>
      </c>
      <c r="L866">
        <v>377.37454709038099</v>
      </c>
      <c r="M866">
        <v>5.9147988593134304</v>
      </c>
      <c r="N866">
        <v>63.801754892383599</v>
      </c>
      <c r="O866">
        <v>57.6495102383738</v>
      </c>
      <c r="P866">
        <v>-2.5737220534609102E-2</v>
      </c>
      <c r="Q866">
        <v>0</v>
      </c>
      <c r="R866">
        <v>0.69845105926220596</v>
      </c>
      <c r="S866" t="s">
        <v>6417</v>
      </c>
      <c r="T866" t="s">
        <v>11100</v>
      </c>
      <c r="U866" t="s">
        <v>11100</v>
      </c>
      <c r="V866" t="s">
        <v>11100</v>
      </c>
      <c r="W866" t="s">
        <v>11953</v>
      </c>
      <c r="X866">
        <v>3</v>
      </c>
      <c r="Y866" t="s">
        <v>17449</v>
      </c>
      <c r="Z866" t="s">
        <v>22871</v>
      </c>
      <c r="AA866">
        <v>0.76139786760014516</v>
      </c>
      <c r="AB866" t="str">
        <f>HYPERLINK("Melting_Curves/meltCurve_H3BLW6_TMEM63B.pdf", "Melting_Curves/meltCurve_H3BLW6_TMEM63B.pdf")</f>
        <v>Melting_Curves/meltCurve_H3BLW6_TMEM63B.pdf</v>
      </c>
    </row>
    <row r="867" spans="1:28" x14ac:dyDescent="0.25">
      <c r="A867" t="s">
        <v>871</v>
      </c>
      <c r="B867">
        <v>0.99299721793515405</v>
      </c>
      <c r="C867">
        <v>0.85180088487764705</v>
      </c>
      <c r="D867">
        <v>0.94054166488197199</v>
      </c>
      <c r="E867">
        <v>1.1754009893712101</v>
      </c>
      <c r="F867">
        <v>0.88080605484977903</v>
      </c>
      <c r="G867">
        <v>0.52612777110034903</v>
      </c>
      <c r="H867">
        <v>0.57290008838464901</v>
      </c>
      <c r="I867">
        <v>0.46775054837579899</v>
      </c>
      <c r="J867">
        <v>0.68252351561984104</v>
      </c>
      <c r="K867">
        <v>0.41577365854966902</v>
      </c>
      <c r="L867">
        <v>12603.756649217899</v>
      </c>
      <c r="M867">
        <v>250</v>
      </c>
      <c r="O867">
        <v>50.411800612525802</v>
      </c>
      <c r="P867">
        <v>-0.57896278017946501</v>
      </c>
      <c r="Q867">
        <v>0.53301510301416799</v>
      </c>
      <c r="R867">
        <v>0.83085114841392005</v>
      </c>
      <c r="S867" t="s">
        <v>6418</v>
      </c>
      <c r="T867" t="s">
        <v>11100</v>
      </c>
      <c r="U867" t="s">
        <v>11100</v>
      </c>
      <c r="V867" t="s">
        <v>11100</v>
      </c>
      <c r="W867" t="s">
        <v>11954</v>
      </c>
      <c r="X867">
        <v>1</v>
      </c>
      <c r="Y867" t="s">
        <v>17450</v>
      </c>
      <c r="Z867" t="s">
        <v>22872</v>
      </c>
      <c r="AA867">
        <v>0.74187691449111637</v>
      </c>
      <c r="AB867" t="str">
        <f>HYPERLINK("Melting_Curves/meltCurve_H3BLW9_SWI5.pdf", "Melting_Curves/meltCurve_H3BLW9_SWI5.pdf")</f>
        <v>Melting_Curves/meltCurve_H3BLW9_SWI5.pdf</v>
      </c>
    </row>
    <row r="868" spans="1:28" x14ac:dyDescent="0.25">
      <c r="A868" t="s">
        <v>872</v>
      </c>
      <c r="B868">
        <v>0.99299721793515405</v>
      </c>
      <c r="C868">
        <v>0.89884900116378796</v>
      </c>
      <c r="D868">
        <v>0.724235303613468</v>
      </c>
      <c r="E868">
        <v>0.80875084043549195</v>
      </c>
      <c r="F868">
        <v>0.92866978238724895</v>
      </c>
      <c r="G868">
        <v>0.49985443384763001</v>
      </c>
      <c r="H868">
        <v>0.38955448372654</v>
      </c>
      <c r="I868">
        <v>0.49476481536391798</v>
      </c>
      <c r="J868">
        <v>0.57936645195737502</v>
      </c>
      <c r="K868">
        <v>0.454780946693289</v>
      </c>
      <c r="L868">
        <v>363.832533157044</v>
      </c>
      <c r="M868">
        <v>7.2193999606351698</v>
      </c>
      <c r="N868">
        <v>61.435190017313097</v>
      </c>
      <c r="O868">
        <v>46.960450521018998</v>
      </c>
      <c r="P868">
        <v>-2.45091245268158E-2</v>
      </c>
      <c r="Q868">
        <v>0.363349993986468</v>
      </c>
      <c r="R868">
        <v>0.70724087211421505</v>
      </c>
      <c r="S868" t="s">
        <v>6419</v>
      </c>
      <c r="T868" t="s">
        <v>11100</v>
      </c>
      <c r="U868" t="s">
        <v>11100</v>
      </c>
      <c r="V868" t="s">
        <v>11100</v>
      </c>
      <c r="W868" t="s">
        <v>11955</v>
      </c>
      <c r="X868">
        <v>1</v>
      </c>
      <c r="Y868" t="s">
        <v>17451</v>
      </c>
      <c r="Z868" t="s">
        <v>22873</v>
      </c>
      <c r="AA868">
        <v>0.67357474174521548</v>
      </c>
      <c r="AB868" t="str">
        <f>HYPERLINK("Melting_Curves/meltCurve_H3BLZ2_DBNDD1.pdf", "Melting_Curves/meltCurve_H3BLZ2_DBNDD1.pdf")</f>
        <v>Melting_Curves/meltCurve_H3BLZ2_DBNDD1.pdf</v>
      </c>
    </row>
    <row r="869" spans="1:28" x14ac:dyDescent="0.25">
      <c r="A869" t="s">
        <v>873</v>
      </c>
      <c r="B869">
        <v>0.99299721793515405</v>
      </c>
      <c r="C869">
        <v>1.0301770666791199</v>
      </c>
      <c r="D869">
        <v>1.0448659392194899</v>
      </c>
      <c r="E869">
        <v>0.88259727717452197</v>
      </c>
      <c r="F869">
        <v>0.68850098745435195</v>
      </c>
      <c r="G869">
        <v>0.44401560363647702</v>
      </c>
      <c r="H869">
        <v>0.25059319808029501</v>
      </c>
      <c r="I869">
        <v>0.230176858893268</v>
      </c>
      <c r="J869">
        <v>0.20643274335068401</v>
      </c>
      <c r="K869">
        <v>0.19123966365171299</v>
      </c>
      <c r="L869">
        <v>1024.79732521443</v>
      </c>
      <c r="M869">
        <v>19.9247094971747</v>
      </c>
      <c r="N869">
        <v>52.6609201973559</v>
      </c>
      <c r="O869">
        <v>50.923797203956603</v>
      </c>
      <c r="P869">
        <v>-7.9649929720616602E-2</v>
      </c>
      <c r="Q869">
        <v>0.18574614873811299</v>
      </c>
      <c r="R869">
        <v>0.99456555501987898</v>
      </c>
      <c r="S869" t="s">
        <v>6420</v>
      </c>
      <c r="T869" t="s">
        <v>11100</v>
      </c>
      <c r="U869" t="s">
        <v>11100</v>
      </c>
      <c r="V869" t="s">
        <v>11100</v>
      </c>
      <c r="W869" t="s">
        <v>11956</v>
      </c>
      <c r="X869">
        <v>30</v>
      </c>
      <c r="Y869" t="s">
        <v>17452</v>
      </c>
      <c r="Z869" t="s">
        <v>22874</v>
      </c>
      <c r="AA869">
        <v>0.58817168890838478</v>
      </c>
      <c r="AB869" t="str">
        <f>HYPERLINK("Melting_Curves/meltCurve_H3BLZ8_DDX17.pdf", "Melting_Curves/meltCurve_H3BLZ8_DDX17.pdf")</f>
        <v>Melting_Curves/meltCurve_H3BLZ8_DDX17.pdf</v>
      </c>
    </row>
    <row r="870" spans="1:28" x14ac:dyDescent="0.25">
      <c r="A870" t="s">
        <v>874</v>
      </c>
      <c r="B870">
        <v>0.99299721793515405</v>
      </c>
      <c r="C870">
        <v>0.99319414303347697</v>
      </c>
      <c r="D870">
        <v>0.95518711157132696</v>
      </c>
      <c r="E870">
        <v>0.92795898430517698</v>
      </c>
      <c r="F870">
        <v>0.58243636560812595</v>
      </c>
      <c r="G870">
        <v>0.27669122303710098</v>
      </c>
      <c r="H870">
        <v>0.215285082337376</v>
      </c>
      <c r="I870">
        <v>0.17830965355639</v>
      </c>
      <c r="J870">
        <v>0.174553574192191</v>
      </c>
      <c r="K870">
        <v>0.134180591725823</v>
      </c>
      <c r="L870">
        <v>1376.4169911735301</v>
      </c>
      <c r="M870">
        <v>27.395015452274201</v>
      </c>
      <c r="N870">
        <v>50.987828307907698</v>
      </c>
      <c r="O870">
        <v>49.977912413433998</v>
      </c>
      <c r="P870">
        <v>-0.114447561062843</v>
      </c>
      <c r="Q870">
        <v>0.164841441679657</v>
      </c>
      <c r="R870">
        <v>0.99746310182044395</v>
      </c>
      <c r="S870" t="s">
        <v>6421</v>
      </c>
      <c r="T870" t="s">
        <v>11100</v>
      </c>
      <c r="U870" t="s">
        <v>11100</v>
      </c>
      <c r="V870" t="s">
        <v>11100</v>
      </c>
      <c r="W870" t="s">
        <v>11957</v>
      </c>
      <c r="X870">
        <v>14</v>
      </c>
      <c r="Y870" t="s">
        <v>17453</v>
      </c>
      <c r="Z870" t="s">
        <v>22875</v>
      </c>
      <c r="AA870">
        <v>0.53966144429113017</v>
      </c>
      <c r="AB870" t="str">
        <f>HYPERLINK("Melting_Curves/meltCurve_H3BM14_NUB1.pdf", "Melting_Curves/meltCurve_H3BM14_NUB1.pdf")</f>
        <v>Melting_Curves/meltCurve_H3BM14_NUB1.pdf</v>
      </c>
    </row>
    <row r="871" spans="1:28" x14ac:dyDescent="0.25">
      <c r="A871" t="s">
        <v>875</v>
      </c>
      <c r="B871">
        <v>0.99299721793515405</v>
      </c>
      <c r="C871">
        <v>0.887438746977952</v>
      </c>
      <c r="D871">
        <v>1.0622932982135</v>
      </c>
      <c r="E871">
        <v>0.82366572261163795</v>
      </c>
      <c r="F871">
        <v>0.67940174238564999</v>
      </c>
      <c r="G871">
        <v>0.53503439338923098</v>
      </c>
      <c r="H871">
        <v>0.54322777396080502</v>
      </c>
      <c r="I871">
        <v>0.64007262511968199</v>
      </c>
      <c r="J871">
        <v>0.73970585048516702</v>
      </c>
      <c r="K871">
        <v>0.63143425914671103</v>
      </c>
      <c r="L871">
        <v>2191.2327520775302</v>
      </c>
      <c r="M871">
        <v>46.800108858725203</v>
      </c>
      <c r="O871">
        <v>46.735856679108402</v>
      </c>
      <c r="P871">
        <v>-9.3964645668901295E-2</v>
      </c>
      <c r="Q871">
        <v>0.62465786602630702</v>
      </c>
      <c r="R871">
        <v>0.84280145005632001</v>
      </c>
      <c r="S871" t="s">
        <v>6422</v>
      </c>
      <c r="T871" t="s">
        <v>11100</v>
      </c>
      <c r="U871" t="s">
        <v>11100</v>
      </c>
      <c r="V871" t="s">
        <v>11100</v>
      </c>
      <c r="W871" t="s">
        <v>11958</v>
      </c>
      <c r="X871">
        <v>7</v>
      </c>
      <c r="Y871" t="s">
        <v>17454</v>
      </c>
      <c r="Z871" t="s">
        <v>22876</v>
      </c>
      <c r="AA871">
        <v>0.74841920753288416</v>
      </c>
      <c r="AB871" t="str">
        <f>HYPERLINK("Melting_Curves/meltCurve_H3BMD8_ARPP19.pdf", "Melting_Curves/meltCurve_H3BMD8_ARPP19.pdf")</f>
        <v>Melting_Curves/meltCurve_H3BMD8_ARPP19.pdf</v>
      </c>
    </row>
    <row r="872" spans="1:28" x14ac:dyDescent="0.25">
      <c r="A872" t="s">
        <v>876</v>
      </c>
      <c r="B872">
        <v>0.99299721793515405</v>
      </c>
      <c r="C872">
        <v>1.0013759394203401</v>
      </c>
      <c r="D872">
        <v>0.94340260838215595</v>
      </c>
      <c r="E872">
        <v>0.91404909075635399</v>
      </c>
      <c r="F872">
        <v>0.78777685140609099</v>
      </c>
      <c r="G872">
        <v>0.61274290873501303</v>
      </c>
      <c r="H872">
        <v>0.76916919245891502</v>
      </c>
      <c r="I872">
        <v>0.853661965697595</v>
      </c>
      <c r="J872">
        <v>0.78680714571190602</v>
      </c>
      <c r="K872">
        <v>0.59938015021115099</v>
      </c>
      <c r="L872">
        <v>1559.0912558550999</v>
      </c>
      <c r="M872">
        <v>32.770620130973803</v>
      </c>
      <c r="O872">
        <v>47.399778637192703</v>
      </c>
      <c r="P872">
        <v>-4.72333203041779E-2</v>
      </c>
      <c r="Q872">
        <v>0.72672615581618405</v>
      </c>
      <c r="R872">
        <v>0.70210829220272897</v>
      </c>
      <c r="S872" t="s">
        <v>6423</v>
      </c>
      <c r="T872" t="s">
        <v>11100</v>
      </c>
      <c r="U872" t="s">
        <v>11100</v>
      </c>
      <c r="V872" t="s">
        <v>11100</v>
      </c>
      <c r="W872" t="s">
        <v>11959</v>
      </c>
      <c r="X872">
        <v>3</v>
      </c>
      <c r="Y872" t="s">
        <v>17455</v>
      </c>
      <c r="Z872" t="s">
        <v>22877</v>
      </c>
      <c r="AA872">
        <v>0.82440696833470795</v>
      </c>
      <c r="AB872" t="str">
        <f>HYPERLINK("Melting_Curves/meltCurve_H3BMF4_SPNS1.pdf", "Melting_Curves/meltCurve_H3BMF4_SPNS1.pdf")</f>
        <v>Melting_Curves/meltCurve_H3BMF4_SPNS1.pdf</v>
      </c>
    </row>
    <row r="873" spans="1:28" x14ac:dyDescent="0.25">
      <c r="A873" t="s">
        <v>877</v>
      </c>
      <c r="B873">
        <v>0.99299721793515405</v>
      </c>
      <c r="C873">
        <v>0.87429080593614406</v>
      </c>
      <c r="D873">
        <v>0.89502830449554205</v>
      </c>
      <c r="E873">
        <v>0.64534208681821104</v>
      </c>
      <c r="F873">
        <v>0.39760460102662298</v>
      </c>
      <c r="G873">
        <v>0.24661027412779701</v>
      </c>
      <c r="H873">
        <v>0.14937217891096399</v>
      </c>
      <c r="I873">
        <v>0.144812929730088</v>
      </c>
      <c r="J873">
        <v>0.21192888839781299</v>
      </c>
      <c r="K873">
        <v>0.150656315935877</v>
      </c>
      <c r="L873">
        <v>779.08086324711701</v>
      </c>
      <c r="M873">
        <v>16.4054944666822</v>
      </c>
      <c r="N873">
        <v>48.483778970031899</v>
      </c>
      <c r="O873">
        <v>46.800232535984101</v>
      </c>
      <c r="P873">
        <v>-7.5117911605994597E-2</v>
      </c>
      <c r="Q873">
        <v>0.14290040024516201</v>
      </c>
      <c r="R873">
        <v>0.98691816010869604</v>
      </c>
      <c r="S873" t="s">
        <v>6424</v>
      </c>
      <c r="T873" t="s">
        <v>11100</v>
      </c>
      <c r="U873" t="s">
        <v>11100</v>
      </c>
      <c r="V873" t="s">
        <v>11100</v>
      </c>
      <c r="W873" t="s">
        <v>11960</v>
      </c>
      <c r="X873">
        <v>1</v>
      </c>
      <c r="Y873" t="s">
        <v>17456</v>
      </c>
      <c r="Z873" t="s">
        <v>22878</v>
      </c>
      <c r="AA873">
        <v>0.45885576330659539</v>
      </c>
      <c r="AB873" t="str">
        <f>HYPERLINK("Melting_Curves/meltCurve_H3BMJ2_C15orf39.pdf", "Melting_Curves/meltCurve_H3BMJ2_C15orf39.pdf")</f>
        <v>Melting_Curves/meltCurve_H3BMJ2_C15orf39.pdf</v>
      </c>
    </row>
    <row r="874" spans="1:28" x14ac:dyDescent="0.25">
      <c r="A874" t="s">
        <v>878</v>
      </c>
      <c r="B874">
        <v>0.99299721793515405</v>
      </c>
      <c r="C874">
        <v>1.07046432115227</v>
      </c>
      <c r="D874">
        <v>1.0110894234132499</v>
      </c>
      <c r="E874">
        <v>0.90805748303530898</v>
      </c>
      <c r="F874">
        <v>0.59336687602397897</v>
      </c>
      <c r="G874">
        <v>0.34317022668166097</v>
      </c>
      <c r="H874">
        <v>0.184991267602859</v>
      </c>
      <c r="I874">
        <v>0.189067411177433</v>
      </c>
      <c r="J874">
        <v>0.18762975948617699</v>
      </c>
      <c r="K874">
        <v>0.132672508045446</v>
      </c>
      <c r="L874">
        <v>1201.42670715132</v>
      </c>
      <c r="M874">
        <v>23.7867550540069</v>
      </c>
      <c r="N874">
        <v>51.342141772035703</v>
      </c>
      <c r="O874">
        <v>50.155303423440401</v>
      </c>
      <c r="P874">
        <v>-9.9568525692699902E-2</v>
      </c>
      <c r="Q874">
        <v>0.16023721678293101</v>
      </c>
      <c r="R874">
        <v>0.99379976291912897</v>
      </c>
      <c r="S874" t="s">
        <v>6425</v>
      </c>
      <c r="T874" t="s">
        <v>11100</v>
      </c>
      <c r="U874" t="s">
        <v>11100</v>
      </c>
      <c r="V874" t="s">
        <v>11100</v>
      </c>
      <c r="W874" t="s">
        <v>11465</v>
      </c>
      <c r="X874">
        <v>3</v>
      </c>
      <c r="Z874" t="s">
        <v>22879</v>
      </c>
      <c r="AA874">
        <v>0.54645946613676866</v>
      </c>
      <c r="AB874" t="str">
        <f>HYPERLINK("Melting_Curves/meltCurve_H3BMM5_.pdf", "Melting_Curves/meltCurve_H3BMM5_.pdf")</f>
        <v>Melting_Curves/meltCurve_H3BMM5_.pdf</v>
      </c>
    </row>
    <row r="875" spans="1:28" x14ac:dyDescent="0.25">
      <c r="A875" t="s">
        <v>879</v>
      </c>
      <c r="B875">
        <v>0.99299721793515405</v>
      </c>
      <c r="C875">
        <v>1.0714318077520399</v>
      </c>
      <c r="D875">
        <v>0.84842873537738495</v>
      </c>
      <c r="E875">
        <v>0.94394349610029105</v>
      </c>
      <c r="F875">
        <v>0.62346880444701602</v>
      </c>
      <c r="G875">
        <v>0.362392560355838</v>
      </c>
      <c r="H875">
        <v>0.29194950938194097</v>
      </c>
      <c r="I875">
        <v>0.234093710558815</v>
      </c>
      <c r="J875">
        <v>0.261466756587311</v>
      </c>
      <c r="K875">
        <v>0.20842708304297899</v>
      </c>
      <c r="L875">
        <v>1187.8966306263801</v>
      </c>
      <c r="M875">
        <v>23.5789014561302</v>
      </c>
      <c r="N875">
        <v>51.744469336886297</v>
      </c>
      <c r="O875">
        <v>50.021464098833199</v>
      </c>
      <c r="P875">
        <v>-9.0559322316117796E-2</v>
      </c>
      <c r="Q875">
        <v>0.23154469248659401</v>
      </c>
      <c r="R875">
        <v>0.97447889257045395</v>
      </c>
      <c r="S875" t="s">
        <v>6426</v>
      </c>
      <c r="T875" t="s">
        <v>11100</v>
      </c>
      <c r="U875" t="s">
        <v>11100</v>
      </c>
      <c r="V875" t="s">
        <v>11100</v>
      </c>
      <c r="W875" t="s">
        <v>11961</v>
      </c>
      <c r="X875">
        <v>1</v>
      </c>
      <c r="Y875" t="s">
        <v>17457</v>
      </c>
      <c r="Z875" t="s">
        <v>22880</v>
      </c>
      <c r="AA875">
        <v>0.58179306667469455</v>
      </c>
      <c r="AB875" t="str">
        <f>HYPERLINK("Melting_Curves/meltCurve_H3BMS0_RNPS1.pdf", "Melting_Curves/meltCurve_H3BMS0_RNPS1.pdf")</f>
        <v>Melting_Curves/meltCurve_H3BMS0_RNPS1.pdf</v>
      </c>
    </row>
    <row r="876" spans="1:28" x14ac:dyDescent="0.25">
      <c r="A876" t="s">
        <v>880</v>
      </c>
      <c r="B876">
        <v>0.99299721793515405</v>
      </c>
      <c r="C876">
        <v>0.95632373816322602</v>
      </c>
      <c r="D876">
        <v>1.1518866643055701</v>
      </c>
      <c r="E876">
        <v>0.86073248200672703</v>
      </c>
      <c r="F876">
        <v>0.64100800745249198</v>
      </c>
      <c r="G876">
        <v>0.39363362147645897</v>
      </c>
      <c r="H876">
        <v>0.23577175097723799</v>
      </c>
      <c r="I876">
        <v>0.22029988489336799</v>
      </c>
      <c r="J876">
        <v>0.18541177913844401</v>
      </c>
      <c r="K876">
        <v>0.22745376957739799</v>
      </c>
      <c r="L876">
        <v>1144.6622348307001</v>
      </c>
      <c r="M876">
        <v>22.582183781220401</v>
      </c>
      <c r="N876">
        <v>51.868532808849103</v>
      </c>
      <c r="O876">
        <v>50.296253384839602</v>
      </c>
      <c r="P876">
        <v>-8.97033564795017E-2</v>
      </c>
      <c r="Q876">
        <v>0.20084746973345799</v>
      </c>
      <c r="R876">
        <v>0.97431873596917495</v>
      </c>
      <c r="S876" t="s">
        <v>6427</v>
      </c>
      <c r="T876" t="s">
        <v>11100</v>
      </c>
      <c r="U876" t="s">
        <v>11100</v>
      </c>
      <c r="V876" t="s">
        <v>11100</v>
      </c>
      <c r="W876" t="s">
        <v>11962</v>
      </c>
      <c r="X876">
        <v>3</v>
      </c>
      <c r="Y876" t="s">
        <v>17458</v>
      </c>
      <c r="Z876" t="s">
        <v>22881</v>
      </c>
      <c r="AA876">
        <v>0.57397515936267673</v>
      </c>
      <c r="AB876" t="str">
        <f>HYPERLINK("Melting_Curves/meltCurve_H3BMV2_C17orf103.pdf", "Melting_Curves/meltCurve_H3BMV2_C17orf103.pdf")</f>
        <v>Melting_Curves/meltCurve_H3BMV2_C17orf103.pdf</v>
      </c>
    </row>
    <row r="877" spans="1:28" x14ac:dyDescent="0.25">
      <c r="A877" t="s">
        <v>881</v>
      </c>
      <c r="B877">
        <v>0.99299721793515405</v>
      </c>
      <c r="C877">
        <v>0.97560392527669604</v>
      </c>
      <c r="D877">
        <v>0.86038102590937504</v>
      </c>
      <c r="E877">
        <v>0.68353324507607005</v>
      </c>
      <c r="F877">
        <v>0.77357213189058305</v>
      </c>
      <c r="G877">
        <v>0.54207604469529203</v>
      </c>
      <c r="H877">
        <v>0.65014599099752601</v>
      </c>
      <c r="I877">
        <v>0.6926993544001</v>
      </c>
      <c r="J877">
        <v>0.61366599152252599</v>
      </c>
      <c r="K877">
        <v>0.53660319148427105</v>
      </c>
      <c r="L877">
        <v>732.57194373928405</v>
      </c>
      <c r="M877">
        <v>16.448382577092499</v>
      </c>
      <c r="O877">
        <v>43.894906301445701</v>
      </c>
      <c r="P877">
        <v>-3.6353804198453299E-2</v>
      </c>
      <c r="Q877">
        <v>0.61196539678139705</v>
      </c>
      <c r="R877">
        <v>0.85065119397886302</v>
      </c>
      <c r="S877" t="s">
        <v>6428</v>
      </c>
      <c r="T877" t="s">
        <v>11100</v>
      </c>
      <c r="U877" t="s">
        <v>11100</v>
      </c>
      <c r="V877" t="s">
        <v>11100</v>
      </c>
      <c r="W877" t="s">
        <v>11963</v>
      </c>
      <c r="X877">
        <v>1</v>
      </c>
      <c r="Y877" t="s">
        <v>17459</v>
      </c>
      <c r="Z877" t="s">
        <v>22882</v>
      </c>
      <c r="AA877">
        <v>0.71723218393122612</v>
      </c>
      <c r="AB877" t="str">
        <f>HYPERLINK("Melting_Curves/meltCurve_H3BN87_SLC38A7.pdf", "Melting_Curves/meltCurve_H3BN87_SLC38A7.pdf")</f>
        <v>Melting_Curves/meltCurve_H3BN87_SLC38A7.pdf</v>
      </c>
    </row>
    <row r="878" spans="1:28" x14ac:dyDescent="0.25">
      <c r="A878" t="s">
        <v>882</v>
      </c>
      <c r="B878">
        <v>0.99299721793515405</v>
      </c>
      <c r="C878">
        <v>0.93622396782534201</v>
      </c>
      <c r="D878">
        <v>0.96182171002666395</v>
      </c>
      <c r="E878">
        <v>0.79284716781575704</v>
      </c>
      <c r="F878">
        <v>0.69940751052414896</v>
      </c>
      <c r="G878">
        <v>0.71084957197302501</v>
      </c>
      <c r="H878">
        <v>0.55837566436785102</v>
      </c>
      <c r="I878">
        <v>0.71857400162559404</v>
      </c>
      <c r="J878">
        <v>0.765896442181488</v>
      </c>
      <c r="K878">
        <v>0.71057050486665096</v>
      </c>
      <c r="L878">
        <v>1360.33073512651</v>
      </c>
      <c r="M878">
        <v>29.9175285193874</v>
      </c>
      <c r="O878">
        <v>45.267668268985602</v>
      </c>
      <c r="P878">
        <v>-5.11015628994166E-2</v>
      </c>
      <c r="Q878">
        <v>0.6907187511656</v>
      </c>
      <c r="R878">
        <v>0.834436676729434</v>
      </c>
      <c r="S878" t="s">
        <v>6429</v>
      </c>
      <c r="T878" t="s">
        <v>11100</v>
      </c>
      <c r="U878" t="s">
        <v>11100</v>
      </c>
      <c r="V878" t="s">
        <v>11100</v>
      </c>
      <c r="W878" t="s">
        <v>11939</v>
      </c>
      <c r="X878">
        <v>3</v>
      </c>
      <c r="Z878" t="s">
        <v>22883</v>
      </c>
      <c r="AA878">
        <v>0.77979098873663188</v>
      </c>
      <c r="AB878" t="str">
        <f>HYPERLINK("Melting_Curves/meltCurve_H3BN98_.pdf", "Melting_Curves/meltCurve_H3BN98_.pdf")</f>
        <v>Melting_Curves/meltCurve_H3BN98_.pdf</v>
      </c>
    </row>
    <row r="879" spans="1:28" x14ac:dyDescent="0.25">
      <c r="A879" t="s">
        <v>883</v>
      </c>
      <c r="B879">
        <v>0.99299721793515405</v>
      </c>
      <c r="C879">
        <v>0.90580938826563695</v>
      </c>
      <c r="D879">
        <v>0.97948804862076799</v>
      </c>
      <c r="E879">
        <v>0.82620288457582503</v>
      </c>
      <c r="F879">
        <v>0.71670988334135399</v>
      </c>
      <c r="G879">
        <v>0.27834867929454499</v>
      </c>
      <c r="H879">
        <v>0.17409954998500701</v>
      </c>
      <c r="I879">
        <v>8.9704837142374802E-2</v>
      </c>
      <c r="J879">
        <v>0.12154922142522499</v>
      </c>
      <c r="K879">
        <v>2.78735567731003E-2</v>
      </c>
      <c r="L879">
        <v>1004.00039488442</v>
      </c>
      <c r="M879">
        <v>19.502910452059201</v>
      </c>
      <c r="N879">
        <v>51.767823925224</v>
      </c>
      <c r="O879">
        <v>50.947465546894101</v>
      </c>
      <c r="P879">
        <v>-9.0779366102544098E-2</v>
      </c>
      <c r="Q879">
        <v>5.1462489937800199E-2</v>
      </c>
      <c r="R879">
        <v>0.98278358691286805</v>
      </c>
      <c r="S879" t="s">
        <v>6430</v>
      </c>
      <c r="T879" t="s">
        <v>11100</v>
      </c>
      <c r="U879" t="s">
        <v>11100</v>
      </c>
      <c r="V879" t="s">
        <v>11100</v>
      </c>
      <c r="W879" t="s">
        <v>11964</v>
      </c>
      <c r="X879">
        <v>1</v>
      </c>
      <c r="Y879" t="s">
        <v>17460</v>
      </c>
      <c r="Z879" t="s">
        <v>22884</v>
      </c>
      <c r="AA879">
        <v>0.52213576800458184</v>
      </c>
      <c r="AB879" t="str">
        <f>HYPERLINK("Melting_Curves/meltCurve_H3BNA7_KIAA0513.pdf", "Melting_Curves/meltCurve_H3BNA7_KIAA0513.pdf")</f>
        <v>Melting_Curves/meltCurve_H3BNA7_KIAA0513.pdf</v>
      </c>
    </row>
    <row r="880" spans="1:28" x14ac:dyDescent="0.25">
      <c r="A880" t="s">
        <v>884</v>
      </c>
      <c r="B880">
        <v>0.99299721793515405</v>
      </c>
      <c r="C880">
        <v>0.98441116232880599</v>
      </c>
      <c r="D880">
        <v>0.99062192719333597</v>
      </c>
      <c r="E880">
        <v>0.85305575638320896</v>
      </c>
      <c r="F880">
        <v>0.74663218853815205</v>
      </c>
      <c r="G880">
        <v>0.70369294327174303</v>
      </c>
      <c r="H880">
        <v>0.72087508709445602</v>
      </c>
      <c r="I880">
        <v>0.85069854863095695</v>
      </c>
      <c r="J880">
        <v>0.49902286773555699</v>
      </c>
      <c r="K880">
        <v>0.19339210572665</v>
      </c>
      <c r="L880">
        <v>420.81466725979101</v>
      </c>
      <c r="M880">
        <v>6.6176294046437398</v>
      </c>
      <c r="N880">
        <v>63.589941533817601</v>
      </c>
      <c r="O880">
        <v>58.535208648808201</v>
      </c>
      <c r="P880">
        <v>-2.8327784069803401E-2</v>
      </c>
      <c r="Q880">
        <v>0</v>
      </c>
      <c r="R880">
        <v>0.73201418025364995</v>
      </c>
      <c r="S880" t="s">
        <v>6431</v>
      </c>
      <c r="T880" t="s">
        <v>11100</v>
      </c>
      <c r="U880" t="s">
        <v>11100</v>
      </c>
      <c r="V880" t="s">
        <v>11100</v>
      </c>
      <c r="W880" t="s">
        <v>11965</v>
      </c>
      <c r="X880">
        <v>14</v>
      </c>
      <c r="Y880" t="s">
        <v>17461</v>
      </c>
      <c r="Z880" t="s">
        <v>22885</v>
      </c>
      <c r="AA880">
        <v>0.77176977599913676</v>
      </c>
      <c r="AB880" t="str">
        <f>HYPERLINK("Melting_Curves/meltCurve_H3BP20_HEXA.pdf", "Melting_Curves/meltCurve_H3BP20_HEXA.pdf")</f>
        <v>Melting_Curves/meltCurve_H3BP20_HEXA.pdf</v>
      </c>
    </row>
    <row r="881" spans="1:28" x14ac:dyDescent="0.25">
      <c r="A881" t="s">
        <v>885</v>
      </c>
      <c r="B881">
        <v>0.99299721793515405</v>
      </c>
      <c r="C881">
        <v>0.96434092356309897</v>
      </c>
      <c r="D881">
        <v>0.92222241108335601</v>
      </c>
      <c r="E881">
        <v>0.837147223574362</v>
      </c>
      <c r="F881">
        <v>0.64182626990894998</v>
      </c>
      <c r="G881">
        <v>0.51209109710421596</v>
      </c>
      <c r="H881">
        <v>0.32371589509101001</v>
      </c>
      <c r="I881">
        <v>0.209773889747738</v>
      </c>
      <c r="J881">
        <v>0.18766189578603801</v>
      </c>
      <c r="K881">
        <v>0.145717779817641</v>
      </c>
      <c r="L881">
        <v>581.78433412483298</v>
      </c>
      <c r="M881">
        <v>11.007790202483299</v>
      </c>
      <c r="N881">
        <v>53.430714473376398</v>
      </c>
      <c r="O881">
        <v>51.197644114226797</v>
      </c>
      <c r="P881">
        <v>-5.0748134013201801E-2</v>
      </c>
      <c r="Q881">
        <v>5.6191683429812497E-2</v>
      </c>
      <c r="R881">
        <v>0.99773213479173595</v>
      </c>
      <c r="S881" t="s">
        <v>6432</v>
      </c>
      <c r="T881" t="s">
        <v>11100</v>
      </c>
      <c r="U881" t="s">
        <v>11100</v>
      </c>
      <c r="V881" t="s">
        <v>11100</v>
      </c>
      <c r="W881" t="s">
        <v>11966</v>
      </c>
      <c r="X881">
        <v>4</v>
      </c>
      <c r="Y881" t="s">
        <v>17462</v>
      </c>
      <c r="Z881" t="s">
        <v>22886</v>
      </c>
      <c r="AA881">
        <v>0.5760544181707421</v>
      </c>
      <c r="AB881" t="str">
        <f>HYPERLINK("Melting_Curves/meltCurve_H3BPC4_UBE2I.pdf", "Melting_Curves/meltCurve_H3BPC4_UBE2I.pdf")</f>
        <v>Melting_Curves/meltCurve_H3BPC4_UBE2I.pdf</v>
      </c>
    </row>
    <row r="882" spans="1:28" x14ac:dyDescent="0.25">
      <c r="A882" t="s">
        <v>886</v>
      </c>
      <c r="B882">
        <v>0.99299721793515405</v>
      </c>
      <c r="C882">
        <v>0.99624772336933898</v>
      </c>
      <c r="D882">
        <v>0.93514256216239999</v>
      </c>
      <c r="E882">
        <v>0.85874939231077996</v>
      </c>
      <c r="F882">
        <v>0.67064041107024497</v>
      </c>
      <c r="G882">
        <v>0.38992865910073099</v>
      </c>
      <c r="H882">
        <v>0.25597348872721798</v>
      </c>
      <c r="I882">
        <v>0.205945892239777</v>
      </c>
      <c r="J882">
        <v>0.211014815460802</v>
      </c>
      <c r="K882">
        <v>0.16145187984314499</v>
      </c>
      <c r="L882">
        <v>890.41013465528204</v>
      </c>
      <c r="M882">
        <v>17.432503088242999</v>
      </c>
      <c r="N882">
        <v>52.237724643471502</v>
      </c>
      <c r="O882">
        <v>50.419656866932399</v>
      </c>
      <c r="P882">
        <v>-7.2567323166760594E-2</v>
      </c>
      <c r="Q882">
        <v>0.16050729692840199</v>
      </c>
      <c r="R882">
        <v>0.99712560322765798</v>
      </c>
      <c r="S882" t="s">
        <v>6433</v>
      </c>
      <c r="T882" t="s">
        <v>11100</v>
      </c>
      <c r="U882" t="s">
        <v>11100</v>
      </c>
      <c r="V882" t="s">
        <v>11100</v>
      </c>
      <c r="W882" t="s">
        <v>11967</v>
      </c>
      <c r="X882">
        <v>22</v>
      </c>
      <c r="Y882" t="s">
        <v>17463</v>
      </c>
      <c r="Z882" t="s">
        <v>22887</v>
      </c>
      <c r="AA882">
        <v>0.5680888032771958</v>
      </c>
      <c r="AB882" t="str">
        <f>HYPERLINK("Melting_Curves/meltCurve_H3BPE1_MACF1.pdf", "Melting_Curves/meltCurve_H3BPE1_MACF1.pdf")</f>
        <v>Melting_Curves/meltCurve_H3BPE1_MACF1.pdf</v>
      </c>
    </row>
    <row r="883" spans="1:28" x14ac:dyDescent="0.25">
      <c r="A883" t="s">
        <v>887</v>
      </c>
      <c r="B883">
        <v>0.99299721793515405</v>
      </c>
      <c r="C883">
        <v>0.90602931913503204</v>
      </c>
      <c r="D883">
        <v>0.89470220116588195</v>
      </c>
      <c r="E883">
        <v>0.82469003346487202</v>
      </c>
      <c r="F883">
        <v>0.67131851016669697</v>
      </c>
      <c r="G883">
        <v>0.476418057457768</v>
      </c>
      <c r="H883">
        <v>0.39215450577892302</v>
      </c>
      <c r="I883">
        <v>0.42448691265299998</v>
      </c>
      <c r="J883">
        <v>0.41310046248806498</v>
      </c>
      <c r="K883">
        <v>0.284788041330785</v>
      </c>
      <c r="L883">
        <v>568.359728858587</v>
      </c>
      <c r="M883">
        <v>11.345996125621999</v>
      </c>
      <c r="N883">
        <v>54.479654827456201</v>
      </c>
      <c r="O883">
        <v>48.612982551794602</v>
      </c>
      <c r="P883">
        <v>-4.0889067162250499E-2</v>
      </c>
      <c r="Q883">
        <v>0.29943760951487303</v>
      </c>
      <c r="R883">
        <v>0.971895860514006</v>
      </c>
      <c r="S883" t="s">
        <v>6434</v>
      </c>
      <c r="T883" t="s">
        <v>11100</v>
      </c>
      <c r="U883" t="s">
        <v>11100</v>
      </c>
      <c r="V883" t="s">
        <v>11100</v>
      </c>
      <c r="W883" t="s">
        <v>11968</v>
      </c>
      <c r="X883">
        <v>15</v>
      </c>
      <c r="Y883" t="s">
        <v>17464</v>
      </c>
      <c r="Z883" t="s">
        <v>22888</v>
      </c>
      <c r="AA883">
        <v>0.6259465342139684</v>
      </c>
      <c r="AB883" t="str">
        <f>HYPERLINK("Melting_Curves/meltCurve_H3BPK3_HAGH.pdf", "Melting_Curves/meltCurve_H3BPK3_HAGH.pdf")</f>
        <v>Melting_Curves/meltCurve_H3BPK3_HAGH.pdf</v>
      </c>
    </row>
    <row r="884" spans="1:28" x14ac:dyDescent="0.25">
      <c r="A884" t="s">
        <v>888</v>
      </c>
      <c r="B884">
        <v>0.99299721793515405</v>
      </c>
      <c r="C884">
        <v>0.84276784408453398</v>
      </c>
      <c r="D884">
        <v>0.88814193537512498</v>
      </c>
      <c r="E884">
        <v>0.83791588439903797</v>
      </c>
      <c r="F884">
        <v>0.66210223271725599</v>
      </c>
      <c r="G884">
        <v>0.36495604179130098</v>
      </c>
      <c r="H884">
        <v>0.37646144841777102</v>
      </c>
      <c r="I884">
        <v>0.34579821670703897</v>
      </c>
      <c r="J884">
        <v>0.57723415469803896</v>
      </c>
      <c r="K884">
        <v>0.31507356952614202</v>
      </c>
      <c r="L884">
        <v>894.87677813321602</v>
      </c>
      <c r="M884">
        <v>18.409470915103899</v>
      </c>
      <c r="N884">
        <v>52.626875109069701</v>
      </c>
      <c r="O884">
        <v>48.0469034379569</v>
      </c>
      <c r="P884">
        <v>-5.9645528894434197E-2</v>
      </c>
      <c r="Q884">
        <v>0.37735231789211998</v>
      </c>
      <c r="R884">
        <v>0.85885885427531095</v>
      </c>
      <c r="S884" t="s">
        <v>6435</v>
      </c>
      <c r="T884" t="s">
        <v>11100</v>
      </c>
      <c r="U884" t="s">
        <v>11100</v>
      </c>
      <c r="V884" t="s">
        <v>11100</v>
      </c>
      <c r="W884" t="s">
        <v>11969</v>
      </c>
      <c r="X884">
        <v>1</v>
      </c>
      <c r="Y884" t="s">
        <v>17465</v>
      </c>
      <c r="Z884" t="s">
        <v>22889</v>
      </c>
      <c r="AA884">
        <v>0.62784116327353956</v>
      </c>
      <c r="AB884" t="str">
        <f>HYPERLINK("Melting_Curves/meltCurve_H3BPL0_CLN3.pdf", "Melting_Curves/meltCurve_H3BPL0_CLN3.pdf")</f>
        <v>Melting_Curves/meltCurve_H3BPL0_CLN3.pdf</v>
      </c>
    </row>
    <row r="885" spans="1:28" x14ac:dyDescent="0.25">
      <c r="A885" t="s">
        <v>889</v>
      </c>
      <c r="B885">
        <v>0.99299721793515405</v>
      </c>
      <c r="C885">
        <v>0.90567731954074304</v>
      </c>
      <c r="D885">
        <v>0.91499431460340697</v>
      </c>
      <c r="E885">
        <v>0.73160534728590798</v>
      </c>
      <c r="F885">
        <v>0.65858016991040602</v>
      </c>
      <c r="G885">
        <v>0.49117972753704198</v>
      </c>
      <c r="H885">
        <v>0.30326131126531802</v>
      </c>
      <c r="I885">
        <v>0.26744192931114003</v>
      </c>
      <c r="J885">
        <v>0.26013968070278198</v>
      </c>
      <c r="K885">
        <v>0.201402305327785</v>
      </c>
      <c r="L885">
        <v>497.024502997703</v>
      </c>
      <c r="M885">
        <v>9.6268534473196592</v>
      </c>
      <c r="N885">
        <v>53.039308502998303</v>
      </c>
      <c r="O885">
        <v>49.548701737216803</v>
      </c>
      <c r="P885">
        <v>-4.3111962947917498E-2</v>
      </c>
      <c r="Q885">
        <v>0.112922533666878</v>
      </c>
      <c r="R885">
        <v>0.98790144953504999</v>
      </c>
      <c r="S885" t="s">
        <v>6436</v>
      </c>
      <c r="T885" t="s">
        <v>11100</v>
      </c>
      <c r="U885" t="s">
        <v>11100</v>
      </c>
      <c r="V885" t="s">
        <v>11100</v>
      </c>
      <c r="W885" t="s">
        <v>11970</v>
      </c>
      <c r="X885">
        <v>1</v>
      </c>
      <c r="Y885" t="s">
        <v>17466</v>
      </c>
      <c r="Z885" t="s">
        <v>22890</v>
      </c>
      <c r="AA885">
        <v>0.57097418083039742</v>
      </c>
      <c r="AB885" t="str">
        <f>HYPERLINK("Melting_Curves/meltCurve_H3BPQ3_NDRG4.pdf", "Melting_Curves/meltCurve_H3BPQ3_NDRG4.pdf")</f>
        <v>Melting_Curves/meltCurve_H3BPQ3_NDRG4.pdf</v>
      </c>
    </row>
    <row r="886" spans="1:28" x14ac:dyDescent="0.25">
      <c r="A886" t="s">
        <v>890</v>
      </c>
      <c r="B886">
        <v>0.99299721793515405</v>
      </c>
      <c r="C886">
        <v>1.0187455247514201</v>
      </c>
      <c r="D886">
        <v>0.89751250120982795</v>
      </c>
      <c r="E886">
        <v>1.15461732653635</v>
      </c>
      <c r="F886">
        <v>0.81412263097746296</v>
      </c>
      <c r="G886">
        <v>0.761260242773242</v>
      </c>
      <c r="H886">
        <v>0.438365750179605</v>
      </c>
      <c r="I886">
        <v>0.154190224396551</v>
      </c>
      <c r="J886">
        <v>6.73966716815525E-2</v>
      </c>
      <c r="K886">
        <v>4.2622899626789897E-2</v>
      </c>
      <c r="L886">
        <v>1156.2280546550101</v>
      </c>
      <c r="M886">
        <v>20.474115765305999</v>
      </c>
      <c r="N886">
        <v>56.472674591501502</v>
      </c>
      <c r="O886">
        <v>55.9422026516974</v>
      </c>
      <c r="P886">
        <v>-9.1499431128957906E-2</v>
      </c>
      <c r="Q886">
        <v>0</v>
      </c>
      <c r="R886">
        <v>0.96660958259432905</v>
      </c>
      <c r="S886" t="s">
        <v>6437</v>
      </c>
      <c r="T886" t="s">
        <v>11100</v>
      </c>
      <c r="U886" t="s">
        <v>11100</v>
      </c>
      <c r="V886" t="s">
        <v>11100</v>
      </c>
      <c r="W886" t="s">
        <v>11971</v>
      </c>
      <c r="X886">
        <v>1</v>
      </c>
      <c r="Y886" t="s">
        <v>17467</v>
      </c>
      <c r="Z886" t="s">
        <v>22891</v>
      </c>
      <c r="AA886">
        <v>0.65857323230092535</v>
      </c>
      <c r="AB886" t="str">
        <f>HYPERLINK("Melting_Curves/meltCurve_H3BPR3_SNX33.pdf", "Melting_Curves/meltCurve_H3BPR3_SNX33.pdf")</f>
        <v>Melting_Curves/meltCurve_H3BPR3_SNX33.pdf</v>
      </c>
    </row>
    <row r="887" spans="1:28" x14ac:dyDescent="0.25">
      <c r="A887" t="s">
        <v>891</v>
      </c>
      <c r="B887">
        <v>0.99299721793515405</v>
      </c>
      <c r="C887">
        <v>0.98592464617446496</v>
      </c>
      <c r="D887">
        <v>0.91103090279628296</v>
      </c>
      <c r="E887">
        <v>0.90912238822408897</v>
      </c>
      <c r="F887">
        <v>0.746606187129642</v>
      </c>
      <c r="G887">
        <v>0.51640532689793595</v>
      </c>
      <c r="H887">
        <v>0.70424624424077398</v>
      </c>
      <c r="I887">
        <v>0.65486574609862902</v>
      </c>
      <c r="J887">
        <v>0.53617235964091203</v>
      </c>
      <c r="K887">
        <v>0.653116023493307</v>
      </c>
      <c r="L887">
        <v>1378.9423374875</v>
      </c>
      <c r="M887">
        <v>28.489683058081201</v>
      </c>
      <c r="O887">
        <v>48.1648735726449</v>
      </c>
      <c r="P887">
        <v>-5.7220531991538898E-2</v>
      </c>
      <c r="Q887">
        <v>0.61305323965844805</v>
      </c>
      <c r="R887">
        <v>0.86705360250480401</v>
      </c>
      <c r="S887" t="s">
        <v>6438</v>
      </c>
      <c r="T887" t="s">
        <v>11100</v>
      </c>
      <c r="U887" t="s">
        <v>11100</v>
      </c>
      <c r="V887" t="s">
        <v>11100</v>
      </c>
      <c r="W887" t="s">
        <v>11972</v>
      </c>
      <c r="X887">
        <v>32</v>
      </c>
      <c r="Y887" t="s">
        <v>17468</v>
      </c>
      <c r="Z887" t="s">
        <v>22892</v>
      </c>
      <c r="AA887">
        <v>0.76267182062727301</v>
      </c>
      <c r="AB887" t="str">
        <f>HYPERLINK("Melting_Curves/meltCurve_H3BPS8_ALDOA.pdf", "Melting_Curves/meltCurve_H3BPS8_ALDOA.pdf")</f>
        <v>Melting_Curves/meltCurve_H3BPS8_ALDOA.pdf</v>
      </c>
    </row>
    <row r="888" spans="1:28" x14ac:dyDescent="0.25">
      <c r="A888" t="s">
        <v>892</v>
      </c>
      <c r="B888">
        <v>0.99299721793515405</v>
      </c>
      <c r="C888">
        <v>1.1028691349870601</v>
      </c>
      <c r="D888">
        <v>1.02202196520252</v>
      </c>
      <c r="E888">
        <v>0.92065774646308396</v>
      </c>
      <c r="F888">
        <v>0.77899193989608795</v>
      </c>
      <c r="G888">
        <v>0.72886870824539296</v>
      </c>
      <c r="H888">
        <v>0.71351348474612397</v>
      </c>
      <c r="I888">
        <v>0.76380327054694597</v>
      </c>
      <c r="J888">
        <v>0.95928220374319295</v>
      </c>
      <c r="K888">
        <v>0.944295109433538</v>
      </c>
      <c r="L888">
        <v>11663.4392812729</v>
      </c>
      <c r="M888">
        <v>250</v>
      </c>
      <c r="O888">
        <v>46.650772613187797</v>
      </c>
      <c r="P888">
        <v>-0.248130338219405</v>
      </c>
      <c r="Q888">
        <v>0.81479245247435395</v>
      </c>
      <c r="R888">
        <v>0.57993968646104699</v>
      </c>
      <c r="S888" t="s">
        <v>6439</v>
      </c>
      <c r="T888" t="s">
        <v>11100</v>
      </c>
      <c r="U888" t="s">
        <v>11100</v>
      </c>
      <c r="V888" t="s">
        <v>11100</v>
      </c>
      <c r="W888" t="s">
        <v>11973</v>
      </c>
      <c r="X888">
        <v>4</v>
      </c>
      <c r="Y888" t="s">
        <v>17469</v>
      </c>
      <c r="Z888" t="s">
        <v>22893</v>
      </c>
      <c r="AA888">
        <v>0.87440590602679091</v>
      </c>
      <c r="AB888" t="str">
        <f>HYPERLINK("Melting_Curves/meltCurve_H3BQA0_SNAPC5.pdf", "Melting_Curves/meltCurve_H3BQA0_SNAPC5.pdf")</f>
        <v>Melting_Curves/meltCurve_H3BQA0_SNAPC5.pdf</v>
      </c>
    </row>
    <row r="889" spans="1:28" x14ac:dyDescent="0.25">
      <c r="A889" t="s">
        <v>893</v>
      </c>
      <c r="B889">
        <v>0.99299721793515405</v>
      </c>
      <c r="C889">
        <v>0.86151703838056604</v>
      </c>
      <c r="D889">
        <v>0.81746436341312401</v>
      </c>
      <c r="E889">
        <v>0.71355378622115895</v>
      </c>
      <c r="F889">
        <v>0.82422947705585103</v>
      </c>
      <c r="G889">
        <v>0.30579965070794202</v>
      </c>
      <c r="H889">
        <v>0.19298094518784301</v>
      </c>
      <c r="I889">
        <v>0.197368135698409</v>
      </c>
      <c r="J889">
        <v>0.217260758991734</v>
      </c>
      <c r="K889">
        <v>0.10824849371944199</v>
      </c>
      <c r="L889">
        <v>491.39615517265401</v>
      </c>
      <c r="M889">
        <v>9.4464181137776304</v>
      </c>
      <c r="N889">
        <v>52.027264101170303</v>
      </c>
      <c r="O889">
        <v>49.848006114259903</v>
      </c>
      <c r="P889">
        <v>-4.7370551609532997E-2</v>
      </c>
      <c r="Q889">
        <v>7.2155336824458001E-4</v>
      </c>
      <c r="R889">
        <v>0.90845511319810501</v>
      </c>
      <c r="S889" t="s">
        <v>6440</v>
      </c>
      <c r="T889" t="s">
        <v>11100</v>
      </c>
      <c r="U889" t="s">
        <v>11100</v>
      </c>
      <c r="V889" t="s">
        <v>11100</v>
      </c>
      <c r="W889" t="s">
        <v>11974</v>
      </c>
      <c r="X889">
        <v>6</v>
      </c>
      <c r="Y889" t="s">
        <v>17470</v>
      </c>
      <c r="Z889" t="s">
        <v>22894</v>
      </c>
      <c r="AA889">
        <v>0.52822814250007077</v>
      </c>
      <c r="AB889" t="str">
        <f>HYPERLINK("Melting_Curves/meltCurve_H3BQZ7_hCG_2044799.pdf", "Melting_Curves/meltCurve_H3BQZ7_hCG_2044799.pdf")</f>
        <v>Melting_Curves/meltCurve_H3BQZ7_hCG_2044799.pdf</v>
      </c>
    </row>
    <row r="890" spans="1:28" x14ac:dyDescent="0.25">
      <c r="A890" t="s">
        <v>894</v>
      </c>
      <c r="B890">
        <v>0.99299721793515405</v>
      </c>
      <c r="C890">
        <v>0.90294271653174896</v>
      </c>
      <c r="D890">
        <v>0.934568095728465</v>
      </c>
      <c r="E890">
        <v>0.93085155769121097</v>
      </c>
      <c r="F890">
        <v>0.55282750096266398</v>
      </c>
      <c r="G890">
        <v>0.23850273706839001</v>
      </c>
      <c r="H890">
        <v>0.16423805881584499</v>
      </c>
      <c r="I890">
        <v>0.13964569523245901</v>
      </c>
      <c r="J890">
        <v>0.120705695904504</v>
      </c>
      <c r="K890">
        <v>0.131070569044756</v>
      </c>
      <c r="L890">
        <v>1444.3174242143</v>
      </c>
      <c r="M890">
        <v>28.804169347541698</v>
      </c>
      <c r="N890">
        <v>50.6775074307971</v>
      </c>
      <c r="O890">
        <v>49.902818717443203</v>
      </c>
      <c r="P890">
        <v>-0.12538914379426699</v>
      </c>
      <c r="Q890">
        <v>0.13106671017572</v>
      </c>
      <c r="R890">
        <v>0.99023654164231101</v>
      </c>
      <c r="S890" t="s">
        <v>6441</v>
      </c>
      <c r="T890" t="s">
        <v>11100</v>
      </c>
      <c r="U890" t="s">
        <v>11100</v>
      </c>
      <c r="V890" t="s">
        <v>11100</v>
      </c>
      <c r="W890" t="s">
        <v>11975</v>
      </c>
      <c r="X890">
        <v>1</v>
      </c>
      <c r="Y890" t="s">
        <v>17471</v>
      </c>
      <c r="Z890" t="s">
        <v>22895</v>
      </c>
      <c r="AA890">
        <v>0.51752486861694647</v>
      </c>
      <c r="AB890" t="str">
        <f>HYPERLINK("Melting_Curves/meltCurve_H3BR06_TERF2.pdf", "Melting_Curves/meltCurve_H3BR06_TERF2.pdf")</f>
        <v>Melting_Curves/meltCurve_H3BR06_TERF2.pdf</v>
      </c>
    </row>
    <row r="891" spans="1:28" x14ac:dyDescent="0.25">
      <c r="A891" t="s">
        <v>895</v>
      </c>
      <c r="B891">
        <v>0.99299721793515405</v>
      </c>
      <c r="C891">
        <v>0.83807834208939602</v>
      </c>
      <c r="D891">
        <v>0.79535460641284905</v>
      </c>
      <c r="E891">
        <v>0.79228045514012302</v>
      </c>
      <c r="F891">
        <v>0.63887869436642597</v>
      </c>
      <c r="G891">
        <v>0.42164316345313801</v>
      </c>
      <c r="H891">
        <v>0.53716286968407101</v>
      </c>
      <c r="I891">
        <v>0.46747372590920799</v>
      </c>
      <c r="J891">
        <v>0.47302681477958203</v>
      </c>
      <c r="K891">
        <v>0.38936129316618301</v>
      </c>
      <c r="L891">
        <v>404.338836754498</v>
      </c>
      <c r="M891">
        <v>8.4922689014506307</v>
      </c>
      <c r="N891">
        <v>56.658132389566902</v>
      </c>
      <c r="O891">
        <v>45.192555679274399</v>
      </c>
      <c r="P891">
        <v>-2.9569931195640699E-2</v>
      </c>
      <c r="Q891">
        <v>0.37112986090955102</v>
      </c>
      <c r="R891">
        <v>0.91766307569190697</v>
      </c>
      <c r="S891" t="s">
        <v>6442</v>
      </c>
      <c r="T891" t="s">
        <v>11100</v>
      </c>
      <c r="U891" t="s">
        <v>11100</v>
      </c>
      <c r="V891" t="s">
        <v>11100</v>
      </c>
      <c r="W891" t="s">
        <v>11976</v>
      </c>
      <c r="X891">
        <v>2</v>
      </c>
      <c r="Y891" t="s">
        <v>17472</v>
      </c>
      <c r="Z891" t="s">
        <v>22896</v>
      </c>
      <c r="AA891">
        <v>0.62537770878575027</v>
      </c>
      <c r="AB891" t="str">
        <f>HYPERLINK("Melting_Curves/meltCurve_H3BR94_DCTN5.pdf", "Melting_Curves/meltCurve_H3BR94_DCTN5.pdf")</f>
        <v>Melting_Curves/meltCurve_H3BR94_DCTN5.pdf</v>
      </c>
    </row>
    <row r="892" spans="1:28" x14ac:dyDescent="0.25">
      <c r="A892" t="s">
        <v>896</v>
      </c>
      <c r="B892">
        <v>0.99299721793515405</v>
      </c>
      <c r="C892">
        <v>0.81236250907483498</v>
      </c>
      <c r="D892">
        <v>0.90070626338220205</v>
      </c>
      <c r="E892">
        <v>0.68673525119958301</v>
      </c>
      <c r="F892">
        <v>0.61573703659432499</v>
      </c>
      <c r="G892">
        <v>0.77329453176532503</v>
      </c>
      <c r="H892">
        <v>0.44423515676479802</v>
      </c>
      <c r="I892">
        <v>0.20984044983271499</v>
      </c>
      <c r="J892">
        <v>0.23392308949686699</v>
      </c>
      <c r="K892">
        <v>0</v>
      </c>
      <c r="L892">
        <v>452.22691623345401</v>
      </c>
      <c r="M892">
        <v>8.3128126054406497</v>
      </c>
      <c r="N892">
        <v>54.4011981186271</v>
      </c>
      <c r="O892">
        <v>51.525777617543703</v>
      </c>
      <c r="P892">
        <v>-4.0372767399394799E-2</v>
      </c>
      <c r="Q892">
        <v>0</v>
      </c>
      <c r="R892">
        <v>0.86087064821669401</v>
      </c>
      <c r="S892" t="s">
        <v>6443</v>
      </c>
      <c r="T892" t="s">
        <v>11100</v>
      </c>
      <c r="U892" t="s">
        <v>11100</v>
      </c>
      <c r="V892" t="s">
        <v>11100</v>
      </c>
      <c r="W892" t="s">
        <v>11977</v>
      </c>
      <c r="X892">
        <v>1</v>
      </c>
      <c r="Y892" t="s">
        <v>17473</v>
      </c>
      <c r="Z892" t="s">
        <v>22897</v>
      </c>
      <c r="AA892">
        <v>0.59247139121828241</v>
      </c>
      <c r="AB892" t="str">
        <f>HYPERLINK("Melting_Curves/meltCurve_H3BRB6_ZNRF1.pdf", "Melting_Curves/meltCurve_H3BRB6_ZNRF1.pdf")</f>
        <v>Melting_Curves/meltCurve_H3BRB6_ZNRF1.pdf</v>
      </c>
    </row>
    <row r="893" spans="1:28" x14ac:dyDescent="0.25">
      <c r="A893" t="s">
        <v>897</v>
      </c>
      <c r="B893">
        <v>0.99299721793515405</v>
      </c>
      <c r="C893">
        <v>0.92313743897410105</v>
      </c>
      <c r="D893">
        <v>0.83032551520477604</v>
      </c>
      <c r="E893">
        <v>0.68642575477938805</v>
      </c>
      <c r="F893">
        <v>0.558126568799026</v>
      </c>
      <c r="G893">
        <v>0.42506429220624098</v>
      </c>
      <c r="H893">
        <v>0.33527045794657601</v>
      </c>
      <c r="I893">
        <v>0.222823886131989</v>
      </c>
      <c r="J893">
        <v>0.171495145100998</v>
      </c>
      <c r="K893">
        <v>0.161608001872735</v>
      </c>
      <c r="L893">
        <v>427.39958657261298</v>
      </c>
      <c r="M893">
        <v>8.3528722803096205</v>
      </c>
      <c r="N893">
        <v>51.623163888559198</v>
      </c>
      <c r="O893">
        <v>48.487157062869997</v>
      </c>
      <c r="P893">
        <v>-4.1578424452968998E-2</v>
      </c>
      <c r="Q893">
        <v>3.5502206740068598E-2</v>
      </c>
      <c r="R893">
        <v>0.99739944627782096</v>
      </c>
      <c r="S893" t="s">
        <v>6444</v>
      </c>
      <c r="T893" t="s">
        <v>11100</v>
      </c>
      <c r="U893" t="s">
        <v>11100</v>
      </c>
      <c r="V893" t="s">
        <v>11100</v>
      </c>
      <c r="W893" t="s">
        <v>11966</v>
      </c>
      <c r="X893">
        <v>2</v>
      </c>
      <c r="Y893" t="s">
        <v>17462</v>
      </c>
      <c r="Z893" t="s">
        <v>22898</v>
      </c>
      <c r="AA893">
        <v>0.52298619573666905</v>
      </c>
      <c r="AB893" t="str">
        <f>HYPERLINK("Melting_Curves/meltCurve_H3BRD1_UBE2I.pdf", "Melting_Curves/meltCurve_H3BRD1_UBE2I.pdf")</f>
        <v>Melting_Curves/meltCurve_H3BRD1_UBE2I.pdf</v>
      </c>
    </row>
    <row r="894" spans="1:28" x14ac:dyDescent="0.25">
      <c r="A894" t="s">
        <v>898</v>
      </c>
      <c r="B894">
        <v>0.99299721793515405</v>
      </c>
      <c r="C894">
        <v>0.83750113408881</v>
      </c>
      <c r="D894">
        <v>0.83974908456588404</v>
      </c>
      <c r="E894">
        <v>0.80038357736774202</v>
      </c>
      <c r="F894">
        <v>0.678657784391269</v>
      </c>
      <c r="G894">
        <v>0.451831080407955</v>
      </c>
      <c r="H894">
        <v>0.39453128812476201</v>
      </c>
      <c r="I894">
        <v>0.45411461109920598</v>
      </c>
      <c r="J894">
        <v>0.47431373724646497</v>
      </c>
      <c r="K894">
        <v>0.34435788044300703</v>
      </c>
      <c r="L894">
        <v>446.82393937473302</v>
      </c>
      <c r="M894">
        <v>9.1417258693693508</v>
      </c>
      <c r="N894">
        <v>55.304293314874002</v>
      </c>
      <c r="O894">
        <v>46.7089786190732</v>
      </c>
      <c r="P894">
        <v>-3.2943074200023598E-2</v>
      </c>
      <c r="Q894">
        <v>0.327179647794128</v>
      </c>
      <c r="R894">
        <v>0.926431863239502</v>
      </c>
      <c r="S894" t="s">
        <v>6445</v>
      </c>
      <c r="T894" t="s">
        <v>11100</v>
      </c>
      <c r="U894" t="s">
        <v>11100</v>
      </c>
      <c r="V894" t="s">
        <v>11100</v>
      </c>
      <c r="W894" t="s">
        <v>11978</v>
      </c>
      <c r="X894">
        <v>7</v>
      </c>
      <c r="Y894" t="s">
        <v>17474</v>
      </c>
      <c r="Z894" t="s">
        <v>22899</v>
      </c>
      <c r="AA894">
        <v>0.62138510361305743</v>
      </c>
      <c r="AB894" t="str">
        <f>HYPERLINK("Melting_Curves/meltCurve_H3BRD2_GFER.pdf", "Melting_Curves/meltCurve_H3BRD2_GFER.pdf")</f>
        <v>Melting_Curves/meltCurve_H3BRD2_GFER.pdf</v>
      </c>
    </row>
    <row r="895" spans="1:28" x14ac:dyDescent="0.25">
      <c r="A895" t="s">
        <v>899</v>
      </c>
      <c r="B895">
        <v>0.99299721793515405</v>
      </c>
      <c r="C895">
        <v>0.91230847136357596</v>
      </c>
      <c r="D895">
        <v>0.941110012086672</v>
      </c>
      <c r="E895">
        <v>0.83868411326884595</v>
      </c>
      <c r="F895">
        <v>0.70926260489777104</v>
      </c>
      <c r="G895">
        <v>0.51854742589557501</v>
      </c>
      <c r="H895">
        <v>0.492699158559668</v>
      </c>
      <c r="I895">
        <v>0.50136421838332101</v>
      </c>
      <c r="J895">
        <v>0.494171601199066</v>
      </c>
      <c r="K895">
        <v>0.43485960206181901</v>
      </c>
      <c r="L895">
        <v>731.68030180619405</v>
      </c>
      <c r="M895">
        <v>14.9038194404771</v>
      </c>
      <c r="N895">
        <v>57.879474928777199</v>
      </c>
      <c r="O895">
        <v>48.2350476043719</v>
      </c>
      <c r="P895">
        <v>-4.2648096693644298E-2</v>
      </c>
      <c r="Q895">
        <v>0.44794821889104203</v>
      </c>
      <c r="R895">
        <v>0.97596079448369299</v>
      </c>
      <c r="S895" t="s">
        <v>6446</v>
      </c>
      <c r="T895" t="s">
        <v>11100</v>
      </c>
      <c r="U895" t="s">
        <v>11100</v>
      </c>
      <c r="V895" t="s">
        <v>11100</v>
      </c>
      <c r="W895" t="s">
        <v>11979</v>
      </c>
      <c r="X895">
        <v>10</v>
      </c>
      <c r="Y895" t="s">
        <v>17475</v>
      </c>
      <c r="Z895" t="s">
        <v>22900</v>
      </c>
      <c r="AA895">
        <v>0.6824554340188389</v>
      </c>
      <c r="AB895" t="str">
        <f>HYPERLINK("Melting_Curves/meltCurve_H3BRF9_ZFYVE19.pdf", "Melting_Curves/meltCurve_H3BRF9_ZFYVE19.pdf")</f>
        <v>Melting_Curves/meltCurve_H3BRF9_ZFYVE19.pdf</v>
      </c>
    </row>
    <row r="896" spans="1:28" x14ac:dyDescent="0.25">
      <c r="A896" t="s">
        <v>900</v>
      </c>
      <c r="B896">
        <v>0.99299721793515405</v>
      </c>
      <c r="C896">
        <v>1.10529485233933</v>
      </c>
      <c r="D896">
        <v>1.0834743929323101</v>
      </c>
      <c r="E896">
        <v>0.87138234204078502</v>
      </c>
      <c r="F896">
        <v>0.77483592860608796</v>
      </c>
      <c r="G896">
        <v>0.55014960675262703</v>
      </c>
      <c r="H896">
        <v>0.31937165132710899</v>
      </c>
      <c r="I896">
        <v>0.24700150866190701</v>
      </c>
      <c r="J896">
        <v>0.18168352816531</v>
      </c>
      <c r="K896">
        <v>0.13880313937442501</v>
      </c>
      <c r="L896">
        <v>867.95070597764902</v>
      </c>
      <c r="M896">
        <v>16.2363684303055</v>
      </c>
      <c r="N896">
        <v>54.3887130673006</v>
      </c>
      <c r="O896">
        <v>52.666002278496499</v>
      </c>
      <c r="P896">
        <v>-6.7722092088301405E-2</v>
      </c>
      <c r="Q896">
        <v>0.121382899380461</v>
      </c>
      <c r="R896">
        <v>0.98043081759583395</v>
      </c>
      <c r="S896" t="s">
        <v>6447</v>
      </c>
      <c r="T896" t="s">
        <v>11100</v>
      </c>
      <c r="U896" t="s">
        <v>11100</v>
      </c>
      <c r="V896" t="s">
        <v>11100</v>
      </c>
      <c r="W896" t="s">
        <v>11980</v>
      </c>
      <c r="X896">
        <v>6</v>
      </c>
      <c r="Y896" t="s">
        <v>17476</v>
      </c>
      <c r="Z896" t="s">
        <v>22901</v>
      </c>
      <c r="AA896">
        <v>0.61735395563723672</v>
      </c>
      <c r="AB896" t="str">
        <f>HYPERLINK("Melting_Curves/meltCurve_H3BRL3_UBFD1.pdf", "Melting_Curves/meltCurve_H3BRL3_UBFD1.pdf")</f>
        <v>Melting_Curves/meltCurve_H3BRL3_UBFD1.pdf</v>
      </c>
    </row>
    <row r="897" spans="1:28" x14ac:dyDescent="0.25">
      <c r="A897" t="s">
        <v>901</v>
      </c>
      <c r="B897">
        <v>0.99299721793515405</v>
      </c>
      <c r="C897">
        <v>1.1719986725947</v>
      </c>
      <c r="D897">
        <v>0.88496816901678899</v>
      </c>
      <c r="E897">
        <v>0.92079437907656403</v>
      </c>
      <c r="F897">
        <v>0.88340225577664</v>
      </c>
      <c r="G897">
        <v>0.57647906296599705</v>
      </c>
      <c r="H897">
        <v>0.55410817780090604</v>
      </c>
      <c r="I897">
        <v>0.39548444598754801</v>
      </c>
      <c r="J897">
        <v>0.21422373996302099</v>
      </c>
      <c r="K897">
        <v>9.0409404447004502E-2</v>
      </c>
      <c r="L897">
        <v>654.62954489906497</v>
      </c>
      <c r="M897">
        <v>11.4262792916092</v>
      </c>
      <c r="N897">
        <v>57.291575760159702</v>
      </c>
      <c r="O897">
        <v>55.620983815450998</v>
      </c>
      <c r="P897">
        <v>-5.13727365498527E-2</v>
      </c>
      <c r="Q897">
        <v>0</v>
      </c>
      <c r="R897">
        <v>0.94274029772493495</v>
      </c>
      <c r="S897" t="s">
        <v>6448</v>
      </c>
      <c r="T897" t="s">
        <v>11100</v>
      </c>
      <c r="U897" t="s">
        <v>11100</v>
      </c>
      <c r="V897" t="s">
        <v>11100</v>
      </c>
      <c r="W897" t="s">
        <v>11981</v>
      </c>
      <c r="X897">
        <v>2</v>
      </c>
      <c r="Y897" t="s">
        <v>17477</v>
      </c>
      <c r="Z897" t="s">
        <v>22902</v>
      </c>
      <c r="AA897">
        <v>0.67801372145056271</v>
      </c>
      <c r="AB897" t="str">
        <f>HYPERLINK("Melting_Curves/meltCurve_H3BRQ8_NUDT7.pdf", "Melting_Curves/meltCurve_H3BRQ8_NUDT7.pdf")</f>
        <v>Melting_Curves/meltCurve_H3BRQ8_NUDT7.pdf</v>
      </c>
    </row>
    <row r="898" spans="1:28" x14ac:dyDescent="0.25">
      <c r="A898" t="s">
        <v>902</v>
      </c>
      <c r="B898">
        <v>0.99299721793515405</v>
      </c>
      <c r="C898">
        <v>0.84997847977605701</v>
      </c>
      <c r="D898">
        <v>0.82402988138052402</v>
      </c>
      <c r="E898">
        <v>0.77323687687787901</v>
      </c>
      <c r="F898">
        <v>0.59085283466434102</v>
      </c>
      <c r="G898">
        <v>0.26285275721297402</v>
      </c>
      <c r="H898">
        <v>0.28888565126379301</v>
      </c>
      <c r="I898">
        <v>0.20287835189376499</v>
      </c>
      <c r="J898">
        <v>0.25164186896881102</v>
      </c>
      <c r="K898">
        <v>0.16713752630081199</v>
      </c>
      <c r="L898">
        <v>552.32686770550401</v>
      </c>
      <c r="M898">
        <v>11.1843764126835</v>
      </c>
      <c r="N898">
        <v>50.7588650620403</v>
      </c>
      <c r="O898">
        <v>47.883957236537597</v>
      </c>
      <c r="P898">
        <v>-5.0777429705644299E-2</v>
      </c>
      <c r="Q898">
        <v>0.13069624700185001</v>
      </c>
      <c r="R898">
        <v>0.95996204872231095</v>
      </c>
      <c r="S898" t="s">
        <v>6449</v>
      </c>
      <c r="T898" t="s">
        <v>11100</v>
      </c>
      <c r="U898" t="s">
        <v>11100</v>
      </c>
      <c r="V898" t="s">
        <v>11100</v>
      </c>
      <c r="W898" t="s">
        <v>11982</v>
      </c>
      <c r="X898">
        <v>3</v>
      </c>
      <c r="Y898" t="s">
        <v>17478</v>
      </c>
      <c r="Z898" t="s">
        <v>22903</v>
      </c>
      <c r="AA898">
        <v>0.51709357706587045</v>
      </c>
      <c r="AB898" t="str">
        <f>HYPERLINK("Melting_Curves/meltCurve_H3BRS1_NFATC3.pdf", "Melting_Curves/meltCurve_H3BRS1_NFATC3.pdf")</f>
        <v>Melting_Curves/meltCurve_H3BRS1_NFATC3.pdf</v>
      </c>
    </row>
    <row r="899" spans="1:28" x14ac:dyDescent="0.25">
      <c r="A899" t="s">
        <v>903</v>
      </c>
      <c r="B899">
        <v>0.99299721793515405</v>
      </c>
      <c r="C899">
        <v>1.0073850128086901</v>
      </c>
      <c r="D899">
        <v>1.0988187111661001</v>
      </c>
      <c r="E899">
        <v>0.77027355435580003</v>
      </c>
      <c r="F899">
        <v>0.66614014780423403</v>
      </c>
      <c r="G899">
        <v>0.54924672486768999</v>
      </c>
      <c r="H899">
        <v>0.47803678613990502</v>
      </c>
      <c r="I899">
        <v>0.65658801516998999</v>
      </c>
      <c r="J899">
        <v>0.60645146586367604</v>
      </c>
      <c r="K899">
        <v>0.61707655952387996</v>
      </c>
      <c r="L899">
        <v>4030.3205384456101</v>
      </c>
      <c r="M899">
        <v>86.752189795307501</v>
      </c>
      <c r="O899">
        <v>46.433184534089499</v>
      </c>
      <c r="P899">
        <v>-0.18897852684584701</v>
      </c>
      <c r="Q899">
        <v>0.595405082386954</v>
      </c>
      <c r="R899">
        <v>0.91549294251389601</v>
      </c>
      <c r="S899" t="s">
        <v>6450</v>
      </c>
      <c r="T899" t="s">
        <v>11100</v>
      </c>
      <c r="U899" t="s">
        <v>11100</v>
      </c>
      <c r="V899" t="s">
        <v>11100</v>
      </c>
      <c r="W899" t="s">
        <v>11983</v>
      </c>
      <c r="X899">
        <v>2</v>
      </c>
      <c r="Y899" t="s">
        <v>17479</v>
      </c>
      <c r="Z899" t="s">
        <v>22904</v>
      </c>
      <c r="AA899">
        <v>0.72323279462730128</v>
      </c>
      <c r="AB899" t="str">
        <f>HYPERLINK("Melting_Curves/meltCurve_H3BRU1_FAM219B.pdf", "Melting_Curves/meltCurve_H3BRU1_FAM219B.pdf")</f>
        <v>Melting_Curves/meltCurve_H3BRU1_FAM219B.pdf</v>
      </c>
    </row>
    <row r="900" spans="1:28" x14ac:dyDescent="0.25">
      <c r="A900" t="s">
        <v>904</v>
      </c>
      <c r="B900">
        <v>0.99299721793515405</v>
      </c>
      <c r="C900">
        <v>0.97630499187189002</v>
      </c>
      <c r="D900">
        <v>0.87221053261443304</v>
      </c>
      <c r="E900">
        <v>0.78453851414321196</v>
      </c>
      <c r="F900">
        <v>0.73652733301162299</v>
      </c>
      <c r="G900">
        <v>0.60366136080897703</v>
      </c>
      <c r="H900">
        <v>0.49976690689963998</v>
      </c>
      <c r="I900">
        <v>0.52697898322382097</v>
      </c>
      <c r="J900">
        <v>0.40346689001263197</v>
      </c>
      <c r="K900">
        <v>0.33191000914917501</v>
      </c>
      <c r="L900">
        <v>365.36581610388299</v>
      </c>
      <c r="M900">
        <v>6.6050960255749001</v>
      </c>
      <c r="N900">
        <v>58.793188151778502</v>
      </c>
      <c r="O900">
        <v>50.904141516924597</v>
      </c>
      <c r="P900">
        <v>-2.7255872756374599E-2</v>
      </c>
      <c r="Q900">
        <v>0.161698890500138</v>
      </c>
      <c r="R900">
        <v>0.97860778847199403</v>
      </c>
      <c r="S900" t="s">
        <v>6451</v>
      </c>
      <c r="T900" t="s">
        <v>11100</v>
      </c>
      <c r="U900" t="s">
        <v>11100</v>
      </c>
      <c r="V900" t="s">
        <v>11100</v>
      </c>
      <c r="W900" t="s">
        <v>11984</v>
      </c>
      <c r="X900">
        <v>7</v>
      </c>
      <c r="Y900" t="s">
        <v>17480</v>
      </c>
      <c r="Z900" t="s">
        <v>22905</v>
      </c>
      <c r="AA900">
        <v>0.670482688713532</v>
      </c>
      <c r="AB900" t="str">
        <f>HYPERLINK("Melting_Curves/meltCurve_H3BRV0_EIF3C.pdf", "Melting_Curves/meltCurve_H3BRV0_EIF3C.pdf")</f>
        <v>Melting_Curves/meltCurve_H3BRV0_EIF3C.pdf</v>
      </c>
    </row>
    <row r="901" spans="1:28" x14ac:dyDescent="0.25">
      <c r="A901" t="s">
        <v>905</v>
      </c>
      <c r="B901">
        <v>0.99299721793515405</v>
      </c>
      <c r="C901">
        <v>1.02396339407294</v>
      </c>
      <c r="D901">
        <v>0.93212690782229801</v>
      </c>
      <c r="E901">
        <v>0.91750619321776405</v>
      </c>
      <c r="F901">
        <v>0.76995660829122203</v>
      </c>
      <c r="G901">
        <v>0.60391138898577201</v>
      </c>
      <c r="H901">
        <v>0.38821648709461798</v>
      </c>
      <c r="I901">
        <v>0.29125542794361697</v>
      </c>
      <c r="J901">
        <v>0.163787190378829</v>
      </c>
      <c r="K901">
        <v>0.15725646509244701</v>
      </c>
      <c r="L901">
        <v>672.61578181326297</v>
      </c>
      <c r="M901">
        <v>12.2199587510108</v>
      </c>
      <c r="N901">
        <v>55.490179384062003</v>
      </c>
      <c r="O901">
        <v>53.630595162564703</v>
      </c>
      <c r="P901">
        <v>-5.4301248762624897E-2</v>
      </c>
      <c r="Q901">
        <v>4.6951149962359398E-2</v>
      </c>
      <c r="R901">
        <v>0.99575488525037303</v>
      </c>
      <c r="S901" t="s">
        <v>6452</v>
      </c>
      <c r="T901" t="s">
        <v>11100</v>
      </c>
      <c r="U901" t="s">
        <v>11100</v>
      </c>
      <c r="V901" t="s">
        <v>11100</v>
      </c>
      <c r="W901" t="s">
        <v>11985</v>
      </c>
      <c r="X901">
        <v>2</v>
      </c>
      <c r="Y901" t="s">
        <v>17481</v>
      </c>
      <c r="Z901" t="s">
        <v>22906</v>
      </c>
      <c r="AA901">
        <v>0.63357284002793279</v>
      </c>
      <c r="AB901" t="str">
        <f>HYPERLINK("Melting_Curves/meltCurve_H3BRY6_VWA9.pdf", "Melting_Curves/meltCurve_H3BRY6_VWA9.pdf")</f>
        <v>Melting_Curves/meltCurve_H3BRY6_VWA9.pdf</v>
      </c>
    </row>
    <row r="902" spans="1:28" x14ac:dyDescent="0.25">
      <c r="A902" t="s">
        <v>906</v>
      </c>
      <c r="B902">
        <v>0.99299721793515405</v>
      </c>
      <c r="C902">
        <v>0.93273292410790098</v>
      </c>
      <c r="D902">
        <v>0.76735412191013197</v>
      </c>
      <c r="E902">
        <v>0.70618312546469297</v>
      </c>
      <c r="F902">
        <v>0.78830159021060298</v>
      </c>
      <c r="G902">
        <v>0.45217030490347998</v>
      </c>
      <c r="H902">
        <v>0.46723350852534301</v>
      </c>
      <c r="I902">
        <v>0.38885438506030101</v>
      </c>
      <c r="J902">
        <v>0.40694544481459699</v>
      </c>
      <c r="K902">
        <v>0.25480554662794203</v>
      </c>
      <c r="L902">
        <v>322.64762309699603</v>
      </c>
      <c r="M902">
        <v>5.9284580756359899</v>
      </c>
      <c r="N902">
        <v>55.8496558870131</v>
      </c>
      <c r="O902">
        <v>49.196096228696803</v>
      </c>
      <c r="P902">
        <v>-2.81052131554646E-2</v>
      </c>
      <c r="Q902">
        <v>7.0241025617931205E-2</v>
      </c>
      <c r="R902">
        <v>0.92030335339810299</v>
      </c>
      <c r="S902" t="s">
        <v>6453</v>
      </c>
      <c r="T902" t="s">
        <v>11100</v>
      </c>
      <c r="U902" t="s">
        <v>11100</v>
      </c>
      <c r="V902" t="s">
        <v>11100</v>
      </c>
      <c r="W902" t="s">
        <v>11986</v>
      </c>
      <c r="X902">
        <v>2</v>
      </c>
      <c r="Y902" t="s">
        <v>17482</v>
      </c>
      <c r="Z902" t="s">
        <v>22907</v>
      </c>
      <c r="AA902">
        <v>0.61171093573318458</v>
      </c>
      <c r="AB902" t="str">
        <f>HYPERLINK("Melting_Curves/meltCurve_H3BS42_ZNF768.pdf", "Melting_Curves/meltCurve_H3BS42_ZNF768.pdf")</f>
        <v>Melting_Curves/meltCurve_H3BS42_ZNF768.pdf</v>
      </c>
    </row>
    <row r="903" spans="1:28" x14ac:dyDescent="0.25">
      <c r="A903" t="s">
        <v>907</v>
      </c>
      <c r="B903">
        <v>0.99299721793515405</v>
      </c>
      <c r="C903">
        <v>0.911088518220174</v>
      </c>
      <c r="D903">
        <v>0.88540402900083703</v>
      </c>
      <c r="E903">
        <v>0.89064327763657303</v>
      </c>
      <c r="F903">
        <v>0.67395835573478902</v>
      </c>
      <c r="G903">
        <v>0.38365917491410101</v>
      </c>
      <c r="H903">
        <v>0.36647858427533198</v>
      </c>
      <c r="I903">
        <v>0.60466973084006503</v>
      </c>
      <c r="J903">
        <v>0.41993877923573297</v>
      </c>
      <c r="K903">
        <v>0.27659110419266802</v>
      </c>
      <c r="L903">
        <v>1267.0923963827699</v>
      </c>
      <c r="M903">
        <v>25.690935715730799</v>
      </c>
      <c r="N903">
        <v>52.601057058458501</v>
      </c>
      <c r="O903">
        <v>49.024683875713002</v>
      </c>
      <c r="P903">
        <v>-7.8702100288827806E-2</v>
      </c>
      <c r="Q903">
        <v>0.39927465918656702</v>
      </c>
      <c r="R903">
        <v>0.86939719484102695</v>
      </c>
      <c r="S903" t="s">
        <v>6454</v>
      </c>
      <c r="T903" t="s">
        <v>11100</v>
      </c>
      <c r="U903" t="s">
        <v>11100</v>
      </c>
      <c r="V903" t="s">
        <v>11100</v>
      </c>
      <c r="W903" t="s">
        <v>11987</v>
      </c>
      <c r="X903">
        <v>1</v>
      </c>
      <c r="Y903" t="s">
        <v>17483</v>
      </c>
      <c r="Z903" t="s">
        <v>22908</v>
      </c>
      <c r="AA903">
        <v>0.65092869749825966</v>
      </c>
      <c r="AB903" t="str">
        <f>HYPERLINK("Melting_Curves/meltCurve_H3BS89_TMEM178B.pdf", "Melting_Curves/meltCurve_H3BS89_TMEM178B.pdf")</f>
        <v>Melting_Curves/meltCurve_H3BS89_TMEM178B.pdf</v>
      </c>
    </row>
    <row r="904" spans="1:28" x14ac:dyDescent="0.25">
      <c r="A904" t="s">
        <v>908</v>
      </c>
      <c r="B904">
        <v>0.99299721793515405</v>
      </c>
      <c r="C904">
        <v>1.21074550032842</v>
      </c>
      <c r="D904">
        <v>1.40575606173606</v>
      </c>
      <c r="E904">
        <v>0.68030209723106405</v>
      </c>
      <c r="F904">
        <v>1.1433423073533699</v>
      </c>
      <c r="G904">
        <v>0.51068777826157497</v>
      </c>
      <c r="H904">
        <v>0.86085627748631</v>
      </c>
      <c r="I904">
        <v>0.32664922101199101</v>
      </c>
      <c r="J904">
        <v>0.25661208370646299</v>
      </c>
      <c r="K904">
        <v>0.301611988886064</v>
      </c>
      <c r="L904">
        <v>814.92451023711806</v>
      </c>
      <c r="M904">
        <v>13.986589404483301</v>
      </c>
      <c r="N904">
        <v>59.464809460173797</v>
      </c>
      <c r="O904">
        <v>57.1124189413447</v>
      </c>
      <c r="P904">
        <v>-5.3702591127411298E-2</v>
      </c>
      <c r="Q904">
        <v>0.12296630980075</v>
      </c>
      <c r="R904">
        <v>0.66961214614095199</v>
      </c>
      <c r="S904" t="s">
        <v>6455</v>
      </c>
      <c r="T904" t="s">
        <v>11100</v>
      </c>
      <c r="U904" t="s">
        <v>11100</v>
      </c>
      <c r="V904" t="s">
        <v>11100</v>
      </c>
      <c r="W904" t="s">
        <v>11988</v>
      </c>
      <c r="X904">
        <v>1</v>
      </c>
      <c r="Y904" t="s">
        <v>17484</v>
      </c>
      <c r="Z904" t="s">
        <v>22909</v>
      </c>
      <c r="AA904">
        <v>0.7458806918514812</v>
      </c>
      <c r="AB904" t="str">
        <f>HYPERLINK("Melting_Curves/meltCurve_H3BSB6_SLC7A6.pdf", "Melting_Curves/meltCurve_H3BSB6_SLC7A6.pdf")</f>
        <v>Melting_Curves/meltCurve_H3BSB6_SLC7A6.pdf</v>
      </c>
    </row>
    <row r="905" spans="1:28" x14ac:dyDescent="0.25">
      <c r="A905" t="s">
        <v>909</v>
      </c>
      <c r="B905">
        <v>0.99299721793515405</v>
      </c>
      <c r="C905">
        <v>1.00317831208863</v>
      </c>
      <c r="D905">
        <v>0.91934117201758503</v>
      </c>
      <c r="E905">
        <v>0.81982047870347796</v>
      </c>
      <c r="F905">
        <v>0.58670738669240396</v>
      </c>
      <c r="G905">
        <v>0.345137128742041</v>
      </c>
      <c r="H905">
        <v>0.27879518650961499</v>
      </c>
      <c r="I905">
        <v>0.28347459811434</v>
      </c>
      <c r="J905">
        <v>0.22435435242063401</v>
      </c>
      <c r="K905">
        <v>0.146096995083176</v>
      </c>
      <c r="L905">
        <v>811.73585342200397</v>
      </c>
      <c r="M905">
        <v>16.255117012291301</v>
      </c>
      <c r="N905">
        <v>51.418394774039299</v>
      </c>
      <c r="O905">
        <v>49.199816888265701</v>
      </c>
      <c r="P905">
        <v>-6.7160927174903906E-2</v>
      </c>
      <c r="Q905">
        <v>0.18694850787613601</v>
      </c>
      <c r="R905">
        <v>0.99182865095740302</v>
      </c>
      <c r="S905" t="s">
        <v>6456</v>
      </c>
      <c r="T905" t="s">
        <v>11100</v>
      </c>
      <c r="U905" t="s">
        <v>11100</v>
      </c>
      <c r="V905" t="s">
        <v>11100</v>
      </c>
      <c r="W905" t="s">
        <v>11989</v>
      </c>
      <c r="X905">
        <v>4</v>
      </c>
      <c r="Y905" t="s">
        <v>17485</v>
      </c>
      <c r="Z905" t="s">
        <v>22910</v>
      </c>
      <c r="AA905">
        <v>0.55266455467241882</v>
      </c>
      <c r="AB905" t="str">
        <f>HYPERLINK("Melting_Curves/meltCurve_H3BSH5_COG8.pdf", "Melting_Curves/meltCurve_H3BSH5_COG8.pdf")</f>
        <v>Melting_Curves/meltCurve_H3BSH5_COG8.pdf</v>
      </c>
    </row>
    <row r="906" spans="1:28" x14ac:dyDescent="0.25">
      <c r="A906" t="s">
        <v>910</v>
      </c>
      <c r="B906">
        <v>0.99299721793515405</v>
      </c>
      <c r="C906">
        <v>0.97874137103653702</v>
      </c>
      <c r="D906">
        <v>1.08777820316339</v>
      </c>
      <c r="E906">
        <v>1.0901116120088601</v>
      </c>
      <c r="F906">
        <v>1.05002668719684</v>
      </c>
      <c r="G906">
        <v>1.4955255405048899</v>
      </c>
      <c r="H906">
        <v>0.88951360283410696</v>
      </c>
      <c r="I906">
        <v>0.88474568379326601</v>
      </c>
      <c r="J906">
        <v>0.60414244233205305</v>
      </c>
      <c r="K906">
        <v>0.476596406371398</v>
      </c>
      <c r="L906">
        <v>2490.6233813388599</v>
      </c>
      <c r="M906">
        <v>39.613116153454797</v>
      </c>
      <c r="N906">
        <v>66.109979715971207</v>
      </c>
      <c r="O906">
        <v>62.714113163002303</v>
      </c>
      <c r="P906">
        <v>-9.0311540440186799E-2</v>
      </c>
      <c r="Q906">
        <v>0.42808882339043502</v>
      </c>
      <c r="R906">
        <v>0.60741945228387395</v>
      </c>
      <c r="S906" t="s">
        <v>6457</v>
      </c>
      <c r="T906" t="s">
        <v>11100</v>
      </c>
      <c r="U906" t="s">
        <v>11100</v>
      </c>
      <c r="V906" t="s">
        <v>11100</v>
      </c>
      <c r="W906" t="s">
        <v>11990</v>
      </c>
      <c r="X906">
        <v>2</v>
      </c>
      <c r="Y906" t="s">
        <v>17486</v>
      </c>
      <c r="Z906" t="s">
        <v>22911</v>
      </c>
      <c r="AA906">
        <v>0.92082829726164095</v>
      </c>
      <c r="AB906" t="str">
        <f>HYPERLINK("Melting_Curves/meltCurve_H3BSM5_GABARAPL2.pdf", "Melting_Curves/meltCurve_H3BSM5_GABARAPL2.pdf")</f>
        <v>Melting_Curves/meltCurve_H3BSM5_GABARAPL2.pdf</v>
      </c>
    </row>
    <row r="907" spans="1:28" x14ac:dyDescent="0.25">
      <c r="A907" t="s">
        <v>911</v>
      </c>
      <c r="B907">
        <v>0.99299721793515405</v>
      </c>
      <c r="C907">
        <v>0.985707180422704</v>
      </c>
      <c r="D907">
        <v>1.15830395022683</v>
      </c>
      <c r="E907">
        <v>0.81438682569737098</v>
      </c>
      <c r="F907">
        <v>0.81983503451466699</v>
      </c>
      <c r="G907">
        <v>0.76315107899127899</v>
      </c>
      <c r="H907">
        <v>0.401361095230928</v>
      </c>
      <c r="I907">
        <v>0.372932701765118</v>
      </c>
      <c r="J907">
        <v>0.135864712228251</v>
      </c>
      <c r="K907">
        <v>0.12624210159843499</v>
      </c>
      <c r="L907">
        <v>730.558041914868</v>
      </c>
      <c r="M907">
        <v>12.8353867292606</v>
      </c>
      <c r="N907">
        <v>56.917493780879902</v>
      </c>
      <c r="O907">
        <v>55.589014626356899</v>
      </c>
      <c r="P907">
        <v>-5.7735210618902598E-2</v>
      </c>
      <c r="Q907">
        <v>0</v>
      </c>
      <c r="R907">
        <v>0.94378119865392196</v>
      </c>
      <c r="S907" t="s">
        <v>6458</v>
      </c>
      <c r="T907" t="s">
        <v>11100</v>
      </c>
      <c r="U907" t="s">
        <v>11100</v>
      </c>
      <c r="V907" t="s">
        <v>11100</v>
      </c>
      <c r="W907" t="s">
        <v>11991</v>
      </c>
      <c r="X907">
        <v>2</v>
      </c>
      <c r="Y907" t="s">
        <v>17487</v>
      </c>
      <c r="Z907" t="s">
        <v>22912</v>
      </c>
      <c r="AA907">
        <v>0.6703839683040671</v>
      </c>
      <c r="AB907" t="str">
        <f>HYPERLINK("Melting_Curves/meltCurve_H3BSM7_C16orf58.pdf", "Melting_Curves/meltCurve_H3BSM7_C16orf58.pdf")</f>
        <v>Melting_Curves/meltCurve_H3BSM7_C16orf58.pdf</v>
      </c>
    </row>
    <row r="908" spans="1:28" x14ac:dyDescent="0.25">
      <c r="A908" t="s">
        <v>912</v>
      </c>
      <c r="B908">
        <v>0.99299721793515405</v>
      </c>
      <c r="C908">
        <v>0.89687277875844396</v>
      </c>
      <c r="D908">
        <v>0.98259505139571102</v>
      </c>
      <c r="E908">
        <v>0.82077462958016101</v>
      </c>
      <c r="F908">
        <v>0.68952730594901601</v>
      </c>
      <c r="G908">
        <v>0.58331422446607595</v>
      </c>
      <c r="H908">
        <v>0.32076916977843101</v>
      </c>
      <c r="I908">
        <v>0.27014482003391999</v>
      </c>
      <c r="J908">
        <v>0.23860500816445299</v>
      </c>
      <c r="K908">
        <v>0.18102316311875399</v>
      </c>
      <c r="L908">
        <v>572.81569954673705</v>
      </c>
      <c r="M908">
        <v>10.724538844267199</v>
      </c>
      <c r="N908">
        <v>54.372035334308002</v>
      </c>
      <c r="O908">
        <v>51.655101792237403</v>
      </c>
      <c r="P908">
        <v>-4.74437774072426E-2</v>
      </c>
      <c r="Q908">
        <v>8.6281721254399701E-2</v>
      </c>
      <c r="R908">
        <v>0.98260372882746005</v>
      </c>
      <c r="S908" t="s">
        <v>6459</v>
      </c>
      <c r="T908" t="s">
        <v>11100</v>
      </c>
      <c r="U908" t="s">
        <v>11100</v>
      </c>
      <c r="V908" t="s">
        <v>11100</v>
      </c>
      <c r="W908" t="s">
        <v>11992</v>
      </c>
      <c r="X908">
        <v>8</v>
      </c>
      <c r="Y908" t="s">
        <v>17488</v>
      </c>
      <c r="Z908" t="s">
        <v>22913</v>
      </c>
      <c r="AA908">
        <v>0.60480309601725069</v>
      </c>
      <c r="AB908" t="str">
        <f>HYPERLINK("Melting_Curves/meltCurve_H3BSW6_CTU2.pdf", "Melting_Curves/meltCurve_H3BSW6_CTU2.pdf")</f>
        <v>Melting_Curves/meltCurve_H3BSW6_CTU2.pdf</v>
      </c>
    </row>
    <row r="909" spans="1:28" x14ac:dyDescent="0.25">
      <c r="A909" t="s">
        <v>913</v>
      </c>
      <c r="B909">
        <v>0.99299721793515405</v>
      </c>
      <c r="C909">
        <v>1.0487452250384199</v>
      </c>
      <c r="D909">
        <v>0.93887276967175703</v>
      </c>
      <c r="E909">
        <v>0.88327733820439003</v>
      </c>
      <c r="F909">
        <v>0.59202098552082805</v>
      </c>
      <c r="G909">
        <v>0.66017561965693905</v>
      </c>
      <c r="H909">
        <v>0.58481165560672899</v>
      </c>
      <c r="I909">
        <v>0.33443645024775598</v>
      </c>
      <c r="J909">
        <v>0.22286065801225699</v>
      </c>
      <c r="K909">
        <v>0.21740291139451201</v>
      </c>
      <c r="L909">
        <v>469.66287772949499</v>
      </c>
      <c r="M909">
        <v>8.2848893530029493</v>
      </c>
      <c r="N909">
        <v>56.689094049467101</v>
      </c>
      <c r="O909">
        <v>53.674290081632797</v>
      </c>
      <c r="P909">
        <v>-3.8627009446927603E-2</v>
      </c>
      <c r="Q909">
        <v>0</v>
      </c>
      <c r="R909">
        <v>0.94559277958691201</v>
      </c>
      <c r="S909" t="s">
        <v>6460</v>
      </c>
      <c r="T909" t="s">
        <v>11100</v>
      </c>
      <c r="U909" t="s">
        <v>11100</v>
      </c>
      <c r="V909" t="s">
        <v>11100</v>
      </c>
      <c r="W909" t="s">
        <v>11993</v>
      </c>
      <c r="X909">
        <v>1</v>
      </c>
      <c r="Y909" t="s">
        <v>17489</v>
      </c>
      <c r="Z909" t="s">
        <v>22914</v>
      </c>
      <c r="AA909">
        <v>0.65002785953392861</v>
      </c>
      <c r="AB909" t="str">
        <f>HYPERLINK("Melting_Curves/meltCurve_H3BT12_FEM1B.pdf", "Melting_Curves/meltCurve_H3BT12_FEM1B.pdf")</f>
        <v>Melting_Curves/meltCurve_H3BT12_FEM1B.pdf</v>
      </c>
    </row>
    <row r="910" spans="1:28" x14ac:dyDescent="0.25">
      <c r="A910" t="s">
        <v>914</v>
      </c>
      <c r="B910">
        <v>0.99299721793515405</v>
      </c>
      <c r="C910">
        <v>0.97986559891135305</v>
      </c>
      <c r="D910">
        <v>1.0296899029991999</v>
      </c>
      <c r="E910">
        <v>0.86666665477601601</v>
      </c>
      <c r="F910">
        <v>0.798723978728763</v>
      </c>
      <c r="G910">
        <v>0.84028763282018404</v>
      </c>
      <c r="H910">
        <v>0.55832135037539199</v>
      </c>
      <c r="I910">
        <v>0.40506941768461302</v>
      </c>
      <c r="J910">
        <v>0.16675044052520699</v>
      </c>
      <c r="K910">
        <v>0.12180462906639</v>
      </c>
      <c r="L910">
        <v>792.44205344038505</v>
      </c>
      <c r="M910">
        <v>13.578649833774501</v>
      </c>
      <c r="N910">
        <v>58.359414517889697</v>
      </c>
      <c r="O910">
        <v>57.137314795817502</v>
      </c>
      <c r="P910">
        <v>-5.9421232741055603E-2</v>
      </c>
      <c r="Q910">
        <v>0</v>
      </c>
      <c r="R910">
        <v>0.96580662246042903</v>
      </c>
      <c r="S910" t="s">
        <v>6461</v>
      </c>
      <c r="T910" t="s">
        <v>11100</v>
      </c>
      <c r="U910" t="s">
        <v>11100</v>
      </c>
      <c r="V910" t="s">
        <v>11100</v>
      </c>
      <c r="W910" t="s">
        <v>11994</v>
      </c>
      <c r="X910">
        <v>2</v>
      </c>
      <c r="Y910" t="s">
        <v>17490</v>
      </c>
      <c r="Z910" t="s">
        <v>22915</v>
      </c>
      <c r="AA910">
        <v>0.71213605937949542</v>
      </c>
      <c r="AB910" t="str">
        <f>HYPERLINK("Melting_Curves/meltCurve_H3BTH4_ADPGK.pdf", "Melting_Curves/meltCurve_H3BTH4_ADPGK.pdf")</f>
        <v>Melting_Curves/meltCurve_H3BTH4_ADPGK.pdf</v>
      </c>
    </row>
    <row r="911" spans="1:28" x14ac:dyDescent="0.25">
      <c r="A911" t="s">
        <v>915</v>
      </c>
      <c r="B911">
        <v>0.99299721793515405</v>
      </c>
      <c r="C911">
        <v>0.99611705735681499</v>
      </c>
      <c r="D911">
        <v>0.98917833088264795</v>
      </c>
      <c r="E911">
        <v>0.93819501809211003</v>
      </c>
      <c r="F911">
        <v>0.74501982155785096</v>
      </c>
      <c r="G911">
        <v>0.52883291346941796</v>
      </c>
      <c r="H911">
        <v>0.41253721683605299</v>
      </c>
      <c r="I911">
        <v>0.30820554710845499</v>
      </c>
      <c r="J911">
        <v>0.23105430314408701</v>
      </c>
      <c r="K911">
        <v>0.26147988919614901</v>
      </c>
      <c r="L911">
        <v>859.87595351834602</v>
      </c>
      <c r="M911">
        <v>16.343041366129299</v>
      </c>
      <c r="N911">
        <v>54.624879194581297</v>
      </c>
      <c r="O911">
        <v>51.845346491538002</v>
      </c>
      <c r="P911">
        <v>-6.0998825391731099E-2</v>
      </c>
      <c r="Q911">
        <v>0.22602454930171301</v>
      </c>
      <c r="R911">
        <v>0.99663347028230298</v>
      </c>
      <c r="S911" t="s">
        <v>6462</v>
      </c>
      <c r="T911" t="s">
        <v>11100</v>
      </c>
      <c r="U911" t="s">
        <v>11100</v>
      </c>
      <c r="V911" t="s">
        <v>11100</v>
      </c>
      <c r="W911" t="s">
        <v>11995</v>
      </c>
      <c r="X911">
        <v>3</v>
      </c>
      <c r="Y911" t="s">
        <v>17491</v>
      </c>
      <c r="Z911" t="s">
        <v>22916</v>
      </c>
      <c r="AA911">
        <v>0.6417913432957254</v>
      </c>
      <c r="AB911" t="str">
        <f>HYPERLINK("Melting_Curves/meltCurve_H3BTL1_MAP1LC3B.pdf", "Melting_Curves/meltCurve_H3BTL1_MAP1LC3B.pdf")</f>
        <v>Melting_Curves/meltCurve_H3BTL1_MAP1LC3B.pdf</v>
      </c>
    </row>
    <row r="912" spans="1:28" x14ac:dyDescent="0.25">
      <c r="A912" t="s">
        <v>916</v>
      </c>
      <c r="B912">
        <v>0.99299721793515405</v>
      </c>
      <c r="C912">
        <v>0.85254488013959095</v>
      </c>
      <c r="D912">
        <v>0.90596063476733402</v>
      </c>
      <c r="E912">
        <v>0.84240909556972898</v>
      </c>
      <c r="F912">
        <v>0.69586351193135898</v>
      </c>
      <c r="G912">
        <v>0.40314372965113499</v>
      </c>
      <c r="H912">
        <v>0.60206155323088295</v>
      </c>
      <c r="I912">
        <v>0.89517829557758899</v>
      </c>
      <c r="J912">
        <v>1.2642809214433499</v>
      </c>
      <c r="K912">
        <v>1.6599921335954899</v>
      </c>
      <c r="L912">
        <v>15000</v>
      </c>
      <c r="M912">
        <v>234.12388979316799</v>
      </c>
      <c r="O912">
        <v>64.063986131047002</v>
      </c>
      <c r="P912">
        <v>0.45681663015230201</v>
      </c>
      <c r="Q912">
        <v>1.5</v>
      </c>
      <c r="R912">
        <v>0.36472964269140201</v>
      </c>
      <c r="S912" t="s">
        <v>6463</v>
      </c>
      <c r="T912" t="s">
        <v>11100</v>
      </c>
      <c r="U912" t="s">
        <v>11100</v>
      </c>
      <c r="V912" t="s">
        <v>11100</v>
      </c>
      <c r="W912" t="s">
        <v>11996</v>
      </c>
      <c r="X912">
        <v>1</v>
      </c>
      <c r="Y912" t="s">
        <v>17492</v>
      </c>
      <c r="Z912" t="s">
        <v>22917</v>
      </c>
      <c r="AA912">
        <v>1.0487920181067949</v>
      </c>
      <c r="AB912" t="str">
        <f>HYPERLINK("Melting_Curves/meltCurve_H3BTL2_BCKDK.pdf", "Melting_Curves/meltCurve_H3BTL2_BCKDK.pdf")</f>
        <v>Melting_Curves/meltCurve_H3BTL2_BCKDK.pdf</v>
      </c>
    </row>
    <row r="913" spans="1:28" x14ac:dyDescent="0.25">
      <c r="A913" t="s">
        <v>917</v>
      </c>
      <c r="B913">
        <v>0.99299721793515405</v>
      </c>
      <c r="C913">
        <v>0.91229792639174001</v>
      </c>
      <c r="D913">
        <v>0.98138976349713702</v>
      </c>
      <c r="E913">
        <v>0.88004292703878895</v>
      </c>
      <c r="F913">
        <v>0.77227263755359998</v>
      </c>
      <c r="G913">
        <v>0.49906547949582197</v>
      </c>
      <c r="H913">
        <v>0.60011658035365201</v>
      </c>
      <c r="I913">
        <v>0.78543191610378105</v>
      </c>
      <c r="J913">
        <v>1.0011618958366399</v>
      </c>
      <c r="K913">
        <v>0.88596255991757999</v>
      </c>
      <c r="L913">
        <v>2415.0534559133098</v>
      </c>
      <c r="M913">
        <v>51.810075391209097</v>
      </c>
      <c r="O913">
        <v>46.544297980268801</v>
      </c>
      <c r="P913">
        <v>-6.7800980966028004E-2</v>
      </c>
      <c r="Q913">
        <v>0.75636038520012805</v>
      </c>
      <c r="R913">
        <v>0.31861150292067802</v>
      </c>
      <c r="S913" t="s">
        <v>6464</v>
      </c>
      <c r="T913" t="s">
        <v>11100</v>
      </c>
      <c r="U913" t="s">
        <v>11100</v>
      </c>
      <c r="V913" t="s">
        <v>11100</v>
      </c>
      <c r="W913" t="s">
        <v>11939</v>
      </c>
      <c r="X913">
        <v>7</v>
      </c>
      <c r="Z913" t="s">
        <v>22918</v>
      </c>
      <c r="AA913">
        <v>0.83490179622683103</v>
      </c>
      <c r="AB913" t="str">
        <f>HYPERLINK("Melting_Curves/meltCurve_H3BTX0_.pdf", "Melting_Curves/meltCurve_H3BTX0_.pdf")</f>
        <v>Melting_Curves/meltCurve_H3BTX0_.pdf</v>
      </c>
    </row>
    <row r="914" spans="1:28" x14ac:dyDescent="0.25">
      <c r="A914" t="s">
        <v>918</v>
      </c>
      <c r="B914">
        <v>0.99299721793515405</v>
      </c>
      <c r="C914">
        <v>1.0407803283402699</v>
      </c>
      <c r="D914">
        <v>1.20033143807323</v>
      </c>
      <c r="E914">
        <v>0.74556353139276998</v>
      </c>
      <c r="F914">
        <v>0.85887070058927795</v>
      </c>
      <c r="G914">
        <v>0.65956518974926903</v>
      </c>
      <c r="H914">
        <v>0.35998606484895801</v>
      </c>
      <c r="I914">
        <v>0.33382988737319702</v>
      </c>
      <c r="J914">
        <v>0.286371646736163</v>
      </c>
      <c r="K914">
        <v>0.29527327938334802</v>
      </c>
      <c r="L914">
        <v>897.96954084597905</v>
      </c>
      <c r="M914">
        <v>16.780643665981898</v>
      </c>
      <c r="N914">
        <v>55.753736128888598</v>
      </c>
      <c r="O914">
        <v>52.769598415506103</v>
      </c>
      <c r="P914">
        <v>-5.9999718397415698E-2</v>
      </c>
      <c r="Q914">
        <v>0.24533165780848901</v>
      </c>
      <c r="R914">
        <v>0.90932603080055496</v>
      </c>
      <c r="S914" t="s">
        <v>6465</v>
      </c>
      <c r="T914" t="s">
        <v>11100</v>
      </c>
      <c r="U914" t="s">
        <v>11100</v>
      </c>
      <c r="V914" t="s">
        <v>11100</v>
      </c>
      <c r="W914" t="s">
        <v>11997</v>
      </c>
      <c r="X914">
        <v>2</v>
      </c>
      <c r="Y914" t="s">
        <v>17493</v>
      </c>
      <c r="Z914" t="s">
        <v>22919</v>
      </c>
      <c r="AA914">
        <v>0.67226693002197346</v>
      </c>
      <c r="AB914" t="str">
        <f>HYPERLINK("Melting_Curves/meltCurve_H3BU49_ARL2BP.pdf", "Melting_Curves/meltCurve_H3BU49_ARL2BP.pdf")</f>
        <v>Melting_Curves/meltCurve_H3BU49_ARL2BP.pdf</v>
      </c>
    </row>
    <row r="915" spans="1:28" x14ac:dyDescent="0.25">
      <c r="A915" t="s">
        <v>919</v>
      </c>
      <c r="B915">
        <v>0.99299721793515405</v>
      </c>
      <c r="C915">
        <v>0.85046560471528998</v>
      </c>
      <c r="D915">
        <v>0.92949544979700005</v>
      </c>
      <c r="E915">
        <v>0.69025157422111105</v>
      </c>
      <c r="F915">
        <v>0.66661956308027803</v>
      </c>
      <c r="G915">
        <v>0.69995100220283901</v>
      </c>
      <c r="H915">
        <v>0.38390386227449302</v>
      </c>
      <c r="I915">
        <v>0.413187183776074</v>
      </c>
      <c r="J915">
        <v>0.40244374105068897</v>
      </c>
      <c r="K915">
        <v>0.35496000427515201</v>
      </c>
      <c r="L915">
        <v>349.84622043706003</v>
      </c>
      <c r="M915">
        <v>6.5892215142900197</v>
      </c>
      <c r="N915">
        <v>56.9757936215277</v>
      </c>
      <c r="O915">
        <v>48.841514146628903</v>
      </c>
      <c r="P915">
        <v>-2.7691649152256199E-2</v>
      </c>
      <c r="Q915">
        <v>0.180854480667068</v>
      </c>
      <c r="R915">
        <v>0.91189050261891003</v>
      </c>
      <c r="S915" t="s">
        <v>6466</v>
      </c>
      <c r="T915" t="s">
        <v>11100</v>
      </c>
      <c r="U915" t="s">
        <v>11100</v>
      </c>
      <c r="V915" t="s">
        <v>11100</v>
      </c>
      <c r="W915" t="s">
        <v>11998</v>
      </c>
      <c r="X915">
        <v>1</v>
      </c>
      <c r="Y915" t="s">
        <v>17494</v>
      </c>
      <c r="Z915" t="s">
        <v>22920</v>
      </c>
      <c r="AA915">
        <v>0.63545241220036397</v>
      </c>
      <c r="AB915" t="str">
        <f>HYPERLINK("Melting_Curves/meltCurve_H3BU63_PPCDC.pdf", "Melting_Curves/meltCurve_H3BU63_PPCDC.pdf")</f>
        <v>Melting_Curves/meltCurve_H3BU63_PPCDC.pdf</v>
      </c>
    </row>
    <row r="916" spans="1:28" x14ac:dyDescent="0.25">
      <c r="A916" t="s">
        <v>920</v>
      </c>
      <c r="B916">
        <v>0.99299721793515405</v>
      </c>
      <c r="C916">
        <v>1.11669037100969</v>
      </c>
      <c r="D916">
        <v>0.73288094761127098</v>
      </c>
      <c r="E916">
        <v>1.25723333601707</v>
      </c>
      <c r="F916">
        <v>0.88734569045108602</v>
      </c>
      <c r="G916">
        <v>0.261095907229493</v>
      </c>
      <c r="H916">
        <v>0.14098474079218601</v>
      </c>
      <c r="I916">
        <v>0.27595999214524802</v>
      </c>
      <c r="J916">
        <v>0.20015360279137401</v>
      </c>
      <c r="K916">
        <v>0</v>
      </c>
      <c r="L916">
        <v>2956.6196266933298</v>
      </c>
      <c r="M916">
        <v>56.941702111199099</v>
      </c>
      <c r="N916">
        <v>52.262143168146402</v>
      </c>
      <c r="O916">
        <v>51.8596950616623</v>
      </c>
      <c r="P916">
        <v>-0.232163959903678</v>
      </c>
      <c r="Q916">
        <v>0.154226383771529</v>
      </c>
      <c r="R916">
        <v>0.89860461410278203</v>
      </c>
      <c r="S916" t="s">
        <v>6467</v>
      </c>
      <c r="T916" t="s">
        <v>11100</v>
      </c>
      <c r="U916" t="s">
        <v>11100</v>
      </c>
      <c r="V916" t="s">
        <v>11100</v>
      </c>
      <c r="W916" t="s">
        <v>11999</v>
      </c>
      <c r="X916">
        <v>27</v>
      </c>
      <c r="Y916" t="s">
        <v>17495</v>
      </c>
      <c r="Z916" t="s">
        <v>22921</v>
      </c>
      <c r="AA916">
        <v>0.57645158661896567</v>
      </c>
      <c r="AB916" t="str">
        <f>HYPERLINK("Melting_Curves/meltCurve_H3BUF6_ATXN2L.pdf", "Melting_Curves/meltCurve_H3BUF6_ATXN2L.pdf")</f>
        <v>Melting_Curves/meltCurve_H3BUF6_ATXN2L.pdf</v>
      </c>
    </row>
    <row r="917" spans="1:28" x14ac:dyDescent="0.25">
      <c r="A917" t="s">
        <v>921</v>
      </c>
      <c r="B917">
        <v>0.99299721793515405</v>
      </c>
      <c r="C917">
        <v>1.02333376405576</v>
      </c>
      <c r="D917">
        <v>1.02102072445724</v>
      </c>
      <c r="E917">
        <v>0.95001008718343005</v>
      </c>
      <c r="F917">
        <v>0.74750992947495798</v>
      </c>
      <c r="G917">
        <v>0.52465772634838903</v>
      </c>
      <c r="H917">
        <v>0.38866681525575902</v>
      </c>
      <c r="I917">
        <v>0.32554435653658298</v>
      </c>
      <c r="J917">
        <v>0.243690532977753</v>
      </c>
      <c r="K917">
        <v>0.141118151453383</v>
      </c>
      <c r="L917">
        <v>798.25267257342603</v>
      </c>
      <c r="M917">
        <v>14.9519452551431</v>
      </c>
      <c r="N917">
        <v>54.802534356785003</v>
      </c>
      <c r="O917">
        <v>52.460185558536502</v>
      </c>
      <c r="P917">
        <v>-5.9851977390120999E-2</v>
      </c>
      <c r="Q917">
        <v>0.16010256010909699</v>
      </c>
      <c r="R917">
        <v>0.989262487461252</v>
      </c>
      <c r="S917" t="s">
        <v>6468</v>
      </c>
      <c r="T917" t="s">
        <v>11100</v>
      </c>
      <c r="U917" t="s">
        <v>11100</v>
      </c>
      <c r="V917" t="s">
        <v>11100</v>
      </c>
      <c r="W917" t="s">
        <v>12000</v>
      </c>
      <c r="X917">
        <v>7</v>
      </c>
      <c r="Y917" t="s">
        <v>17496</v>
      </c>
      <c r="Z917" t="s">
        <v>22922</v>
      </c>
      <c r="AA917">
        <v>0.63344037535793796</v>
      </c>
      <c r="AB917" t="str">
        <f>HYPERLINK("Melting_Curves/meltCurve_H3BUQ2_OGFOD1.pdf", "Melting_Curves/meltCurve_H3BUQ2_OGFOD1.pdf")</f>
        <v>Melting_Curves/meltCurve_H3BUQ2_OGFOD1.pdf</v>
      </c>
    </row>
    <row r="918" spans="1:28" x14ac:dyDescent="0.25">
      <c r="A918" t="s">
        <v>922</v>
      </c>
      <c r="B918">
        <v>0.99299721793515405</v>
      </c>
      <c r="C918">
        <v>0.90231768579580296</v>
      </c>
      <c r="D918">
        <v>0.85651725134397305</v>
      </c>
      <c r="E918">
        <v>0.78082222090313103</v>
      </c>
      <c r="F918">
        <v>0.66618897199946303</v>
      </c>
      <c r="G918">
        <v>0.41757725674429402</v>
      </c>
      <c r="H918">
        <v>0.26665365648956502</v>
      </c>
      <c r="I918">
        <v>0.22340020260774701</v>
      </c>
      <c r="J918">
        <v>0.22630830971133301</v>
      </c>
      <c r="K918">
        <v>0.163580665095551</v>
      </c>
      <c r="L918">
        <v>528.05146651597795</v>
      </c>
      <c r="M918">
        <v>10.256650133275199</v>
      </c>
      <c r="N918">
        <v>52.389252224535397</v>
      </c>
      <c r="O918">
        <v>49.641886551817301</v>
      </c>
      <c r="P918">
        <v>-4.7478822247087701E-2</v>
      </c>
      <c r="Q918">
        <v>8.1221132154900594E-2</v>
      </c>
      <c r="R918">
        <v>0.98563097457840798</v>
      </c>
      <c r="S918" t="s">
        <v>6469</v>
      </c>
      <c r="T918" t="s">
        <v>11100</v>
      </c>
      <c r="U918" t="s">
        <v>11100</v>
      </c>
      <c r="V918" t="s">
        <v>11100</v>
      </c>
      <c r="W918" t="s">
        <v>12001</v>
      </c>
      <c r="X918">
        <v>2</v>
      </c>
      <c r="Y918" t="s">
        <v>17497</v>
      </c>
      <c r="Z918" t="s">
        <v>22923</v>
      </c>
      <c r="AA918">
        <v>0.5507295882191926</v>
      </c>
      <c r="AB918" t="str">
        <f>HYPERLINK("Melting_Curves/meltCurve_H3BV23_UBL7.pdf", "Melting_Curves/meltCurve_H3BV23_UBL7.pdf")</f>
        <v>Melting_Curves/meltCurve_H3BV23_UBL7.pdf</v>
      </c>
    </row>
    <row r="919" spans="1:28" x14ac:dyDescent="0.25">
      <c r="A919" t="s">
        <v>923</v>
      </c>
      <c r="B919">
        <v>0.99299721793515405</v>
      </c>
      <c r="C919">
        <v>1.0597592344148501</v>
      </c>
      <c r="D919">
        <v>1.00365447648134</v>
      </c>
      <c r="E919">
        <v>0.92310830341702899</v>
      </c>
      <c r="F919">
        <v>0.72931317819675101</v>
      </c>
      <c r="G919">
        <v>0.51866652025799898</v>
      </c>
      <c r="H919">
        <v>0.25251831120391899</v>
      </c>
      <c r="I919">
        <v>0.115488686908223</v>
      </c>
      <c r="J919">
        <v>7.6799768190848203E-2</v>
      </c>
      <c r="K919">
        <v>0.103100475476995</v>
      </c>
      <c r="L919">
        <v>925.09686891718104</v>
      </c>
      <c r="M919">
        <v>17.351419193454699</v>
      </c>
      <c r="N919">
        <v>53.598906455241902</v>
      </c>
      <c r="O919">
        <v>52.6222977780387</v>
      </c>
      <c r="P919">
        <v>-7.8823147113051606E-2</v>
      </c>
      <c r="Q919">
        <v>4.3854892706874801E-2</v>
      </c>
      <c r="R919">
        <v>0.99462479338118603</v>
      </c>
      <c r="S919" t="s">
        <v>6470</v>
      </c>
      <c r="T919" t="s">
        <v>11100</v>
      </c>
      <c r="U919" t="s">
        <v>11100</v>
      </c>
      <c r="V919" t="s">
        <v>11100</v>
      </c>
      <c r="W919" t="s">
        <v>12002</v>
      </c>
      <c r="X919">
        <v>3</v>
      </c>
      <c r="Y919" t="s">
        <v>17498</v>
      </c>
      <c r="Z919" t="s">
        <v>22924</v>
      </c>
      <c r="AA919">
        <v>0.57814523223915326</v>
      </c>
      <c r="AB919" t="str">
        <f>HYPERLINK("Melting_Curves/meltCurve_H7BXD5_GCA.pdf", "Melting_Curves/meltCurve_H7BXD5_GCA.pdf")</f>
        <v>Melting_Curves/meltCurve_H7BXD5_GCA.pdf</v>
      </c>
    </row>
    <row r="920" spans="1:28" x14ac:dyDescent="0.25">
      <c r="A920" t="s">
        <v>924</v>
      </c>
      <c r="B920">
        <v>0.99299721793515405</v>
      </c>
      <c r="C920">
        <v>0.94227044481977895</v>
      </c>
      <c r="D920">
        <v>0.94243838090279997</v>
      </c>
      <c r="E920">
        <v>0.94826487986780394</v>
      </c>
      <c r="F920">
        <v>0.86423694226520797</v>
      </c>
      <c r="G920">
        <v>0.99658428619289197</v>
      </c>
      <c r="H920">
        <v>1.47919839842214</v>
      </c>
      <c r="I920">
        <v>1.2844594980286099</v>
      </c>
      <c r="J920">
        <v>0.44241908228524102</v>
      </c>
      <c r="K920">
        <v>0.29097486051638199</v>
      </c>
      <c r="L920">
        <v>15000</v>
      </c>
      <c r="M920">
        <v>235.31216799721699</v>
      </c>
      <c r="N920">
        <v>63.982190406597198</v>
      </c>
      <c r="O920">
        <v>63.740505052102797</v>
      </c>
      <c r="P920">
        <v>-0.65441218947315005</v>
      </c>
      <c r="Q920">
        <v>0.29094081164000402</v>
      </c>
      <c r="R920">
        <v>0.68824011287754405</v>
      </c>
      <c r="S920" t="s">
        <v>6471</v>
      </c>
      <c r="T920" t="s">
        <v>11100</v>
      </c>
      <c r="U920" t="s">
        <v>11100</v>
      </c>
      <c r="V920" t="s">
        <v>11100</v>
      </c>
      <c r="W920" t="s">
        <v>12003</v>
      </c>
      <c r="X920">
        <v>10</v>
      </c>
      <c r="Y920" t="s">
        <v>17499</v>
      </c>
      <c r="Z920" t="s">
        <v>22925</v>
      </c>
      <c r="AA920">
        <v>0.92315913494295498</v>
      </c>
      <c r="AB920" t="str">
        <f>HYPERLINK("Melting_Curves/meltCurve_H7BXH2_PPP6R3.pdf", "Melting_Curves/meltCurve_H7BXH2_PPP6R3.pdf")</f>
        <v>Melting_Curves/meltCurve_H7BXH2_PPP6R3.pdf</v>
      </c>
    </row>
    <row r="921" spans="1:28" x14ac:dyDescent="0.25">
      <c r="A921" t="s">
        <v>925</v>
      </c>
      <c r="B921">
        <v>0.99299721793515405</v>
      </c>
      <c r="C921">
        <v>0.99749367706291403</v>
      </c>
      <c r="D921">
        <v>0.84174819166914805</v>
      </c>
      <c r="E921">
        <v>0.88821100917162199</v>
      </c>
      <c r="F921">
        <v>0.65917788808703703</v>
      </c>
      <c r="G921">
        <v>0.54756768568089398</v>
      </c>
      <c r="H921">
        <v>0.56114961299877297</v>
      </c>
      <c r="I921">
        <v>0.51205207334127401</v>
      </c>
      <c r="J921">
        <v>0.428725099348295</v>
      </c>
      <c r="K921">
        <v>0.29353994684464402</v>
      </c>
      <c r="L921">
        <v>394.69928404084402</v>
      </c>
      <c r="M921">
        <v>7.2756399060497499</v>
      </c>
      <c r="N921">
        <v>58.377238586818699</v>
      </c>
      <c r="O921">
        <v>50.601476061931599</v>
      </c>
      <c r="P921">
        <v>-2.8763753743917E-2</v>
      </c>
      <c r="Q921">
        <v>0.20108694405216801</v>
      </c>
      <c r="R921">
        <v>0.94452981276133496</v>
      </c>
      <c r="S921" t="s">
        <v>6472</v>
      </c>
      <c r="T921" t="s">
        <v>11100</v>
      </c>
      <c r="U921" t="s">
        <v>11100</v>
      </c>
      <c r="V921" t="s">
        <v>11100</v>
      </c>
      <c r="W921" t="s">
        <v>12004</v>
      </c>
      <c r="X921">
        <v>4</v>
      </c>
      <c r="Y921" t="s">
        <v>17500</v>
      </c>
      <c r="Z921" t="s">
        <v>22926</v>
      </c>
      <c r="AA921">
        <v>0.66867075396010589</v>
      </c>
      <c r="AB921" t="str">
        <f>HYPERLINK("Melting_Curves/meltCurve_H7BXI5_ERGIC3.pdf", "Melting_Curves/meltCurve_H7BXI5_ERGIC3.pdf")</f>
        <v>Melting_Curves/meltCurve_H7BXI5_ERGIC3.pdf</v>
      </c>
    </row>
    <row r="922" spans="1:28" x14ac:dyDescent="0.25">
      <c r="A922" t="s">
        <v>926</v>
      </c>
      <c r="B922">
        <v>0.99299721793515405</v>
      </c>
      <c r="C922">
        <v>0.86945479925257996</v>
      </c>
      <c r="D922">
        <v>0.85589235674261599</v>
      </c>
      <c r="E922">
        <v>0.78797610868729195</v>
      </c>
      <c r="F922">
        <v>0.73549848533302797</v>
      </c>
      <c r="G922">
        <v>0.478341381682167</v>
      </c>
      <c r="H922">
        <v>0.55936759785370105</v>
      </c>
      <c r="I922">
        <v>0.73246642802183604</v>
      </c>
      <c r="J922">
        <v>0.86276150201540902</v>
      </c>
      <c r="K922">
        <v>0.85090682710707799</v>
      </c>
      <c r="L922">
        <v>748.63803096673803</v>
      </c>
      <c r="M922">
        <v>17.832693771004099</v>
      </c>
      <c r="O922">
        <v>41.463960662476502</v>
      </c>
      <c r="P922">
        <v>-3.1549310227258001E-2</v>
      </c>
      <c r="Q922">
        <v>0.70658557595577998</v>
      </c>
      <c r="R922">
        <v>0.40305938489619703</v>
      </c>
      <c r="S922" t="s">
        <v>6473</v>
      </c>
      <c r="T922" t="s">
        <v>11100</v>
      </c>
      <c r="U922" t="s">
        <v>11100</v>
      </c>
      <c r="V922" t="s">
        <v>11100</v>
      </c>
      <c r="W922" t="s">
        <v>12005</v>
      </c>
      <c r="X922">
        <v>2</v>
      </c>
      <c r="Y922" t="s">
        <v>17501</v>
      </c>
      <c r="Z922" t="s">
        <v>22927</v>
      </c>
      <c r="AA922">
        <v>0.76107948636493483</v>
      </c>
      <c r="AB922" t="str">
        <f>HYPERLINK("Melting_Curves/meltCurve_H7BXT7_BET1L.pdf", "Melting_Curves/meltCurve_H7BXT7_BET1L.pdf")</f>
        <v>Melting_Curves/meltCurve_H7BXT7_BET1L.pdf</v>
      </c>
    </row>
    <row r="923" spans="1:28" x14ac:dyDescent="0.25">
      <c r="A923" t="s">
        <v>927</v>
      </c>
      <c r="B923">
        <v>0.99299721793515405</v>
      </c>
      <c r="C923">
        <v>1.0092190560023599</v>
      </c>
      <c r="D923">
        <v>0.76115499849569401</v>
      </c>
      <c r="E923">
        <v>0.79562882198594098</v>
      </c>
      <c r="F923">
        <v>0.706509328273628</v>
      </c>
      <c r="G923">
        <v>0.48554175840741698</v>
      </c>
      <c r="H923">
        <v>0.51862573669121603</v>
      </c>
      <c r="I923">
        <v>0.52744708380122995</v>
      </c>
      <c r="J923">
        <v>0.68363818006967403</v>
      </c>
      <c r="K923">
        <v>0.56439522656174201</v>
      </c>
      <c r="L923">
        <v>670.39795064176997</v>
      </c>
      <c r="M923">
        <v>14.798242249614299</v>
      </c>
      <c r="O923">
        <v>44.499389619114403</v>
      </c>
      <c r="P923">
        <v>-3.68991889807323E-2</v>
      </c>
      <c r="Q923">
        <v>0.55621310569454396</v>
      </c>
      <c r="R923">
        <v>0.83276814159019596</v>
      </c>
      <c r="S923" t="s">
        <v>6474</v>
      </c>
      <c r="T923" t="s">
        <v>11100</v>
      </c>
      <c r="U923" t="s">
        <v>11100</v>
      </c>
      <c r="V923" t="s">
        <v>11100</v>
      </c>
      <c r="W923" t="s">
        <v>12006</v>
      </c>
      <c r="X923">
        <v>2</v>
      </c>
      <c r="Y923" t="s">
        <v>17502</v>
      </c>
      <c r="Z923" t="s">
        <v>22928</v>
      </c>
      <c r="AA923">
        <v>0.68975972745298264</v>
      </c>
      <c r="AB923" t="str">
        <f>HYPERLINK("Melting_Curves/meltCurve_H7BXY6_TSPAN14.pdf", "Melting_Curves/meltCurve_H7BXY6_TSPAN14.pdf")</f>
        <v>Melting_Curves/meltCurve_H7BXY6_TSPAN14.pdf</v>
      </c>
    </row>
    <row r="924" spans="1:28" x14ac:dyDescent="0.25">
      <c r="A924" t="s">
        <v>928</v>
      </c>
      <c r="B924">
        <v>0.99299721793515405</v>
      </c>
      <c r="C924">
        <v>1.0588668868972999</v>
      </c>
      <c r="D924">
        <v>0.93449835704510298</v>
      </c>
      <c r="E924">
        <v>0.86192330501193704</v>
      </c>
      <c r="F924">
        <v>0.80655218069004198</v>
      </c>
      <c r="G924">
        <v>0.673254163711825</v>
      </c>
      <c r="H924">
        <v>0.452495996803431</v>
      </c>
      <c r="I924">
        <v>0.19720704514193599</v>
      </c>
      <c r="J924">
        <v>0.12769135515475799</v>
      </c>
      <c r="K924">
        <v>0.104770924752269</v>
      </c>
      <c r="L924">
        <v>749.23487407718801</v>
      </c>
      <c r="M924">
        <v>13.396234924876699</v>
      </c>
      <c r="N924">
        <v>55.928765173562802</v>
      </c>
      <c r="O924">
        <v>54.726572809479499</v>
      </c>
      <c r="P924">
        <v>-6.12058270117148E-2</v>
      </c>
      <c r="Q924">
        <v>0</v>
      </c>
      <c r="R924">
        <v>0.98501849026384702</v>
      </c>
      <c r="S924" t="s">
        <v>6475</v>
      </c>
      <c r="T924" t="s">
        <v>11100</v>
      </c>
      <c r="U924" t="s">
        <v>11100</v>
      </c>
      <c r="V924" t="s">
        <v>11100</v>
      </c>
      <c r="W924" t="s">
        <v>12007</v>
      </c>
      <c r="X924">
        <v>11</v>
      </c>
      <c r="Y924" t="s">
        <v>16835</v>
      </c>
      <c r="Z924" t="s">
        <v>22929</v>
      </c>
      <c r="AA924">
        <v>0.64220719045206565</v>
      </c>
      <c r="AB924" t="str">
        <f>HYPERLINK("Melting_Curves/meltCurve_H7BY58_PCMT1.pdf", "Melting_Curves/meltCurve_H7BY58_PCMT1.pdf")</f>
        <v>Melting_Curves/meltCurve_H7BY58_PCMT1.pdf</v>
      </c>
    </row>
    <row r="925" spans="1:28" x14ac:dyDescent="0.25">
      <c r="A925" t="s">
        <v>929</v>
      </c>
      <c r="B925">
        <v>0.99299721793515405</v>
      </c>
      <c r="C925">
        <v>0.95168197069423899</v>
      </c>
      <c r="D925">
        <v>0.977657224033324</v>
      </c>
      <c r="E925">
        <v>0.85116085852049195</v>
      </c>
      <c r="F925">
        <v>0.83217804954595198</v>
      </c>
      <c r="G925">
        <v>0.58808489143945097</v>
      </c>
      <c r="H925">
        <v>0.57477970269082701</v>
      </c>
      <c r="I925">
        <v>0.53453088068855303</v>
      </c>
      <c r="J925">
        <v>0.55129390042029203</v>
      </c>
      <c r="K925">
        <v>0.35133325007390198</v>
      </c>
      <c r="L925">
        <v>505.91752436403198</v>
      </c>
      <c r="M925">
        <v>9.4360905019287298</v>
      </c>
      <c r="N925">
        <v>61.343150761282303</v>
      </c>
      <c r="O925">
        <v>51.372661922227103</v>
      </c>
      <c r="P925">
        <v>-2.9971649561870602E-2</v>
      </c>
      <c r="Q925">
        <v>0.34770037773831303</v>
      </c>
      <c r="R925">
        <v>0.94030843492099803</v>
      </c>
      <c r="S925" t="s">
        <v>6476</v>
      </c>
      <c r="T925" t="s">
        <v>11100</v>
      </c>
      <c r="U925" t="s">
        <v>11100</v>
      </c>
      <c r="V925" t="s">
        <v>11100</v>
      </c>
      <c r="W925" t="s">
        <v>12008</v>
      </c>
      <c r="X925">
        <v>2</v>
      </c>
      <c r="Y925" t="s">
        <v>17503</v>
      </c>
      <c r="Z925" t="s">
        <v>22930</v>
      </c>
      <c r="AA925">
        <v>0.72151858786466838</v>
      </c>
      <c r="AB925" t="str">
        <f>HYPERLINK("Melting_Curves/meltCurve_H7BYE5_WRB.pdf", "Melting_Curves/meltCurve_H7BYE5_WRB.pdf")</f>
        <v>Melting_Curves/meltCurve_H7BYE5_WRB.pdf</v>
      </c>
    </row>
    <row r="926" spans="1:28" x14ac:dyDescent="0.25">
      <c r="A926" t="s">
        <v>930</v>
      </c>
      <c r="B926">
        <v>0.99299721793515405</v>
      </c>
      <c r="C926">
        <v>1.0009060201817099</v>
      </c>
      <c r="D926">
        <v>0.92494226294910997</v>
      </c>
      <c r="E926">
        <v>0.79215548442554395</v>
      </c>
      <c r="F926">
        <v>0.69755605681926403</v>
      </c>
      <c r="G926">
        <v>0.46082157697029802</v>
      </c>
      <c r="H926">
        <v>0.36038133653883703</v>
      </c>
      <c r="I926">
        <v>0.152553022451274</v>
      </c>
      <c r="J926">
        <v>8.7757469967470594E-2</v>
      </c>
      <c r="K926">
        <v>8.1299226458475607E-2</v>
      </c>
      <c r="L926">
        <v>614.449525548628</v>
      </c>
      <c r="M926">
        <v>11.539521988786101</v>
      </c>
      <c r="N926">
        <v>53.2473985297027</v>
      </c>
      <c r="O926">
        <v>51.723631658033398</v>
      </c>
      <c r="P926">
        <v>-5.5790545696014403E-2</v>
      </c>
      <c r="Q926">
        <v>0</v>
      </c>
      <c r="R926">
        <v>0.99229930405468203</v>
      </c>
      <c r="S926" t="s">
        <v>6477</v>
      </c>
      <c r="T926" t="s">
        <v>11100</v>
      </c>
      <c r="U926" t="s">
        <v>11100</v>
      </c>
      <c r="V926" t="s">
        <v>11100</v>
      </c>
      <c r="W926" t="s">
        <v>12009</v>
      </c>
      <c r="X926">
        <v>3</v>
      </c>
      <c r="Y926" t="s">
        <v>17504</v>
      </c>
      <c r="Z926" t="s">
        <v>22931</v>
      </c>
      <c r="AA926">
        <v>0.56224758734046987</v>
      </c>
      <c r="AB926" t="str">
        <f>HYPERLINK("Melting_Curves/meltCurve_H7BYQ6_INTS9.pdf", "Melting_Curves/meltCurve_H7BYQ6_INTS9.pdf")</f>
        <v>Melting_Curves/meltCurve_H7BYQ6_INTS9.pdf</v>
      </c>
    </row>
    <row r="927" spans="1:28" x14ac:dyDescent="0.25">
      <c r="A927" t="s">
        <v>931</v>
      </c>
      <c r="B927">
        <v>0.99299721793515405</v>
      </c>
      <c r="C927">
        <v>0.91728393010095999</v>
      </c>
      <c r="D927">
        <v>1.0688237953822901</v>
      </c>
      <c r="E927">
        <v>0.86809254892488696</v>
      </c>
      <c r="F927">
        <v>0.80551282396736901</v>
      </c>
      <c r="G927">
        <v>0.67409851704721402</v>
      </c>
      <c r="H927">
        <v>0.57039089435808399</v>
      </c>
      <c r="I927">
        <v>0.74324690762397805</v>
      </c>
      <c r="J927">
        <v>0.802067701326169</v>
      </c>
      <c r="K927">
        <v>0.73861647497656602</v>
      </c>
      <c r="L927">
        <v>1467.2758738172799</v>
      </c>
      <c r="M927">
        <v>30.8418211164193</v>
      </c>
      <c r="O927">
        <v>47.375564751753302</v>
      </c>
      <c r="P927">
        <v>-4.7157059632103301E-2</v>
      </c>
      <c r="Q927">
        <v>0.71025326126639998</v>
      </c>
      <c r="R927">
        <v>0.75770644367209095</v>
      </c>
      <c r="S927" t="s">
        <v>6478</v>
      </c>
      <c r="T927" t="s">
        <v>11100</v>
      </c>
      <c r="U927" t="s">
        <v>11100</v>
      </c>
      <c r="V927" t="s">
        <v>11100</v>
      </c>
      <c r="W927" t="s">
        <v>12010</v>
      </c>
      <c r="X927">
        <v>38</v>
      </c>
      <c r="Y927" t="s">
        <v>17505</v>
      </c>
      <c r="Z927" t="s">
        <v>22932</v>
      </c>
      <c r="AA927">
        <v>0.81399159579026459</v>
      </c>
      <c r="AB927" t="str">
        <f>HYPERLINK("Melting_Curves/meltCurve_H7BYY1_TPM1.pdf", "Melting_Curves/meltCurve_H7BYY1_TPM1.pdf")</f>
        <v>Melting_Curves/meltCurve_H7BYY1_TPM1.pdf</v>
      </c>
    </row>
    <row r="928" spans="1:28" x14ac:dyDescent="0.25">
      <c r="A928" t="s">
        <v>932</v>
      </c>
      <c r="B928">
        <v>0.99299721793515405</v>
      </c>
      <c r="C928">
        <v>0.56467788398628704</v>
      </c>
      <c r="D928">
        <v>0.93309930342958403</v>
      </c>
      <c r="E928">
        <v>0.54417863513023401</v>
      </c>
      <c r="F928">
        <v>0.40034762583345501</v>
      </c>
      <c r="G928">
        <v>0.30767760028135199</v>
      </c>
      <c r="H928">
        <v>0.280151394542281</v>
      </c>
      <c r="I928">
        <v>0.31026802443235402</v>
      </c>
      <c r="J928">
        <v>0.234770316252811</v>
      </c>
      <c r="K928">
        <v>0.23990537432432399</v>
      </c>
      <c r="L928">
        <v>407.77269017937903</v>
      </c>
      <c r="M928">
        <v>8.9115251891280192</v>
      </c>
      <c r="N928">
        <v>48.210899859604197</v>
      </c>
      <c r="O928">
        <v>43.629672641257002</v>
      </c>
      <c r="P928">
        <v>-4.17873068741011E-2</v>
      </c>
      <c r="Q928">
        <v>0.18227549351469599</v>
      </c>
      <c r="R928">
        <v>0.80992363040857895</v>
      </c>
      <c r="S928" t="s">
        <v>6479</v>
      </c>
      <c r="T928" t="s">
        <v>11100</v>
      </c>
      <c r="U928" t="s">
        <v>11100</v>
      </c>
      <c r="V928" t="s">
        <v>11100</v>
      </c>
      <c r="W928" t="s">
        <v>12011</v>
      </c>
      <c r="X928">
        <v>1</v>
      </c>
      <c r="Y928" t="s">
        <v>17506</v>
      </c>
      <c r="Z928" t="s">
        <v>22933</v>
      </c>
      <c r="AA928">
        <v>0.46651281514458631</v>
      </c>
      <c r="AB928" t="str">
        <f>HYPERLINK("Melting_Curves/meltCurve_H7BYY4_PSTK.pdf", "Melting_Curves/meltCurve_H7BYY4_PSTK.pdf")</f>
        <v>Melting_Curves/meltCurve_H7BYY4_PSTK.pdf</v>
      </c>
    </row>
    <row r="929" spans="1:28" x14ac:dyDescent="0.25">
      <c r="A929" t="s">
        <v>933</v>
      </c>
      <c r="B929">
        <v>0.99299721793515405</v>
      </c>
      <c r="C929">
        <v>0.95345646394655803</v>
      </c>
      <c r="D929">
        <v>0.91275745780019002</v>
      </c>
      <c r="E929">
        <v>1.1295082305853901</v>
      </c>
      <c r="F929">
        <v>0.75318331624861401</v>
      </c>
      <c r="G929">
        <v>0.34943442430606297</v>
      </c>
      <c r="H929">
        <v>0.28668822563718699</v>
      </c>
      <c r="I929">
        <v>0.209269500153759</v>
      </c>
      <c r="J929">
        <v>0.20924852965271101</v>
      </c>
      <c r="K929">
        <v>0.166568520397675</v>
      </c>
      <c r="L929">
        <v>1929.21130093853</v>
      </c>
      <c r="M929">
        <v>37.499793102234001</v>
      </c>
      <c r="N929">
        <v>52.2223456323131</v>
      </c>
      <c r="O929">
        <v>51.300284649029798</v>
      </c>
      <c r="P929">
        <v>-0.14369559682545599</v>
      </c>
      <c r="Q929">
        <v>0.21369129543479701</v>
      </c>
      <c r="R929">
        <v>0.97225736970393895</v>
      </c>
      <c r="S929" t="s">
        <v>6480</v>
      </c>
      <c r="T929" t="s">
        <v>11100</v>
      </c>
      <c r="U929" t="s">
        <v>11100</v>
      </c>
      <c r="V929" t="s">
        <v>11100</v>
      </c>
      <c r="W929" t="s">
        <v>12012</v>
      </c>
      <c r="X929">
        <v>13</v>
      </c>
      <c r="Y929" t="s">
        <v>17369</v>
      </c>
      <c r="Z929" t="s">
        <v>22934</v>
      </c>
      <c r="AA929">
        <v>0.59549843876818698</v>
      </c>
      <c r="AB929" t="str">
        <f>HYPERLINK("Melting_Curves/meltCurve_H7BZJ3_PDIA3.pdf", "Melting_Curves/meltCurve_H7BZJ3_PDIA3.pdf")</f>
        <v>Melting_Curves/meltCurve_H7BZJ3_PDIA3.pdf</v>
      </c>
    </row>
    <row r="930" spans="1:28" x14ac:dyDescent="0.25">
      <c r="A930" t="s">
        <v>934</v>
      </c>
      <c r="B930">
        <v>0.99299721793515405</v>
      </c>
      <c r="C930">
        <v>0.95008577845623199</v>
      </c>
      <c r="D930">
        <v>0.78316854113961598</v>
      </c>
      <c r="E930">
        <v>0.85328552103250899</v>
      </c>
      <c r="F930">
        <v>0.59816260149043099</v>
      </c>
      <c r="G930">
        <v>0.39364591466044002</v>
      </c>
      <c r="H930">
        <v>0.47711875416080701</v>
      </c>
      <c r="I930">
        <v>0.36721159380386598</v>
      </c>
      <c r="J930">
        <v>9.7122068072214698E-2</v>
      </c>
      <c r="K930">
        <v>7.6354993258938506E-2</v>
      </c>
      <c r="L930">
        <v>443.899542280162</v>
      </c>
      <c r="M930">
        <v>8.3275372528512808</v>
      </c>
      <c r="N930">
        <v>53.305020295127299</v>
      </c>
      <c r="O930">
        <v>50.496670396350098</v>
      </c>
      <c r="P930">
        <v>-4.1268273538846802E-2</v>
      </c>
      <c r="Q930">
        <v>0</v>
      </c>
      <c r="R930">
        <v>0.93179988355154497</v>
      </c>
      <c r="S930" t="s">
        <v>6481</v>
      </c>
      <c r="T930" t="s">
        <v>11100</v>
      </c>
      <c r="U930" t="s">
        <v>11100</v>
      </c>
      <c r="V930" t="s">
        <v>11100</v>
      </c>
      <c r="W930" t="s">
        <v>12013</v>
      </c>
      <c r="X930">
        <v>3</v>
      </c>
      <c r="Y930" t="s">
        <v>17507</v>
      </c>
      <c r="Z930" t="s">
        <v>22935</v>
      </c>
      <c r="AA930">
        <v>0.56361750330504523</v>
      </c>
      <c r="AB930" t="str">
        <f>HYPERLINK("Melting_Curves/meltCurve_H7C0G7_NHEJ1.pdf", "Melting_Curves/meltCurve_H7C0G7_NHEJ1.pdf")</f>
        <v>Melting_Curves/meltCurve_H7C0G7_NHEJ1.pdf</v>
      </c>
    </row>
    <row r="931" spans="1:28" x14ac:dyDescent="0.25">
      <c r="A931" t="s">
        <v>935</v>
      </c>
      <c r="B931">
        <v>0.99299721793515405</v>
      </c>
      <c r="C931">
        <v>0.88581348911380098</v>
      </c>
      <c r="D931">
        <v>1.0841490160801801</v>
      </c>
      <c r="E931">
        <v>1.0847002100460501</v>
      </c>
      <c r="F931">
        <v>0.71994728168799205</v>
      </c>
      <c r="G931">
        <v>0.66135107399751003</v>
      </c>
      <c r="H931">
        <v>0.71111581647617295</v>
      </c>
      <c r="I931">
        <v>0.432314329616592</v>
      </c>
      <c r="J931">
        <v>0.19074686822324699</v>
      </c>
      <c r="K931">
        <v>0.13487232862891499</v>
      </c>
      <c r="L931">
        <v>695.15737318499703</v>
      </c>
      <c r="M931">
        <v>11.863092984856999</v>
      </c>
      <c r="N931">
        <v>58.598324641935598</v>
      </c>
      <c r="O931">
        <v>57.007635592495099</v>
      </c>
      <c r="P931">
        <v>-5.2037252143532303E-2</v>
      </c>
      <c r="Q931">
        <v>0</v>
      </c>
      <c r="R931">
        <v>0.90346312116044003</v>
      </c>
      <c r="S931" t="s">
        <v>6482</v>
      </c>
      <c r="T931" t="s">
        <v>11100</v>
      </c>
      <c r="U931" t="s">
        <v>11100</v>
      </c>
      <c r="V931" t="s">
        <v>11100</v>
      </c>
      <c r="W931" t="s">
        <v>12014</v>
      </c>
      <c r="X931">
        <v>3</v>
      </c>
      <c r="Y931" t="s">
        <v>17508</v>
      </c>
      <c r="Z931" t="s">
        <v>22936</v>
      </c>
      <c r="AA931">
        <v>0.71412266765873122</v>
      </c>
      <c r="AB931" t="str">
        <f>HYPERLINK("Melting_Curves/meltCurve_H7C0T2_ITPRIPL1.pdf", "Melting_Curves/meltCurve_H7C0T2_ITPRIPL1.pdf")</f>
        <v>Melting_Curves/meltCurve_H7C0T2_ITPRIPL1.pdf</v>
      </c>
    </row>
    <row r="932" spans="1:28" x14ac:dyDescent="0.25">
      <c r="A932" t="s">
        <v>936</v>
      </c>
      <c r="B932">
        <v>0.99299721793515405</v>
      </c>
      <c r="C932">
        <v>0.98690479174582901</v>
      </c>
      <c r="D932">
        <v>0.81997043410349901</v>
      </c>
      <c r="E932">
        <v>0.85910561116099204</v>
      </c>
      <c r="F932">
        <v>0.32987268029326</v>
      </c>
      <c r="G932">
        <v>0.21978591201672301</v>
      </c>
      <c r="H932">
        <v>0.153199516038589</v>
      </c>
      <c r="I932">
        <v>0.18067291465316901</v>
      </c>
      <c r="J932">
        <v>0.151541923941727</v>
      </c>
      <c r="K932">
        <v>0.116189946696597</v>
      </c>
      <c r="L932">
        <v>1588.8315070281201</v>
      </c>
      <c r="M932">
        <v>32.787541885722298</v>
      </c>
      <c r="N932">
        <v>49.0052643773707</v>
      </c>
      <c r="O932">
        <v>48.2791943901899</v>
      </c>
      <c r="P932">
        <v>-0.14376835156282</v>
      </c>
      <c r="Q932">
        <v>0.15321637140588401</v>
      </c>
      <c r="R932">
        <v>0.97409958169424105</v>
      </c>
      <c r="S932" t="s">
        <v>6483</v>
      </c>
      <c r="T932" t="s">
        <v>11100</v>
      </c>
      <c r="U932" t="s">
        <v>11100</v>
      </c>
      <c r="V932" t="s">
        <v>11100</v>
      </c>
      <c r="W932" t="s">
        <v>12015</v>
      </c>
      <c r="X932">
        <v>1</v>
      </c>
      <c r="Y932" t="s">
        <v>17509</v>
      </c>
      <c r="Z932" t="s">
        <v>22937</v>
      </c>
      <c r="AA932">
        <v>0.48087443727603679</v>
      </c>
      <c r="AB932" t="str">
        <f>HYPERLINK("Melting_Curves/meltCurve_H7C107_IQSEC1.pdf", "Melting_Curves/meltCurve_H7C107_IQSEC1.pdf")</f>
        <v>Melting_Curves/meltCurve_H7C107_IQSEC1.pdf</v>
      </c>
    </row>
    <row r="933" spans="1:28" x14ac:dyDescent="0.25">
      <c r="A933" t="s">
        <v>937</v>
      </c>
      <c r="B933">
        <v>0.99299721793515405</v>
      </c>
      <c r="C933">
        <v>0.78513345138597501</v>
      </c>
      <c r="D933">
        <v>1.04300331060402</v>
      </c>
      <c r="E933">
        <v>0.69730528185154905</v>
      </c>
      <c r="F933">
        <v>0.53105080393888904</v>
      </c>
      <c r="G933">
        <v>0.36204253247557999</v>
      </c>
      <c r="H933">
        <v>0.294482510794214</v>
      </c>
      <c r="I933">
        <v>0.34391596907019101</v>
      </c>
      <c r="J933">
        <v>0.25225649774646502</v>
      </c>
      <c r="K933">
        <v>0.20378908232920601</v>
      </c>
      <c r="L933">
        <v>749.06595511873502</v>
      </c>
      <c r="M933">
        <v>15.4367833741262</v>
      </c>
      <c r="N933">
        <v>50.665707974009898</v>
      </c>
      <c r="O933">
        <v>47.7322937227013</v>
      </c>
      <c r="P933">
        <v>-6.1486258572119097E-2</v>
      </c>
      <c r="Q933">
        <v>0.23957868040123501</v>
      </c>
      <c r="R933">
        <v>0.92705703514744997</v>
      </c>
      <c r="S933" t="s">
        <v>6484</v>
      </c>
      <c r="T933" t="s">
        <v>11100</v>
      </c>
      <c r="U933" t="s">
        <v>11100</v>
      </c>
      <c r="V933" t="s">
        <v>11100</v>
      </c>
      <c r="W933" t="s">
        <v>12016</v>
      </c>
      <c r="X933">
        <v>5</v>
      </c>
      <c r="Y933" t="s">
        <v>17510</v>
      </c>
      <c r="Z933" t="s">
        <v>22938</v>
      </c>
      <c r="AA933">
        <v>0.54749037893178132</v>
      </c>
      <c r="AB933" t="str">
        <f>HYPERLINK("Melting_Curves/meltCurve_H7C112_FBXL19.pdf", "Melting_Curves/meltCurve_H7C112_FBXL19.pdf")</f>
        <v>Melting_Curves/meltCurve_H7C112_FBXL19.pdf</v>
      </c>
    </row>
    <row r="934" spans="1:28" x14ac:dyDescent="0.25">
      <c r="A934" t="s">
        <v>938</v>
      </c>
      <c r="B934">
        <v>0.99299721793515405</v>
      </c>
      <c r="C934">
        <v>0.981041154390769</v>
      </c>
      <c r="D934">
        <v>0.80949301864044199</v>
      </c>
      <c r="E934">
        <v>0.83483692713949298</v>
      </c>
      <c r="F934">
        <v>0.73392775517766096</v>
      </c>
      <c r="G934">
        <v>0.72635411119869897</v>
      </c>
      <c r="H934">
        <v>0.72557565393694801</v>
      </c>
      <c r="I934">
        <v>0.79700467417745702</v>
      </c>
      <c r="J934">
        <v>0.98342785116384601</v>
      </c>
      <c r="K934">
        <v>0.76566536271417895</v>
      </c>
      <c r="L934">
        <v>2648.4032265242299</v>
      </c>
      <c r="M934">
        <v>64.1158013763106</v>
      </c>
      <c r="O934">
        <v>41.266423192629198</v>
      </c>
      <c r="P934">
        <v>-7.9577586051909593E-2</v>
      </c>
      <c r="Q934">
        <v>0.79512806561152505</v>
      </c>
      <c r="R934">
        <v>0.53069982037985597</v>
      </c>
      <c r="S934" t="s">
        <v>6485</v>
      </c>
      <c r="T934" t="s">
        <v>11100</v>
      </c>
      <c r="U934" t="s">
        <v>11100</v>
      </c>
      <c r="V934" t="s">
        <v>11100</v>
      </c>
      <c r="W934" t="s">
        <v>12017</v>
      </c>
      <c r="X934">
        <v>4</v>
      </c>
      <c r="Y934" t="s">
        <v>17511</v>
      </c>
      <c r="Z934" t="s">
        <v>22939</v>
      </c>
      <c r="AA934">
        <v>0.82476633154176027</v>
      </c>
      <c r="AB934" t="str">
        <f>HYPERLINK("Melting_Curves/meltCurve_H7C173_MZT2B.pdf", "Melting_Curves/meltCurve_H7C173_MZT2B.pdf")</f>
        <v>Melting_Curves/meltCurve_H7C173_MZT2B.pdf</v>
      </c>
    </row>
    <row r="935" spans="1:28" x14ac:dyDescent="0.25">
      <c r="A935" t="s">
        <v>939</v>
      </c>
      <c r="B935">
        <v>0.99299721793515405</v>
      </c>
      <c r="C935">
        <v>0.922595732997467</v>
      </c>
      <c r="D935">
        <v>0.90902972727933196</v>
      </c>
      <c r="E935">
        <v>0.91450006872934497</v>
      </c>
      <c r="F935">
        <v>0.87013419027519501</v>
      </c>
      <c r="G935">
        <v>0.467658025677749</v>
      </c>
      <c r="H935">
        <v>0.37289552872197002</v>
      </c>
      <c r="I935">
        <v>0.23769070501327799</v>
      </c>
      <c r="J935">
        <v>0.235313687488787</v>
      </c>
      <c r="K935">
        <v>0.14929547856532799</v>
      </c>
      <c r="L935">
        <v>1010.54975054401</v>
      </c>
      <c r="M935">
        <v>19.015685365556902</v>
      </c>
      <c r="N935">
        <v>54.3482291433276</v>
      </c>
      <c r="O935">
        <v>52.565699590504799</v>
      </c>
      <c r="P935">
        <v>-7.4882156229659005E-2</v>
      </c>
      <c r="Q935">
        <v>0.17203582730557801</v>
      </c>
      <c r="R935">
        <v>0.97357144099119497</v>
      </c>
      <c r="S935" t="s">
        <v>6486</v>
      </c>
      <c r="T935" t="s">
        <v>11100</v>
      </c>
      <c r="U935" t="s">
        <v>11100</v>
      </c>
      <c r="V935" t="s">
        <v>11100</v>
      </c>
      <c r="W935" t="s">
        <v>12018</v>
      </c>
      <c r="X935">
        <v>2</v>
      </c>
      <c r="Y935" t="s">
        <v>17512</v>
      </c>
      <c r="Z935" t="s">
        <v>22940</v>
      </c>
      <c r="AA935">
        <v>0.62869342614022727</v>
      </c>
      <c r="AB935" t="str">
        <f>HYPERLINK("Melting_Curves/meltCurve_H7C1E4_AP1S1.pdf", "Melting_Curves/meltCurve_H7C1E4_AP1S1.pdf")</f>
        <v>Melting_Curves/meltCurve_H7C1E4_AP1S1.pdf</v>
      </c>
    </row>
    <row r="936" spans="1:28" x14ac:dyDescent="0.25">
      <c r="A936" t="s">
        <v>940</v>
      </c>
      <c r="B936">
        <v>0.99299721793515405</v>
      </c>
      <c r="C936">
        <v>1.0401256642880901</v>
      </c>
      <c r="D936">
        <v>1.0358504819011201</v>
      </c>
      <c r="E936">
        <v>0.91468881437639304</v>
      </c>
      <c r="F936">
        <v>0.71766017013101602</v>
      </c>
      <c r="G936">
        <v>0.464459707256276</v>
      </c>
      <c r="H936">
        <v>0.29186993363642699</v>
      </c>
      <c r="I936">
        <v>0.291596381069476</v>
      </c>
      <c r="J936">
        <v>0.26874826293244802</v>
      </c>
      <c r="K936">
        <v>0.24660865609975999</v>
      </c>
      <c r="L936">
        <v>1145.4711948613101</v>
      </c>
      <c r="M936">
        <v>22.307790543556798</v>
      </c>
      <c r="N936">
        <v>53.019201310303501</v>
      </c>
      <c r="O936">
        <v>50.941190919188898</v>
      </c>
      <c r="P936">
        <v>-8.1843261216210897E-2</v>
      </c>
      <c r="Q936">
        <v>0.25243963182624901</v>
      </c>
      <c r="R936">
        <v>0.99504712717227495</v>
      </c>
      <c r="S936" t="s">
        <v>6487</v>
      </c>
      <c r="T936" t="s">
        <v>11100</v>
      </c>
      <c r="U936" t="s">
        <v>11100</v>
      </c>
      <c r="V936" t="s">
        <v>11100</v>
      </c>
      <c r="W936" t="s">
        <v>12019</v>
      </c>
      <c r="X936">
        <v>6</v>
      </c>
      <c r="Y936" t="s">
        <v>17513</v>
      </c>
      <c r="Z936" t="s">
        <v>22941</v>
      </c>
      <c r="AA936">
        <v>0.61809224903288329</v>
      </c>
      <c r="AB936" t="str">
        <f>HYPERLINK("Melting_Curves/meltCurve_H7C1U3_CC2D1B.pdf", "Melting_Curves/meltCurve_H7C1U3_CC2D1B.pdf")</f>
        <v>Melting_Curves/meltCurve_H7C1U3_CC2D1B.pdf</v>
      </c>
    </row>
    <row r="937" spans="1:28" x14ac:dyDescent="0.25">
      <c r="A937" t="s">
        <v>941</v>
      </c>
      <c r="B937">
        <v>0.99299721793515405</v>
      </c>
      <c r="C937">
        <v>1.07297675253618</v>
      </c>
      <c r="D937">
        <v>0.95435259256548199</v>
      </c>
      <c r="E937">
        <v>0.97346839060022505</v>
      </c>
      <c r="F937">
        <v>0.83364949351106798</v>
      </c>
      <c r="G937">
        <v>0.534784657458378</v>
      </c>
      <c r="H937">
        <v>0.57751260826030704</v>
      </c>
      <c r="I937">
        <v>0.62984305941952401</v>
      </c>
      <c r="J937">
        <v>0.743393053676913</v>
      </c>
      <c r="K937">
        <v>0.53305428332166804</v>
      </c>
      <c r="L937">
        <v>12566.249047551601</v>
      </c>
      <c r="M937">
        <v>250</v>
      </c>
      <c r="O937">
        <v>50.261779575257698</v>
      </c>
      <c r="P937">
        <v>-0.492773130356917</v>
      </c>
      <c r="Q937">
        <v>0.60371752921669097</v>
      </c>
      <c r="R937">
        <v>0.89995913873784605</v>
      </c>
      <c r="S937" t="s">
        <v>6488</v>
      </c>
      <c r="T937" t="s">
        <v>11100</v>
      </c>
      <c r="U937" t="s">
        <v>11100</v>
      </c>
      <c r="V937" t="s">
        <v>11100</v>
      </c>
      <c r="W937" t="s">
        <v>12020</v>
      </c>
      <c r="X937">
        <v>7</v>
      </c>
      <c r="Y937" t="s">
        <v>17514</v>
      </c>
      <c r="Z937" t="s">
        <v>22942</v>
      </c>
      <c r="AA937">
        <v>0.77897533583145195</v>
      </c>
      <c r="AB937" t="str">
        <f>HYPERLINK("Melting_Curves/meltCurve_H7C1U8_APOO.pdf", "Melting_Curves/meltCurve_H7C1U8_APOO.pdf")</f>
        <v>Melting_Curves/meltCurve_H7C1U8_APOO.pdf</v>
      </c>
    </row>
    <row r="938" spans="1:28" x14ac:dyDescent="0.25">
      <c r="A938" t="s">
        <v>942</v>
      </c>
      <c r="B938">
        <v>0.99299721793515405</v>
      </c>
      <c r="C938">
        <v>0.74225960384560596</v>
      </c>
      <c r="D938">
        <v>1.31836112317516</v>
      </c>
      <c r="E938">
        <v>0.86355698233307399</v>
      </c>
      <c r="F938">
        <v>1.0283971775776399</v>
      </c>
      <c r="G938">
        <v>0.225100480422609</v>
      </c>
      <c r="H938">
        <v>0.438214455410457</v>
      </c>
      <c r="I938">
        <v>0.74910260970726805</v>
      </c>
      <c r="J938">
        <v>0.40220624466676902</v>
      </c>
      <c r="K938">
        <v>1.3915125879789201</v>
      </c>
      <c r="L938">
        <v>12916.684893608501</v>
      </c>
      <c r="M938">
        <v>250</v>
      </c>
      <c r="O938">
        <v>51.663433267384598</v>
      </c>
      <c r="P938">
        <v>-0.43402108160935898</v>
      </c>
      <c r="Q938">
        <v>0.64123169358860999</v>
      </c>
      <c r="R938">
        <v>0.22612359623259401</v>
      </c>
      <c r="S938" t="s">
        <v>6489</v>
      </c>
      <c r="T938" t="s">
        <v>11100</v>
      </c>
      <c r="U938" t="s">
        <v>11100</v>
      </c>
      <c r="V938" t="s">
        <v>11100</v>
      </c>
      <c r="W938" t="s">
        <v>12017</v>
      </c>
      <c r="X938">
        <v>3</v>
      </c>
      <c r="Y938" t="s">
        <v>17511</v>
      </c>
      <c r="Z938" t="s">
        <v>22943</v>
      </c>
      <c r="AA938">
        <v>0.81666293525209599</v>
      </c>
      <c r="AB938" t="str">
        <f>HYPERLINK("Melting_Curves/meltCurve_H7C293_MZT2B.pdf", "Melting_Curves/meltCurve_H7C293_MZT2B.pdf")</f>
        <v>Melting_Curves/meltCurve_H7C293_MZT2B.pdf</v>
      </c>
    </row>
    <row r="939" spans="1:28" x14ac:dyDescent="0.25">
      <c r="A939" t="s">
        <v>943</v>
      </c>
      <c r="B939">
        <v>0.99299721793515405</v>
      </c>
      <c r="C939">
        <v>0.65983167005581</v>
      </c>
      <c r="D939">
        <v>0.80681378504607704</v>
      </c>
      <c r="E939">
        <v>0.88629391032596305</v>
      </c>
      <c r="F939">
        <v>0.599973313334766</v>
      </c>
      <c r="G939">
        <v>0.25355183564957801</v>
      </c>
      <c r="H939">
        <v>0.26457547731384701</v>
      </c>
      <c r="I939">
        <v>0</v>
      </c>
      <c r="J939">
        <v>0</v>
      </c>
      <c r="K939">
        <v>0</v>
      </c>
      <c r="L939">
        <v>703.79077053299204</v>
      </c>
      <c r="M939">
        <v>13.813936695227101</v>
      </c>
      <c r="N939">
        <v>50.947879401621698</v>
      </c>
      <c r="O939">
        <v>49.915798188344397</v>
      </c>
      <c r="P939">
        <v>-6.9195841966547003E-2</v>
      </c>
      <c r="Q939">
        <v>0</v>
      </c>
      <c r="R939">
        <v>0.885789500906077</v>
      </c>
      <c r="S939" t="s">
        <v>6490</v>
      </c>
      <c r="T939" t="s">
        <v>11100</v>
      </c>
      <c r="U939" t="s">
        <v>11100</v>
      </c>
      <c r="V939" t="s">
        <v>11100</v>
      </c>
      <c r="W939" t="s">
        <v>12021</v>
      </c>
      <c r="X939">
        <v>1</v>
      </c>
      <c r="Y939" t="s">
        <v>17515</v>
      </c>
      <c r="Z939" t="s">
        <v>22944</v>
      </c>
      <c r="AA939">
        <v>0.48731288593139238</v>
      </c>
      <c r="AB939" t="str">
        <f>HYPERLINK("Melting_Curves/meltCurve_H7C2E6_C1orf86.pdf", "Melting_Curves/meltCurve_H7C2E6_C1orf86.pdf")</f>
        <v>Melting_Curves/meltCurve_H7C2E6_C1orf86.pdf</v>
      </c>
    </row>
    <row r="940" spans="1:28" x14ac:dyDescent="0.25">
      <c r="A940" t="s">
        <v>944</v>
      </c>
      <c r="B940">
        <v>0.99299721793515405</v>
      </c>
      <c r="C940">
        <v>1.0111743148154599</v>
      </c>
      <c r="D940">
        <v>0.93015411041676899</v>
      </c>
      <c r="E940">
        <v>0.80415422104179501</v>
      </c>
      <c r="F940">
        <v>0.43146526373213601</v>
      </c>
      <c r="G940">
        <v>0.29919454684941998</v>
      </c>
      <c r="H940">
        <v>0.187939711587498</v>
      </c>
      <c r="I940">
        <v>0.161922126398231</v>
      </c>
      <c r="J940">
        <v>0.16143637851113901</v>
      </c>
      <c r="K940">
        <v>0.11071243779025899</v>
      </c>
      <c r="L940">
        <v>977.83280705975403</v>
      </c>
      <c r="M940">
        <v>19.949181998913598</v>
      </c>
      <c r="N940">
        <v>49.838293519434302</v>
      </c>
      <c r="O940">
        <v>48.5316194489479</v>
      </c>
      <c r="P940">
        <v>-8.8358804544290598E-2</v>
      </c>
      <c r="Q940">
        <v>0.14020435527887301</v>
      </c>
      <c r="R940">
        <v>0.99556446005378396</v>
      </c>
      <c r="S940" t="s">
        <v>6491</v>
      </c>
      <c r="T940" t="s">
        <v>11100</v>
      </c>
      <c r="U940" t="s">
        <v>11100</v>
      </c>
      <c r="V940" t="s">
        <v>11100</v>
      </c>
      <c r="W940" t="s">
        <v>12022</v>
      </c>
      <c r="X940">
        <v>1</v>
      </c>
      <c r="Y940" t="s">
        <v>17516</v>
      </c>
      <c r="Z940" t="s">
        <v>22945</v>
      </c>
      <c r="AA940">
        <v>0.49596688076402012</v>
      </c>
      <c r="AB940" t="str">
        <f>HYPERLINK("Melting_Curves/meltCurve_H7C3C7_SNAP47.pdf", "Melting_Curves/meltCurve_H7C3C7_SNAP47.pdf")</f>
        <v>Melting_Curves/meltCurve_H7C3C7_SNAP47.pdf</v>
      </c>
    </row>
    <row r="941" spans="1:28" x14ac:dyDescent="0.25">
      <c r="A941" t="s">
        <v>945</v>
      </c>
      <c r="B941">
        <v>0.99299721793515405</v>
      </c>
      <c r="C941">
        <v>0.90739504851485997</v>
      </c>
      <c r="D941">
        <v>0.97611258400981604</v>
      </c>
      <c r="E941">
        <v>0.98477487765279603</v>
      </c>
      <c r="F941">
        <v>0.93476717583270896</v>
      </c>
      <c r="G941">
        <v>0.61128888494434297</v>
      </c>
      <c r="H941">
        <v>0.59267034237961702</v>
      </c>
      <c r="I941">
        <v>0.55437029841790497</v>
      </c>
      <c r="J941">
        <v>0.51136134702347302</v>
      </c>
      <c r="K941">
        <v>0.42827047357630599</v>
      </c>
      <c r="L941">
        <v>2095.9308384649798</v>
      </c>
      <c r="M941">
        <v>40.1107629721065</v>
      </c>
      <c r="O941">
        <v>52.124202152261603</v>
      </c>
      <c r="P941">
        <v>-9.3439242373105302E-2</v>
      </c>
      <c r="Q941">
        <v>0.51430136470202004</v>
      </c>
      <c r="R941">
        <v>0.95057529564754495</v>
      </c>
      <c r="S941" t="s">
        <v>6492</v>
      </c>
      <c r="T941" t="s">
        <v>11100</v>
      </c>
      <c r="U941" t="s">
        <v>11100</v>
      </c>
      <c r="V941" t="s">
        <v>11100</v>
      </c>
      <c r="W941" t="s">
        <v>12023</v>
      </c>
      <c r="X941">
        <v>2</v>
      </c>
      <c r="Y941" t="s">
        <v>17517</v>
      </c>
      <c r="Z941" t="s">
        <v>22946</v>
      </c>
      <c r="AA941">
        <v>0.76299568525919181</v>
      </c>
      <c r="AB941" t="str">
        <f>HYPERLINK("Melting_Curves/meltCurve_H7C3D5_FAM134A.pdf", "Melting_Curves/meltCurve_H7C3D5_FAM134A.pdf")</f>
        <v>Melting_Curves/meltCurve_H7C3D5_FAM134A.pdf</v>
      </c>
    </row>
    <row r="942" spans="1:28" x14ac:dyDescent="0.25">
      <c r="A942" t="s">
        <v>946</v>
      </c>
      <c r="B942">
        <v>0.99299721793515405</v>
      </c>
      <c r="C942">
        <v>0.84438547826388399</v>
      </c>
      <c r="D942">
        <v>0.93412286859003801</v>
      </c>
      <c r="E942">
        <v>1.17808366403118</v>
      </c>
      <c r="F942">
        <v>0.95007569169647998</v>
      </c>
      <c r="G942">
        <v>0.64848170024311103</v>
      </c>
      <c r="H942">
        <v>0.62929851199726705</v>
      </c>
      <c r="I942">
        <v>0.64955168286466103</v>
      </c>
      <c r="J942">
        <v>0.71696482379542203</v>
      </c>
      <c r="K942">
        <v>0.53271923656117404</v>
      </c>
      <c r="L942">
        <v>3864.29497847736</v>
      </c>
      <c r="M942">
        <v>75.096808128287904</v>
      </c>
      <c r="O942">
        <v>51.421064637001997</v>
      </c>
      <c r="P942">
        <v>-0.13412491738131399</v>
      </c>
      <c r="Q942">
        <v>0.63264249345133805</v>
      </c>
      <c r="R942">
        <v>0.79269578572638599</v>
      </c>
      <c r="S942" t="s">
        <v>6493</v>
      </c>
      <c r="T942" t="s">
        <v>11100</v>
      </c>
      <c r="U942" t="s">
        <v>11100</v>
      </c>
      <c r="V942" t="s">
        <v>11100</v>
      </c>
      <c r="W942" t="s">
        <v>12024</v>
      </c>
      <c r="X942">
        <v>3</v>
      </c>
      <c r="Y942" t="s">
        <v>17518</v>
      </c>
      <c r="Z942" t="s">
        <v>22947</v>
      </c>
      <c r="AA942">
        <v>0.81004684268199834</v>
      </c>
      <c r="AB942" t="str">
        <f>HYPERLINK("Melting_Curves/meltCurve_H7C3D8_CMC1.pdf", "Melting_Curves/meltCurve_H7C3D8_CMC1.pdf")</f>
        <v>Melting_Curves/meltCurve_H7C3D8_CMC1.pdf</v>
      </c>
    </row>
    <row r="943" spans="1:28" x14ac:dyDescent="0.25">
      <c r="A943" t="s">
        <v>947</v>
      </c>
      <c r="B943">
        <v>0.99299721793515405</v>
      </c>
      <c r="C943">
        <v>0.96979942983081602</v>
      </c>
      <c r="D943">
        <v>0.94235385019545903</v>
      </c>
      <c r="E943">
        <v>0.87860196993843798</v>
      </c>
      <c r="F943">
        <v>0.72771823891187204</v>
      </c>
      <c r="G943">
        <v>0.53934268077585301</v>
      </c>
      <c r="H943">
        <v>0.60273893124926703</v>
      </c>
      <c r="I943">
        <v>0.74255414338996895</v>
      </c>
      <c r="J943">
        <v>0.85071756081614103</v>
      </c>
      <c r="K943">
        <v>0.79089003305057104</v>
      </c>
      <c r="L943">
        <v>1948.2782778527601</v>
      </c>
      <c r="M943">
        <v>41.559114677380499</v>
      </c>
      <c r="O943">
        <v>46.771535414717</v>
      </c>
      <c r="P943">
        <v>-6.5259643146675997E-2</v>
      </c>
      <c r="Q943">
        <v>0.70622202364155295</v>
      </c>
      <c r="R943">
        <v>0.65769550287786005</v>
      </c>
      <c r="S943" t="s">
        <v>6494</v>
      </c>
      <c r="T943" t="s">
        <v>11100</v>
      </c>
      <c r="U943" t="s">
        <v>11100</v>
      </c>
      <c r="V943" t="s">
        <v>11100</v>
      </c>
      <c r="W943" t="s">
        <v>12025</v>
      </c>
      <c r="X943">
        <v>9</v>
      </c>
      <c r="Y943" t="s">
        <v>17519</v>
      </c>
      <c r="Z943" t="s">
        <v>22948</v>
      </c>
      <c r="AA943">
        <v>0.80385140810082922</v>
      </c>
      <c r="AB943" t="str">
        <f>HYPERLINK("Melting_Curves/meltCurve_H7C3P4_GNS.pdf", "Melting_Curves/meltCurve_H7C3P4_GNS.pdf")</f>
        <v>Melting_Curves/meltCurve_H7C3P4_GNS.pdf</v>
      </c>
    </row>
    <row r="944" spans="1:28" x14ac:dyDescent="0.25">
      <c r="A944" t="s">
        <v>948</v>
      </c>
      <c r="B944">
        <v>0.99299721793515405</v>
      </c>
      <c r="C944">
        <v>0.80617508326399701</v>
      </c>
      <c r="D944">
        <v>0.79833056672247704</v>
      </c>
      <c r="E944">
        <v>0.88435740515911099</v>
      </c>
      <c r="F944">
        <v>0.69672227488555805</v>
      </c>
      <c r="G944">
        <v>0.72498986399383303</v>
      </c>
      <c r="H944">
        <v>0.46773406639286502</v>
      </c>
      <c r="I944">
        <v>0.52589314399963005</v>
      </c>
      <c r="J944">
        <v>0.34380202037527302</v>
      </c>
      <c r="K944">
        <v>0.366848122451915</v>
      </c>
      <c r="L944">
        <v>292.01575531555</v>
      </c>
      <c r="M944">
        <v>4.9135325340119902</v>
      </c>
      <c r="N944">
        <v>59.430920525471301</v>
      </c>
      <c r="O944">
        <v>51.656100938592402</v>
      </c>
      <c r="P944">
        <v>-2.3934680525224801E-2</v>
      </c>
      <c r="Q944">
        <v>0</v>
      </c>
      <c r="R944">
        <v>0.88726614587268104</v>
      </c>
      <c r="S944" t="s">
        <v>6495</v>
      </c>
      <c r="T944" t="s">
        <v>11100</v>
      </c>
      <c r="U944" t="s">
        <v>11100</v>
      </c>
      <c r="V944" t="s">
        <v>11100</v>
      </c>
      <c r="W944" t="s">
        <v>12026</v>
      </c>
      <c r="X944">
        <v>1</v>
      </c>
      <c r="Y944" t="s">
        <v>17520</v>
      </c>
      <c r="Z944" t="s">
        <v>22949</v>
      </c>
      <c r="AA944">
        <v>0.66684891855864337</v>
      </c>
      <c r="AB944" t="str">
        <f>HYPERLINK("Melting_Curves/meltCurve_H7C3U2_ART5.pdf", "Melting_Curves/meltCurve_H7C3U2_ART5.pdf")</f>
        <v>Melting_Curves/meltCurve_H7C3U2_ART5.pdf</v>
      </c>
    </row>
    <row r="945" spans="1:28" x14ac:dyDescent="0.25">
      <c r="A945" t="s">
        <v>949</v>
      </c>
      <c r="B945">
        <v>0.99299721793515405</v>
      </c>
      <c r="C945">
        <v>0.96970552540158395</v>
      </c>
      <c r="D945">
        <v>0.91771162713196597</v>
      </c>
      <c r="E945">
        <v>0.85689339052599001</v>
      </c>
      <c r="F945">
        <v>0.57515284963887603</v>
      </c>
      <c r="G945">
        <v>0.48193598077720101</v>
      </c>
      <c r="H945">
        <v>0.19026177868135899</v>
      </c>
      <c r="I945">
        <v>6.9811195218476702E-2</v>
      </c>
      <c r="J945">
        <v>0.14598878985577099</v>
      </c>
      <c r="K945">
        <v>7.3865385548823104E-2</v>
      </c>
      <c r="L945">
        <v>701.534669115577</v>
      </c>
      <c r="M945">
        <v>13.5028126674502</v>
      </c>
      <c r="N945">
        <v>52.119719245559402</v>
      </c>
      <c r="O945">
        <v>50.854871391153701</v>
      </c>
      <c r="P945">
        <v>-6.5000074535655206E-2</v>
      </c>
      <c r="Q945">
        <v>2.0924713780999998E-2</v>
      </c>
      <c r="R945">
        <v>0.98486018645399298</v>
      </c>
      <c r="S945" t="s">
        <v>6496</v>
      </c>
      <c r="T945" t="s">
        <v>11100</v>
      </c>
      <c r="U945" t="s">
        <v>11100</v>
      </c>
      <c r="V945" t="s">
        <v>11100</v>
      </c>
      <c r="W945" t="s">
        <v>12027</v>
      </c>
      <c r="X945">
        <v>2</v>
      </c>
      <c r="Y945" t="s">
        <v>17521</v>
      </c>
      <c r="Z945" t="s">
        <v>22950</v>
      </c>
      <c r="AA945">
        <v>0.53001689324675949</v>
      </c>
      <c r="AB945" t="str">
        <f>HYPERLINK("Melting_Curves/meltCurve_H7C444_IFRD2.pdf", "Melting_Curves/meltCurve_H7C444_IFRD2.pdf")</f>
        <v>Melting_Curves/meltCurve_H7C444_IFRD2.pdf</v>
      </c>
    </row>
    <row r="946" spans="1:28" x14ac:dyDescent="0.25">
      <c r="A946" t="s">
        <v>950</v>
      </c>
      <c r="B946">
        <v>0.99299721793515405</v>
      </c>
      <c r="C946">
        <v>1.1062393927451299</v>
      </c>
      <c r="D946">
        <v>1.1399293744557499</v>
      </c>
      <c r="E946">
        <v>1.1152480127564499</v>
      </c>
      <c r="F946">
        <v>0.97431238833738698</v>
      </c>
      <c r="G946">
        <v>0.157800961513198</v>
      </c>
      <c r="H946">
        <v>0.88035860957720802</v>
      </c>
      <c r="I946">
        <v>0.26602599395076698</v>
      </c>
      <c r="J946">
        <v>0.18218803978468501</v>
      </c>
      <c r="K946">
        <v>0</v>
      </c>
      <c r="L946">
        <v>738.39270081664199</v>
      </c>
      <c r="M946">
        <v>13.002687903547599</v>
      </c>
      <c r="N946">
        <v>56.787697206906202</v>
      </c>
      <c r="O946">
        <v>55.494825457717603</v>
      </c>
      <c r="P946">
        <v>-5.8586444668490299E-2</v>
      </c>
      <c r="Q946">
        <v>0</v>
      </c>
      <c r="R946">
        <v>0.72748122115399605</v>
      </c>
      <c r="S946" t="s">
        <v>6497</v>
      </c>
      <c r="T946" t="s">
        <v>11100</v>
      </c>
      <c r="U946" t="s">
        <v>11100</v>
      </c>
      <c r="V946" t="s">
        <v>11100</v>
      </c>
      <c r="W946" t="s">
        <v>12028</v>
      </c>
      <c r="X946">
        <v>1</v>
      </c>
      <c r="Y946" t="s">
        <v>17522</v>
      </c>
      <c r="Z946" t="s">
        <v>22951</v>
      </c>
      <c r="AA946">
        <v>0.6668952841171929</v>
      </c>
      <c r="AB946" t="str">
        <f>HYPERLINK("Melting_Curves/meltCurve_H7C484_ARV1.pdf", "Melting_Curves/meltCurve_H7C484_ARV1.pdf")</f>
        <v>Melting_Curves/meltCurve_H7C484_ARV1.pdf</v>
      </c>
    </row>
    <row r="947" spans="1:28" x14ac:dyDescent="0.25">
      <c r="A947" t="s">
        <v>951</v>
      </c>
      <c r="B947">
        <v>0.99299721793515405</v>
      </c>
      <c r="C947">
        <v>0.99695323158371196</v>
      </c>
      <c r="D947">
        <v>1.09832855431562</v>
      </c>
      <c r="E947">
        <v>1.0026414117989599</v>
      </c>
      <c r="F947">
        <v>0.79849465260062902</v>
      </c>
      <c r="G947">
        <v>0.72653436060625698</v>
      </c>
      <c r="H947">
        <v>0.58607872816446005</v>
      </c>
      <c r="I947">
        <v>0.62869676376294303</v>
      </c>
      <c r="J947">
        <v>0.70940277816687802</v>
      </c>
      <c r="K947">
        <v>0.58463364590605105</v>
      </c>
      <c r="L947">
        <v>1607.9515375978301</v>
      </c>
      <c r="M947">
        <v>31.9494826830595</v>
      </c>
      <c r="O947">
        <v>50.132006758268403</v>
      </c>
      <c r="P947">
        <v>-5.8298990924822602E-2</v>
      </c>
      <c r="Q947">
        <v>0.63409358704969798</v>
      </c>
      <c r="R947">
        <v>0.92546013304226704</v>
      </c>
      <c r="S947" t="s">
        <v>6498</v>
      </c>
      <c r="T947" t="s">
        <v>11100</v>
      </c>
      <c r="U947" t="s">
        <v>11100</v>
      </c>
      <c r="V947" t="s">
        <v>11100</v>
      </c>
      <c r="W947" t="s">
        <v>12029</v>
      </c>
      <c r="X947">
        <v>13</v>
      </c>
      <c r="Y947" t="s">
        <v>17523</v>
      </c>
      <c r="Z947" t="s">
        <v>22952</v>
      </c>
      <c r="AA947">
        <v>0.79864580392756512</v>
      </c>
      <c r="AB947" t="str">
        <f>HYPERLINK("Melting_Curves/meltCurve_H7C525_CCDC58.pdf", "Melting_Curves/meltCurve_H7C525_CCDC58.pdf")</f>
        <v>Melting_Curves/meltCurve_H7C525_CCDC58.pdf</v>
      </c>
    </row>
    <row r="948" spans="1:28" x14ac:dyDescent="0.25">
      <c r="A948" t="s">
        <v>952</v>
      </c>
      <c r="B948">
        <v>0.99299721793515405</v>
      </c>
      <c r="C948">
        <v>0.81627521468336905</v>
      </c>
      <c r="D948">
        <v>0.89029273037935897</v>
      </c>
      <c r="E948">
        <v>0.72264653099394105</v>
      </c>
      <c r="F948">
        <v>0.58100155773621998</v>
      </c>
      <c r="G948">
        <v>0.39920179602559003</v>
      </c>
      <c r="H948">
        <v>0.48516067158812798</v>
      </c>
      <c r="I948">
        <v>0.452492448444127</v>
      </c>
      <c r="J948">
        <v>0.50928642590773898</v>
      </c>
      <c r="K948">
        <v>0.30977572627155397</v>
      </c>
      <c r="L948">
        <v>516.67841031955095</v>
      </c>
      <c r="M948">
        <v>11.046184191176399</v>
      </c>
      <c r="N948">
        <v>53.732909122603203</v>
      </c>
      <c r="O948">
        <v>45.319861655216997</v>
      </c>
      <c r="P948">
        <v>-3.7767213445298702E-2</v>
      </c>
      <c r="Q948">
        <v>0.380406235226182</v>
      </c>
      <c r="R948">
        <v>0.90174409314735704</v>
      </c>
      <c r="S948" t="s">
        <v>6499</v>
      </c>
      <c r="T948" t="s">
        <v>11100</v>
      </c>
      <c r="U948" t="s">
        <v>11100</v>
      </c>
      <c r="V948" t="s">
        <v>11100</v>
      </c>
      <c r="W948" t="s">
        <v>12030</v>
      </c>
      <c r="X948">
        <v>2</v>
      </c>
      <c r="Y948" t="s">
        <v>17524</v>
      </c>
      <c r="Z948" t="s">
        <v>22953</v>
      </c>
      <c r="AA948">
        <v>0.60572497471041897</v>
      </c>
      <c r="AB948" t="str">
        <f>HYPERLINK("Melting_Curves/meltCurve_H7C5G1_IAH1.pdf", "Melting_Curves/meltCurve_H7C5G1_IAH1.pdf")</f>
        <v>Melting_Curves/meltCurve_H7C5G1_IAH1.pdf</v>
      </c>
    </row>
    <row r="949" spans="1:28" x14ac:dyDescent="0.25">
      <c r="A949" t="s">
        <v>953</v>
      </c>
      <c r="B949">
        <v>0.99299721793515405</v>
      </c>
      <c r="C949">
        <v>0.92057027586390905</v>
      </c>
      <c r="D949">
        <v>1.1529235369323401</v>
      </c>
      <c r="E949">
        <v>0.82597479049079603</v>
      </c>
      <c r="F949">
        <v>0.57963278102978</v>
      </c>
      <c r="G949">
        <v>0.60153738463936801</v>
      </c>
      <c r="H949">
        <v>0.34634865159766198</v>
      </c>
      <c r="I949">
        <v>0.17323258982374401</v>
      </c>
      <c r="J949">
        <v>0.14415956772817001</v>
      </c>
      <c r="K949">
        <v>0.15797841282050801</v>
      </c>
      <c r="L949">
        <v>662.01429976954</v>
      </c>
      <c r="M949">
        <v>12.4462703550033</v>
      </c>
      <c r="N949">
        <v>53.772178546535201</v>
      </c>
      <c r="O949">
        <v>51.872657410248699</v>
      </c>
      <c r="P949">
        <v>-5.6213938916864499E-2</v>
      </c>
      <c r="Q949">
        <v>6.3058630931655202E-2</v>
      </c>
      <c r="R949">
        <v>0.94172837067522097</v>
      </c>
      <c r="S949" t="s">
        <v>6500</v>
      </c>
      <c r="T949" t="s">
        <v>11100</v>
      </c>
      <c r="U949" t="s">
        <v>11100</v>
      </c>
      <c r="V949" t="s">
        <v>11100</v>
      </c>
      <c r="W949" t="s">
        <v>12031</v>
      </c>
      <c r="X949">
        <v>2</v>
      </c>
      <c r="Y949" t="s">
        <v>17525</v>
      </c>
      <c r="Z949" t="s">
        <v>22954</v>
      </c>
      <c r="AA949">
        <v>0.5875615460526884</v>
      </c>
      <c r="AB949" t="str">
        <f>HYPERLINK("Melting_Curves/meltCurve_H7C5R4_GK5.pdf", "Melting_Curves/meltCurve_H7C5R4_GK5.pdf")</f>
        <v>Melting_Curves/meltCurve_H7C5R4_GK5.pdf</v>
      </c>
    </row>
    <row r="950" spans="1:28" x14ac:dyDescent="0.25">
      <c r="A950" t="s">
        <v>954</v>
      </c>
      <c r="B950">
        <v>0.99299721793515405</v>
      </c>
      <c r="C950">
        <v>0.79179564722309603</v>
      </c>
      <c r="D950">
        <v>0.79755249114121396</v>
      </c>
      <c r="E950">
        <v>0.63120952675937902</v>
      </c>
      <c r="F950">
        <v>0.71182134069970804</v>
      </c>
      <c r="G950">
        <v>0.489669691050447</v>
      </c>
      <c r="H950">
        <v>0.220768780311626</v>
      </c>
      <c r="I950">
        <v>0.20725045776731399</v>
      </c>
      <c r="J950">
        <v>0.22619974494211301</v>
      </c>
      <c r="K950">
        <v>0.133033922263917</v>
      </c>
      <c r="L950">
        <v>378.20101062950698</v>
      </c>
      <c r="M950">
        <v>7.3091409487578103</v>
      </c>
      <c r="N950">
        <v>51.743565050383502</v>
      </c>
      <c r="O950">
        <v>48.292523420067198</v>
      </c>
      <c r="P950">
        <v>-3.7897691139635301E-2</v>
      </c>
      <c r="Q950">
        <v>0</v>
      </c>
      <c r="R950">
        <v>0.92987330492666298</v>
      </c>
      <c r="S950" t="s">
        <v>6501</v>
      </c>
      <c r="T950" t="s">
        <v>11100</v>
      </c>
      <c r="U950" t="s">
        <v>11100</v>
      </c>
      <c r="V950" t="s">
        <v>11100</v>
      </c>
      <c r="W950" t="s">
        <v>12032</v>
      </c>
      <c r="X950">
        <v>2</v>
      </c>
      <c r="Y950" t="s">
        <v>17526</v>
      </c>
      <c r="Z950" t="s">
        <v>22955</v>
      </c>
      <c r="AA950">
        <v>0.52213605018499287</v>
      </c>
      <c r="AB950" t="str">
        <f>HYPERLINK("Melting_Curves/meltCurve_H9KV44_EFR3A.pdf", "Melting_Curves/meltCurve_H9KV44_EFR3A.pdf")</f>
        <v>Melting_Curves/meltCurve_H9KV44_EFR3A.pdf</v>
      </c>
    </row>
    <row r="951" spans="1:28" x14ac:dyDescent="0.25">
      <c r="A951" t="s">
        <v>955</v>
      </c>
      <c r="B951">
        <v>0.99299721793515405</v>
      </c>
      <c r="C951">
        <v>0.92450618016029995</v>
      </c>
      <c r="D951">
        <v>0.95092892025964504</v>
      </c>
      <c r="E951">
        <v>0.74055375605437801</v>
      </c>
      <c r="F951">
        <v>0.326874703354878</v>
      </c>
      <c r="G951">
        <v>0.19483216646007701</v>
      </c>
      <c r="H951">
        <v>0.147036537201474</v>
      </c>
      <c r="I951">
        <v>0.154286843537663</v>
      </c>
      <c r="J951">
        <v>0.139864341358935</v>
      </c>
      <c r="K951">
        <v>0.11613091627238099</v>
      </c>
      <c r="L951">
        <v>1264.71654786726</v>
      </c>
      <c r="M951">
        <v>26.3620381177216</v>
      </c>
      <c r="N951">
        <v>48.560525466308697</v>
      </c>
      <c r="O951">
        <v>47.7014041602419</v>
      </c>
      <c r="P951">
        <v>-0.11935014058714</v>
      </c>
      <c r="Q951">
        <v>0.136165846087659</v>
      </c>
      <c r="R951">
        <v>0.99516317989435399</v>
      </c>
      <c r="S951" t="s">
        <v>6502</v>
      </c>
      <c r="T951" t="s">
        <v>11100</v>
      </c>
      <c r="U951" t="s">
        <v>11100</v>
      </c>
      <c r="V951" t="s">
        <v>11100</v>
      </c>
      <c r="W951" t="s">
        <v>12033</v>
      </c>
      <c r="X951">
        <v>5</v>
      </c>
      <c r="Y951" t="s">
        <v>17527</v>
      </c>
      <c r="Z951" t="s">
        <v>22956</v>
      </c>
      <c r="AA951">
        <v>0.45880583507190659</v>
      </c>
      <c r="AB951" t="str">
        <f>HYPERLINK("Melting_Curves/meltCurve_H9KV59_PRC1.pdf", "Melting_Curves/meltCurve_H9KV59_PRC1.pdf")</f>
        <v>Melting_Curves/meltCurve_H9KV59_PRC1.pdf</v>
      </c>
    </row>
    <row r="952" spans="1:28" x14ac:dyDescent="0.25">
      <c r="A952" t="s">
        <v>956</v>
      </c>
      <c r="B952">
        <v>0.99299721793515405</v>
      </c>
      <c r="C952">
        <v>0.87459815640349103</v>
      </c>
      <c r="D952">
        <v>0.89172364073039001</v>
      </c>
      <c r="E952">
        <v>0.68304453478792204</v>
      </c>
      <c r="F952">
        <v>0.42201535000933599</v>
      </c>
      <c r="G952">
        <v>0.25050398190301099</v>
      </c>
      <c r="H952">
        <v>0.26745307768055898</v>
      </c>
      <c r="I952">
        <v>0.19164711428876899</v>
      </c>
      <c r="J952">
        <v>0.25765090393012102</v>
      </c>
      <c r="K952">
        <v>0.167813154012981</v>
      </c>
      <c r="L952">
        <v>772.65752258595603</v>
      </c>
      <c r="M952">
        <v>16.2699935417582</v>
      </c>
      <c r="N952">
        <v>48.933989452352101</v>
      </c>
      <c r="O952">
        <v>46.789688202308803</v>
      </c>
      <c r="P952">
        <v>-7.0361400610862698E-2</v>
      </c>
      <c r="Q952">
        <v>0.19067060431032401</v>
      </c>
      <c r="R952">
        <v>0.98282435345882901</v>
      </c>
      <c r="S952" t="s">
        <v>6503</v>
      </c>
      <c r="T952" t="s">
        <v>11100</v>
      </c>
      <c r="U952" t="s">
        <v>11100</v>
      </c>
      <c r="V952" t="s">
        <v>11100</v>
      </c>
      <c r="W952" t="s">
        <v>12034</v>
      </c>
      <c r="X952">
        <v>1</v>
      </c>
      <c r="Y952" t="s">
        <v>17528</v>
      </c>
      <c r="Z952" t="s">
        <v>22957</v>
      </c>
      <c r="AA952">
        <v>0.48926713033677638</v>
      </c>
      <c r="AB952" t="str">
        <f>HYPERLINK("Melting_Curves/meltCurve_H9KV61_PWWP2B.pdf", "Melting_Curves/meltCurve_H9KV61_PWWP2B.pdf")</f>
        <v>Melting_Curves/meltCurve_H9KV61_PWWP2B.pdf</v>
      </c>
    </row>
    <row r="953" spans="1:28" x14ac:dyDescent="0.25">
      <c r="A953" t="s">
        <v>957</v>
      </c>
      <c r="B953">
        <v>0.99299721793515405</v>
      </c>
      <c r="C953">
        <v>0.94801887674097096</v>
      </c>
      <c r="D953">
        <v>1.44794902240645</v>
      </c>
      <c r="E953">
        <v>0.864579504933493</v>
      </c>
      <c r="F953">
        <v>0.75714959384493696</v>
      </c>
      <c r="G953">
        <v>0.77412422454185303</v>
      </c>
      <c r="H953">
        <v>0.39030812809656701</v>
      </c>
      <c r="I953">
        <v>0.41843268754268398</v>
      </c>
      <c r="J953">
        <v>0.492232338624638</v>
      </c>
      <c r="K953">
        <v>0.53666174474157302</v>
      </c>
      <c r="L953">
        <v>1124.16429008722</v>
      </c>
      <c r="M953">
        <v>21.642284723341898</v>
      </c>
      <c r="N953">
        <v>58.623709493054903</v>
      </c>
      <c r="O953">
        <v>51.505595804575201</v>
      </c>
      <c r="P953">
        <v>-5.69844654931582E-2</v>
      </c>
      <c r="Q953">
        <v>0.45755299846124198</v>
      </c>
      <c r="R953">
        <v>0.71663754754443298</v>
      </c>
      <c r="S953" t="s">
        <v>6504</v>
      </c>
      <c r="T953" t="s">
        <v>11100</v>
      </c>
      <c r="U953" t="s">
        <v>11100</v>
      </c>
      <c r="V953" t="s">
        <v>11100</v>
      </c>
      <c r="W953" t="s">
        <v>12035</v>
      </c>
      <c r="X953">
        <v>6</v>
      </c>
      <c r="Y953" t="s">
        <v>17529</v>
      </c>
      <c r="Z953" t="s">
        <v>22958</v>
      </c>
      <c r="AA953">
        <v>0.73391698059148991</v>
      </c>
      <c r="AB953" t="str">
        <f>HYPERLINK("Melting_Curves/meltCurve_H9KVB8_MICU1.pdf", "Melting_Curves/meltCurve_H9KVB8_MICU1.pdf")</f>
        <v>Melting_Curves/meltCurve_H9KVB8_MICU1.pdf</v>
      </c>
    </row>
    <row r="954" spans="1:28" x14ac:dyDescent="0.25">
      <c r="A954" t="s">
        <v>958</v>
      </c>
      <c r="B954">
        <v>0.99299721793515405</v>
      </c>
      <c r="C954">
        <v>0.61484602704450297</v>
      </c>
      <c r="D954">
        <v>0.86042216516148695</v>
      </c>
      <c r="E954">
        <v>0.50043477762197897</v>
      </c>
      <c r="F954">
        <v>0.71706546884471101</v>
      </c>
      <c r="G954">
        <v>0.28317470550504198</v>
      </c>
      <c r="H954">
        <v>0.39479718539596897</v>
      </c>
      <c r="I954">
        <v>0.213099679034332</v>
      </c>
      <c r="J954">
        <v>0.200853106121788</v>
      </c>
      <c r="K954">
        <v>0</v>
      </c>
      <c r="L954">
        <v>334.91207849143802</v>
      </c>
      <c r="M954">
        <v>6.6961827786065999</v>
      </c>
      <c r="N954">
        <v>50.015372292866203</v>
      </c>
      <c r="O954">
        <v>46.120832917503897</v>
      </c>
      <c r="P954">
        <v>-3.6376086181826403E-2</v>
      </c>
      <c r="Q954">
        <v>0</v>
      </c>
      <c r="R954">
        <v>0.80145895402470202</v>
      </c>
      <c r="S954" t="s">
        <v>6505</v>
      </c>
      <c r="T954" t="s">
        <v>11100</v>
      </c>
      <c r="U954" t="s">
        <v>11100</v>
      </c>
      <c r="V954" t="s">
        <v>11100</v>
      </c>
      <c r="W954" t="s">
        <v>12036</v>
      </c>
      <c r="X954">
        <v>1</v>
      </c>
      <c r="Y954" t="s">
        <v>17530</v>
      </c>
      <c r="Z954" t="s">
        <v>22959</v>
      </c>
      <c r="AA954">
        <v>0.47919577227104448</v>
      </c>
      <c r="AB954" t="str">
        <f>HYPERLINK("Melting_Curves/meltCurve_H9KVC5_CREB5.pdf", "Melting_Curves/meltCurve_H9KVC5_CREB5.pdf")</f>
        <v>Melting_Curves/meltCurve_H9KVC5_CREB5.pdf</v>
      </c>
    </row>
    <row r="955" spans="1:28" x14ac:dyDescent="0.25">
      <c r="A955" t="s">
        <v>959</v>
      </c>
      <c r="B955">
        <v>0.99299721793515405</v>
      </c>
      <c r="C955">
        <v>1.01706448339166</v>
      </c>
      <c r="D955">
        <v>0.933101922189155</v>
      </c>
      <c r="E955">
        <v>1.02758694340221</v>
      </c>
      <c r="F955">
        <v>0.55464255157176601</v>
      </c>
      <c r="G955">
        <v>0.38550018758346399</v>
      </c>
      <c r="H955">
        <v>0.18215826598074999</v>
      </c>
      <c r="I955">
        <v>0.18141596047456901</v>
      </c>
      <c r="J955">
        <v>0.13890578683559099</v>
      </c>
      <c r="K955">
        <v>0.15279576993104299</v>
      </c>
      <c r="L955">
        <v>1299.2831980757101</v>
      </c>
      <c r="M955">
        <v>25.634390229896599</v>
      </c>
      <c r="N955">
        <v>51.450568900052602</v>
      </c>
      <c r="O955">
        <v>50.379726754909498</v>
      </c>
      <c r="P955">
        <v>-0.107041457152252</v>
      </c>
      <c r="Q955">
        <v>0.15852826133286799</v>
      </c>
      <c r="R955">
        <v>0.98060682644201203</v>
      </c>
      <c r="S955" t="s">
        <v>6506</v>
      </c>
      <c r="T955" t="s">
        <v>11100</v>
      </c>
      <c r="U955" t="s">
        <v>11100</v>
      </c>
      <c r="V955" t="s">
        <v>11100</v>
      </c>
      <c r="W955" t="s">
        <v>12037</v>
      </c>
      <c r="X955">
        <v>3</v>
      </c>
      <c r="Y955" t="s">
        <v>17531</v>
      </c>
      <c r="Z955" t="s">
        <v>22960</v>
      </c>
      <c r="AA955">
        <v>0.5494496487185081</v>
      </c>
      <c r="AB955" t="str">
        <f>HYPERLINK("Melting_Curves/meltCurve_H9ZYI9_GABPB1.pdf", "Melting_Curves/meltCurve_H9ZYI9_GABPB1.pdf")</f>
        <v>Melting_Curves/meltCurve_H9ZYI9_GABPB1.pdf</v>
      </c>
    </row>
    <row r="956" spans="1:28" x14ac:dyDescent="0.25">
      <c r="A956" t="s">
        <v>960</v>
      </c>
      <c r="B956">
        <v>0.99299721793515405</v>
      </c>
      <c r="C956">
        <v>1.0347131155599201</v>
      </c>
      <c r="D956">
        <v>0.88577628099918004</v>
      </c>
      <c r="E956">
        <v>0.88548263056878396</v>
      </c>
      <c r="F956">
        <v>0.68204050624972201</v>
      </c>
      <c r="G956">
        <v>0.31021763092129001</v>
      </c>
      <c r="H956">
        <v>0.20834162592622699</v>
      </c>
      <c r="I956">
        <v>0.17767236863837099</v>
      </c>
      <c r="J956">
        <v>0.14472602027710799</v>
      </c>
      <c r="K956">
        <v>0.129973238882482</v>
      </c>
      <c r="L956">
        <v>1085.8420713369001</v>
      </c>
      <c r="M956">
        <v>21.276067515271301</v>
      </c>
      <c r="N956">
        <v>51.7786944651616</v>
      </c>
      <c r="O956">
        <v>50.591401658177801</v>
      </c>
      <c r="P956">
        <v>-9.1310839023404602E-2</v>
      </c>
      <c r="Q956">
        <v>0.13152644890857801</v>
      </c>
      <c r="R956">
        <v>0.98880554282618205</v>
      </c>
      <c r="S956" t="s">
        <v>6507</v>
      </c>
      <c r="T956" t="s">
        <v>11100</v>
      </c>
      <c r="U956" t="s">
        <v>11100</v>
      </c>
      <c r="V956" t="s">
        <v>11100</v>
      </c>
      <c r="W956" t="s">
        <v>11465</v>
      </c>
      <c r="X956">
        <v>7</v>
      </c>
      <c r="Z956" t="s">
        <v>22961</v>
      </c>
      <c r="AA956">
        <v>0.54808780548118841</v>
      </c>
      <c r="AB956" t="str">
        <f>HYPERLINK("Melting_Curves/meltCurve_I3L097_.pdf", "Melting_Curves/meltCurve_I3L097_.pdf")</f>
        <v>Melting_Curves/meltCurve_I3L097_.pdf</v>
      </c>
    </row>
    <row r="957" spans="1:28" x14ac:dyDescent="0.25">
      <c r="A957" t="s">
        <v>961</v>
      </c>
      <c r="B957">
        <v>0.99299721793515405</v>
      </c>
      <c r="C957">
        <v>1.10898387631245</v>
      </c>
      <c r="D957">
        <v>0.96166362548541495</v>
      </c>
      <c r="E957">
        <v>0.72130030983747095</v>
      </c>
      <c r="F957">
        <v>1.21975224995638</v>
      </c>
      <c r="G957">
        <v>0.91309376248924601</v>
      </c>
      <c r="H957">
        <v>1.7795803795941501</v>
      </c>
      <c r="I957">
        <v>1.68220441616173</v>
      </c>
      <c r="J957">
        <v>1.3158503155522301</v>
      </c>
      <c r="K957">
        <v>0.61436392337863299</v>
      </c>
      <c r="L957">
        <v>13842.749071276199</v>
      </c>
      <c r="M957">
        <v>250</v>
      </c>
      <c r="O957">
        <v>55.367453027431701</v>
      </c>
      <c r="P957">
        <v>0.39280976240808102</v>
      </c>
      <c r="Q957">
        <v>1.34798201594689</v>
      </c>
      <c r="R957">
        <v>0.24115636004355101</v>
      </c>
      <c r="S957" t="s">
        <v>6508</v>
      </c>
      <c r="T957" t="s">
        <v>11100</v>
      </c>
      <c r="U957" t="s">
        <v>11100</v>
      </c>
      <c r="V957" t="s">
        <v>11100</v>
      </c>
      <c r="W957" t="s">
        <v>12038</v>
      </c>
      <c r="X957">
        <v>4</v>
      </c>
      <c r="Y957" t="s">
        <v>17532</v>
      </c>
      <c r="Z957" t="s">
        <v>22962</v>
      </c>
      <c r="AA957">
        <v>1.134855656637328</v>
      </c>
      <c r="AB957" t="str">
        <f>HYPERLINK("Melting_Curves/meltCurve_I3L0A4_WASH6P.pdf", "Melting_Curves/meltCurve_I3L0A4_WASH6P.pdf")</f>
        <v>Melting_Curves/meltCurve_I3L0A4_WASH6P.pdf</v>
      </c>
    </row>
    <row r="958" spans="1:28" x14ac:dyDescent="0.25">
      <c r="A958" t="s">
        <v>962</v>
      </c>
      <c r="B958">
        <v>0.99299721793515405</v>
      </c>
      <c r="C958">
        <v>0.90315935824170002</v>
      </c>
      <c r="D958">
        <v>1.2219111056336101</v>
      </c>
      <c r="E958">
        <v>0.92626388249893599</v>
      </c>
      <c r="F958">
        <v>0.83140601579110995</v>
      </c>
      <c r="G958">
        <v>0.52660778795762997</v>
      </c>
      <c r="H958">
        <v>0.45616901913220498</v>
      </c>
      <c r="I958">
        <v>0.35421307611574698</v>
      </c>
      <c r="J958">
        <v>0.32375524396356797</v>
      </c>
      <c r="K958">
        <v>0.30467940271225702</v>
      </c>
      <c r="L958">
        <v>1184.37206969779</v>
      </c>
      <c r="M958">
        <v>22.611903465689199</v>
      </c>
      <c r="N958">
        <v>54.887932655222201</v>
      </c>
      <c r="O958">
        <v>51.973729682837302</v>
      </c>
      <c r="P958">
        <v>-7.37240910932071E-2</v>
      </c>
      <c r="Q958">
        <v>0.32219045842941602</v>
      </c>
      <c r="R958">
        <v>0.93129214746826805</v>
      </c>
      <c r="S958" t="s">
        <v>6509</v>
      </c>
      <c r="T958" t="s">
        <v>11100</v>
      </c>
      <c r="U958" t="s">
        <v>11100</v>
      </c>
      <c r="V958" t="s">
        <v>11100</v>
      </c>
      <c r="W958" t="s">
        <v>12039</v>
      </c>
      <c r="X958">
        <v>4</v>
      </c>
      <c r="Y958" t="s">
        <v>17533</v>
      </c>
      <c r="Z958" t="s">
        <v>22963</v>
      </c>
      <c r="AA958">
        <v>0.67677904455963978</v>
      </c>
      <c r="AB958" t="str">
        <f>HYPERLINK("Melting_Curves/meltCurve_I3L0K1_GOSR2.pdf", "Melting_Curves/meltCurve_I3L0K1_GOSR2.pdf")</f>
        <v>Melting_Curves/meltCurve_I3L0K1_GOSR2.pdf</v>
      </c>
    </row>
    <row r="959" spans="1:28" x14ac:dyDescent="0.25">
      <c r="A959" t="s">
        <v>963</v>
      </c>
      <c r="B959">
        <v>0.99299721793515405</v>
      </c>
      <c r="C959">
        <v>0.88015367710214498</v>
      </c>
      <c r="D959">
        <v>0.979622448223333</v>
      </c>
      <c r="E959">
        <v>0.93920421441127699</v>
      </c>
      <c r="F959">
        <v>0.74169892116837699</v>
      </c>
      <c r="G959">
        <v>0.61251754926986701</v>
      </c>
      <c r="H959">
        <v>0.62263135457071905</v>
      </c>
      <c r="I959">
        <v>0.71486947595143502</v>
      </c>
      <c r="J959">
        <v>0.79501249775141303</v>
      </c>
      <c r="K959">
        <v>0.68188753987705797</v>
      </c>
      <c r="L959">
        <v>2140.5998308725402</v>
      </c>
      <c r="M959">
        <v>44.448547801883699</v>
      </c>
      <c r="O959">
        <v>48.061879746002099</v>
      </c>
      <c r="P959">
        <v>-7.24521720372856E-2</v>
      </c>
      <c r="Q959">
        <v>0.68663251615242304</v>
      </c>
      <c r="R959">
        <v>0.79872145427359498</v>
      </c>
      <c r="S959" t="s">
        <v>6510</v>
      </c>
      <c r="T959" t="s">
        <v>11100</v>
      </c>
      <c r="U959" t="s">
        <v>11100</v>
      </c>
      <c r="V959" t="s">
        <v>11100</v>
      </c>
      <c r="W959" t="s">
        <v>12040</v>
      </c>
      <c r="X959">
        <v>5</v>
      </c>
      <c r="Y959" t="s">
        <v>17534</v>
      </c>
      <c r="Z959" t="s">
        <v>22964</v>
      </c>
      <c r="AA959">
        <v>0.80403884372666024</v>
      </c>
      <c r="AB959" t="str">
        <f>HYPERLINK("Melting_Curves/meltCurve_I3L0L6_RNF167.pdf", "Melting_Curves/meltCurve_I3L0L6_RNF167.pdf")</f>
        <v>Melting_Curves/meltCurve_I3L0L6_RNF167.pdf</v>
      </c>
    </row>
    <row r="960" spans="1:28" x14ac:dyDescent="0.25">
      <c r="A960" t="s">
        <v>964</v>
      </c>
      <c r="B960">
        <v>0.99299721793515405</v>
      </c>
      <c r="C960">
        <v>1.0869851223326901</v>
      </c>
      <c r="D960">
        <v>0.95969280584212002</v>
      </c>
      <c r="E960">
        <v>1.0006980443567299</v>
      </c>
      <c r="F960">
        <v>0.75025646812118696</v>
      </c>
      <c r="G960">
        <v>0.36459353008365802</v>
      </c>
      <c r="H960">
        <v>0.321868258800378</v>
      </c>
      <c r="I960">
        <v>0.30577947858404098</v>
      </c>
      <c r="J960">
        <v>0.25589005851390301</v>
      </c>
      <c r="K960">
        <v>0.18550467718764299</v>
      </c>
      <c r="L960">
        <v>1772.3899436148799</v>
      </c>
      <c r="M960">
        <v>34.6212713281774</v>
      </c>
      <c r="N960">
        <v>52.298601951599601</v>
      </c>
      <c r="O960">
        <v>51.023774621643398</v>
      </c>
      <c r="P960">
        <v>-0.125631810481869</v>
      </c>
      <c r="Q960">
        <v>0.25939340136107703</v>
      </c>
      <c r="R960">
        <v>0.98398729037145305</v>
      </c>
      <c r="S960" t="s">
        <v>6511</v>
      </c>
      <c r="T960" t="s">
        <v>11100</v>
      </c>
      <c r="U960" t="s">
        <v>11100</v>
      </c>
      <c r="V960" t="s">
        <v>11100</v>
      </c>
      <c r="W960" t="s">
        <v>12041</v>
      </c>
      <c r="X960">
        <v>16</v>
      </c>
      <c r="Y960" t="s">
        <v>17535</v>
      </c>
      <c r="Z960" t="s">
        <v>22965</v>
      </c>
      <c r="AA960">
        <v>0.61328154992396489</v>
      </c>
      <c r="AB960" t="str">
        <f>HYPERLINK("Melting_Curves/meltCurve_I3L0N3_NSF.pdf", "Melting_Curves/meltCurve_I3L0N3_NSF.pdf")</f>
        <v>Melting_Curves/meltCurve_I3L0N3_NSF.pdf</v>
      </c>
    </row>
    <row r="961" spans="1:28" x14ac:dyDescent="0.25">
      <c r="A961" t="s">
        <v>965</v>
      </c>
      <c r="B961">
        <v>0.99299721793515405</v>
      </c>
      <c r="C961">
        <v>1.1052572950100099</v>
      </c>
      <c r="D961">
        <v>1.12830696431043</v>
      </c>
      <c r="E961">
        <v>0.81537841524745303</v>
      </c>
      <c r="F961">
        <v>0.63892100442658595</v>
      </c>
      <c r="G961">
        <v>0.80945219049690198</v>
      </c>
      <c r="H961">
        <v>0.57816234434524605</v>
      </c>
      <c r="I961">
        <v>0.58739297512725896</v>
      </c>
      <c r="J961">
        <v>0.55819139916723204</v>
      </c>
      <c r="K961">
        <v>0.438834201492807</v>
      </c>
      <c r="L961">
        <v>656.02229556276302</v>
      </c>
      <c r="M961">
        <v>12.8330566472013</v>
      </c>
      <c r="O961">
        <v>49.9261363965214</v>
      </c>
      <c r="P961">
        <v>-3.2436154839789302E-2</v>
      </c>
      <c r="Q961">
        <v>0.49533115249399701</v>
      </c>
      <c r="R961">
        <v>0.82221701727520702</v>
      </c>
      <c r="S961" t="s">
        <v>6512</v>
      </c>
      <c r="T961" t="s">
        <v>11100</v>
      </c>
      <c r="U961" t="s">
        <v>11100</v>
      </c>
      <c r="V961" t="s">
        <v>11100</v>
      </c>
      <c r="W961" t="s">
        <v>12042</v>
      </c>
      <c r="X961">
        <v>1</v>
      </c>
      <c r="Y961" t="s">
        <v>17536</v>
      </c>
      <c r="Z961" t="s">
        <v>22966</v>
      </c>
      <c r="AA961">
        <v>0.74500725789238043</v>
      </c>
      <c r="AB961" t="str">
        <f>HYPERLINK("Melting_Curves/meltCurve_I3L0T6_RNMTL1.pdf", "Melting_Curves/meltCurve_I3L0T6_RNMTL1.pdf")</f>
        <v>Melting_Curves/meltCurve_I3L0T6_RNMTL1.pdf</v>
      </c>
    </row>
    <row r="962" spans="1:28" x14ac:dyDescent="0.25">
      <c r="A962" t="s">
        <v>966</v>
      </c>
      <c r="B962">
        <v>0.99299721793515405</v>
      </c>
      <c r="C962">
        <v>1.01748367679686</v>
      </c>
      <c r="D962">
        <v>0.95484257816087803</v>
      </c>
      <c r="E962">
        <v>0.77659206301845896</v>
      </c>
      <c r="F962">
        <v>0.36941607166934998</v>
      </c>
      <c r="G962">
        <v>0.290256228000764</v>
      </c>
      <c r="H962">
        <v>0.197753445891625</v>
      </c>
      <c r="I962">
        <v>0.21804072037043401</v>
      </c>
      <c r="J962">
        <v>0.17721733133613199</v>
      </c>
      <c r="K962">
        <v>0.126345470698597</v>
      </c>
      <c r="L962">
        <v>1211.59365327404</v>
      </c>
      <c r="M962">
        <v>25.123072304576102</v>
      </c>
      <c r="N962">
        <v>49.108674833637899</v>
      </c>
      <c r="O962">
        <v>47.923890770702698</v>
      </c>
      <c r="P962">
        <v>-0.107254704015709</v>
      </c>
      <c r="Q962">
        <v>0.18162956234566199</v>
      </c>
      <c r="R962">
        <v>0.99291402988146005</v>
      </c>
      <c r="S962" t="s">
        <v>6513</v>
      </c>
      <c r="T962" t="s">
        <v>11100</v>
      </c>
      <c r="U962" t="s">
        <v>11100</v>
      </c>
      <c r="V962" t="s">
        <v>11100</v>
      </c>
      <c r="W962" t="s">
        <v>12043</v>
      </c>
      <c r="X962">
        <v>1</v>
      </c>
      <c r="Y962" t="s">
        <v>17537</v>
      </c>
      <c r="Z962" t="s">
        <v>22967</v>
      </c>
      <c r="AA962">
        <v>0.49480212935132428</v>
      </c>
      <c r="AB962" t="str">
        <f>HYPERLINK("Melting_Curves/meltCurve_I3L0U9_TBC1D16.pdf", "Melting_Curves/meltCurve_I3L0U9_TBC1D16.pdf")</f>
        <v>Melting_Curves/meltCurve_I3L0U9_TBC1D16.pdf</v>
      </c>
    </row>
    <row r="963" spans="1:28" x14ac:dyDescent="0.25">
      <c r="A963" t="s">
        <v>967</v>
      </c>
      <c r="B963">
        <v>0.99299721793515405</v>
      </c>
      <c r="C963">
        <v>1.00226219047358</v>
      </c>
      <c r="D963">
        <v>0.81480406014219198</v>
      </c>
      <c r="E963">
        <v>0.83589663111614398</v>
      </c>
      <c r="F963">
        <v>0.68481326917582197</v>
      </c>
      <c r="G963">
        <v>0.60074718128287696</v>
      </c>
      <c r="H963">
        <v>0.48942206368222602</v>
      </c>
      <c r="I963">
        <v>0.28903884205203301</v>
      </c>
      <c r="J963">
        <v>0.13061762446621</v>
      </c>
      <c r="K963">
        <v>8.6788864232499693E-2</v>
      </c>
      <c r="L963">
        <v>522.51258905552402</v>
      </c>
      <c r="M963">
        <v>9.5023854122069409</v>
      </c>
      <c r="N963">
        <v>54.987517715143397</v>
      </c>
      <c r="O963">
        <v>52.717444608458102</v>
      </c>
      <c r="P963">
        <v>-4.50894436527065E-2</v>
      </c>
      <c r="Q963">
        <v>0</v>
      </c>
      <c r="R963">
        <v>0.96439601511610695</v>
      </c>
      <c r="S963" t="s">
        <v>6514</v>
      </c>
      <c r="T963" t="s">
        <v>11100</v>
      </c>
      <c r="U963" t="s">
        <v>11100</v>
      </c>
      <c r="V963" t="s">
        <v>11100</v>
      </c>
      <c r="W963" t="s">
        <v>12044</v>
      </c>
      <c r="X963">
        <v>2</v>
      </c>
      <c r="Y963" t="s">
        <v>17538</v>
      </c>
      <c r="Z963" t="s">
        <v>22968</v>
      </c>
      <c r="AA963">
        <v>0.6108850764256345</v>
      </c>
      <c r="AB963" t="str">
        <f>HYPERLINK("Melting_Curves/meltCurve_I3L1H5_DPH1.pdf", "Melting_Curves/meltCurve_I3L1H5_DPH1.pdf")</f>
        <v>Melting_Curves/meltCurve_I3L1H5_DPH1.pdf</v>
      </c>
    </row>
    <row r="964" spans="1:28" x14ac:dyDescent="0.25">
      <c r="A964" t="s">
        <v>968</v>
      </c>
      <c r="B964">
        <v>0.99299721793515405</v>
      </c>
      <c r="C964">
        <v>1.0040573222137601</v>
      </c>
      <c r="D964">
        <v>1.2446650088764699</v>
      </c>
      <c r="E964">
        <v>0.91183749257316005</v>
      </c>
      <c r="F964">
        <v>0.84808203439351604</v>
      </c>
      <c r="G964">
        <v>0.77974307530919795</v>
      </c>
      <c r="H964">
        <v>0.65353449237586103</v>
      </c>
      <c r="I964">
        <v>0.658493257844594</v>
      </c>
      <c r="J964">
        <v>0.70647054546553001</v>
      </c>
      <c r="K964">
        <v>0.78560713098953605</v>
      </c>
      <c r="L964">
        <v>1382.1746082201601</v>
      </c>
      <c r="M964">
        <v>27.643622330026801</v>
      </c>
      <c r="O964">
        <v>49.740309548214697</v>
      </c>
      <c r="P964">
        <v>-4.0801314704716603E-2</v>
      </c>
      <c r="Q964">
        <v>0.70634072686632399</v>
      </c>
      <c r="R964">
        <v>0.74608754177963699</v>
      </c>
      <c r="S964" t="s">
        <v>6515</v>
      </c>
      <c r="T964" t="s">
        <v>11100</v>
      </c>
      <c r="U964" t="s">
        <v>11100</v>
      </c>
      <c r="V964" t="s">
        <v>11100</v>
      </c>
      <c r="W964" t="s">
        <v>12045</v>
      </c>
      <c r="X964">
        <v>13</v>
      </c>
      <c r="Y964" t="s">
        <v>17539</v>
      </c>
      <c r="Z964" t="s">
        <v>22969</v>
      </c>
      <c r="AA964">
        <v>0.83570634085052453</v>
      </c>
      <c r="AB964" t="str">
        <f>HYPERLINK("Melting_Curves/meltCurve_I3L1P8_SLC25A11.pdf", "Melting_Curves/meltCurve_I3L1P8_SLC25A11.pdf")</f>
        <v>Melting_Curves/meltCurve_I3L1P8_SLC25A11.pdf</v>
      </c>
    </row>
    <row r="965" spans="1:28" x14ac:dyDescent="0.25">
      <c r="A965" t="s">
        <v>969</v>
      </c>
      <c r="B965">
        <v>0.99299721793515405</v>
      </c>
      <c r="C965">
        <v>1.0406106028620099</v>
      </c>
      <c r="D965">
        <v>0.77337504948735103</v>
      </c>
      <c r="E965">
        <v>0.86761806814321496</v>
      </c>
      <c r="F965">
        <v>0.676019868646349</v>
      </c>
      <c r="G965">
        <v>0.29525179727415102</v>
      </c>
      <c r="H965">
        <v>0.18766443409157399</v>
      </c>
      <c r="I965">
        <v>0.124086497269877</v>
      </c>
      <c r="J965">
        <v>0.14447047841215599</v>
      </c>
      <c r="K965">
        <v>0.110934454838978</v>
      </c>
      <c r="L965">
        <v>871.75964901955297</v>
      </c>
      <c r="M965">
        <v>17.092473451089901</v>
      </c>
      <c r="N965">
        <v>51.569268168266802</v>
      </c>
      <c r="O965">
        <v>50.319788241774802</v>
      </c>
      <c r="P965">
        <v>-7.7652690663246204E-2</v>
      </c>
      <c r="Q965">
        <v>8.5625760555889496E-2</v>
      </c>
      <c r="R965">
        <v>0.96333621767331301</v>
      </c>
      <c r="S965" t="s">
        <v>6516</v>
      </c>
      <c r="T965" t="s">
        <v>11100</v>
      </c>
      <c r="U965" t="s">
        <v>11100</v>
      </c>
      <c r="V965" t="s">
        <v>11100</v>
      </c>
      <c r="W965" t="s">
        <v>12046</v>
      </c>
      <c r="X965">
        <v>14</v>
      </c>
      <c r="Y965" t="s">
        <v>17540</v>
      </c>
      <c r="Z965" t="s">
        <v>22970</v>
      </c>
      <c r="AA965">
        <v>0.52774770622625333</v>
      </c>
      <c r="AB965" t="str">
        <f>HYPERLINK("Melting_Curves/meltCurve_I3L2B0_CLUH.pdf", "Melting_Curves/meltCurve_I3L2B0_CLUH.pdf")</f>
        <v>Melting_Curves/meltCurve_I3L2B0_CLUH.pdf</v>
      </c>
    </row>
    <row r="966" spans="1:28" x14ac:dyDescent="0.25">
      <c r="A966" t="s">
        <v>970</v>
      </c>
      <c r="B966">
        <v>0.99299721793515405</v>
      </c>
      <c r="C966">
        <v>0.88982043832254898</v>
      </c>
      <c r="D966">
        <v>0.98500734389287903</v>
      </c>
      <c r="E966">
        <v>0.82498428096649201</v>
      </c>
      <c r="F966">
        <v>0.45021006005478098</v>
      </c>
      <c r="G966">
        <v>0.41613241336763102</v>
      </c>
      <c r="H966">
        <v>0.24296876714044499</v>
      </c>
      <c r="I966">
        <v>0.232500395776021</v>
      </c>
      <c r="J966">
        <v>0.20820088599509801</v>
      </c>
      <c r="K966">
        <v>0.2227519312607</v>
      </c>
      <c r="L966">
        <v>957.11187885623599</v>
      </c>
      <c r="M966">
        <v>19.529832172087499</v>
      </c>
      <c r="N966">
        <v>50.490079822865603</v>
      </c>
      <c r="O966">
        <v>48.502534609806197</v>
      </c>
      <c r="P966">
        <v>-7.8702032119546503E-2</v>
      </c>
      <c r="Q966">
        <v>0.21819880340225101</v>
      </c>
      <c r="R966">
        <v>0.97595220582883202</v>
      </c>
      <c r="S966" t="s">
        <v>6517</v>
      </c>
      <c r="T966" t="s">
        <v>11100</v>
      </c>
      <c r="U966" t="s">
        <v>11100</v>
      </c>
      <c r="V966" t="s">
        <v>11100</v>
      </c>
      <c r="W966" t="s">
        <v>12047</v>
      </c>
      <c r="X966">
        <v>1</v>
      </c>
      <c r="Y966" t="s">
        <v>17541</v>
      </c>
      <c r="Z966" t="s">
        <v>22971</v>
      </c>
      <c r="AA966">
        <v>0.54187402683553654</v>
      </c>
      <c r="AB966" t="str">
        <f>HYPERLINK("Melting_Curves/meltCurve_I3L2C7_GEMIN4.pdf", "Melting_Curves/meltCurve_I3L2C7_GEMIN4.pdf")</f>
        <v>Melting_Curves/meltCurve_I3L2C7_GEMIN4.pdf</v>
      </c>
    </row>
    <row r="967" spans="1:28" x14ac:dyDescent="0.25">
      <c r="A967" t="s">
        <v>971</v>
      </c>
      <c r="B967">
        <v>0.99299721793515405</v>
      </c>
      <c r="C967">
        <v>0.95710512456470398</v>
      </c>
      <c r="D967">
        <v>1.1126068041630699</v>
      </c>
      <c r="E967">
        <v>0.78966255191780499</v>
      </c>
      <c r="F967">
        <v>0.85866495382958596</v>
      </c>
      <c r="G967">
        <v>0.47732350023645198</v>
      </c>
      <c r="H967">
        <v>0.34211623303636701</v>
      </c>
      <c r="I967">
        <v>0.43700452362228298</v>
      </c>
      <c r="J967">
        <v>0.35012460046843502</v>
      </c>
      <c r="K967">
        <v>0.292259313467577</v>
      </c>
      <c r="L967">
        <v>1151.79090889125</v>
      </c>
      <c r="M967">
        <v>22.324669622781599</v>
      </c>
      <c r="N967">
        <v>54.201035254569199</v>
      </c>
      <c r="O967">
        <v>51.184123896148101</v>
      </c>
      <c r="P967">
        <v>-7.3142551420663199E-2</v>
      </c>
      <c r="Q967">
        <v>0.32923380907384098</v>
      </c>
      <c r="R967">
        <v>0.92851355905060395</v>
      </c>
      <c r="S967" t="s">
        <v>6518</v>
      </c>
      <c r="T967" t="s">
        <v>11100</v>
      </c>
      <c r="U967" t="s">
        <v>11100</v>
      </c>
      <c r="V967" t="s">
        <v>11100</v>
      </c>
      <c r="W967" t="s">
        <v>12048</v>
      </c>
      <c r="X967">
        <v>2</v>
      </c>
      <c r="Y967" t="s">
        <v>17542</v>
      </c>
      <c r="Z967" t="s">
        <v>22972</v>
      </c>
      <c r="AA967">
        <v>0.66276982513681182</v>
      </c>
      <c r="AB967" t="str">
        <f>HYPERLINK("Melting_Curves/meltCurve_I3L2J8_AZI1.pdf", "Melting_Curves/meltCurve_I3L2J8_AZI1.pdf")</f>
        <v>Melting_Curves/meltCurve_I3L2J8_AZI1.pdf</v>
      </c>
    </row>
    <row r="968" spans="1:28" x14ac:dyDescent="0.25">
      <c r="A968" t="s">
        <v>972</v>
      </c>
      <c r="B968">
        <v>0.99299721793515405</v>
      </c>
      <c r="C968">
        <v>0.85950267143791703</v>
      </c>
      <c r="D968">
        <v>0.94158993168986105</v>
      </c>
      <c r="E968">
        <v>0.73437169281303905</v>
      </c>
      <c r="F968">
        <v>0.64314266508998696</v>
      </c>
      <c r="G968">
        <v>0.52897590783678605</v>
      </c>
      <c r="H968">
        <v>0.68648806562881703</v>
      </c>
      <c r="I968">
        <v>1.0029250735353199</v>
      </c>
      <c r="J968">
        <v>1.1633479932833299</v>
      </c>
      <c r="K968">
        <v>1.0634133784667299</v>
      </c>
      <c r="L968">
        <v>2479.2457131013002</v>
      </c>
      <c r="M968">
        <v>64.238239217418197</v>
      </c>
      <c r="O968">
        <v>38.557198040516298</v>
      </c>
      <c r="P968">
        <v>-6.4468950663086097E-2</v>
      </c>
      <c r="Q968">
        <v>0.84521735245830398</v>
      </c>
      <c r="R968">
        <v>5.0872206407136002E-2</v>
      </c>
      <c r="S968" t="s">
        <v>6519</v>
      </c>
      <c r="T968" t="s">
        <v>11100</v>
      </c>
      <c r="U968" t="s">
        <v>11100</v>
      </c>
      <c r="V968" t="s">
        <v>11100</v>
      </c>
      <c r="W968" t="s">
        <v>12049</v>
      </c>
      <c r="X968">
        <v>4</v>
      </c>
      <c r="Y968" t="s">
        <v>17543</v>
      </c>
      <c r="Z968" t="s">
        <v>22973</v>
      </c>
      <c r="AA968">
        <v>0.85377196555983415</v>
      </c>
      <c r="AB968" t="str">
        <f>HYPERLINK("Melting_Curves/meltCurve_I3L2L5_FAM195B.pdf", "Melting_Curves/meltCurve_I3L2L5_FAM195B.pdf")</f>
        <v>Melting_Curves/meltCurve_I3L2L5_FAM195B.pdf</v>
      </c>
    </row>
    <row r="969" spans="1:28" x14ac:dyDescent="0.25">
      <c r="A969" t="s">
        <v>973</v>
      </c>
      <c r="B969">
        <v>0.99299721793515405</v>
      </c>
      <c r="C969">
        <v>0.96614034169379504</v>
      </c>
      <c r="D969">
        <v>1.0918534286317101</v>
      </c>
      <c r="E969">
        <v>0.70421509730394205</v>
      </c>
      <c r="F969">
        <v>0.32731272530407202</v>
      </c>
      <c r="G969">
        <v>0.27557720969829702</v>
      </c>
      <c r="H969">
        <v>0.22773837915012299</v>
      </c>
      <c r="I969">
        <v>0.19615866344479699</v>
      </c>
      <c r="J969">
        <v>0.16133236359742301</v>
      </c>
      <c r="K969">
        <v>0.136438553039612</v>
      </c>
      <c r="L969">
        <v>1547.9809538068901</v>
      </c>
      <c r="M969">
        <v>32.532208339101302</v>
      </c>
      <c r="N969">
        <v>48.316725858940998</v>
      </c>
      <c r="O969">
        <v>47.404322757442301</v>
      </c>
      <c r="P969">
        <v>-0.13812780659922999</v>
      </c>
      <c r="Q969">
        <v>0.19491197996899701</v>
      </c>
      <c r="R969">
        <v>0.98165309174277504</v>
      </c>
      <c r="S969" t="s">
        <v>6520</v>
      </c>
      <c r="T969" t="s">
        <v>11100</v>
      </c>
      <c r="U969" t="s">
        <v>11100</v>
      </c>
      <c r="V969" t="s">
        <v>11100</v>
      </c>
      <c r="W969" t="s">
        <v>12050</v>
      </c>
      <c r="X969">
        <v>5</v>
      </c>
      <c r="Y969" t="s">
        <v>17544</v>
      </c>
      <c r="Z969" t="s">
        <v>22974</v>
      </c>
      <c r="AA969">
        <v>0.48293894967602502</v>
      </c>
      <c r="AB969" t="str">
        <f>HYPERLINK("Melting_Curves/meltCurve_I3L2N2_DVL2.pdf", "Melting_Curves/meltCurve_I3L2N2_DVL2.pdf")</f>
        <v>Melting_Curves/meltCurve_I3L2N2_DVL2.pdf</v>
      </c>
    </row>
    <row r="970" spans="1:28" x14ac:dyDescent="0.25">
      <c r="A970" t="s">
        <v>974</v>
      </c>
      <c r="B970">
        <v>0.99299721793515405</v>
      </c>
      <c r="C970">
        <v>0.90176996486990202</v>
      </c>
      <c r="D970">
        <v>1.0068901248928499</v>
      </c>
      <c r="E970">
        <v>0.75790905049623403</v>
      </c>
      <c r="F970">
        <v>0.73291852883150199</v>
      </c>
      <c r="G970">
        <v>1.61820662575786</v>
      </c>
      <c r="H970">
        <v>2.2123992123158498</v>
      </c>
      <c r="I970">
        <v>0.75544814249229097</v>
      </c>
      <c r="J970">
        <v>0.24989077582782801</v>
      </c>
      <c r="K970">
        <v>0.28330367989293997</v>
      </c>
      <c r="L970">
        <v>15000</v>
      </c>
      <c r="M970">
        <v>245.209002389962</v>
      </c>
      <c r="N970">
        <v>61.362949772303303</v>
      </c>
      <c r="O970">
        <v>61.168235977745802</v>
      </c>
      <c r="P970">
        <v>-0.73501435801097403</v>
      </c>
      <c r="Q970">
        <v>0.26659247388087998</v>
      </c>
      <c r="R970">
        <v>0.35815154152454298</v>
      </c>
      <c r="S970" t="s">
        <v>6521</v>
      </c>
      <c r="T970" t="s">
        <v>11100</v>
      </c>
      <c r="U970" t="s">
        <v>11100</v>
      </c>
      <c r="V970" t="s">
        <v>11100</v>
      </c>
      <c r="W970" t="s">
        <v>12051</v>
      </c>
      <c r="X970">
        <v>3</v>
      </c>
      <c r="Y970" t="s">
        <v>17545</v>
      </c>
      <c r="Z970" t="s">
        <v>22975</v>
      </c>
      <c r="AA970">
        <v>0.85761267612044301</v>
      </c>
      <c r="AB970" t="str">
        <f>HYPERLINK("Melting_Curves/meltCurve_I3L3A8_PELP1.pdf", "Melting_Curves/meltCurve_I3L3A8_PELP1.pdf")</f>
        <v>Melting_Curves/meltCurve_I3L3A8_PELP1.pdf</v>
      </c>
    </row>
    <row r="971" spans="1:28" x14ac:dyDescent="0.25">
      <c r="A971" t="s">
        <v>975</v>
      </c>
      <c r="B971">
        <v>0.99299721793515405</v>
      </c>
      <c r="C971">
        <v>1.1731764806528899</v>
      </c>
      <c r="D971">
        <v>0.87848586979676402</v>
      </c>
      <c r="E971">
        <v>1.0215950496973001</v>
      </c>
      <c r="F971">
        <v>0.82962308747665803</v>
      </c>
      <c r="G971">
        <v>0.62922642248597005</v>
      </c>
      <c r="H971">
        <v>0.536480851265558</v>
      </c>
      <c r="I971">
        <v>0.529175773910461</v>
      </c>
      <c r="J971">
        <v>0.49753381071621899</v>
      </c>
      <c r="K971">
        <v>0.43081813546014103</v>
      </c>
      <c r="L971">
        <v>1241.4366212872401</v>
      </c>
      <c r="M971">
        <v>23.906503052097001</v>
      </c>
      <c r="N971">
        <v>59.839716125556997</v>
      </c>
      <c r="O971">
        <v>51.5695656079738</v>
      </c>
      <c r="P971">
        <v>-6.0405465816791702E-2</v>
      </c>
      <c r="Q971">
        <v>0.478797278996968</v>
      </c>
      <c r="R971">
        <v>0.91596507071867805</v>
      </c>
      <c r="S971" t="s">
        <v>6522</v>
      </c>
      <c r="T971" t="s">
        <v>11100</v>
      </c>
      <c r="U971" t="s">
        <v>11100</v>
      </c>
      <c r="V971" t="s">
        <v>11100</v>
      </c>
      <c r="W971" t="s">
        <v>11939</v>
      </c>
      <c r="X971">
        <v>1</v>
      </c>
      <c r="Z971" t="s">
        <v>22976</v>
      </c>
      <c r="AA971">
        <v>0.74316235779846163</v>
      </c>
      <c r="AB971" t="str">
        <f>HYPERLINK("Melting_Curves/meltCurve_I3L3B4_.pdf", "Melting_Curves/meltCurve_I3L3B4_.pdf")</f>
        <v>Melting_Curves/meltCurve_I3L3B4_.pdf</v>
      </c>
    </row>
    <row r="972" spans="1:28" x14ac:dyDescent="0.25">
      <c r="A972" t="s">
        <v>976</v>
      </c>
      <c r="B972">
        <v>0.99299721793515405</v>
      </c>
      <c r="C972">
        <v>0.946576964026693</v>
      </c>
      <c r="D972">
        <v>1.02469286463853</v>
      </c>
      <c r="E972">
        <v>0.90458227976150496</v>
      </c>
      <c r="F972">
        <v>0.75540338913597604</v>
      </c>
      <c r="G972">
        <v>0.41479259828938603</v>
      </c>
      <c r="H972">
        <v>0.202312273062453</v>
      </c>
      <c r="I972">
        <v>0.13826695568542399</v>
      </c>
      <c r="J972">
        <v>0.100921963756969</v>
      </c>
      <c r="K972">
        <v>8.0745098041340904E-2</v>
      </c>
      <c r="L972">
        <v>1083.79677926472</v>
      </c>
      <c r="M972">
        <v>20.665951431240298</v>
      </c>
      <c r="N972">
        <v>52.874139935044703</v>
      </c>
      <c r="O972">
        <v>51.959940930994399</v>
      </c>
      <c r="P972">
        <v>-9.1734611401435906E-2</v>
      </c>
      <c r="Q972">
        <v>7.7441147813998398E-2</v>
      </c>
      <c r="R972">
        <v>0.99625219581118596</v>
      </c>
      <c r="S972" t="s">
        <v>6523</v>
      </c>
      <c r="T972" t="s">
        <v>11100</v>
      </c>
      <c r="U972" t="s">
        <v>11100</v>
      </c>
      <c r="V972" t="s">
        <v>11100</v>
      </c>
      <c r="W972" t="s">
        <v>12052</v>
      </c>
      <c r="X972">
        <v>9</v>
      </c>
      <c r="Y972" t="s">
        <v>17546</v>
      </c>
      <c r="Z972" t="s">
        <v>22977</v>
      </c>
      <c r="AA972">
        <v>0.56358537662100539</v>
      </c>
      <c r="AB972" t="str">
        <f>HYPERLINK("Melting_Curves/meltCurve_I3L448_ATPAF1.pdf", "Melting_Curves/meltCurve_I3L448_ATPAF1.pdf")</f>
        <v>Melting_Curves/meltCurve_I3L448_ATPAF1.pdf</v>
      </c>
    </row>
    <row r="973" spans="1:28" x14ac:dyDescent="0.25">
      <c r="A973" t="s">
        <v>977</v>
      </c>
      <c r="B973">
        <v>0.99299721793515405</v>
      </c>
      <c r="C973">
        <v>0.93883339865239701</v>
      </c>
      <c r="D973">
        <v>0.85933637886590697</v>
      </c>
      <c r="E973">
        <v>0.80312530425800999</v>
      </c>
      <c r="F973">
        <v>0.72673478267709402</v>
      </c>
      <c r="G973">
        <v>0.46630165865081902</v>
      </c>
      <c r="H973">
        <v>0.35759023555102099</v>
      </c>
      <c r="I973">
        <v>0.268905073951478</v>
      </c>
      <c r="J973">
        <v>0.279556039071439</v>
      </c>
      <c r="K973">
        <v>0.16478602981526699</v>
      </c>
      <c r="L973">
        <v>483.15376598277101</v>
      </c>
      <c r="M973">
        <v>9.07484068308686</v>
      </c>
      <c r="N973">
        <v>53.990597582478003</v>
      </c>
      <c r="O973">
        <v>50.846605501519598</v>
      </c>
      <c r="P973">
        <v>-4.2007348237511198E-2</v>
      </c>
      <c r="Q973">
        <v>5.91884145677955E-2</v>
      </c>
      <c r="R973">
        <v>0.98484617035808697</v>
      </c>
      <c r="S973" t="s">
        <v>6524</v>
      </c>
      <c r="T973" t="s">
        <v>11100</v>
      </c>
      <c r="U973" t="s">
        <v>11100</v>
      </c>
      <c r="V973" t="s">
        <v>11100</v>
      </c>
      <c r="W973" t="s">
        <v>12053</v>
      </c>
      <c r="X973">
        <v>1</v>
      </c>
      <c r="Y973" t="s">
        <v>17547</v>
      </c>
      <c r="Z973" t="s">
        <v>22978</v>
      </c>
      <c r="AA973">
        <v>0.58837416272340171</v>
      </c>
      <c r="AB973" t="str">
        <f>HYPERLINK("Melting_Curves/meltCurve_I3L4V0_LSMD1.pdf", "Melting_Curves/meltCurve_I3L4V0_LSMD1.pdf")</f>
        <v>Melting_Curves/meltCurve_I3L4V0_LSMD1.pdf</v>
      </c>
    </row>
    <row r="974" spans="1:28" x14ac:dyDescent="0.25">
      <c r="A974" t="s">
        <v>978</v>
      </c>
      <c r="B974">
        <v>0.99299721793515405</v>
      </c>
      <c r="C974">
        <v>0.95240144344057898</v>
      </c>
      <c r="D974">
        <v>0.87956448807259302</v>
      </c>
      <c r="E974">
        <v>0.75597816138671603</v>
      </c>
      <c r="F974">
        <v>0.68356148842014397</v>
      </c>
      <c r="G974">
        <v>0.43609565814708501</v>
      </c>
      <c r="H974">
        <v>0.30104039340911398</v>
      </c>
      <c r="I974">
        <v>0.18730531069317199</v>
      </c>
      <c r="J974">
        <v>0.14286686580892499</v>
      </c>
      <c r="K974">
        <v>0.12735477310665999</v>
      </c>
      <c r="L974">
        <v>519.75487183635005</v>
      </c>
      <c r="M974">
        <v>9.8588866982214896</v>
      </c>
      <c r="N974">
        <v>52.719428443591802</v>
      </c>
      <c r="O974">
        <v>50.687816178141098</v>
      </c>
      <c r="P974">
        <v>-4.8650495597757401E-2</v>
      </c>
      <c r="Q974">
        <v>0</v>
      </c>
      <c r="R974">
        <v>0.99402583817366996</v>
      </c>
      <c r="S974" t="s">
        <v>6525</v>
      </c>
      <c r="T974" t="s">
        <v>11100</v>
      </c>
      <c r="U974" t="s">
        <v>11100</v>
      </c>
      <c r="V974" t="s">
        <v>11100</v>
      </c>
      <c r="W974" t="s">
        <v>12054</v>
      </c>
      <c r="X974">
        <v>3</v>
      </c>
      <c r="Y974" t="s">
        <v>17548</v>
      </c>
      <c r="Z974" t="s">
        <v>22979</v>
      </c>
      <c r="AA974">
        <v>0.54770002461316725</v>
      </c>
      <c r="AB974" t="str">
        <f>HYPERLINK("Melting_Curves/meltCurve_I3L4X3_NFKBIB.pdf", "Melting_Curves/meltCurve_I3L4X3_NFKBIB.pdf")</f>
        <v>Melting_Curves/meltCurve_I3L4X3_NFKBIB.pdf</v>
      </c>
    </row>
    <row r="975" spans="1:28" x14ac:dyDescent="0.25">
      <c r="A975" t="s">
        <v>979</v>
      </c>
      <c r="B975">
        <v>0.99299721793515405</v>
      </c>
      <c r="C975">
        <v>1.0517429419516999</v>
      </c>
      <c r="D975">
        <v>1.05183761832923</v>
      </c>
      <c r="E975">
        <v>0.76315707527083998</v>
      </c>
      <c r="F975">
        <v>0.83164302955408098</v>
      </c>
      <c r="G975">
        <v>0.59674412741345595</v>
      </c>
      <c r="H975">
        <v>0.59452205070257402</v>
      </c>
      <c r="I975">
        <v>0.70643352908753798</v>
      </c>
      <c r="J975">
        <v>0.77767523692461105</v>
      </c>
      <c r="K975">
        <v>0.77483298449731497</v>
      </c>
      <c r="L975">
        <v>9455.3266772617299</v>
      </c>
      <c r="M975">
        <v>204.46911509687601</v>
      </c>
      <c r="O975">
        <v>46.238876565889001</v>
      </c>
      <c r="P975">
        <v>-0.31657023143514901</v>
      </c>
      <c r="Q975">
        <v>0.71364180261884302</v>
      </c>
      <c r="R975">
        <v>0.78632711888792906</v>
      </c>
      <c r="S975" t="s">
        <v>6526</v>
      </c>
      <c r="T975" t="s">
        <v>11100</v>
      </c>
      <c r="U975" t="s">
        <v>11100</v>
      </c>
      <c r="V975" t="s">
        <v>11100</v>
      </c>
      <c r="W975" t="s">
        <v>12055</v>
      </c>
      <c r="X975">
        <v>4</v>
      </c>
      <c r="Y975" t="s">
        <v>17549</v>
      </c>
      <c r="Z975" t="s">
        <v>22980</v>
      </c>
      <c r="AA975">
        <v>0.80190637493639394</v>
      </c>
      <c r="AB975" t="str">
        <f>HYPERLINK("Melting_Curves/meltCurve_J3KMY5_NPC2.pdf", "Melting_Curves/meltCurve_J3KMY5_NPC2.pdf")</f>
        <v>Melting_Curves/meltCurve_J3KMY5_NPC2.pdf</v>
      </c>
    </row>
    <row r="976" spans="1:28" x14ac:dyDescent="0.25">
      <c r="A976" t="s">
        <v>980</v>
      </c>
      <c r="B976">
        <v>0.99299721793515405</v>
      </c>
      <c r="C976">
        <v>0.96109551455657205</v>
      </c>
      <c r="D976">
        <v>0.77070880778868001</v>
      </c>
      <c r="E976">
        <v>0.83508560518818797</v>
      </c>
      <c r="F976">
        <v>0.737429681185233</v>
      </c>
      <c r="G976">
        <v>0.571401208553736</v>
      </c>
      <c r="H976">
        <v>0.56376167227382501</v>
      </c>
      <c r="I976">
        <v>0.56421469532977697</v>
      </c>
      <c r="J976">
        <v>0.48800364009541802</v>
      </c>
      <c r="K976">
        <v>0.44174983248918598</v>
      </c>
      <c r="L976">
        <v>360.15364962490997</v>
      </c>
      <c r="M976">
        <v>7.0264965466131102</v>
      </c>
      <c r="N976">
        <v>62.690240154639604</v>
      </c>
      <c r="O976">
        <v>47.589686909491803</v>
      </c>
      <c r="P976">
        <v>-2.3622671726023801E-2</v>
      </c>
      <c r="Q976">
        <v>0.36119302082448301</v>
      </c>
      <c r="R976">
        <v>0.93840238624237104</v>
      </c>
      <c r="S976" t="s">
        <v>6527</v>
      </c>
      <c r="T976" t="s">
        <v>11100</v>
      </c>
      <c r="U976" t="s">
        <v>11100</v>
      </c>
      <c r="V976" t="s">
        <v>11100</v>
      </c>
      <c r="W976" t="s">
        <v>12056</v>
      </c>
      <c r="X976">
        <v>4</v>
      </c>
      <c r="Y976" t="s">
        <v>17550</v>
      </c>
      <c r="Z976" t="s">
        <v>22981</v>
      </c>
      <c r="AA976">
        <v>0.68690651283337623</v>
      </c>
      <c r="AB976" t="str">
        <f>HYPERLINK("Melting_Curves/meltCurve_J3KMZ8_DPF2.pdf", "Melting_Curves/meltCurve_J3KMZ8_DPF2.pdf")</f>
        <v>Melting_Curves/meltCurve_J3KMZ8_DPF2.pdf</v>
      </c>
    </row>
    <row r="977" spans="1:28" x14ac:dyDescent="0.25">
      <c r="A977" t="s">
        <v>981</v>
      </c>
      <c r="B977">
        <v>0.99299721793515405</v>
      </c>
      <c r="C977">
        <v>0.98709301338724298</v>
      </c>
      <c r="D977">
        <v>0.87634992572457804</v>
      </c>
      <c r="E977">
        <v>0.90064396596626595</v>
      </c>
      <c r="F977">
        <v>0.76675386273209101</v>
      </c>
      <c r="G977">
        <v>0.61348244881846103</v>
      </c>
      <c r="H977">
        <v>0.58679384990927597</v>
      </c>
      <c r="I977">
        <v>0.57305355932338198</v>
      </c>
      <c r="J977">
        <v>0.48472552144638298</v>
      </c>
      <c r="K977">
        <v>0.34341135421555402</v>
      </c>
      <c r="L977">
        <v>355.11843848738198</v>
      </c>
      <c r="M977">
        <v>5.97784010265209</v>
      </c>
      <c r="N977">
        <v>61.453228064197503</v>
      </c>
      <c r="O977">
        <v>53.779581631705199</v>
      </c>
      <c r="P977">
        <v>-2.53624941252583E-2</v>
      </c>
      <c r="Q977">
        <v>9.0291328402209103E-2</v>
      </c>
      <c r="R977">
        <v>0.95946575157399605</v>
      </c>
      <c r="S977" t="s">
        <v>6528</v>
      </c>
      <c r="T977" t="s">
        <v>11100</v>
      </c>
      <c r="U977" t="s">
        <v>11100</v>
      </c>
      <c r="V977" t="s">
        <v>11100</v>
      </c>
      <c r="W977" t="s">
        <v>12057</v>
      </c>
      <c r="X977">
        <v>4</v>
      </c>
      <c r="Y977" t="s">
        <v>17551</v>
      </c>
      <c r="Z977" t="s">
        <v>22982</v>
      </c>
      <c r="AA977">
        <v>0.71387076754581102</v>
      </c>
      <c r="AB977" t="str">
        <f>HYPERLINK("Melting_Curves/meltCurve_J3KMZ9_LDLR.pdf", "Melting_Curves/meltCurve_J3KMZ9_LDLR.pdf")</f>
        <v>Melting_Curves/meltCurve_J3KMZ9_LDLR.pdf</v>
      </c>
    </row>
    <row r="978" spans="1:28" x14ac:dyDescent="0.25">
      <c r="A978" t="s">
        <v>982</v>
      </c>
      <c r="B978">
        <v>0.99299721793515405</v>
      </c>
      <c r="C978">
        <v>1.03165631302393</v>
      </c>
      <c r="D978">
        <v>0.985809290654168</v>
      </c>
      <c r="E978">
        <v>0.86723697134252697</v>
      </c>
      <c r="F978">
        <v>0.75664918908521395</v>
      </c>
      <c r="G978">
        <v>0.25034166535394597</v>
      </c>
      <c r="H978">
        <v>0.161254855727786</v>
      </c>
      <c r="I978">
        <v>0.13688955269437</v>
      </c>
      <c r="J978">
        <v>0.127392008280305</v>
      </c>
      <c r="K978">
        <v>0.109869676529502</v>
      </c>
      <c r="L978">
        <v>1695.0836588217901</v>
      </c>
      <c r="M978">
        <v>32.999237671482298</v>
      </c>
      <c r="N978">
        <v>51.8018809537311</v>
      </c>
      <c r="O978">
        <v>51.179824032460203</v>
      </c>
      <c r="P978">
        <v>-0.14170502791996101</v>
      </c>
      <c r="Q978">
        <v>0.120900250945086</v>
      </c>
      <c r="R978">
        <v>0.99047157920692896</v>
      </c>
      <c r="S978" t="s">
        <v>6529</v>
      </c>
      <c r="T978" t="s">
        <v>11100</v>
      </c>
      <c r="U978" t="s">
        <v>11100</v>
      </c>
      <c r="V978" t="s">
        <v>11100</v>
      </c>
      <c r="W978" t="s">
        <v>12058</v>
      </c>
      <c r="X978">
        <v>47</v>
      </c>
      <c r="Y978" t="s">
        <v>17552</v>
      </c>
      <c r="Z978" t="s">
        <v>22983</v>
      </c>
      <c r="AA978">
        <v>0.54648032415616998</v>
      </c>
      <c r="AB978" t="str">
        <f>HYPERLINK("Melting_Curves/meltCurve_J3KN16_KIAA0368.pdf", "Melting_Curves/meltCurve_J3KN16_KIAA0368.pdf")</f>
        <v>Melting_Curves/meltCurve_J3KN16_KIAA0368.pdf</v>
      </c>
    </row>
    <row r="979" spans="1:28" x14ac:dyDescent="0.25">
      <c r="A979" t="s">
        <v>983</v>
      </c>
      <c r="B979">
        <v>0.99299721793515405</v>
      </c>
      <c r="C979">
        <v>0.875785305182327</v>
      </c>
      <c r="D979">
        <v>0.89968151044967004</v>
      </c>
      <c r="E979">
        <v>0.74499548883835298</v>
      </c>
      <c r="F979">
        <v>0.64250037092130796</v>
      </c>
      <c r="G979">
        <v>0.430571029249321</v>
      </c>
      <c r="H979">
        <v>0.32605159370963899</v>
      </c>
      <c r="I979">
        <v>0.28298424654521598</v>
      </c>
      <c r="J979">
        <v>0.26680696649258401</v>
      </c>
      <c r="K979">
        <v>0.230935725693973</v>
      </c>
      <c r="L979">
        <v>510.494051438935</v>
      </c>
      <c r="M979">
        <v>10.0929218748962</v>
      </c>
      <c r="N979">
        <v>52.580397426632103</v>
      </c>
      <c r="O979">
        <v>48.714226061850297</v>
      </c>
      <c r="P979">
        <v>-4.35572260539435E-2</v>
      </c>
      <c r="Q979">
        <v>0.15946605575117001</v>
      </c>
      <c r="R979">
        <v>0.987571328492024</v>
      </c>
      <c r="S979" t="s">
        <v>6530</v>
      </c>
      <c r="T979" t="s">
        <v>11100</v>
      </c>
      <c r="U979" t="s">
        <v>11100</v>
      </c>
      <c r="V979" t="s">
        <v>11100</v>
      </c>
      <c r="W979" t="s">
        <v>12059</v>
      </c>
      <c r="X979">
        <v>3</v>
      </c>
      <c r="Y979" t="s">
        <v>17553</v>
      </c>
      <c r="Z979" t="s">
        <v>22984</v>
      </c>
      <c r="AA979">
        <v>0.56659735468793937</v>
      </c>
      <c r="AB979" t="str">
        <f>HYPERLINK("Melting_Curves/meltCurve_J3KN27_FBRSL1.pdf", "Melting_Curves/meltCurve_J3KN27_FBRSL1.pdf")</f>
        <v>Melting_Curves/meltCurve_J3KN27_FBRSL1.pdf</v>
      </c>
    </row>
    <row r="980" spans="1:28" x14ac:dyDescent="0.25">
      <c r="A980" t="s">
        <v>984</v>
      </c>
      <c r="B980">
        <v>0.99299721793515405</v>
      </c>
      <c r="C980">
        <v>1.0105971961850599</v>
      </c>
      <c r="D980">
        <v>0.99462844490288305</v>
      </c>
      <c r="E980">
        <v>0.90616051084326299</v>
      </c>
      <c r="F980">
        <v>0.77568219954354001</v>
      </c>
      <c r="G980">
        <v>0.57541915443919101</v>
      </c>
      <c r="H980">
        <v>0.62654913303189497</v>
      </c>
      <c r="I980">
        <v>0.83947583653178404</v>
      </c>
      <c r="J980">
        <v>0.94477590106956399</v>
      </c>
      <c r="K980">
        <v>0.80863956294268302</v>
      </c>
      <c r="L980">
        <v>2704.1902529139202</v>
      </c>
      <c r="M980">
        <v>57.586812314250203</v>
      </c>
      <c r="O980">
        <v>46.901971699932702</v>
      </c>
      <c r="P980">
        <v>-7.3439498158480998E-2</v>
      </c>
      <c r="Q980">
        <v>0.76074691687176099</v>
      </c>
      <c r="R980">
        <v>0.55149029176580699</v>
      </c>
      <c r="S980" t="s">
        <v>6531</v>
      </c>
      <c r="T980" t="s">
        <v>11100</v>
      </c>
      <c r="U980" t="s">
        <v>11100</v>
      </c>
      <c r="V980" t="s">
        <v>11100</v>
      </c>
      <c r="W980" t="s">
        <v>12060</v>
      </c>
      <c r="X980">
        <v>18</v>
      </c>
      <c r="Y980" t="s">
        <v>17554</v>
      </c>
      <c r="Z980" t="s">
        <v>22985</v>
      </c>
      <c r="AA980">
        <v>0.84054005136648391</v>
      </c>
      <c r="AB980" t="str">
        <f>HYPERLINK("Melting_Curves/meltCurve_J3KN29_PSMD9.pdf", "Melting_Curves/meltCurve_J3KN29_PSMD9.pdf")</f>
        <v>Melting_Curves/meltCurve_J3KN29_PSMD9.pdf</v>
      </c>
    </row>
    <row r="981" spans="1:28" x14ac:dyDescent="0.25">
      <c r="A981" t="s">
        <v>985</v>
      </c>
      <c r="B981">
        <v>0.99299721793515405</v>
      </c>
      <c r="C981">
        <v>1.04024518021347</v>
      </c>
      <c r="D981">
        <v>1.211613178143</v>
      </c>
      <c r="E981">
        <v>0.93549870982092298</v>
      </c>
      <c r="F981">
        <v>0.51653657579600798</v>
      </c>
      <c r="G981">
        <v>0.358754913519159</v>
      </c>
      <c r="H981">
        <v>0.18656679973561799</v>
      </c>
      <c r="I981">
        <v>0.24179056728658399</v>
      </c>
      <c r="J981">
        <v>0.17666364773352</v>
      </c>
      <c r="K981">
        <v>0.15021498061271099</v>
      </c>
      <c r="L981">
        <v>1507.59829611705</v>
      </c>
      <c r="M981">
        <v>30.227091701146499</v>
      </c>
      <c r="N981">
        <v>50.718748653567097</v>
      </c>
      <c r="O981">
        <v>49.658959503062299</v>
      </c>
      <c r="P981">
        <v>-0.122124983266251</v>
      </c>
      <c r="Q981">
        <v>0.19746679005415499</v>
      </c>
      <c r="R981">
        <v>0.95988677452547799</v>
      </c>
      <c r="S981" t="s">
        <v>6532</v>
      </c>
      <c r="T981" t="s">
        <v>11100</v>
      </c>
      <c r="U981" t="s">
        <v>11100</v>
      </c>
      <c r="V981" t="s">
        <v>11100</v>
      </c>
      <c r="W981" t="s">
        <v>12061</v>
      </c>
      <c r="X981">
        <v>1</v>
      </c>
      <c r="Y981" t="s">
        <v>17555</v>
      </c>
      <c r="Z981" t="s">
        <v>22986</v>
      </c>
      <c r="AA981">
        <v>0.54674814783036219</v>
      </c>
      <c r="AB981" t="str">
        <f>HYPERLINK("Melting_Curves/meltCurve_J3KN49_OBSL1.pdf", "Melting_Curves/meltCurve_J3KN49_OBSL1.pdf")</f>
        <v>Melting_Curves/meltCurve_J3KN49_OBSL1.pdf</v>
      </c>
    </row>
    <row r="982" spans="1:28" x14ac:dyDescent="0.25">
      <c r="A982" t="s">
        <v>986</v>
      </c>
      <c r="B982">
        <v>0.99299721793515405</v>
      </c>
      <c r="C982">
        <v>1.02256318577102</v>
      </c>
      <c r="D982">
        <v>1.5256526925793801</v>
      </c>
      <c r="E982">
        <v>0.91907287377982605</v>
      </c>
      <c r="F982">
        <v>0.72831817632225104</v>
      </c>
      <c r="G982">
        <v>0.65500968448889396</v>
      </c>
      <c r="H982">
        <v>0.42832213177149198</v>
      </c>
      <c r="I982">
        <v>0.37387004082757502</v>
      </c>
      <c r="J982">
        <v>0.29730505706876498</v>
      </c>
      <c r="K982">
        <v>0.203216332921973</v>
      </c>
      <c r="L982">
        <v>909.10458790110999</v>
      </c>
      <c r="M982">
        <v>16.871298456342199</v>
      </c>
      <c r="N982">
        <v>55.950128644572402</v>
      </c>
      <c r="O982">
        <v>53.144699420601697</v>
      </c>
      <c r="P982">
        <v>-6.0973327054738798E-2</v>
      </c>
      <c r="Q982">
        <v>0.23178306809764199</v>
      </c>
      <c r="R982">
        <v>0.79742869699555996</v>
      </c>
      <c r="S982" t="s">
        <v>6533</v>
      </c>
      <c r="T982" t="s">
        <v>11100</v>
      </c>
      <c r="U982" t="s">
        <v>11100</v>
      </c>
      <c r="V982" t="s">
        <v>11100</v>
      </c>
      <c r="W982" t="s">
        <v>12062</v>
      </c>
      <c r="X982">
        <v>4</v>
      </c>
      <c r="Y982" t="s">
        <v>17556</v>
      </c>
      <c r="Z982" t="s">
        <v>22987</v>
      </c>
      <c r="AA982">
        <v>0.67552634061766148</v>
      </c>
      <c r="AB982" t="str">
        <f>HYPERLINK("Melting_Curves/meltCurve_J3KN59_BNIP2.pdf", "Melting_Curves/meltCurve_J3KN59_BNIP2.pdf")</f>
        <v>Melting_Curves/meltCurve_J3KN59_BNIP2.pdf</v>
      </c>
    </row>
    <row r="983" spans="1:28" x14ac:dyDescent="0.25">
      <c r="A983" t="s">
        <v>987</v>
      </c>
      <c r="B983">
        <v>0.99299721793515405</v>
      </c>
      <c r="C983">
        <v>0.96031571257501902</v>
      </c>
      <c r="D983">
        <v>0.86185067771161805</v>
      </c>
      <c r="E983">
        <v>1.0341062843864399</v>
      </c>
      <c r="F983">
        <v>0.85047961770958402</v>
      </c>
      <c r="G983">
        <v>0.66219260486776599</v>
      </c>
      <c r="H983">
        <v>0.59312669887694702</v>
      </c>
      <c r="I983">
        <v>0.39344893944396803</v>
      </c>
      <c r="J983">
        <v>0.28664890797306503</v>
      </c>
      <c r="K983">
        <v>0.19701417478449601</v>
      </c>
      <c r="L983">
        <v>614.11780576014098</v>
      </c>
      <c r="M983">
        <v>10.492643577570201</v>
      </c>
      <c r="N983">
        <v>58.528415790952003</v>
      </c>
      <c r="O983">
        <v>56.522361177724299</v>
      </c>
      <c r="P983">
        <v>-4.6428034010589002E-2</v>
      </c>
      <c r="Q983">
        <v>0</v>
      </c>
      <c r="R983">
        <v>0.96571662687971804</v>
      </c>
      <c r="S983" t="s">
        <v>6534</v>
      </c>
      <c r="T983" t="s">
        <v>11100</v>
      </c>
      <c r="U983" t="s">
        <v>11100</v>
      </c>
      <c r="V983" t="s">
        <v>11100</v>
      </c>
      <c r="W983" t="s">
        <v>12063</v>
      </c>
      <c r="X983">
        <v>16</v>
      </c>
      <c r="Y983" t="s">
        <v>17557</v>
      </c>
      <c r="Z983" t="s">
        <v>22988</v>
      </c>
      <c r="AA983">
        <v>0.7069805448049441</v>
      </c>
      <c r="AB983" t="str">
        <f>HYPERLINK("Melting_Curves/meltCurve_J3KN66_TOR1AIP1.pdf", "Melting_Curves/meltCurve_J3KN66_TOR1AIP1.pdf")</f>
        <v>Melting_Curves/meltCurve_J3KN66_TOR1AIP1.pdf</v>
      </c>
    </row>
    <row r="984" spans="1:28" x14ac:dyDescent="0.25">
      <c r="A984" t="s">
        <v>988</v>
      </c>
      <c r="B984">
        <v>0.99299721793515405</v>
      </c>
      <c r="C984">
        <v>0.70853660770383997</v>
      </c>
      <c r="D984">
        <v>0.95600748709996597</v>
      </c>
      <c r="E984">
        <v>0.82061749076535495</v>
      </c>
      <c r="F984">
        <v>0.75035837687940898</v>
      </c>
      <c r="G984">
        <v>0.566957512400311</v>
      </c>
      <c r="H984">
        <v>0.46146808355111701</v>
      </c>
      <c r="I984">
        <v>0.56093762965735605</v>
      </c>
      <c r="J984">
        <v>0.48724207379068901</v>
      </c>
      <c r="K984">
        <v>0.430222669250929</v>
      </c>
      <c r="L984">
        <v>298.84825010762398</v>
      </c>
      <c r="M984">
        <v>5.55614337184912</v>
      </c>
      <c r="N984">
        <v>61.2694103111074</v>
      </c>
      <c r="O984">
        <v>48.026414026664597</v>
      </c>
      <c r="P984">
        <v>-2.18908435509984E-2</v>
      </c>
      <c r="Q984">
        <v>0.24631987924580201</v>
      </c>
      <c r="R984">
        <v>0.80390160246342801</v>
      </c>
      <c r="S984" t="s">
        <v>6535</v>
      </c>
      <c r="T984" t="s">
        <v>11100</v>
      </c>
      <c r="U984" t="s">
        <v>11100</v>
      </c>
      <c r="V984" t="s">
        <v>11100</v>
      </c>
      <c r="W984" t="s">
        <v>12064</v>
      </c>
      <c r="X984">
        <v>44</v>
      </c>
      <c r="Y984" t="s">
        <v>17558</v>
      </c>
      <c r="Z984" t="s">
        <v>22989</v>
      </c>
      <c r="AA984">
        <v>0.67309572862167455</v>
      </c>
      <c r="AB984" t="str">
        <f>HYPERLINK("Melting_Curves/meltCurve_J3KN67_TPM3.pdf", "Melting_Curves/meltCurve_J3KN67_TPM3.pdf")</f>
        <v>Melting_Curves/meltCurve_J3KN67_TPM3.pdf</v>
      </c>
    </row>
    <row r="985" spans="1:28" x14ac:dyDescent="0.25">
      <c r="A985" t="s">
        <v>989</v>
      </c>
      <c r="B985">
        <v>0.99299721793515405</v>
      </c>
      <c r="C985">
        <v>0.99200402724909698</v>
      </c>
      <c r="D985">
        <v>0.93093331037868898</v>
      </c>
      <c r="E985">
        <v>1.01158353960328</v>
      </c>
      <c r="F985">
        <v>0.86250858928170104</v>
      </c>
      <c r="G985">
        <v>0.66974269868202696</v>
      </c>
      <c r="H985">
        <v>0.68833013339606897</v>
      </c>
      <c r="I985">
        <v>0.74176385195799499</v>
      </c>
      <c r="J985">
        <v>0.38267532039896601</v>
      </c>
      <c r="K985">
        <v>0.12752931789286601</v>
      </c>
      <c r="L985">
        <v>632.62095624277902</v>
      </c>
      <c r="M985">
        <v>10.3141875881164</v>
      </c>
      <c r="N985">
        <v>61.335045372946198</v>
      </c>
      <c r="O985">
        <v>59.163630336007301</v>
      </c>
      <c r="P985">
        <v>-4.3602125558940601E-2</v>
      </c>
      <c r="Q985">
        <v>0</v>
      </c>
      <c r="R985">
        <v>0.85935101534649305</v>
      </c>
      <c r="S985" t="s">
        <v>6536</v>
      </c>
      <c r="T985" t="s">
        <v>11100</v>
      </c>
      <c r="U985" t="s">
        <v>11100</v>
      </c>
      <c r="V985" t="s">
        <v>11100</v>
      </c>
      <c r="W985" t="s">
        <v>12065</v>
      </c>
      <c r="X985">
        <v>5</v>
      </c>
      <c r="Y985" t="s">
        <v>17559</v>
      </c>
      <c r="Z985" t="s">
        <v>22990</v>
      </c>
      <c r="AA985">
        <v>0.77205158993660972</v>
      </c>
      <c r="AB985" t="str">
        <f>HYPERLINK("Melting_Curves/meltCurve_J3KN69_NCEH1.pdf", "Melting_Curves/meltCurve_J3KN69_NCEH1.pdf")</f>
        <v>Melting_Curves/meltCurve_J3KN69_NCEH1.pdf</v>
      </c>
    </row>
    <row r="986" spans="1:28" x14ac:dyDescent="0.25">
      <c r="A986" t="s">
        <v>990</v>
      </c>
      <c r="B986">
        <v>0.99299721793515405</v>
      </c>
      <c r="C986">
        <v>0.88963699582481703</v>
      </c>
      <c r="D986">
        <v>0.95288947198786</v>
      </c>
      <c r="E986">
        <v>0.74853246137660201</v>
      </c>
      <c r="F986">
        <v>0.72305353186893195</v>
      </c>
      <c r="G986">
        <v>0.60881675023444504</v>
      </c>
      <c r="H986">
        <v>0.53624792668640398</v>
      </c>
      <c r="I986">
        <v>0.430432738203256</v>
      </c>
      <c r="J986">
        <v>0.16997203672994099</v>
      </c>
      <c r="K986">
        <v>0.133109542503309</v>
      </c>
      <c r="L986">
        <v>453.49168013716098</v>
      </c>
      <c r="M986">
        <v>8.0787313926160298</v>
      </c>
      <c r="N986">
        <v>56.134021271494703</v>
      </c>
      <c r="O986">
        <v>53.008361387611899</v>
      </c>
      <c r="P986">
        <v>-3.8142756169934899E-2</v>
      </c>
      <c r="Q986">
        <v>0</v>
      </c>
      <c r="R986">
        <v>0.94575767809543798</v>
      </c>
      <c r="S986" t="s">
        <v>6537</v>
      </c>
      <c r="T986" t="s">
        <v>11100</v>
      </c>
      <c r="U986" t="s">
        <v>11100</v>
      </c>
      <c r="V986" t="s">
        <v>11100</v>
      </c>
      <c r="W986" t="s">
        <v>12066</v>
      </c>
      <c r="X986">
        <v>7</v>
      </c>
      <c r="Y986" t="s">
        <v>17560</v>
      </c>
      <c r="Z986" t="s">
        <v>22991</v>
      </c>
      <c r="AA986">
        <v>0.63532035757102689</v>
      </c>
      <c r="AB986" t="str">
        <f>HYPERLINK("Melting_Curves/meltCurve_J3KNA0_OXA1L.pdf", "Melting_Curves/meltCurve_J3KNA0_OXA1L.pdf")</f>
        <v>Melting_Curves/meltCurve_J3KNA0_OXA1L.pdf</v>
      </c>
    </row>
    <row r="987" spans="1:28" x14ac:dyDescent="0.25">
      <c r="A987" t="s">
        <v>991</v>
      </c>
      <c r="B987">
        <v>0.99299721793515405</v>
      </c>
      <c r="C987">
        <v>1.2059933863835499</v>
      </c>
      <c r="D987">
        <v>0.94149692737925705</v>
      </c>
      <c r="E987">
        <v>0.73326386548012301</v>
      </c>
      <c r="F987">
        <v>0.79903812486823</v>
      </c>
      <c r="G987">
        <v>0.90222727599740504</v>
      </c>
      <c r="H987">
        <v>0.80310667291892501</v>
      </c>
      <c r="I987">
        <v>0.77195717607329595</v>
      </c>
      <c r="J987">
        <v>0.81770076530180102</v>
      </c>
      <c r="K987">
        <v>0.68277415689360899</v>
      </c>
      <c r="L987">
        <v>10791.7145945171</v>
      </c>
      <c r="M987">
        <v>250</v>
      </c>
      <c r="O987">
        <v>43.164095997431502</v>
      </c>
      <c r="P987">
        <v>-0.30819512547186301</v>
      </c>
      <c r="Q987">
        <v>0.787152576599634</v>
      </c>
      <c r="R987">
        <v>0.66075558254764599</v>
      </c>
      <c r="S987" t="s">
        <v>6538</v>
      </c>
      <c r="T987" t="s">
        <v>11100</v>
      </c>
      <c r="U987" t="s">
        <v>11100</v>
      </c>
      <c r="V987" t="s">
        <v>11100</v>
      </c>
      <c r="W987" t="s">
        <v>12067</v>
      </c>
      <c r="X987">
        <v>1</v>
      </c>
      <c r="Y987" t="s">
        <v>17561</v>
      </c>
      <c r="Z987" t="s">
        <v>22992</v>
      </c>
      <c r="AA987">
        <v>0.83092203185849001</v>
      </c>
      <c r="AB987" t="str">
        <f>HYPERLINK("Melting_Curves/meltCurve_J3KNC0_GTF2A1.pdf", "Melting_Curves/meltCurve_J3KNC0_GTF2A1.pdf")</f>
        <v>Melting_Curves/meltCurve_J3KNC0_GTF2A1.pdf</v>
      </c>
    </row>
    <row r="988" spans="1:28" x14ac:dyDescent="0.25">
      <c r="A988" t="s">
        <v>992</v>
      </c>
      <c r="B988">
        <v>0.99299721793515405</v>
      </c>
      <c r="C988">
        <v>0.960054944356447</v>
      </c>
      <c r="D988">
        <v>0.945676877920263</v>
      </c>
      <c r="E988">
        <v>0.93194552991004997</v>
      </c>
      <c r="F988">
        <v>0.81749097332540399</v>
      </c>
      <c r="G988">
        <v>0.50579185718008601</v>
      </c>
      <c r="H988">
        <v>0.31688862452370598</v>
      </c>
      <c r="I988">
        <v>0.2982317233963</v>
      </c>
      <c r="J988">
        <v>0.25508103088844902</v>
      </c>
      <c r="K988">
        <v>0.21670318000253999</v>
      </c>
      <c r="L988">
        <v>1156.6711477256199</v>
      </c>
      <c r="M988">
        <v>22.037862155049702</v>
      </c>
      <c r="N988">
        <v>54.021100228158197</v>
      </c>
      <c r="O988">
        <v>52.0592208674598</v>
      </c>
      <c r="P988">
        <v>-8.12014869849738E-2</v>
      </c>
      <c r="Q988">
        <v>0.232740353461559</v>
      </c>
      <c r="R988">
        <v>0.99303129153001701</v>
      </c>
      <c r="S988" t="s">
        <v>6539</v>
      </c>
      <c r="T988" t="s">
        <v>11100</v>
      </c>
      <c r="U988" t="s">
        <v>11100</v>
      </c>
      <c r="V988" t="s">
        <v>11100</v>
      </c>
      <c r="W988" t="s">
        <v>12068</v>
      </c>
      <c r="X988">
        <v>14</v>
      </c>
      <c r="Y988" t="s">
        <v>17562</v>
      </c>
      <c r="Z988" t="s">
        <v>22993</v>
      </c>
      <c r="AA988">
        <v>0.63720957833501979</v>
      </c>
      <c r="AB988" t="str">
        <f>HYPERLINK("Melting_Curves/meltCurve_J3KNF4_CCS.pdf", "Melting_Curves/meltCurve_J3KNF4_CCS.pdf")</f>
        <v>Melting_Curves/meltCurve_J3KNF4_CCS.pdf</v>
      </c>
    </row>
    <row r="989" spans="1:28" x14ac:dyDescent="0.25">
      <c r="A989" t="s">
        <v>993</v>
      </c>
      <c r="B989">
        <v>0.99299721793515405</v>
      </c>
      <c r="C989">
        <v>1.3090482839630599</v>
      </c>
      <c r="D989">
        <v>0.81158016112328901</v>
      </c>
      <c r="E989">
        <v>1.09435523103086</v>
      </c>
      <c r="F989">
        <v>0.70301941048798899</v>
      </c>
      <c r="G989">
        <v>0.87755332004420095</v>
      </c>
      <c r="H989">
        <v>0.39222569777154398</v>
      </c>
      <c r="I989">
        <v>0.40037051637897098</v>
      </c>
      <c r="J989">
        <v>0.37138275667622</v>
      </c>
      <c r="K989">
        <v>0.146289667088918</v>
      </c>
      <c r="L989">
        <v>723.58002219833998</v>
      </c>
      <c r="M989">
        <v>12.679216950082999</v>
      </c>
      <c r="N989">
        <v>58.028736018671403</v>
      </c>
      <c r="O989">
        <v>55.704474946944501</v>
      </c>
      <c r="P989">
        <v>-5.1527564048979901E-2</v>
      </c>
      <c r="Q989">
        <v>9.4658094273669793E-2</v>
      </c>
      <c r="R989">
        <v>0.81195686310204895</v>
      </c>
      <c r="S989" t="s">
        <v>6540</v>
      </c>
      <c r="T989" t="s">
        <v>11100</v>
      </c>
      <c r="U989" t="s">
        <v>11100</v>
      </c>
      <c r="V989" t="s">
        <v>11100</v>
      </c>
      <c r="W989" t="s">
        <v>11561</v>
      </c>
      <c r="X989">
        <v>1</v>
      </c>
      <c r="Y989" t="s">
        <v>17057</v>
      </c>
      <c r="Z989" t="s">
        <v>22994</v>
      </c>
      <c r="AA989">
        <v>0.7052406605377769</v>
      </c>
      <c r="AB989" t="str">
        <f>HYPERLINK("Melting_Curves/meltCurve_J3KNG8_FNIP1.pdf", "Melting_Curves/meltCurve_J3KNG8_FNIP1.pdf")</f>
        <v>Melting_Curves/meltCurve_J3KNG8_FNIP1.pdf</v>
      </c>
    </row>
    <row r="990" spans="1:28" x14ac:dyDescent="0.25">
      <c r="A990" t="s">
        <v>994</v>
      </c>
      <c r="B990">
        <v>0.99299721793515405</v>
      </c>
      <c r="C990">
        <v>1.0510935068228899</v>
      </c>
      <c r="D990">
        <v>1.06736644054067</v>
      </c>
      <c r="E990">
        <v>0.81742781843850199</v>
      </c>
      <c r="F990">
        <v>0.66768383287436694</v>
      </c>
      <c r="G990">
        <v>0.44290733912323099</v>
      </c>
      <c r="H990">
        <v>0.31641559076415199</v>
      </c>
      <c r="I990">
        <v>0.246458469938164</v>
      </c>
      <c r="J990">
        <v>0.28251266282245202</v>
      </c>
      <c r="K990">
        <v>0.23938475049781199</v>
      </c>
      <c r="L990">
        <v>939.10363543036794</v>
      </c>
      <c r="M990">
        <v>18.525843809796999</v>
      </c>
      <c r="N990">
        <v>52.542883751193301</v>
      </c>
      <c r="O990">
        <v>50.111971710076197</v>
      </c>
      <c r="P990">
        <v>-7.0272171291676899E-2</v>
      </c>
      <c r="Q990">
        <v>0.23969521601361299</v>
      </c>
      <c r="R990">
        <v>0.98429976987456003</v>
      </c>
      <c r="S990" t="s">
        <v>6541</v>
      </c>
      <c r="T990" t="s">
        <v>11100</v>
      </c>
      <c r="U990" t="s">
        <v>11100</v>
      </c>
      <c r="V990" t="s">
        <v>11100</v>
      </c>
      <c r="W990" t="s">
        <v>12069</v>
      </c>
      <c r="X990">
        <v>4</v>
      </c>
      <c r="Y990" t="s">
        <v>17563</v>
      </c>
      <c r="Z990" t="s">
        <v>22995</v>
      </c>
      <c r="AA990">
        <v>0.59801320647854128</v>
      </c>
      <c r="AB990" t="str">
        <f>HYPERLINK("Melting_Curves/meltCurve_J3KNI1_COG4.pdf", "Melting_Curves/meltCurve_J3KNI1_COG4.pdf")</f>
        <v>Melting_Curves/meltCurve_J3KNI1_COG4.pdf</v>
      </c>
    </row>
    <row r="991" spans="1:28" x14ac:dyDescent="0.25">
      <c r="A991" t="s">
        <v>995</v>
      </c>
      <c r="B991">
        <v>0.99299721793515405</v>
      </c>
      <c r="C991">
        <v>0.98179822482884904</v>
      </c>
      <c r="D991">
        <v>0.91413881578715395</v>
      </c>
      <c r="E991">
        <v>0.73433811842286101</v>
      </c>
      <c r="F991">
        <v>0.70266759359800302</v>
      </c>
      <c r="G991">
        <v>0.39667725435226803</v>
      </c>
      <c r="H991">
        <v>0.38212870312381397</v>
      </c>
      <c r="I991">
        <v>0.29894726325653598</v>
      </c>
      <c r="J991">
        <v>0.239206474789465</v>
      </c>
      <c r="K991">
        <v>0.24830689831697</v>
      </c>
      <c r="L991">
        <v>588.85556820979195</v>
      </c>
      <c r="M991">
        <v>11.6121788653384</v>
      </c>
      <c r="N991">
        <v>52.9155053029953</v>
      </c>
      <c r="O991">
        <v>49.2762737997272</v>
      </c>
      <c r="P991">
        <v>-4.7625320233119897E-2</v>
      </c>
      <c r="Q991">
        <v>0.19182919060821699</v>
      </c>
      <c r="R991">
        <v>0.98166904010425904</v>
      </c>
      <c r="S991" t="s">
        <v>6542</v>
      </c>
      <c r="T991" t="s">
        <v>11100</v>
      </c>
      <c r="U991" t="s">
        <v>11100</v>
      </c>
      <c r="V991" t="s">
        <v>11100</v>
      </c>
      <c r="W991" t="s">
        <v>12070</v>
      </c>
      <c r="X991">
        <v>4</v>
      </c>
      <c r="Y991" t="s">
        <v>17564</v>
      </c>
      <c r="Z991" t="s">
        <v>22996</v>
      </c>
      <c r="AA991">
        <v>0.58342574168454109</v>
      </c>
      <c r="AB991" t="str">
        <f>HYPERLINK("Melting_Curves/meltCurve_J3KNL3_CHID1.pdf", "Melting_Curves/meltCurve_J3KNL3_CHID1.pdf")</f>
        <v>Melting_Curves/meltCurve_J3KNL3_CHID1.pdf</v>
      </c>
    </row>
    <row r="992" spans="1:28" x14ac:dyDescent="0.25">
      <c r="A992" t="s">
        <v>996</v>
      </c>
      <c r="B992">
        <v>0.99299721793515405</v>
      </c>
      <c r="C992">
        <v>0.92279278160536804</v>
      </c>
      <c r="D992">
        <v>0.96964691786263102</v>
      </c>
      <c r="E992">
        <v>0.79552757448961597</v>
      </c>
      <c r="F992">
        <v>0.619794674111942</v>
      </c>
      <c r="G992">
        <v>0.373085776609277</v>
      </c>
      <c r="H992">
        <v>0.43192769281412702</v>
      </c>
      <c r="I992">
        <v>0.50912235040680598</v>
      </c>
      <c r="J992">
        <v>0.62291529320403405</v>
      </c>
      <c r="K992">
        <v>0.41096733945115899</v>
      </c>
      <c r="L992">
        <v>1312.70701594362</v>
      </c>
      <c r="M992">
        <v>27.629888556821701</v>
      </c>
      <c r="N992">
        <v>53.0827966399549</v>
      </c>
      <c r="O992">
        <v>47.263613412310796</v>
      </c>
      <c r="P992">
        <v>-7.7093505174330001E-2</v>
      </c>
      <c r="Q992">
        <v>0.47250099490852099</v>
      </c>
      <c r="R992">
        <v>0.89917594153708102</v>
      </c>
      <c r="S992" t="s">
        <v>6543</v>
      </c>
      <c r="T992" t="s">
        <v>11100</v>
      </c>
      <c r="U992" t="s">
        <v>11100</v>
      </c>
      <c r="V992" t="s">
        <v>11100</v>
      </c>
      <c r="W992" t="s">
        <v>12071</v>
      </c>
      <c r="X992">
        <v>10</v>
      </c>
      <c r="Y992" t="s">
        <v>17565</v>
      </c>
      <c r="Z992" t="s">
        <v>22997</v>
      </c>
      <c r="AA992">
        <v>0.66096157273525225</v>
      </c>
      <c r="AB992" t="str">
        <f>HYPERLINK("Melting_Curves/meltCurve_J3KNL6_SEC16A.pdf", "Melting_Curves/meltCurve_J3KNL6_SEC16A.pdf")</f>
        <v>Melting_Curves/meltCurve_J3KNL6_SEC16A.pdf</v>
      </c>
    </row>
    <row r="993" spans="1:28" x14ac:dyDescent="0.25">
      <c r="A993" t="s">
        <v>997</v>
      </c>
      <c r="B993">
        <v>0.99299721793515405</v>
      </c>
      <c r="C993">
        <v>0.94628351925390397</v>
      </c>
      <c r="D993">
        <v>0.91055507651549605</v>
      </c>
      <c r="E993">
        <v>0.89550865987917905</v>
      </c>
      <c r="F993">
        <v>0.605717378888318</v>
      </c>
      <c r="G993">
        <v>0.20892804207187099</v>
      </c>
      <c r="H993">
        <v>0.14954005944273999</v>
      </c>
      <c r="I993">
        <v>0.119428069913599</v>
      </c>
      <c r="J993">
        <v>0.119125222399941</v>
      </c>
      <c r="K993">
        <v>9.98590013800323E-2</v>
      </c>
      <c r="L993">
        <v>1359.7292141897001</v>
      </c>
      <c r="M993">
        <v>26.965545716156502</v>
      </c>
      <c r="N993">
        <v>50.872124853084301</v>
      </c>
      <c r="O993">
        <v>50.149835335152702</v>
      </c>
      <c r="P993">
        <v>-0.120234654145929</v>
      </c>
      <c r="Q993">
        <v>0.105571822007675</v>
      </c>
      <c r="R993">
        <v>0.991665762496859</v>
      </c>
      <c r="S993" t="s">
        <v>6544</v>
      </c>
      <c r="T993" t="s">
        <v>11100</v>
      </c>
      <c r="U993" t="s">
        <v>11100</v>
      </c>
      <c r="V993" t="s">
        <v>11100</v>
      </c>
      <c r="W993" t="s">
        <v>12072</v>
      </c>
      <c r="X993">
        <v>9</v>
      </c>
      <c r="Y993" t="s">
        <v>17566</v>
      </c>
      <c r="Z993" t="s">
        <v>22998</v>
      </c>
      <c r="AA993">
        <v>0.51261865228267545</v>
      </c>
      <c r="AB993" t="str">
        <f>HYPERLINK("Melting_Curves/meltCurve_J3KNL9_ZFYVE1.pdf", "Melting_Curves/meltCurve_J3KNL9_ZFYVE1.pdf")</f>
        <v>Melting_Curves/meltCurve_J3KNL9_ZFYVE1.pdf</v>
      </c>
    </row>
    <row r="994" spans="1:28" x14ac:dyDescent="0.25">
      <c r="A994" t="s">
        <v>998</v>
      </c>
      <c r="B994">
        <v>0.99299721793515405</v>
      </c>
      <c r="C994">
        <v>1.13716649992104</v>
      </c>
      <c r="D994">
        <v>0.97000262393987102</v>
      </c>
      <c r="E994">
        <v>0.98862705023451203</v>
      </c>
      <c r="F994">
        <v>0.62624563880924899</v>
      </c>
      <c r="G994">
        <v>0.284577560982821</v>
      </c>
      <c r="H994">
        <v>0.135878676513042</v>
      </c>
      <c r="I994">
        <v>0.20226794426036099</v>
      </c>
      <c r="J994">
        <v>0.17404679978668</v>
      </c>
      <c r="K994">
        <v>0.120946138119175</v>
      </c>
      <c r="L994">
        <v>1704.05494227038</v>
      </c>
      <c r="M994">
        <v>33.649490843879903</v>
      </c>
      <c r="N994">
        <v>51.218277977159197</v>
      </c>
      <c r="O994">
        <v>50.463480842528099</v>
      </c>
      <c r="P994">
        <v>-0.14040673995446501</v>
      </c>
      <c r="Q994">
        <v>0.15774262338997599</v>
      </c>
      <c r="R994">
        <v>0.983617956112389</v>
      </c>
      <c r="S994" t="s">
        <v>6545</v>
      </c>
      <c r="T994" t="s">
        <v>11100</v>
      </c>
      <c r="U994" t="s">
        <v>11100</v>
      </c>
      <c r="V994" t="s">
        <v>11100</v>
      </c>
      <c r="W994" t="s">
        <v>12073</v>
      </c>
      <c r="X994">
        <v>3</v>
      </c>
      <c r="Y994" t="s">
        <v>17567</v>
      </c>
      <c r="Z994" t="s">
        <v>22999</v>
      </c>
      <c r="AA994">
        <v>0.54488742542770674</v>
      </c>
      <c r="AB994" t="str">
        <f>HYPERLINK("Melting_Curves/meltCurve_J3KNN7_BRAP.pdf", "Melting_Curves/meltCurve_J3KNN7_BRAP.pdf")</f>
        <v>Melting_Curves/meltCurve_J3KNN7_BRAP.pdf</v>
      </c>
    </row>
    <row r="995" spans="1:28" x14ac:dyDescent="0.25">
      <c r="A995" t="s">
        <v>999</v>
      </c>
      <c r="B995">
        <v>0.99299721793515405</v>
      </c>
      <c r="C995">
        <v>0.633856486814252</v>
      </c>
      <c r="D995">
        <v>0.60473843583361997</v>
      </c>
      <c r="E995">
        <v>0.44190305511837902</v>
      </c>
      <c r="F995">
        <v>0.30656808948344799</v>
      </c>
      <c r="G995">
        <v>0.15027750081978899</v>
      </c>
      <c r="H995">
        <v>5.5626929549201301E-2</v>
      </c>
      <c r="I995">
        <v>7.4864103392842399E-2</v>
      </c>
      <c r="J995">
        <v>7.1978202304729205E-2</v>
      </c>
      <c r="K995">
        <v>6.2534675143243998E-2</v>
      </c>
      <c r="L995">
        <v>420.44323926626703</v>
      </c>
      <c r="M995">
        <v>9.3898695579217097</v>
      </c>
      <c r="N995">
        <v>44.779726687651603</v>
      </c>
      <c r="O995">
        <v>42.886252367049003</v>
      </c>
      <c r="P995">
        <v>-5.4751022973386E-2</v>
      </c>
      <c r="Q995">
        <v>3.6319664854805698E-4</v>
      </c>
      <c r="R995">
        <v>0.96124667515182205</v>
      </c>
      <c r="S995" t="s">
        <v>6546</v>
      </c>
      <c r="T995" t="s">
        <v>11100</v>
      </c>
      <c r="U995" t="s">
        <v>11100</v>
      </c>
      <c r="V995" t="s">
        <v>11100</v>
      </c>
      <c r="W995" t="s">
        <v>12074</v>
      </c>
      <c r="X995">
        <v>1</v>
      </c>
      <c r="Y995" t="s">
        <v>17568</v>
      </c>
      <c r="Z995" t="s">
        <v>23000</v>
      </c>
      <c r="AA995">
        <v>0.31508454306003142</v>
      </c>
      <c r="AB995" t="str">
        <f>HYPERLINK("Melting_Curves/meltCurve_J3KNQ1_ZFP1.pdf", "Melting_Curves/meltCurve_J3KNQ1_ZFP1.pdf")</f>
        <v>Melting_Curves/meltCurve_J3KNQ1_ZFP1.pdf</v>
      </c>
    </row>
    <row r="996" spans="1:28" x14ac:dyDescent="0.25">
      <c r="A996" t="s">
        <v>1000</v>
      </c>
      <c r="B996">
        <v>0.99299721793515405</v>
      </c>
      <c r="C996">
        <v>0.82384524597601405</v>
      </c>
      <c r="D996">
        <v>0.92223673805679796</v>
      </c>
      <c r="E996">
        <v>0.69677970809976297</v>
      </c>
      <c r="F996">
        <v>0.60491758160363096</v>
      </c>
      <c r="G996">
        <v>0.113593311296093</v>
      </c>
      <c r="H996">
        <v>0.125339055261284</v>
      </c>
      <c r="I996">
        <v>6.1680628243230798E-2</v>
      </c>
      <c r="J996">
        <v>8.4572056258338593E-2</v>
      </c>
      <c r="K996">
        <v>0</v>
      </c>
      <c r="L996">
        <v>740.48392666130803</v>
      </c>
      <c r="M996">
        <v>14.872578894975399</v>
      </c>
      <c r="N996">
        <v>49.788546599973103</v>
      </c>
      <c r="O996">
        <v>48.914403151410802</v>
      </c>
      <c r="P996">
        <v>-7.6021231744681006E-2</v>
      </c>
      <c r="Q996">
        <v>0</v>
      </c>
      <c r="R996">
        <v>0.95587090710540101</v>
      </c>
      <c r="S996" t="s">
        <v>6547</v>
      </c>
      <c r="T996" t="s">
        <v>11100</v>
      </c>
      <c r="U996" t="s">
        <v>11100</v>
      </c>
      <c r="V996" t="s">
        <v>11100</v>
      </c>
      <c r="W996" t="s">
        <v>12075</v>
      </c>
      <c r="X996">
        <v>3</v>
      </c>
      <c r="Y996" t="s">
        <v>17569</v>
      </c>
      <c r="Z996" t="s">
        <v>23001</v>
      </c>
      <c r="AA996">
        <v>0.44759290881946678</v>
      </c>
      <c r="AB996" t="str">
        <f>HYPERLINK("Melting_Curves/meltCurve_J3KNR0_MARK3.pdf", "Melting_Curves/meltCurve_J3KNR0_MARK3.pdf")</f>
        <v>Melting_Curves/meltCurve_J3KNR0_MARK3.pdf</v>
      </c>
    </row>
    <row r="997" spans="1:28" x14ac:dyDescent="0.25">
      <c r="A997" t="s">
        <v>1001</v>
      </c>
      <c r="B997">
        <v>0.99299721793515405</v>
      </c>
      <c r="C997">
        <v>1.0137769924820501</v>
      </c>
      <c r="D997">
        <v>0.89706716285581201</v>
      </c>
      <c r="E997">
        <v>0.91134138061895198</v>
      </c>
      <c r="F997">
        <v>0.91874274206842599</v>
      </c>
      <c r="G997">
        <v>0.75442936963093599</v>
      </c>
      <c r="H997">
        <v>0.34869236483105398</v>
      </c>
      <c r="I997">
        <v>0.236478701186881</v>
      </c>
      <c r="J997">
        <v>0.254293940044864</v>
      </c>
      <c r="K997">
        <v>0.22463900405669099</v>
      </c>
      <c r="L997">
        <v>1839.2339891515901</v>
      </c>
      <c r="M997">
        <v>33.546426097557699</v>
      </c>
      <c r="N997">
        <v>55.819643045438298</v>
      </c>
      <c r="O997">
        <v>54.632803143125699</v>
      </c>
      <c r="P997">
        <v>-0.119012131934602</v>
      </c>
      <c r="Q997">
        <v>0.22472356464430701</v>
      </c>
      <c r="R997">
        <v>0.97918621270443595</v>
      </c>
      <c r="S997" t="s">
        <v>6548</v>
      </c>
      <c r="T997" t="s">
        <v>11100</v>
      </c>
      <c r="U997" t="s">
        <v>11100</v>
      </c>
      <c r="V997" t="s">
        <v>11100</v>
      </c>
      <c r="W997" t="s">
        <v>12076</v>
      </c>
      <c r="X997">
        <v>5</v>
      </c>
      <c r="Y997" t="s">
        <v>17570</v>
      </c>
      <c r="Z997" t="s">
        <v>23002</v>
      </c>
      <c r="AA997">
        <v>0.68944709382484837</v>
      </c>
      <c r="AB997" t="str">
        <f>HYPERLINK("Melting_Curves/meltCurve_J3KNU8_ALDH6A1.pdf", "Melting_Curves/meltCurve_J3KNU8_ALDH6A1.pdf")</f>
        <v>Melting_Curves/meltCurve_J3KNU8_ALDH6A1.pdf</v>
      </c>
    </row>
    <row r="998" spans="1:28" x14ac:dyDescent="0.25">
      <c r="A998" t="s">
        <v>1002</v>
      </c>
      <c r="B998">
        <v>0.99299721793515405</v>
      </c>
      <c r="C998">
        <v>0.98784327212230605</v>
      </c>
      <c r="D998">
        <v>0.89841110865958596</v>
      </c>
      <c r="E998">
        <v>0.95968573558625303</v>
      </c>
      <c r="F998">
        <v>0.84096334023744601</v>
      </c>
      <c r="G998">
        <v>0.63856579409380898</v>
      </c>
      <c r="H998">
        <v>0.61482925710285097</v>
      </c>
      <c r="I998">
        <v>0.66773762989830499</v>
      </c>
      <c r="J998">
        <v>0.62667449469595604</v>
      </c>
      <c r="K998">
        <v>0.47090592424796901</v>
      </c>
      <c r="L998">
        <v>688.12428727351698</v>
      </c>
      <c r="M998">
        <v>13.3452499400831</v>
      </c>
      <c r="O998">
        <v>50.446699421093101</v>
      </c>
      <c r="P998">
        <v>-3.0583827530276199E-2</v>
      </c>
      <c r="Q998">
        <v>0.537631117862576</v>
      </c>
      <c r="R998">
        <v>0.904004863497475</v>
      </c>
      <c r="S998" t="s">
        <v>6549</v>
      </c>
      <c r="T998" t="s">
        <v>11100</v>
      </c>
      <c r="U998" t="s">
        <v>11100</v>
      </c>
      <c r="V998" t="s">
        <v>11100</v>
      </c>
      <c r="W998" t="s">
        <v>12077</v>
      </c>
      <c r="X998">
        <v>9</v>
      </c>
      <c r="Y998" t="s">
        <v>17571</v>
      </c>
      <c r="Z998" t="s">
        <v>23003</v>
      </c>
      <c r="AA998">
        <v>0.77243351124982174</v>
      </c>
      <c r="AB998" t="str">
        <f>HYPERLINK("Melting_Curves/meltCurve_J3KNW4_FHL2.pdf", "Melting_Curves/meltCurve_J3KNW4_FHL2.pdf")</f>
        <v>Melting_Curves/meltCurve_J3KNW4_FHL2.pdf</v>
      </c>
    </row>
    <row r="999" spans="1:28" x14ac:dyDescent="0.25">
      <c r="A999" t="s">
        <v>1003</v>
      </c>
      <c r="B999">
        <v>0.99299721793515405</v>
      </c>
      <c r="C999">
        <v>0.85988631185062403</v>
      </c>
      <c r="D999">
        <v>0.85438503334847704</v>
      </c>
      <c r="E999">
        <v>0.73580311613772098</v>
      </c>
      <c r="F999">
        <v>0.44674047514459803</v>
      </c>
      <c r="G999">
        <v>0.28215180428417103</v>
      </c>
      <c r="H999">
        <v>0.25054397379607501</v>
      </c>
      <c r="I999">
        <v>0.20814496470920399</v>
      </c>
      <c r="J999">
        <v>0.18133963112594101</v>
      </c>
      <c r="K999">
        <v>0.110079155860246</v>
      </c>
      <c r="L999">
        <v>587.11827181370597</v>
      </c>
      <c r="M999">
        <v>12.060642116531699</v>
      </c>
      <c r="N999">
        <v>49.7127984126653</v>
      </c>
      <c r="O999">
        <v>47.4001300388652</v>
      </c>
      <c r="P999">
        <v>-5.6578008677565302E-2</v>
      </c>
      <c r="Q999">
        <v>0.110770023635942</v>
      </c>
      <c r="R999">
        <v>0.98395907225304102</v>
      </c>
      <c r="S999" t="s">
        <v>6550</v>
      </c>
      <c r="T999" t="s">
        <v>11100</v>
      </c>
      <c r="U999" t="s">
        <v>11100</v>
      </c>
      <c r="V999" t="s">
        <v>11100</v>
      </c>
      <c r="W999" t="s">
        <v>12078</v>
      </c>
      <c r="X999">
        <v>2</v>
      </c>
      <c r="Y999" t="s">
        <v>17572</v>
      </c>
      <c r="Z999" t="s">
        <v>23004</v>
      </c>
      <c r="AA999">
        <v>0.48369473238823713</v>
      </c>
      <c r="AB999" t="str">
        <f>HYPERLINK("Melting_Curves/meltCurve_J3KNY6_RGPD4.pdf", "Melting_Curves/meltCurve_J3KNY6_RGPD4.pdf")</f>
        <v>Melting_Curves/meltCurve_J3KNY6_RGPD4.pdf</v>
      </c>
    </row>
    <row r="1000" spans="1:28" x14ac:dyDescent="0.25">
      <c r="A1000" t="s">
        <v>1004</v>
      </c>
      <c r="B1000">
        <v>0.99299721793515405</v>
      </c>
      <c r="C1000">
        <v>0.94386927190126202</v>
      </c>
      <c r="D1000">
        <v>1.2166185722480101</v>
      </c>
      <c r="E1000">
        <v>0.87053962278100805</v>
      </c>
      <c r="F1000">
        <v>0.68387751141672903</v>
      </c>
      <c r="G1000">
        <v>0.60816120196274503</v>
      </c>
      <c r="H1000">
        <v>0.347077401492628</v>
      </c>
      <c r="I1000">
        <v>0.37351861756398103</v>
      </c>
      <c r="J1000">
        <v>0.36641234775978498</v>
      </c>
      <c r="K1000">
        <v>0.75636486854489404</v>
      </c>
      <c r="L1000">
        <v>1377.59661212936</v>
      </c>
      <c r="M1000">
        <v>27.838238237168699</v>
      </c>
      <c r="N1000">
        <v>55.460084226691301</v>
      </c>
      <c r="O1000">
        <v>49.2325222137137</v>
      </c>
      <c r="P1000">
        <v>-7.4204314276628505E-2</v>
      </c>
      <c r="Q1000">
        <v>0.47507690133860703</v>
      </c>
      <c r="R1000">
        <v>0.76813319070305697</v>
      </c>
      <c r="S1000" t="s">
        <v>6551</v>
      </c>
      <c r="T1000" t="s">
        <v>11100</v>
      </c>
      <c r="U1000" t="s">
        <v>11100</v>
      </c>
      <c r="V1000" t="s">
        <v>11100</v>
      </c>
      <c r="W1000" t="s">
        <v>12079</v>
      </c>
      <c r="X1000">
        <v>12</v>
      </c>
      <c r="Y1000" t="s">
        <v>17573</v>
      </c>
      <c r="Z1000" t="s">
        <v>23005</v>
      </c>
      <c r="AA1000">
        <v>0.69724746421379191</v>
      </c>
      <c r="AB1000" t="str">
        <f>HYPERLINK("Melting_Curves/meltCurve_J3KP15_SRSF2.pdf", "Melting_Curves/meltCurve_J3KP15_SRSF2.pdf")</f>
        <v>Melting_Curves/meltCurve_J3KP15_SRSF2.pdf</v>
      </c>
    </row>
    <row r="1001" spans="1:28" x14ac:dyDescent="0.25">
      <c r="A1001" t="s">
        <v>1005</v>
      </c>
      <c r="B1001">
        <v>0.99299721793515405</v>
      </c>
      <c r="C1001">
        <v>1.0071292456422001</v>
      </c>
      <c r="D1001">
        <v>0.96870798793775503</v>
      </c>
      <c r="E1001">
        <v>0.83897115693933699</v>
      </c>
      <c r="F1001">
        <v>0.80545505518313898</v>
      </c>
      <c r="G1001">
        <v>0.61284498599836001</v>
      </c>
      <c r="H1001">
        <v>0.65738395453991305</v>
      </c>
      <c r="I1001">
        <v>0.65742886775609499</v>
      </c>
      <c r="J1001">
        <v>0.54968066464389098</v>
      </c>
      <c r="K1001">
        <v>0.39577045107171499</v>
      </c>
      <c r="L1001">
        <v>372.592827494056</v>
      </c>
      <c r="M1001">
        <v>6.4329427102193701</v>
      </c>
      <c r="N1001">
        <v>64.919511526889593</v>
      </c>
      <c r="O1001">
        <v>53.083147417799701</v>
      </c>
      <c r="P1001">
        <v>-2.2775969982344199E-2</v>
      </c>
      <c r="Q1001">
        <v>0.25012278991800502</v>
      </c>
      <c r="R1001">
        <v>0.91770838058493698</v>
      </c>
      <c r="S1001" t="s">
        <v>6552</v>
      </c>
      <c r="T1001" t="s">
        <v>11100</v>
      </c>
      <c r="U1001" t="s">
        <v>11100</v>
      </c>
      <c r="V1001" t="s">
        <v>11100</v>
      </c>
      <c r="W1001" t="s">
        <v>12080</v>
      </c>
      <c r="X1001">
        <v>2</v>
      </c>
      <c r="Y1001" t="s">
        <v>17574</v>
      </c>
      <c r="Z1001" t="s">
        <v>23006</v>
      </c>
      <c r="AA1001">
        <v>0.7465903483091143</v>
      </c>
      <c r="AB1001" t="str">
        <f>HYPERLINK("Melting_Curves/meltCurve_J3KP22_PTPRA.pdf", "Melting_Curves/meltCurve_J3KP22_PTPRA.pdf")</f>
        <v>Melting_Curves/meltCurve_J3KP22_PTPRA.pdf</v>
      </c>
    </row>
    <row r="1002" spans="1:28" x14ac:dyDescent="0.25">
      <c r="A1002" t="s">
        <v>1006</v>
      </c>
      <c r="B1002">
        <v>0.99299721793515405</v>
      </c>
      <c r="C1002">
        <v>1.00812687996482</v>
      </c>
      <c r="D1002">
        <v>0.89444494057900203</v>
      </c>
      <c r="E1002">
        <v>0.89140940163681304</v>
      </c>
      <c r="F1002">
        <v>0.69697131975303195</v>
      </c>
      <c r="G1002">
        <v>0.53279875987672898</v>
      </c>
      <c r="H1002">
        <v>0.41700917537703203</v>
      </c>
      <c r="I1002">
        <v>0.30565568068917998</v>
      </c>
      <c r="J1002">
        <v>0.26017392099568998</v>
      </c>
      <c r="K1002">
        <v>0.22801507260572501</v>
      </c>
      <c r="L1002">
        <v>606.37144706763399</v>
      </c>
      <c r="M1002">
        <v>11.447442532243899</v>
      </c>
      <c r="N1002">
        <v>54.789310772374897</v>
      </c>
      <c r="O1002">
        <v>51.430890362171603</v>
      </c>
      <c r="P1002">
        <v>-4.68604789267811E-2</v>
      </c>
      <c r="Q1002">
        <v>0.15810743424571699</v>
      </c>
      <c r="R1002">
        <v>0.99424595636473201</v>
      </c>
      <c r="S1002" t="s">
        <v>6553</v>
      </c>
      <c r="T1002" t="s">
        <v>11100</v>
      </c>
      <c r="U1002" t="s">
        <v>11100</v>
      </c>
      <c r="V1002" t="s">
        <v>11100</v>
      </c>
      <c r="W1002" t="s">
        <v>12081</v>
      </c>
      <c r="X1002">
        <v>2</v>
      </c>
      <c r="Y1002" t="s">
        <v>17575</v>
      </c>
      <c r="Z1002" t="s">
        <v>23007</v>
      </c>
      <c r="AA1002">
        <v>0.62450541761268397</v>
      </c>
      <c r="AB1002" t="str">
        <f>HYPERLINK("Melting_Curves/meltCurve_J3KP26_ANKRD46.pdf", "Melting_Curves/meltCurve_J3KP26_ANKRD46.pdf")</f>
        <v>Melting_Curves/meltCurve_J3KP26_ANKRD46.pdf</v>
      </c>
    </row>
    <row r="1003" spans="1:28" x14ac:dyDescent="0.25">
      <c r="A1003" t="s">
        <v>1007</v>
      </c>
      <c r="B1003">
        <v>0.99299721793515405</v>
      </c>
      <c r="C1003">
        <v>0.99078529088050504</v>
      </c>
      <c r="D1003">
        <v>0.90446992985241803</v>
      </c>
      <c r="E1003">
        <v>0.78917333563359904</v>
      </c>
      <c r="F1003">
        <v>0.53532451428531802</v>
      </c>
      <c r="G1003">
        <v>0.260719538213734</v>
      </c>
      <c r="H1003">
        <v>0.237991442890303</v>
      </c>
      <c r="I1003">
        <v>0.237124960787751</v>
      </c>
      <c r="J1003">
        <v>0.24918633418341399</v>
      </c>
      <c r="K1003">
        <v>0.18825042127908001</v>
      </c>
      <c r="L1003">
        <v>978.30616243923896</v>
      </c>
      <c r="M1003">
        <v>20.009527333072299</v>
      </c>
      <c r="N1003">
        <v>50.218329377773301</v>
      </c>
      <c r="O1003">
        <v>48.411543239682103</v>
      </c>
      <c r="P1003">
        <v>-8.2124587389833401E-2</v>
      </c>
      <c r="Q1003">
        <v>0.20524882481447601</v>
      </c>
      <c r="R1003">
        <v>0.99197797225960704</v>
      </c>
      <c r="S1003" t="s">
        <v>6554</v>
      </c>
      <c r="T1003" t="s">
        <v>11100</v>
      </c>
      <c r="U1003" t="s">
        <v>11100</v>
      </c>
      <c r="V1003" t="s">
        <v>11100</v>
      </c>
      <c r="W1003" t="s">
        <v>12082</v>
      </c>
      <c r="X1003">
        <v>7</v>
      </c>
      <c r="Y1003" t="s">
        <v>17576</v>
      </c>
      <c r="Z1003" t="s">
        <v>23008</v>
      </c>
      <c r="AA1003">
        <v>0.53074817431824806</v>
      </c>
      <c r="AB1003" t="str">
        <f>HYPERLINK("Melting_Curves/meltCurve_J3KP29_NUP98.pdf", "Melting_Curves/meltCurve_J3KP29_NUP98.pdf")</f>
        <v>Melting_Curves/meltCurve_J3KP29_NUP98.pdf</v>
      </c>
    </row>
    <row r="1004" spans="1:28" x14ac:dyDescent="0.25">
      <c r="A1004" t="s">
        <v>1008</v>
      </c>
      <c r="B1004">
        <v>0.99299721793515405</v>
      </c>
      <c r="C1004">
        <v>1.0867248154523701</v>
      </c>
      <c r="D1004">
        <v>1.0574939601531199</v>
      </c>
      <c r="E1004">
        <v>0.753506063884821</v>
      </c>
      <c r="F1004">
        <v>0.67014912056623799</v>
      </c>
      <c r="G1004">
        <v>0.358065054336482</v>
      </c>
      <c r="H1004">
        <v>0.272574920559714</v>
      </c>
      <c r="I1004">
        <v>0.25653991677548599</v>
      </c>
      <c r="J1004">
        <v>0.33540218772582903</v>
      </c>
      <c r="K1004">
        <v>0.12878325717339401</v>
      </c>
      <c r="L1004">
        <v>925.65222234407497</v>
      </c>
      <c r="M1004">
        <v>18.444424928354401</v>
      </c>
      <c r="N1004">
        <v>51.774477783372603</v>
      </c>
      <c r="O1004">
        <v>49.607243721177298</v>
      </c>
      <c r="P1004">
        <v>-7.2871299733603706E-2</v>
      </c>
      <c r="Q1004">
        <v>0.21607047761387599</v>
      </c>
      <c r="R1004">
        <v>0.95718079541323098</v>
      </c>
      <c r="S1004" t="s">
        <v>6555</v>
      </c>
      <c r="T1004" t="s">
        <v>11100</v>
      </c>
      <c r="U1004" t="s">
        <v>11100</v>
      </c>
      <c r="V1004" t="s">
        <v>11100</v>
      </c>
      <c r="W1004" t="s">
        <v>12083</v>
      </c>
      <c r="X1004">
        <v>3</v>
      </c>
      <c r="Y1004" t="s">
        <v>17577</v>
      </c>
      <c r="Z1004" t="s">
        <v>23009</v>
      </c>
      <c r="AA1004">
        <v>0.57247120748035962</v>
      </c>
      <c r="AB1004" t="str">
        <f>HYPERLINK("Melting_Curves/meltCurve_J3KP30_DNTTIP2.pdf", "Melting_Curves/meltCurve_J3KP30_DNTTIP2.pdf")</f>
        <v>Melting_Curves/meltCurve_J3KP30_DNTTIP2.pdf</v>
      </c>
    </row>
    <row r="1005" spans="1:28" x14ac:dyDescent="0.25">
      <c r="A1005" t="s">
        <v>1009</v>
      </c>
      <c r="B1005">
        <v>0.99299721793515405</v>
      </c>
      <c r="C1005">
        <v>0.95049311654542001</v>
      </c>
      <c r="D1005">
        <v>1.0822126940844401</v>
      </c>
      <c r="E1005">
        <v>0.83397192431741396</v>
      </c>
      <c r="F1005">
        <v>0.701758385479341</v>
      </c>
      <c r="G1005">
        <v>0.65846801881745398</v>
      </c>
      <c r="H1005">
        <v>0.78917805948530295</v>
      </c>
      <c r="I1005">
        <v>0.90440204658119405</v>
      </c>
      <c r="J1005">
        <v>0.88779494685819704</v>
      </c>
      <c r="K1005">
        <v>0.66928448491033898</v>
      </c>
      <c r="L1005">
        <v>11606.650573253401</v>
      </c>
      <c r="M1005">
        <v>250</v>
      </c>
      <c r="O1005">
        <v>46.423631362405402</v>
      </c>
      <c r="P1005">
        <v>-0.31169337056415403</v>
      </c>
      <c r="Q1005">
        <v>0.76848099045971396</v>
      </c>
      <c r="R1005">
        <v>0.626221213058621</v>
      </c>
      <c r="S1005" t="s">
        <v>6556</v>
      </c>
      <c r="T1005" t="s">
        <v>11100</v>
      </c>
      <c r="U1005" t="s">
        <v>11100</v>
      </c>
      <c r="V1005" t="s">
        <v>11100</v>
      </c>
      <c r="W1005" t="s">
        <v>12084</v>
      </c>
      <c r="X1005">
        <v>6</v>
      </c>
      <c r="Y1005" t="s">
        <v>17578</v>
      </c>
      <c r="Z1005" t="s">
        <v>23010</v>
      </c>
      <c r="AA1005">
        <v>0.84124777503096992</v>
      </c>
      <c r="AB1005" t="str">
        <f>HYPERLINK("Melting_Curves/meltCurve_J3KP75_PHACTR2.pdf", "Melting_Curves/meltCurve_J3KP75_PHACTR2.pdf")</f>
        <v>Melting_Curves/meltCurve_J3KP75_PHACTR2.pdf</v>
      </c>
    </row>
    <row r="1006" spans="1:28" x14ac:dyDescent="0.25">
      <c r="A1006" t="s">
        <v>1010</v>
      </c>
      <c r="B1006">
        <v>0.99299721793515405</v>
      </c>
      <c r="C1006">
        <v>0.91735481291239496</v>
      </c>
      <c r="D1006">
        <v>0.93601714643395295</v>
      </c>
      <c r="E1006">
        <v>0.78227450267853804</v>
      </c>
      <c r="F1006">
        <v>0.73386641936024599</v>
      </c>
      <c r="G1006">
        <v>0.39945295725745</v>
      </c>
      <c r="H1006">
        <v>0.33732245222275797</v>
      </c>
      <c r="I1006">
        <v>0.25735734985203801</v>
      </c>
      <c r="J1006">
        <v>0.25897532654814498</v>
      </c>
      <c r="K1006">
        <v>0.27456118907677102</v>
      </c>
      <c r="L1006">
        <v>713.47527437336703</v>
      </c>
      <c r="M1006">
        <v>14.0560992130081</v>
      </c>
      <c r="N1006">
        <v>52.872423159199002</v>
      </c>
      <c r="O1006">
        <v>49.764857108229997</v>
      </c>
      <c r="P1006">
        <v>-5.5444093400943202E-2</v>
      </c>
      <c r="Q1006">
        <v>0.21491506433206001</v>
      </c>
      <c r="R1006">
        <v>0.97587440872166797</v>
      </c>
      <c r="S1006" t="s">
        <v>6557</v>
      </c>
      <c r="T1006" t="s">
        <v>11100</v>
      </c>
      <c r="U1006" t="s">
        <v>11100</v>
      </c>
      <c r="V1006" t="s">
        <v>11100</v>
      </c>
      <c r="W1006" t="s">
        <v>12085</v>
      </c>
      <c r="X1006">
        <v>3</v>
      </c>
      <c r="Y1006" t="s">
        <v>17579</v>
      </c>
      <c r="Z1006" t="s">
        <v>23011</v>
      </c>
      <c r="AA1006">
        <v>0.59235749895110046</v>
      </c>
      <c r="AB1006" t="str">
        <f>HYPERLINK("Melting_Curves/meltCurve_J3KP99_HS6ST2.pdf", "Melting_Curves/meltCurve_J3KP99_HS6ST2.pdf")</f>
        <v>Melting_Curves/meltCurve_J3KP99_HS6ST2.pdf</v>
      </c>
    </row>
    <row r="1007" spans="1:28" x14ac:dyDescent="0.25">
      <c r="A1007" t="s">
        <v>1011</v>
      </c>
      <c r="B1007">
        <v>0.99299721793515405</v>
      </c>
      <c r="C1007">
        <v>0.93500911293729605</v>
      </c>
      <c r="D1007">
        <v>1.1582233898082099</v>
      </c>
      <c r="E1007">
        <v>0.83845859490630403</v>
      </c>
      <c r="F1007">
        <v>0.64125452164255803</v>
      </c>
      <c r="G1007">
        <v>0.41138275031569999</v>
      </c>
      <c r="H1007">
        <v>0.21400072440672499</v>
      </c>
      <c r="I1007">
        <v>0.20462359869730701</v>
      </c>
      <c r="J1007">
        <v>0.158542768147619</v>
      </c>
      <c r="K1007">
        <v>0.104471237605281</v>
      </c>
      <c r="L1007">
        <v>957.49720423455005</v>
      </c>
      <c r="M1007">
        <v>18.653411518694799</v>
      </c>
      <c r="N1007">
        <v>52.155814005361499</v>
      </c>
      <c r="O1007">
        <v>50.751919832529097</v>
      </c>
      <c r="P1007">
        <v>-8.0151360267534194E-2</v>
      </c>
      <c r="Q1007">
        <v>0.12773913817584701</v>
      </c>
      <c r="R1007">
        <v>0.96989619618787604</v>
      </c>
      <c r="S1007" t="s">
        <v>6558</v>
      </c>
      <c r="T1007" t="s">
        <v>11100</v>
      </c>
      <c r="U1007" t="s">
        <v>11100</v>
      </c>
      <c r="V1007" t="s">
        <v>11100</v>
      </c>
      <c r="W1007" t="s">
        <v>12086</v>
      </c>
      <c r="X1007">
        <v>6</v>
      </c>
      <c r="Y1007" t="s">
        <v>17580</v>
      </c>
      <c r="Z1007" t="s">
        <v>23012</v>
      </c>
      <c r="AA1007">
        <v>0.55713434638205095</v>
      </c>
      <c r="AB1007" t="str">
        <f>HYPERLINK("Melting_Curves/meltCurve_J3KPF9_KIF3A.pdf", "Melting_Curves/meltCurve_J3KPF9_KIF3A.pdf")</f>
        <v>Melting_Curves/meltCurve_J3KPF9_KIF3A.pdf</v>
      </c>
    </row>
    <row r="1008" spans="1:28" x14ac:dyDescent="0.25">
      <c r="A1008" t="s">
        <v>1012</v>
      </c>
      <c r="B1008">
        <v>0.99299721793515405</v>
      </c>
      <c r="C1008">
        <v>0.98199610670798998</v>
      </c>
      <c r="D1008">
        <v>1.0370480884022699</v>
      </c>
      <c r="E1008">
        <v>1.2414294820954701</v>
      </c>
      <c r="F1008">
        <v>0.81899194524628804</v>
      </c>
      <c r="G1008">
        <v>0.42626418680053302</v>
      </c>
      <c r="H1008">
        <v>0.63807631109262397</v>
      </c>
      <c r="I1008">
        <v>0.43178063273446299</v>
      </c>
      <c r="J1008">
        <v>0.31147734383438802</v>
      </c>
      <c r="K1008">
        <v>9.0473303292354507E-2</v>
      </c>
      <c r="L1008">
        <v>658.15825009747005</v>
      </c>
      <c r="M1008">
        <v>11.4307312822233</v>
      </c>
      <c r="N1008">
        <v>57.8150881235957</v>
      </c>
      <c r="O1008">
        <v>55.900267456660302</v>
      </c>
      <c r="P1008">
        <v>-4.9964953421303998E-2</v>
      </c>
      <c r="Q1008">
        <v>2.2899992792974201E-2</v>
      </c>
      <c r="R1008">
        <v>0.84025820021803999</v>
      </c>
      <c r="S1008" t="s">
        <v>6559</v>
      </c>
      <c r="T1008" t="s">
        <v>11100</v>
      </c>
      <c r="U1008" t="s">
        <v>11100</v>
      </c>
      <c r="V1008" t="s">
        <v>11100</v>
      </c>
      <c r="W1008" t="s">
        <v>12087</v>
      </c>
      <c r="X1008">
        <v>1</v>
      </c>
      <c r="Y1008" t="s">
        <v>17581</v>
      </c>
      <c r="Z1008" t="s">
        <v>23013</v>
      </c>
      <c r="AA1008">
        <v>0.69293900051567503</v>
      </c>
      <c r="AB1008" t="str">
        <f>HYPERLINK("Melting_Curves/meltCurve_J3KPH8_HDAC7.pdf", "Melting_Curves/meltCurve_J3KPH8_HDAC7.pdf")</f>
        <v>Melting_Curves/meltCurve_J3KPH8_HDAC7.pdf</v>
      </c>
    </row>
    <row r="1009" spans="1:28" x14ac:dyDescent="0.25">
      <c r="A1009" t="s">
        <v>1013</v>
      </c>
      <c r="B1009">
        <v>0.99299721793515405</v>
      </c>
      <c r="C1009">
        <v>1.0261719282422801</v>
      </c>
      <c r="D1009">
        <v>0.88291755640654201</v>
      </c>
      <c r="E1009">
        <v>0.87717406681551202</v>
      </c>
      <c r="F1009">
        <v>0.65694770470754205</v>
      </c>
      <c r="G1009">
        <v>0.29208163044380298</v>
      </c>
      <c r="H1009">
        <v>0.20425601793333101</v>
      </c>
      <c r="I1009">
        <v>0.172387169629904</v>
      </c>
      <c r="J1009">
        <v>0.146999511925784</v>
      </c>
      <c r="K1009">
        <v>0.147960381863386</v>
      </c>
      <c r="L1009">
        <v>1090.9773221097</v>
      </c>
      <c r="M1009">
        <v>21.5096135434299</v>
      </c>
      <c r="N1009">
        <v>51.494160115540197</v>
      </c>
      <c r="O1009">
        <v>50.288159297552099</v>
      </c>
      <c r="P1009">
        <v>-9.2168898514323999E-2</v>
      </c>
      <c r="Q1009">
        <v>0.138080076861166</v>
      </c>
      <c r="R1009">
        <v>0.98904099440154003</v>
      </c>
      <c r="S1009" t="s">
        <v>6560</v>
      </c>
      <c r="T1009" t="s">
        <v>11100</v>
      </c>
      <c r="U1009" t="s">
        <v>11100</v>
      </c>
      <c r="V1009" t="s">
        <v>11100</v>
      </c>
      <c r="W1009" t="s">
        <v>12088</v>
      </c>
      <c r="X1009">
        <v>9</v>
      </c>
      <c r="Y1009" t="s">
        <v>17582</v>
      </c>
      <c r="Z1009" t="s">
        <v>23014</v>
      </c>
      <c r="AA1009">
        <v>0.54225385075659926</v>
      </c>
      <c r="AB1009" t="str">
        <f>HYPERLINK("Melting_Curves/meltCurve_J3KPJ3_CAMKK1.pdf", "Melting_Curves/meltCurve_J3KPJ3_CAMKK1.pdf")</f>
        <v>Melting_Curves/meltCurve_J3KPJ3_CAMKK1.pdf</v>
      </c>
    </row>
    <row r="1010" spans="1:28" x14ac:dyDescent="0.25">
      <c r="A1010" t="s">
        <v>1014</v>
      </c>
      <c r="B1010">
        <v>0.99299721793515405</v>
      </c>
      <c r="C1010">
        <v>1.0083255846567301</v>
      </c>
      <c r="D1010">
        <v>0.98160744166913605</v>
      </c>
      <c r="E1010">
        <v>0.83601798223476498</v>
      </c>
      <c r="F1010">
        <v>0.71276033642945202</v>
      </c>
      <c r="G1010">
        <v>0.54301608700646498</v>
      </c>
      <c r="H1010">
        <v>0.40611031742961401</v>
      </c>
      <c r="I1010">
        <v>0.37821281953522901</v>
      </c>
      <c r="J1010">
        <v>0.40209983156436502</v>
      </c>
      <c r="K1010">
        <v>0.40288574874020899</v>
      </c>
      <c r="L1010">
        <v>852.73335073131898</v>
      </c>
      <c r="M1010">
        <v>16.9547577061068</v>
      </c>
      <c r="N1010">
        <v>54.673200977080903</v>
      </c>
      <c r="O1010">
        <v>49.61060396309</v>
      </c>
      <c r="P1010">
        <v>-5.3711091438596398E-2</v>
      </c>
      <c r="Q1010">
        <v>0.37139218602959001</v>
      </c>
      <c r="R1010">
        <v>0.99269058305042701</v>
      </c>
      <c r="S1010" t="s">
        <v>6561</v>
      </c>
      <c r="T1010" t="s">
        <v>11100</v>
      </c>
      <c r="U1010" t="s">
        <v>11100</v>
      </c>
      <c r="V1010" t="s">
        <v>11100</v>
      </c>
      <c r="W1010" t="s">
        <v>12089</v>
      </c>
      <c r="X1010">
        <v>3</v>
      </c>
      <c r="Y1010" t="s">
        <v>17583</v>
      </c>
      <c r="Z1010" t="s">
        <v>23015</v>
      </c>
      <c r="AA1010">
        <v>0.6608116759783752</v>
      </c>
      <c r="AB1010" t="str">
        <f>HYPERLINK("Melting_Curves/meltCurve_J3KPK1_SYNJ1.pdf", "Melting_Curves/meltCurve_J3KPK1_SYNJ1.pdf")</f>
        <v>Melting_Curves/meltCurve_J3KPK1_SYNJ1.pdf</v>
      </c>
    </row>
    <row r="1011" spans="1:28" x14ac:dyDescent="0.25">
      <c r="A1011" t="s">
        <v>1015</v>
      </c>
      <c r="B1011">
        <v>0.99299721793515405</v>
      </c>
      <c r="C1011">
        <v>0.987249075801791</v>
      </c>
      <c r="D1011">
        <v>0.94290529392471001</v>
      </c>
      <c r="E1011">
        <v>0.74705632867665095</v>
      </c>
      <c r="F1011">
        <v>0.74018986638763995</v>
      </c>
      <c r="G1011">
        <v>0.43836193514868699</v>
      </c>
      <c r="H1011">
        <v>0.47753632034317101</v>
      </c>
      <c r="I1011">
        <v>0.48790505575100002</v>
      </c>
      <c r="J1011">
        <v>0.306840975205869</v>
      </c>
      <c r="K1011">
        <v>8.3233574801607396E-2</v>
      </c>
      <c r="L1011">
        <v>416.67225135807303</v>
      </c>
      <c r="M1011">
        <v>7.4862542785629103</v>
      </c>
      <c r="N1011">
        <v>55.6583092344151</v>
      </c>
      <c r="O1011">
        <v>52.101874562474897</v>
      </c>
      <c r="P1011">
        <v>-3.5973242058410598E-2</v>
      </c>
      <c r="Q1011">
        <v>0</v>
      </c>
      <c r="R1011">
        <v>0.92155675774221701</v>
      </c>
      <c r="S1011" t="s">
        <v>6562</v>
      </c>
      <c r="T1011" t="s">
        <v>11100</v>
      </c>
      <c r="U1011" t="s">
        <v>11100</v>
      </c>
      <c r="V1011" t="s">
        <v>11100</v>
      </c>
      <c r="W1011" t="s">
        <v>12090</v>
      </c>
      <c r="X1011">
        <v>1</v>
      </c>
      <c r="Y1011" t="s">
        <v>17584</v>
      </c>
      <c r="Z1011" t="s">
        <v>23016</v>
      </c>
      <c r="AA1011">
        <v>0.62049544821739788</v>
      </c>
      <c r="AB1011" t="str">
        <f>HYPERLINK("Melting_Curves/meltCurve_J3KPN1_TESC.pdf", "Melting_Curves/meltCurve_J3KPN1_TESC.pdf")</f>
        <v>Melting_Curves/meltCurve_J3KPN1_TESC.pdf</v>
      </c>
    </row>
    <row r="1012" spans="1:28" x14ac:dyDescent="0.25">
      <c r="A1012" t="s">
        <v>1016</v>
      </c>
      <c r="B1012">
        <v>0.99299721793515405</v>
      </c>
      <c r="C1012">
        <v>1.0756177179414701</v>
      </c>
      <c r="D1012">
        <v>1.1957116625213</v>
      </c>
      <c r="E1012">
        <v>0.81470592520486995</v>
      </c>
      <c r="F1012">
        <v>0.69234404738617905</v>
      </c>
      <c r="G1012">
        <v>0.54455406077255197</v>
      </c>
      <c r="H1012">
        <v>0.277566701668715</v>
      </c>
      <c r="I1012">
        <v>0.18404324292349999</v>
      </c>
      <c r="J1012">
        <v>0.12899534904457899</v>
      </c>
      <c r="K1012">
        <v>0.122943672549992</v>
      </c>
      <c r="L1012">
        <v>822.76813177513895</v>
      </c>
      <c r="M1012">
        <v>15.514442098105601</v>
      </c>
      <c r="N1012">
        <v>53.630587696571403</v>
      </c>
      <c r="O1012">
        <v>52.174748215438598</v>
      </c>
      <c r="P1012">
        <v>-6.8438644068522805E-2</v>
      </c>
      <c r="Q1012">
        <v>7.9450501032219595E-2</v>
      </c>
      <c r="R1012">
        <v>0.95545380411785297</v>
      </c>
      <c r="S1012" t="s">
        <v>6563</v>
      </c>
      <c r="T1012" t="s">
        <v>11100</v>
      </c>
      <c r="U1012" t="s">
        <v>11100</v>
      </c>
      <c r="V1012" t="s">
        <v>11100</v>
      </c>
      <c r="W1012" t="s">
        <v>12091</v>
      </c>
      <c r="X1012">
        <v>12</v>
      </c>
      <c r="Y1012" t="s">
        <v>17585</v>
      </c>
      <c r="Z1012" t="s">
        <v>23017</v>
      </c>
      <c r="AA1012">
        <v>0.5872554285308218</v>
      </c>
      <c r="AB1012" t="str">
        <f>HYPERLINK("Melting_Curves/meltCurve_J3KPP4_LUC7L3.pdf", "Melting_Curves/meltCurve_J3KPP4_LUC7L3.pdf")</f>
        <v>Melting_Curves/meltCurve_J3KPP4_LUC7L3.pdf</v>
      </c>
    </row>
    <row r="1013" spans="1:28" x14ac:dyDescent="0.25">
      <c r="A1013" t="s">
        <v>1017</v>
      </c>
      <c r="B1013">
        <v>0.99299721793515405</v>
      </c>
      <c r="C1013">
        <v>0.91844838831335096</v>
      </c>
      <c r="D1013">
        <v>0.93056629582934802</v>
      </c>
      <c r="E1013">
        <v>0.86794827949567599</v>
      </c>
      <c r="F1013">
        <v>0.75690921804453704</v>
      </c>
      <c r="G1013">
        <v>0.60152018694927201</v>
      </c>
      <c r="H1013">
        <v>0.53610336596655594</v>
      </c>
      <c r="I1013">
        <v>0.40372849843193498</v>
      </c>
      <c r="J1013">
        <v>0.288784697953545</v>
      </c>
      <c r="K1013">
        <v>0.26030828784142102</v>
      </c>
      <c r="L1013">
        <v>433.38638055433103</v>
      </c>
      <c r="M1013">
        <v>7.53111468925918</v>
      </c>
      <c r="N1013">
        <v>57.546113276634102</v>
      </c>
      <c r="O1013">
        <v>53.908259888267899</v>
      </c>
      <c r="P1013">
        <v>-3.4975058965505498E-2</v>
      </c>
      <c r="Q1013">
        <v>0</v>
      </c>
      <c r="R1013">
        <v>0.99262242127640898</v>
      </c>
      <c r="S1013" t="s">
        <v>6564</v>
      </c>
      <c r="T1013" t="s">
        <v>11100</v>
      </c>
      <c r="U1013" t="s">
        <v>11100</v>
      </c>
      <c r="V1013" t="s">
        <v>11100</v>
      </c>
      <c r="W1013" t="s">
        <v>12092</v>
      </c>
      <c r="X1013">
        <v>9</v>
      </c>
      <c r="Y1013" t="s">
        <v>17586</v>
      </c>
      <c r="Z1013" t="s">
        <v>23018</v>
      </c>
      <c r="AA1013">
        <v>0.66491491641818756</v>
      </c>
      <c r="AB1013" t="str">
        <f>HYPERLINK("Melting_Curves/meltCurve_J3KPP7_ARRB1.pdf", "Melting_Curves/meltCurve_J3KPP7_ARRB1.pdf")</f>
        <v>Melting_Curves/meltCurve_J3KPP7_ARRB1.pdf</v>
      </c>
    </row>
    <row r="1014" spans="1:28" x14ac:dyDescent="0.25">
      <c r="A1014" t="s">
        <v>1018</v>
      </c>
      <c r="B1014">
        <v>0.99299721793515405</v>
      </c>
      <c r="C1014">
        <v>1.1099468874128</v>
      </c>
      <c r="D1014">
        <v>1.1445435566722399</v>
      </c>
      <c r="E1014">
        <v>0.83807757970806696</v>
      </c>
      <c r="F1014">
        <v>0.74130569580545802</v>
      </c>
      <c r="G1014">
        <v>0.51412158791426898</v>
      </c>
      <c r="H1014">
        <v>0.251509360979427</v>
      </c>
      <c r="I1014">
        <v>0.15295030512692301</v>
      </c>
      <c r="J1014">
        <v>0.134525530121686</v>
      </c>
      <c r="K1014">
        <v>0.111701880863855</v>
      </c>
      <c r="L1014">
        <v>920.77441753502603</v>
      </c>
      <c r="M1014">
        <v>17.381761118559901</v>
      </c>
      <c r="N1014">
        <v>53.525829275607201</v>
      </c>
      <c r="O1014">
        <v>52.287345121119998</v>
      </c>
      <c r="P1014">
        <v>-7.6289404459077503E-2</v>
      </c>
      <c r="Q1014">
        <v>8.2085062096324393E-2</v>
      </c>
      <c r="R1014">
        <v>0.96972171218957604</v>
      </c>
      <c r="S1014" t="s">
        <v>6565</v>
      </c>
      <c r="T1014" t="s">
        <v>11100</v>
      </c>
      <c r="U1014" t="s">
        <v>11100</v>
      </c>
      <c r="V1014" t="s">
        <v>11100</v>
      </c>
      <c r="W1014" t="s">
        <v>12093</v>
      </c>
      <c r="X1014">
        <v>8</v>
      </c>
      <c r="Y1014" t="s">
        <v>17587</v>
      </c>
      <c r="Z1014" t="s">
        <v>23019</v>
      </c>
      <c r="AA1014">
        <v>0.58479550917172152</v>
      </c>
      <c r="AB1014" t="str">
        <f>HYPERLINK("Melting_Curves/meltCurve_J3KPT4_TRABD.pdf", "Melting_Curves/meltCurve_J3KPT4_TRABD.pdf")</f>
        <v>Melting_Curves/meltCurve_J3KPT4_TRABD.pdf</v>
      </c>
    </row>
    <row r="1015" spans="1:28" x14ac:dyDescent="0.25">
      <c r="A1015" t="s">
        <v>1019</v>
      </c>
      <c r="B1015">
        <v>0.99299721793515405</v>
      </c>
      <c r="C1015">
        <v>0.89324029020483198</v>
      </c>
      <c r="D1015">
        <v>0.82927719036949898</v>
      </c>
      <c r="E1015">
        <v>0.82375379234128399</v>
      </c>
      <c r="F1015">
        <v>0.67309073234208505</v>
      </c>
      <c r="G1015">
        <v>0.48442033887639402</v>
      </c>
      <c r="H1015">
        <v>0.449143230555617</v>
      </c>
      <c r="I1015">
        <v>0.51813392645183798</v>
      </c>
      <c r="J1015">
        <v>0.56772741568887897</v>
      </c>
      <c r="K1015">
        <v>0.48649500774550802</v>
      </c>
      <c r="L1015">
        <v>569.49385312760205</v>
      </c>
      <c r="M1015">
        <v>12.1316234969758</v>
      </c>
      <c r="N1015">
        <v>61.625631267935397</v>
      </c>
      <c r="O1015">
        <v>45.722029535487998</v>
      </c>
      <c r="P1015">
        <v>-3.5017353129988202E-2</v>
      </c>
      <c r="Q1015">
        <v>0.472224141608589</v>
      </c>
      <c r="R1015">
        <v>0.91640801384345805</v>
      </c>
      <c r="S1015" t="s">
        <v>6566</v>
      </c>
      <c r="T1015" t="s">
        <v>11100</v>
      </c>
      <c r="U1015" t="s">
        <v>11100</v>
      </c>
      <c r="V1015" t="s">
        <v>11100</v>
      </c>
      <c r="W1015" t="s">
        <v>12094</v>
      </c>
      <c r="X1015">
        <v>2</v>
      </c>
      <c r="Y1015" t="s">
        <v>17588</v>
      </c>
      <c r="Z1015" t="s">
        <v>23020</v>
      </c>
      <c r="AA1015">
        <v>0.66423385025475901</v>
      </c>
      <c r="AB1015" t="str">
        <f>HYPERLINK("Melting_Curves/meltCurve_J3KPV1_CHCHD7.pdf", "Melting_Curves/meltCurve_J3KPV1_CHCHD7.pdf")</f>
        <v>Melting_Curves/meltCurve_J3KPV1_CHCHD7.pdf</v>
      </c>
    </row>
    <row r="1016" spans="1:28" x14ac:dyDescent="0.25">
      <c r="A1016" t="s">
        <v>1020</v>
      </c>
      <c r="B1016">
        <v>0.99299721793515405</v>
      </c>
      <c r="C1016">
        <v>0.93899057084210202</v>
      </c>
      <c r="D1016">
        <v>0.96776937690367304</v>
      </c>
      <c r="E1016">
        <v>0.85136889233862501</v>
      </c>
      <c r="F1016">
        <v>0.73914480193295196</v>
      </c>
      <c r="G1016">
        <v>0.36685520128507199</v>
      </c>
      <c r="H1016">
        <v>0.176774616475634</v>
      </c>
      <c r="I1016">
        <v>0.144862543847632</v>
      </c>
      <c r="J1016">
        <v>0.14369274250938299</v>
      </c>
      <c r="K1016">
        <v>0.111241141158491</v>
      </c>
      <c r="L1016">
        <v>1061.9377931385</v>
      </c>
      <c r="M1016">
        <v>20.531292935967802</v>
      </c>
      <c r="N1016">
        <v>52.313161663302601</v>
      </c>
      <c r="O1016">
        <v>51.239706545278501</v>
      </c>
      <c r="P1016">
        <v>-8.9818545206499206E-2</v>
      </c>
      <c r="Q1016">
        <v>0.103389960006984</v>
      </c>
      <c r="R1016">
        <v>0.990760103829465</v>
      </c>
      <c r="S1016" t="s">
        <v>6567</v>
      </c>
      <c r="T1016" t="s">
        <v>11100</v>
      </c>
      <c r="U1016" t="s">
        <v>11100</v>
      </c>
      <c r="V1016" t="s">
        <v>11100</v>
      </c>
      <c r="W1016" t="s">
        <v>12095</v>
      </c>
      <c r="X1016">
        <v>24</v>
      </c>
      <c r="Y1016" t="s">
        <v>17589</v>
      </c>
      <c r="Z1016" t="s">
        <v>23021</v>
      </c>
      <c r="AA1016">
        <v>0.55456630484911207</v>
      </c>
      <c r="AB1016" t="str">
        <f>HYPERLINK("Melting_Curves/meltCurve_J3KPV7_MPST.pdf", "Melting_Curves/meltCurve_J3KPV7_MPST.pdf")</f>
        <v>Melting_Curves/meltCurve_J3KPV7_MPST.pdf</v>
      </c>
    </row>
    <row r="1017" spans="1:28" x14ac:dyDescent="0.25">
      <c r="A1017" t="s">
        <v>1021</v>
      </c>
      <c r="B1017">
        <v>0.99299721793515405</v>
      </c>
      <c r="C1017">
        <v>0.84495774416147895</v>
      </c>
      <c r="D1017">
        <v>0.85910325851181402</v>
      </c>
      <c r="E1017">
        <v>0.91778146343859501</v>
      </c>
      <c r="F1017">
        <v>0.72975404232437302</v>
      </c>
      <c r="G1017">
        <v>0.41879922629431598</v>
      </c>
      <c r="H1017">
        <v>0.55791877843623205</v>
      </c>
      <c r="I1017">
        <v>0.56371055978122697</v>
      </c>
      <c r="J1017">
        <v>0.74214175685989303</v>
      </c>
      <c r="K1017">
        <v>0.74235679613767303</v>
      </c>
      <c r="S1017" t="s">
        <v>6568</v>
      </c>
      <c r="T1017" t="s">
        <v>11100</v>
      </c>
      <c r="U1017" t="s">
        <v>11101</v>
      </c>
      <c r="V1017" t="s">
        <v>11100</v>
      </c>
      <c r="W1017" t="s">
        <v>12096</v>
      </c>
      <c r="X1017">
        <v>1</v>
      </c>
      <c r="Y1017" t="s">
        <v>17590</v>
      </c>
      <c r="Z1017" t="s">
        <v>23022</v>
      </c>
      <c r="AB1017" t="str">
        <f>HYPERLINK("Melting_Curves/meltCurve_J3KPW1_SUDS3.pdf", "Melting_Curves/meltCurve_J3KPW1_SUDS3.pdf")</f>
        <v>Melting_Curves/meltCurve_J3KPW1_SUDS3.pdf</v>
      </c>
    </row>
    <row r="1018" spans="1:28" x14ac:dyDescent="0.25">
      <c r="A1018" t="s">
        <v>1022</v>
      </c>
      <c r="B1018">
        <v>0.99299721793515405</v>
      </c>
      <c r="C1018">
        <v>0.96219548345462902</v>
      </c>
      <c r="D1018">
        <v>0.94439092408123604</v>
      </c>
      <c r="E1018">
        <v>0.88764611310768005</v>
      </c>
      <c r="F1018">
        <v>0.77258232401582405</v>
      </c>
      <c r="G1018">
        <v>0.61411553620571702</v>
      </c>
      <c r="H1018">
        <v>0.354497263038344</v>
      </c>
      <c r="I1018">
        <v>0.24438891520940301</v>
      </c>
      <c r="J1018">
        <v>0.23561236035177499</v>
      </c>
      <c r="K1018">
        <v>0.17174253069612999</v>
      </c>
      <c r="L1018">
        <v>713.81709364979497</v>
      </c>
      <c r="M1018">
        <v>13.1788672295651</v>
      </c>
      <c r="N1018">
        <v>55.133223872232399</v>
      </c>
      <c r="O1018">
        <v>52.962206536865402</v>
      </c>
      <c r="P1018">
        <v>-5.5784398055956898E-2</v>
      </c>
      <c r="Q1018">
        <v>0.103422191290427</v>
      </c>
      <c r="R1018">
        <v>0.99332854052657704</v>
      </c>
      <c r="S1018" t="s">
        <v>6569</v>
      </c>
      <c r="T1018" t="s">
        <v>11100</v>
      </c>
      <c r="U1018" t="s">
        <v>11100</v>
      </c>
      <c r="V1018" t="s">
        <v>11100</v>
      </c>
      <c r="W1018" t="s">
        <v>12097</v>
      </c>
      <c r="X1018">
        <v>8</v>
      </c>
      <c r="Y1018" t="s">
        <v>17591</v>
      </c>
      <c r="Z1018" t="s">
        <v>23023</v>
      </c>
      <c r="AA1018">
        <v>0.63160415852052365</v>
      </c>
      <c r="AB1018" t="str">
        <f>HYPERLINK("Melting_Curves/meltCurve_J3KPW7_HDAC2.pdf", "Melting_Curves/meltCurve_J3KPW7_HDAC2.pdf")</f>
        <v>Melting_Curves/meltCurve_J3KPW7_HDAC2.pdf</v>
      </c>
    </row>
    <row r="1019" spans="1:28" x14ac:dyDescent="0.25">
      <c r="A1019" t="s">
        <v>1023</v>
      </c>
      <c r="B1019">
        <v>0.99299721793515405</v>
      </c>
      <c r="C1019">
        <v>1.2533349857132201</v>
      </c>
      <c r="D1019">
        <v>0.99734025817350203</v>
      </c>
      <c r="E1019">
        <v>0.90884374674396395</v>
      </c>
      <c r="F1019">
        <v>0.396482092080985</v>
      </c>
      <c r="G1019">
        <v>0.29964727723604301</v>
      </c>
      <c r="H1019">
        <v>0.26069305775725998</v>
      </c>
      <c r="I1019">
        <v>0.25600920808684602</v>
      </c>
      <c r="J1019">
        <v>0.35569529349421403</v>
      </c>
      <c r="K1019">
        <v>0.20869495787248801</v>
      </c>
      <c r="L1019">
        <v>2278.0523199845802</v>
      </c>
      <c r="M1019">
        <v>46.9570564796811</v>
      </c>
      <c r="N1019">
        <v>49.349320963524498</v>
      </c>
      <c r="O1019">
        <v>48.425786867346098</v>
      </c>
      <c r="P1019">
        <v>-0.17592932257334701</v>
      </c>
      <c r="Q1019">
        <v>0.274272590949242</v>
      </c>
      <c r="R1019">
        <v>0.94614300939402496</v>
      </c>
      <c r="S1019" t="s">
        <v>6570</v>
      </c>
      <c r="T1019" t="s">
        <v>11100</v>
      </c>
      <c r="U1019" t="s">
        <v>11100</v>
      </c>
      <c r="V1019" t="s">
        <v>11100</v>
      </c>
      <c r="W1019" t="s">
        <v>12098</v>
      </c>
      <c r="X1019">
        <v>2</v>
      </c>
      <c r="Y1019" t="s">
        <v>17592</v>
      </c>
      <c r="Z1019" t="s">
        <v>23024</v>
      </c>
      <c r="AA1019">
        <v>0.5545573147997267</v>
      </c>
      <c r="AB1019" t="str">
        <f>HYPERLINK("Melting_Curves/meltCurve_J3KPZ8_RFXANK.pdf", "Melting_Curves/meltCurve_J3KPZ8_RFXANK.pdf")</f>
        <v>Melting_Curves/meltCurve_J3KPZ8_RFXANK.pdf</v>
      </c>
    </row>
    <row r="1020" spans="1:28" x14ac:dyDescent="0.25">
      <c r="A1020" t="s">
        <v>1024</v>
      </c>
      <c r="B1020">
        <v>0.99299721793515405</v>
      </c>
      <c r="C1020">
        <v>1.11948068141721</v>
      </c>
      <c r="D1020">
        <v>0.96382729164995895</v>
      </c>
      <c r="E1020">
        <v>0.92315279762931102</v>
      </c>
      <c r="F1020">
        <v>0.75924139521023604</v>
      </c>
      <c r="G1020">
        <v>0.55767652054197903</v>
      </c>
      <c r="H1020">
        <v>0.10119951976866901</v>
      </c>
      <c r="I1020">
        <v>8.78871107952124E-2</v>
      </c>
      <c r="J1020">
        <v>7.0275134998400504E-2</v>
      </c>
      <c r="K1020">
        <v>6.7985384585991807E-2</v>
      </c>
      <c r="L1020">
        <v>1173.8928584287</v>
      </c>
      <c r="M1020">
        <v>22.012377206046999</v>
      </c>
      <c r="N1020">
        <v>53.481835526565099</v>
      </c>
      <c r="O1020">
        <v>52.8944993631683</v>
      </c>
      <c r="P1020">
        <v>-0.10086508561987099</v>
      </c>
      <c r="Q1020">
        <v>3.0529381603687199E-2</v>
      </c>
      <c r="R1020">
        <v>0.97869313277609005</v>
      </c>
      <c r="S1020" t="s">
        <v>6571</v>
      </c>
      <c r="T1020" t="s">
        <v>11100</v>
      </c>
      <c r="U1020" t="s">
        <v>11100</v>
      </c>
      <c r="V1020" t="s">
        <v>11100</v>
      </c>
      <c r="W1020" t="s">
        <v>12099</v>
      </c>
      <c r="X1020">
        <v>15</v>
      </c>
      <c r="Y1020" t="s">
        <v>17593</v>
      </c>
      <c r="Z1020" t="s">
        <v>23025</v>
      </c>
      <c r="AA1020">
        <v>0.56869565807192801</v>
      </c>
      <c r="AB1020" t="str">
        <f>HYPERLINK("Melting_Curves/meltCurve_J3KQ32_OLA1.pdf", "Melting_Curves/meltCurve_J3KQ32_OLA1.pdf")</f>
        <v>Melting_Curves/meltCurve_J3KQ32_OLA1.pdf</v>
      </c>
    </row>
    <row r="1021" spans="1:28" x14ac:dyDescent="0.25">
      <c r="A1021" t="s">
        <v>1025</v>
      </c>
      <c r="B1021">
        <v>0.99299721793515405</v>
      </c>
      <c r="C1021">
        <v>0.91424377420445802</v>
      </c>
      <c r="D1021">
        <v>0.93393982469563797</v>
      </c>
      <c r="E1021">
        <v>0.81265010363484702</v>
      </c>
      <c r="F1021">
        <v>0.72290941631302896</v>
      </c>
      <c r="G1021">
        <v>0.62144260421221298</v>
      </c>
      <c r="H1021">
        <v>0.42501016571031902</v>
      </c>
      <c r="I1021">
        <v>0.29783785247504202</v>
      </c>
      <c r="J1021">
        <v>0.229952812722161</v>
      </c>
      <c r="K1021">
        <v>0.165898191870231</v>
      </c>
      <c r="L1021">
        <v>489.96513079539</v>
      </c>
      <c r="M1021">
        <v>8.8201799053759409</v>
      </c>
      <c r="N1021">
        <v>55.550468858130998</v>
      </c>
      <c r="O1021">
        <v>52.917143375383802</v>
      </c>
      <c r="P1021">
        <v>-4.1702429809633103E-2</v>
      </c>
      <c r="Q1021">
        <v>0</v>
      </c>
      <c r="R1021">
        <v>0.99176676056342306</v>
      </c>
      <c r="S1021" t="s">
        <v>6572</v>
      </c>
      <c r="T1021" t="s">
        <v>11100</v>
      </c>
      <c r="U1021" t="s">
        <v>11100</v>
      </c>
      <c r="V1021" t="s">
        <v>11100</v>
      </c>
      <c r="W1021" t="s">
        <v>12100</v>
      </c>
      <c r="X1021">
        <v>8</v>
      </c>
      <c r="Y1021" t="s">
        <v>17594</v>
      </c>
      <c r="Z1021" t="s">
        <v>23026</v>
      </c>
      <c r="AA1021">
        <v>0.62388496197148646</v>
      </c>
      <c r="AB1021" t="str">
        <f>HYPERLINK("Melting_Curves/meltCurve_J3KQ48_PTRH2.pdf", "Melting_Curves/meltCurve_J3KQ48_PTRH2.pdf")</f>
        <v>Melting_Curves/meltCurve_J3KQ48_PTRH2.pdf</v>
      </c>
    </row>
    <row r="1022" spans="1:28" x14ac:dyDescent="0.25">
      <c r="A1022" t="s">
        <v>1026</v>
      </c>
      <c r="B1022">
        <v>0.99299721793515405</v>
      </c>
      <c r="C1022">
        <v>1.0014607661527499</v>
      </c>
      <c r="D1022">
        <v>0.87592489800353102</v>
      </c>
      <c r="E1022">
        <v>0.765100047155163</v>
      </c>
      <c r="F1022">
        <v>0.60157054809936406</v>
      </c>
      <c r="G1022">
        <v>0.358065856255249</v>
      </c>
      <c r="H1022">
        <v>0.300856547397296</v>
      </c>
      <c r="I1022">
        <v>0.375676057712727</v>
      </c>
      <c r="J1022">
        <v>0.374354517969122</v>
      </c>
      <c r="K1022">
        <v>0.73712705264623601</v>
      </c>
      <c r="L1022">
        <v>1072.10595251462</v>
      </c>
      <c r="M1022">
        <v>22.781124023131301</v>
      </c>
      <c r="N1022">
        <v>51.564565952777897</v>
      </c>
      <c r="O1022">
        <v>46.703022807296598</v>
      </c>
      <c r="P1022">
        <v>-6.9312836755737101E-2</v>
      </c>
      <c r="Q1022">
        <v>0.43162486576736597</v>
      </c>
      <c r="R1022">
        <v>0.79385297218562501</v>
      </c>
      <c r="S1022" t="s">
        <v>6573</v>
      </c>
      <c r="T1022" t="s">
        <v>11100</v>
      </c>
      <c r="U1022" t="s">
        <v>11100</v>
      </c>
      <c r="V1022" t="s">
        <v>11100</v>
      </c>
      <c r="W1022" t="s">
        <v>12101</v>
      </c>
      <c r="X1022">
        <v>1</v>
      </c>
      <c r="Y1022" t="s">
        <v>17595</v>
      </c>
      <c r="Z1022" t="s">
        <v>23027</v>
      </c>
      <c r="AA1022">
        <v>0.62799651342899832</v>
      </c>
      <c r="AB1022" t="str">
        <f>HYPERLINK("Melting_Curves/meltCurve_J3KQ88_C6orf203.pdf", "Melting_Curves/meltCurve_J3KQ88_C6orf203.pdf")</f>
        <v>Melting_Curves/meltCurve_J3KQ88_C6orf203.pdf</v>
      </c>
    </row>
    <row r="1023" spans="1:28" x14ac:dyDescent="0.25">
      <c r="A1023" t="s">
        <v>1027</v>
      </c>
      <c r="B1023">
        <v>0.99299721793515405</v>
      </c>
      <c r="C1023">
        <v>1.0753787288208101</v>
      </c>
      <c r="D1023">
        <v>1.11673628494715</v>
      </c>
      <c r="E1023">
        <v>0.94554439919342503</v>
      </c>
      <c r="F1023">
        <v>0.82810067601732196</v>
      </c>
      <c r="G1023">
        <v>0.77902886954010997</v>
      </c>
      <c r="H1023">
        <v>0.68415983479763598</v>
      </c>
      <c r="I1023">
        <v>0.60848971943185204</v>
      </c>
      <c r="J1023">
        <v>0.33363329873842901</v>
      </c>
      <c r="K1023">
        <v>0.16954951574889199</v>
      </c>
      <c r="L1023">
        <v>704.96364344246604</v>
      </c>
      <c r="M1023">
        <v>11.5930832676233</v>
      </c>
      <c r="N1023">
        <v>60.8089864705751</v>
      </c>
      <c r="O1023">
        <v>59.084111224941502</v>
      </c>
      <c r="P1023">
        <v>-4.9066804704877197E-2</v>
      </c>
      <c r="Q1023">
        <v>0</v>
      </c>
      <c r="R1023">
        <v>0.93802965161845597</v>
      </c>
      <c r="S1023" t="s">
        <v>6574</v>
      </c>
      <c r="T1023" t="s">
        <v>11100</v>
      </c>
      <c r="U1023" t="s">
        <v>11100</v>
      </c>
      <c r="V1023" t="s">
        <v>11100</v>
      </c>
      <c r="W1023" t="s">
        <v>12102</v>
      </c>
      <c r="X1023">
        <v>16</v>
      </c>
      <c r="Y1023" t="s">
        <v>17596</v>
      </c>
      <c r="Z1023" t="s">
        <v>23028</v>
      </c>
      <c r="AA1023">
        <v>0.76800009707131001</v>
      </c>
      <c r="AB1023" t="str">
        <f>HYPERLINK("Melting_Curves/meltCurve_J3KQB0_THUMPD1.pdf", "Melting_Curves/meltCurve_J3KQB0_THUMPD1.pdf")</f>
        <v>Melting_Curves/meltCurve_J3KQB0_THUMPD1.pdf</v>
      </c>
    </row>
    <row r="1024" spans="1:28" x14ac:dyDescent="0.25">
      <c r="A1024" t="s">
        <v>1028</v>
      </c>
      <c r="B1024">
        <v>0.99299721793515405</v>
      </c>
      <c r="C1024">
        <v>0.95058105633158396</v>
      </c>
      <c r="D1024">
        <v>0.96706453773289702</v>
      </c>
      <c r="E1024">
        <v>0.81258434151639403</v>
      </c>
      <c r="F1024">
        <v>0.61846469625814504</v>
      </c>
      <c r="G1024">
        <v>0.54321684500107403</v>
      </c>
      <c r="H1024">
        <v>0.36659369801629199</v>
      </c>
      <c r="I1024">
        <v>0.29497812442326399</v>
      </c>
      <c r="J1024">
        <v>0.227395150078293</v>
      </c>
      <c r="K1024">
        <v>0.17624272695650101</v>
      </c>
      <c r="L1024">
        <v>532.62549005818903</v>
      </c>
      <c r="M1024">
        <v>10.065619514878</v>
      </c>
      <c r="N1024">
        <v>53.998031175401501</v>
      </c>
      <c r="O1024">
        <v>50.954038159616303</v>
      </c>
      <c r="P1024">
        <v>-4.4894144022819001E-2</v>
      </c>
      <c r="Q1024">
        <v>9.1380990225853206E-2</v>
      </c>
      <c r="R1024">
        <v>0.99285982379038196</v>
      </c>
      <c r="S1024" t="s">
        <v>6575</v>
      </c>
      <c r="T1024" t="s">
        <v>11100</v>
      </c>
      <c r="U1024" t="s">
        <v>11100</v>
      </c>
      <c r="V1024" t="s">
        <v>11100</v>
      </c>
      <c r="W1024" t="s">
        <v>12103</v>
      </c>
      <c r="X1024">
        <v>6</v>
      </c>
      <c r="Y1024" t="s">
        <v>17597</v>
      </c>
      <c r="Z1024" t="s">
        <v>23029</v>
      </c>
      <c r="AA1024">
        <v>0.59408170887330092</v>
      </c>
      <c r="AB1024" t="str">
        <f>HYPERLINK("Melting_Curves/meltCurve_J3KQE0_SUN2.pdf", "Melting_Curves/meltCurve_J3KQE0_SUN2.pdf")</f>
        <v>Melting_Curves/meltCurve_J3KQE0_SUN2.pdf</v>
      </c>
    </row>
    <row r="1025" spans="1:28" x14ac:dyDescent="0.25">
      <c r="A1025" t="s">
        <v>1029</v>
      </c>
      <c r="B1025">
        <v>0.99299721793515405</v>
      </c>
      <c r="C1025">
        <v>0.988509652871154</v>
      </c>
      <c r="D1025">
        <v>0.97567426475226304</v>
      </c>
      <c r="E1025">
        <v>0.88244925407750896</v>
      </c>
      <c r="F1025">
        <v>0.76334174846087399</v>
      </c>
      <c r="G1025">
        <v>0.72434093178481695</v>
      </c>
      <c r="H1025">
        <v>0.50214211787250795</v>
      </c>
      <c r="I1025">
        <v>0.46010820514499001</v>
      </c>
      <c r="J1025">
        <v>0.214343443888147</v>
      </c>
      <c r="K1025">
        <v>9.4570620849329406E-2</v>
      </c>
      <c r="L1025">
        <v>610.23081115212199</v>
      </c>
      <c r="M1025">
        <v>10.5991399951031</v>
      </c>
      <c r="N1025">
        <v>57.573615572312299</v>
      </c>
      <c r="O1025">
        <v>55.637568463402403</v>
      </c>
      <c r="P1025">
        <v>-4.7644357681372297E-2</v>
      </c>
      <c r="Q1025">
        <v>0</v>
      </c>
      <c r="R1025">
        <v>0.970678342245479</v>
      </c>
      <c r="S1025" t="s">
        <v>6576</v>
      </c>
      <c r="T1025" t="s">
        <v>11100</v>
      </c>
      <c r="U1025" t="s">
        <v>11100</v>
      </c>
      <c r="V1025" t="s">
        <v>11100</v>
      </c>
      <c r="W1025" t="s">
        <v>12104</v>
      </c>
      <c r="X1025">
        <v>19</v>
      </c>
      <c r="Y1025" t="s">
        <v>17598</v>
      </c>
      <c r="Z1025" t="s">
        <v>23030</v>
      </c>
      <c r="AA1025">
        <v>0.68296693862030089</v>
      </c>
      <c r="AB1025" t="str">
        <f>HYPERLINK("Melting_Curves/meltCurve_J3KQE5_RAN.pdf", "Melting_Curves/meltCurve_J3KQE5_RAN.pdf")</f>
        <v>Melting_Curves/meltCurve_J3KQE5_RAN.pdf</v>
      </c>
    </row>
    <row r="1026" spans="1:28" x14ac:dyDescent="0.25">
      <c r="A1026" t="s">
        <v>1030</v>
      </c>
      <c r="B1026">
        <v>0.99299721793515405</v>
      </c>
      <c r="C1026">
        <v>1.1222174530184901</v>
      </c>
      <c r="D1026">
        <v>1.00571590373599</v>
      </c>
      <c r="E1026">
        <v>0.91679772418803196</v>
      </c>
      <c r="F1026">
        <v>0.76729562461283696</v>
      </c>
      <c r="G1026">
        <v>0.64208408424373098</v>
      </c>
      <c r="H1026">
        <v>0.60124013042653202</v>
      </c>
      <c r="I1026">
        <v>0.63132124245655796</v>
      </c>
      <c r="J1026">
        <v>0.47433547385143798</v>
      </c>
      <c r="K1026">
        <v>0.17310221779642199</v>
      </c>
      <c r="L1026">
        <v>468.17475328249702</v>
      </c>
      <c r="M1026">
        <v>7.72703690814184</v>
      </c>
      <c r="N1026">
        <v>60.589167583068502</v>
      </c>
      <c r="O1026">
        <v>56.932041861766699</v>
      </c>
      <c r="P1026">
        <v>-3.3974655323895903E-2</v>
      </c>
      <c r="Q1026">
        <v>0</v>
      </c>
      <c r="R1026">
        <v>0.88910295865007405</v>
      </c>
      <c r="S1026" t="s">
        <v>6577</v>
      </c>
      <c r="T1026" t="s">
        <v>11100</v>
      </c>
      <c r="U1026" t="s">
        <v>11100</v>
      </c>
      <c r="V1026" t="s">
        <v>11100</v>
      </c>
      <c r="W1026" t="s">
        <v>12105</v>
      </c>
      <c r="X1026">
        <v>8</v>
      </c>
      <c r="Y1026" t="s">
        <v>17599</v>
      </c>
      <c r="Z1026" t="s">
        <v>23031</v>
      </c>
      <c r="AA1026">
        <v>0.73255800324751263</v>
      </c>
      <c r="AB1026" t="str">
        <f>HYPERLINK("Melting_Curves/meltCurve_J3KQG4_GBA.pdf", "Melting_Curves/meltCurve_J3KQG4_GBA.pdf")</f>
        <v>Melting_Curves/meltCurve_J3KQG4_GBA.pdf</v>
      </c>
    </row>
    <row r="1027" spans="1:28" x14ac:dyDescent="0.25">
      <c r="A1027" t="s">
        <v>1031</v>
      </c>
      <c r="B1027">
        <v>0.99299721793515405</v>
      </c>
      <c r="C1027">
        <v>0.95070373108487205</v>
      </c>
      <c r="D1027">
        <v>0.92420298751321805</v>
      </c>
      <c r="E1027">
        <v>1.0185995570561199</v>
      </c>
      <c r="F1027">
        <v>0.84134111880275497</v>
      </c>
      <c r="G1027">
        <v>0.359718455547062</v>
      </c>
      <c r="H1027">
        <v>0.244071244587755</v>
      </c>
      <c r="I1027">
        <v>0.19726400720357801</v>
      </c>
      <c r="J1027">
        <v>0.187761456947798</v>
      </c>
      <c r="K1027">
        <v>0.166601251129122</v>
      </c>
      <c r="L1027">
        <v>2015.2835334950801</v>
      </c>
      <c r="M1027">
        <v>38.7418154386651</v>
      </c>
      <c r="N1027">
        <v>52.674303616028297</v>
      </c>
      <c r="O1027">
        <v>51.880287084928803</v>
      </c>
      <c r="P1027">
        <v>-0.15096094524916501</v>
      </c>
      <c r="Q1027">
        <v>0.19137720890297</v>
      </c>
      <c r="R1027">
        <v>0.99192164693228302</v>
      </c>
      <c r="S1027" t="s">
        <v>6578</v>
      </c>
      <c r="T1027" t="s">
        <v>11100</v>
      </c>
      <c r="U1027" t="s">
        <v>11100</v>
      </c>
      <c r="V1027" t="s">
        <v>11100</v>
      </c>
      <c r="W1027" t="s">
        <v>12106</v>
      </c>
      <c r="X1027">
        <v>10</v>
      </c>
      <c r="Y1027" t="s">
        <v>17600</v>
      </c>
      <c r="Z1027" t="s">
        <v>23032</v>
      </c>
      <c r="AA1027">
        <v>0.59927299237079257</v>
      </c>
      <c r="AB1027" t="str">
        <f>HYPERLINK("Melting_Curves/meltCurve_J3KQJ1_SUMF2.pdf", "Melting_Curves/meltCurve_J3KQJ1_SUMF2.pdf")</f>
        <v>Melting_Curves/meltCurve_J3KQJ1_SUMF2.pdf</v>
      </c>
    </row>
    <row r="1028" spans="1:28" x14ac:dyDescent="0.25">
      <c r="A1028" t="s">
        <v>1032</v>
      </c>
      <c r="B1028">
        <v>0.99299721793515405</v>
      </c>
      <c r="C1028">
        <v>0.85310430134158799</v>
      </c>
      <c r="D1028">
        <v>0.92388225666174895</v>
      </c>
      <c r="E1028">
        <v>0.74934740383552501</v>
      </c>
      <c r="F1028">
        <v>0.75618481735412901</v>
      </c>
      <c r="G1028">
        <v>0.35084074345336502</v>
      </c>
      <c r="H1028">
        <v>0.30824509046309201</v>
      </c>
      <c r="I1028">
        <v>0.28369320964766198</v>
      </c>
      <c r="J1028">
        <v>0.21297410833842101</v>
      </c>
      <c r="K1028">
        <v>0.21086347474105399</v>
      </c>
      <c r="L1028">
        <v>576.97847310744203</v>
      </c>
      <c r="M1028">
        <v>11.2653351652457</v>
      </c>
      <c r="N1028">
        <v>52.701184796262602</v>
      </c>
      <c r="O1028">
        <v>49.682828764707502</v>
      </c>
      <c r="P1028">
        <v>-4.8996770870405999E-2</v>
      </c>
      <c r="Q1028">
        <v>0.13591588539795299</v>
      </c>
      <c r="R1028">
        <v>0.94920245809452397</v>
      </c>
      <c r="S1028" t="s">
        <v>6579</v>
      </c>
      <c r="T1028" t="s">
        <v>11100</v>
      </c>
      <c r="U1028" t="s">
        <v>11100</v>
      </c>
      <c r="V1028" t="s">
        <v>11100</v>
      </c>
      <c r="W1028" t="s">
        <v>12107</v>
      </c>
      <c r="X1028">
        <v>7</v>
      </c>
      <c r="Y1028" t="s">
        <v>17601</v>
      </c>
      <c r="Z1028" t="s">
        <v>23033</v>
      </c>
      <c r="AA1028">
        <v>0.56880247694422537</v>
      </c>
      <c r="AB1028" t="str">
        <f>HYPERLINK("Melting_Curves/meltCurve_J3KQL8_APOL2.pdf", "Melting_Curves/meltCurve_J3KQL8_APOL2.pdf")</f>
        <v>Melting_Curves/meltCurve_J3KQL8_APOL2.pdf</v>
      </c>
    </row>
    <row r="1029" spans="1:28" x14ac:dyDescent="0.25">
      <c r="A1029" t="s">
        <v>1033</v>
      </c>
      <c r="B1029">
        <v>0.99299721793515405</v>
      </c>
      <c r="C1029">
        <v>0.94836390602556797</v>
      </c>
      <c r="D1029">
        <v>0.90856653588863001</v>
      </c>
      <c r="E1029">
        <v>0.83039575376021502</v>
      </c>
      <c r="F1029">
        <v>0.64633237077088102</v>
      </c>
      <c r="G1029">
        <v>0.50886646523928203</v>
      </c>
      <c r="H1029">
        <v>0.32600181339554701</v>
      </c>
      <c r="I1029">
        <v>0.20005463977537999</v>
      </c>
      <c r="J1029">
        <v>0.13441565312831499</v>
      </c>
      <c r="K1029">
        <v>0.111155671068184</v>
      </c>
      <c r="L1029">
        <v>556.776038514834</v>
      </c>
      <c r="M1029">
        <v>10.4280907840299</v>
      </c>
      <c r="N1029">
        <v>53.391946803373102</v>
      </c>
      <c r="O1029">
        <v>51.540502846129499</v>
      </c>
      <c r="P1029">
        <v>-5.0602970043065798E-2</v>
      </c>
      <c r="Q1029">
        <v>0</v>
      </c>
      <c r="R1029">
        <v>0.99787796336521695</v>
      </c>
      <c r="S1029" t="s">
        <v>6580</v>
      </c>
      <c r="T1029" t="s">
        <v>11100</v>
      </c>
      <c r="U1029" t="s">
        <v>11100</v>
      </c>
      <c r="V1029" t="s">
        <v>11100</v>
      </c>
      <c r="W1029" t="s">
        <v>12108</v>
      </c>
      <c r="X1029">
        <v>8</v>
      </c>
      <c r="Y1029" t="s">
        <v>17602</v>
      </c>
      <c r="Z1029" t="s">
        <v>23034</v>
      </c>
      <c r="AA1029">
        <v>0.56696505661939767</v>
      </c>
      <c r="AB1029" t="str">
        <f>HYPERLINK("Melting_Curves/meltCurve_J3KQU9_AP1G1.pdf", "Melting_Curves/meltCurve_J3KQU9_AP1G1.pdf")</f>
        <v>Melting_Curves/meltCurve_J3KQU9_AP1G1.pdf</v>
      </c>
    </row>
    <row r="1030" spans="1:28" x14ac:dyDescent="0.25">
      <c r="A1030" t="s">
        <v>1034</v>
      </c>
      <c r="B1030">
        <v>0.99299721793515405</v>
      </c>
      <c r="C1030">
        <v>0.89085369159458505</v>
      </c>
      <c r="D1030">
        <v>0.89757826278628805</v>
      </c>
      <c r="E1030">
        <v>0.80407449082205895</v>
      </c>
      <c r="F1030">
        <v>0.66471138505375005</v>
      </c>
      <c r="G1030">
        <v>0.55058073248694706</v>
      </c>
      <c r="H1030">
        <v>0.69564215197363799</v>
      </c>
      <c r="I1030">
        <v>0.98815305252264796</v>
      </c>
      <c r="J1030">
        <v>1.30264134054995</v>
      </c>
      <c r="K1030">
        <v>1.3462702738486001</v>
      </c>
      <c r="L1030">
        <v>15000</v>
      </c>
      <c r="M1030">
        <v>235.94591908137099</v>
      </c>
      <c r="O1030">
        <v>63.569323100346097</v>
      </c>
      <c r="P1030">
        <v>0.32131240971212799</v>
      </c>
      <c r="Q1030">
        <v>1.3462761708384601</v>
      </c>
      <c r="R1030">
        <v>0.225691089276709</v>
      </c>
      <c r="S1030" t="s">
        <v>6581</v>
      </c>
      <c r="T1030" t="s">
        <v>11100</v>
      </c>
      <c r="U1030" t="s">
        <v>11100</v>
      </c>
      <c r="V1030" t="s">
        <v>11100</v>
      </c>
      <c r="W1030" t="s">
        <v>12109</v>
      </c>
      <c r="X1030">
        <v>8</v>
      </c>
      <c r="Y1030" t="s">
        <v>17603</v>
      </c>
      <c r="Z1030" t="s">
        <v>23035</v>
      </c>
      <c r="AA1030">
        <v>1.039502648630197</v>
      </c>
      <c r="AB1030" t="str">
        <f>HYPERLINK("Melting_Curves/meltCurve_J3KR35_CCDC12.pdf", "Melting_Curves/meltCurve_J3KR35_CCDC12.pdf")</f>
        <v>Melting_Curves/meltCurve_J3KR35_CCDC12.pdf</v>
      </c>
    </row>
    <row r="1031" spans="1:28" x14ac:dyDescent="0.25">
      <c r="A1031" t="s">
        <v>1035</v>
      </c>
      <c r="B1031">
        <v>0.99299721793515405</v>
      </c>
      <c r="C1031">
        <v>0.95329901746009005</v>
      </c>
      <c r="D1031">
        <v>0.88755284408549695</v>
      </c>
      <c r="E1031">
        <v>0.78292127678610401</v>
      </c>
      <c r="F1031">
        <v>0.72683878785382405</v>
      </c>
      <c r="G1031">
        <v>0.39731598130609302</v>
      </c>
      <c r="H1031">
        <v>0.19658715363274701</v>
      </c>
      <c r="I1031">
        <v>0.163301122909707</v>
      </c>
      <c r="J1031">
        <v>0.15516169671546201</v>
      </c>
      <c r="K1031">
        <v>0.14338078923765701</v>
      </c>
      <c r="L1031">
        <v>712.46671303155699</v>
      </c>
      <c r="M1031">
        <v>13.799808854208299</v>
      </c>
      <c r="N1031">
        <v>52.261587124342803</v>
      </c>
      <c r="O1031">
        <v>50.5807940249897</v>
      </c>
      <c r="P1031">
        <v>-6.2967447020114198E-2</v>
      </c>
      <c r="Q1031">
        <v>7.6944408510758497E-2</v>
      </c>
      <c r="R1031">
        <v>0.98116185947266799</v>
      </c>
      <c r="S1031" t="s">
        <v>6582</v>
      </c>
      <c r="T1031" t="s">
        <v>11100</v>
      </c>
      <c r="U1031" t="s">
        <v>11100</v>
      </c>
      <c r="V1031" t="s">
        <v>11100</v>
      </c>
      <c r="W1031" t="s">
        <v>12110</v>
      </c>
      <c r="X1031">
        <v>16</v>
      </c>
      <c r="Y1031" t="s">
        <v>17604</v>
      </c>
      <c r="Z1031" t="s">
        <v>23036</v>
      </c>
      <c r="AA1031">
        <v>0.54689591431221818</v>
      </c>
      <c r="AB1031" t="str">
        <f>HYPERLINK("Melting_Curves/meltCurve_J3KR97_TBCD.pdf", "Melting_Curves/meltCurve_J3KR97_TBCD.pdf")</f>
        <v>Melting_Curves/meltCurve_J3KR97_TBCD.pdf</v>
      </c>
    </row>
    <row r="1032" spans="1:28" x14ac:dyDescent="0.25">
      <c r="A1032" t="s">
        <v>1036</v>
      </c>
      <c r="B1032">
        <v>0.99299721793515405</v>
      </c>
      <c r="C1032">
        <v>0.90872287546203101</v>
      </c>
      <c r="D1032">
        <v>1.0828478906366099</v>
      </c>
      <c r="E1032">
        <v>0.94582629508319105</v>
      </c>
      <c r="F1032">
        <v>0.93333785389403401</v>
      </c>
      <c r="G1032">
        <v>0.61198662828980799</v>
      </c>
      <c r="H1032">
        <v>0.55668294128902596</v>
      </c>
      <c r="I1032">
        <v>0.68243621399405696</v>
      </c>
      <c r="J1032">
        <v>0.89527834554218799</v>
      </c>
      <c r="K1032">
        <v>0.86124925887411197</v>
      </c>
      <c r="L1032">
        <v>12608.0340193007</v>
      </c>
      <c r="M1032">
        <v>250</v>
      </c>
      <c r="O1032">
        <v>50.428909068348403</v>
      </c>
      <c r="P1032">
        <v>-0.34513105995135301</v>
      </c>
      <c r="Q1032">
        <v>0.72152667663338499</v>
      </c>
      <c r="R1032">
        <v>0.59344198727394804</v>
      </c>
      <c r="S1032" t="s">
        <v>6583</v>
      </c>
      <c r="T1032" t="s">
        <v>11100</v>
      </c>
      <c r="U1032" t="s">
        <v>11100</v>
      </c>
      <c r="V1032" t="s">
        <v>11100</v>
      </c>
      <c r="W1032" t="s">
        <v>12111</v>
      </c>
      <c r="X1032">
        <v>4</v>
      </c>
      <c r="Y1032" t="s">
        <v>17605</v>
      </c>
      <c r="Z1032" t="s">
        <v>23037</v>
      </c>
      <c r="AA1032">
        <v>0.84623437608715169</v>
      </c>
      <c r="AB1032" t="str">
        <f>HYPERLINK("Melting_Curves/meltCurve_J3KRC8_C16orf55.pdf", "Melting_Curves/meltCurve_J3KRC8_C16orf55.pdf")</f>
        <v>Melting_Curves/meltCurve_J3KRC8_C16orf55.pdf</v>
      </c>
    </row>
    <row r="1033" spans="1:28" x14ac:dyDescent="0.25">
      <c r="A1033" t="s">
        <v>1037</v>
      </c>
      <c r="B1033">
        <v>0.99299721793515405</v>
      </c>
      <c r="C1033">
        <v>0.90155413383332295</v>
      </c>
      <c r="D1033">
        <v>2.5380551166233101</v>
      </c>
      <c r="E1033">
        <v>1.4746377113693401</v>
      </c>
      <c r="F1033">
        <v>1.27240994562474</v>
      </c>
      <c r="G1033">
        <v>1.2855736069585</v>
      </c>
      <c r="H1033">
        <v>0.86474317254750599</v>
      </c>
      <c r="I1033">
        <v>1.48529797758042</v>
      </c>
      <c r="J1033">
        <v>2.1057932975984799</v>
      </c>
      <c r="K1033">
        <v>2.0281985570016099</v>
      </c>
      <c r="L1033">
        <v>10300.6072729426</v>
      </c>
      <c r="M1033">
        <v>250</v>
      </c>
      <c r="O1033">
        <v>41.199816357397999</v>
      </c>
      <c r="P1033">
        <v>0.75849896429248298</v>
      </c>
      <c r="Q1033">
        <v>1.5</v>
      </c>
      <c r="R1033">
        <v>0.213025807037832</v>
      </c>
      <c r="S1033" t="s">
        <v>6584</v>
      </c>
      <c r="T1033" t="s">
        <v>11100</v>
      </c>
      <c r="U1033" t="s">
        <v>11100</v>
      </c>
      <c r="V1033" t="s">
        <v>11100</v>
      </c>
      <c r="W1033" t="s">
        <v>12112</v>
      </c>
      <c r="X1033">
        <v>3</v>
      </c>
      <c r="Y1033" t="s">
        <v>17606</v>
      </c>
      <c r="Z1033" t="s">
        <v>23038</v>
      </c>
      <c r="AA1033">
        <v>1.4299233603262571</v>
      </c>
      <c r="AB1033" t="str">
        <f>HYPERLINK("Melting_Curves/meltCurve_J3KRH1_SUMO2.pdf", "Melting_Curves/meltCurve_J3KRH1_SUMO2.pdf")</f>
        <v>Melting_Curves/meltCurve_J3KRH1_SUMO2.pdf</v>
      </c>
    </row>
    <row r="1034" spans="1:28" x14ac:dyDescent="0.25">
      <c r="A1034" t="s">
        <v>1038</v>
      </c>
      <c r="B1034">
        <v>0.99299721793515405</v>
      </c>
      <c r="C1034">
        <v>0.92678861137761304</v>
      </c>
      <c r="D1034">
        <v>1.23593458394773</v>
      </c>
      <c r="E1034">
        <v>0.90638016024225299</v>
      </c>
      <c r="F1034">
        <v>0.65600171450799305</v>
      </c>
      <c r="G1034">
        <v>0.411818016820997</v>
      </c>
      <c r="H1034">
        <v>0.16365019320907401</v>
      </c>
      <c r="I1034">
        <v>0.11795931857410399</v>
      </c>
      <c r="J1034">
        <v>6.6789965609322099E-2</v>
      </c>
      <c r="K1034">
        <v>0</v>
      </c>
      <c r="L1034">
        <v>1014.41598477683</v>
      </c>
      <c r="M1034">
        <v>19.402036826319499</v>
      </c>
      <c r="N1034">
        <v>52.438721711881897</v>
      </c>
      <c r="O1034">
        <v>51.738074150379603</v>
      </c>
      <c r="P1034">
        <v>-9.1146396151770004E-2</v>
      </c>
      <c r="Q1034">
        <v>2.7820455878011401E-2</v>
      </c>
      <c r="R1034">
        <v>0.95993642319883299</v>
      </c>
      <c r="S1034" t="s">
        <v>6585</v>
      </c>
      <c r="T1034" t="s">
        <v>11100</v>
      </c>
      <c r="U1034" t="s">
        <v>11100</v>
      </c>
      <c r="V1034" t="s">
        <v>11100</v>
      </c>
      <c r="W1034" t="s">
        <v>12113</v>
      </c>
      <c r="X1034">
        <v>1</v>
      </c>
      <c r="Y1034" t="s">
        <v>17607</v>
      </c>
      <c r="Z1034" t="s">
        <v>23039</v>
      </c>
      <c r="AA1034">
        <v>0.53618277439528572</v>
      </c>
      <c r="AB1034" t="str">
        <f>HYPERLINK("Melting_Curves/meltCurve_J3KRN4_MAP3K3.pdf", "Melting_Curves/meltCurve_J3KRN4_MAP3K3.pdf")</f>
        <v>Melting_Curves/meltCurve_J3KRN4_MAP3K3.pdf</v>
      </c>
    </row>
    <row r="1035" spans="1:28" x14ac:dyDescent="0.25">
      <c r="A1035" t="s">
        <v>1039</v>
      </c>
      <c r="B1035">
        <v>0.99299721793515405</v>
      </c>
      <c r="C1035">
        <v>0.91437086300750903</v>
      </c>
      <c r="D1035">
        <v>0.91913238107075801</v>
      </c>
      <c r="E1035">
        <v>0.92061299594306001</v>
      </c>
      <c r="F1035">
        <v>0.80894683116907895</v>
      </c>
      <c r="G1035">
        <v>0.57071810828122305</v>
      </c>
      <c r="H1035">
        <v>0.56234106153697105</v>
      </c>
      <c r="I1035">
        <v>0.50150768543318103</v>
      </c>
      <c r="J1035">
        <v>0.42966113408197898</v>
      </c>
      <c r="K1035">
        <v>0.31462826008007</v>
      </c>
      <c r="L1035">
        <v>430.36345053423599</v>
      </c>
      <c r="M1035">
        <v>7.5640802547647903</v>
      </c>
      <c r="N1035">
        <v>59.5382906231848</v>
      </c>
      <c r="O1035">
        <v>53.327053789572098</v>
      </c>
      <c r="P1035">
        <v>-3.0446703367782098E-2</v>
      </c>
      <c r="Q1035">
        <v>0.142592858270182</v>
      </c>
      <c r="R1035">
        <v>0.96321208212513798</v>
      </c>
      <c r="S1035" t="s">
        <v>6586</v>
      </c>
      <c r="T1035" t="s">
        <v>11100</v>
      </c>
      <c r="U1035" t="s">
        <v>11100</v>
      </c>
      <c r="V1035" t="s">
        <v>11100</v>
      </c>
      <c r="W1035" t="s">
        <v>12114</v>
      </c>
      <c r="X1035">
        <v>8</v>
      </c>
      <c r="Y1035" t="s">
        <v>17608</v>
      </c>
      <c r="Z1035" t="s">
        <v>23040</v>
      </c>
      <c r="AA1035">
        <v>0.70010934281613202</v>
      </c>
      <c r="AB1035" t="str">
        <f>HYPERLINK("Melting_Curves/meltCurve_J3KS05_CBX1.pdf", "Melting_Curves/meltCurve_J3KS05_CBX1.pdf")</f>
        <v>Melting_Curves/meltCurve_J3KS05_CBX1.pdf</v>
      </c>
    </row>
    <row r="1036" spans="1:28" x14ac:dyDescent="0.25">
      <c r="A1036" t="s">
        <v>1040</v>
      </c>
      <c r="B1036">
        <v>0.99299721793515405</v>
      </c>
      <c r="C1036">
        <v>0.912614024651621</v>
      </c>
      <c r="D1036">
        <v>0.92864114893675198</v>
      </c>
      <c r="E1036">
        <v>0.93499543918300498</v>
      </c>
      <c r="F1036">
        <v>0.64571319200241795</v>
      </c>
      <c r="G1036">
        <v>0.38294600492575398</v>
      </c>
      <c r="H1036">
        <v>0.42685515886327702</v>
      </c>
      <c r="I1036">
        <v>0.425132090984088</v>
      </c>
      <c r="J1036">
        <v>0.29369619213974801</v>
      </c>
      <c r="K1036">
        <v>0.183973001793833</v>
      </c>
      <c r="L1036">
        <v>940.41568409342005</v>
      </c>
      <c r="M1036">
        <v>18.663477877304999</v>
      </c>
      <c r="N1036">
        <v>52.829174962645098</v>
      </c>
      <c r="O1036">
        <v>49.820236522277703</v>
      </c>
      <c r="P1036">
        <v>-6.6597637124408304E-2</v>
      </c>
      <c r="Q1036">
        <v>0.288928401748136</v>
      </c>
      <c r="R1036">
        <v>0.94357546428313099</v>
      </c>
      <c r="S1036" t="s">
        <v>6587</v>
      </c>
      <c r="T1036" t="s">
        <v>11100</v>
      </c>
      <c r="U1036" t="s">
        <v>11100</v>
      </c>
      <c r="V1036" t="s">
        <v>11100</v>
      </c>
      <c r="W1036" t="s">
        <v>12115</v>
      </c>
      <c r="X1036">
        <v>3</v>
      </c>
      <c r="Y1036" t="s">
        <v>17609</v>
      </c>
      <c r="Z1036" t="s">
        <v>23041</v>
      </c>
      <c r="AA1036">
        <v>0.61676245259186158</v>
      </c>
      <c r="AB1036" t="str">
        <f>HYPERLINK("Melting_Curves/meltCurve_J3KS15_ICT1.pdf", "Melting_Curves/meltCurve_J3KS15_ICT1.pdf")</f>
        <v>Melting_Curves/meltCurve_J3KS15_ICT1.pdf</v>
      </c>
    </row>
    <row r="1037" spans="1:28" x14ac:dyDescent="0.25">
      <c r="A1037" t="s">
        <v>1041</v>
      </c>
      <c r="B1037">
        <v>0.99299721793515405</v>
      </c>
      <c r="C1037">
        <v>0.84534415637620297</v>
      </c>
      <c r="D1037">
        <v>0.78642999092642496</v>
      </c>
      <c r="E1037">
        <v>0.75349830290182096</v>
      </c>
      <c r="F1037">
        <v>0.65332186507672596</v>
      </c>
      <c r="G1037">
        <v>0.48652099035527702</v>
      </c>
      <c r="H1037">
        <v>0.54338977714224401</v>
      </c>
      <c r="I1037">
        <v>0.60985463843316901</v>
      </c>
      <c r="J1037">
        <v>0.46009448316953599</v>
      </c>
      <c r="K1037">
        <v>0.376707376794782</v>
      </c>
      <c r="L1037">
        <v>338.490658691894</v>
      </c>
      <c r="M1037">
        <v>7.0274068972177197</v>
      </c>
      <c r="N1037">
        <v>59.694377867799901</v>
      </c>
      <c r="O1037">
        <v>44.722196447514001</v>
      </c>
      <c r="P1037">
        <v>-2.4743336369561001E-2</v>
      </c>
      <c r="Q1037">
        <v>0.37128577469358998</v>
      </c>
      <c r="R1037">
        <v>0.896545596121334</v>
      </c>
      <c r="S1037" t="s">
        <v>6588</v>
      </c>
      <c r="T1037" t="s">
        <v>11100</v>
      </c>
      <c r="U1037" t="s">
        <v>11100</v>
      </c>
      <c r="V1037" t="s">
        <v>11100</v>
      </c>
      <c r="W1037" t="s">
        <v>12116</v>
      </c>
      <c r="X1037">
        <v>1</v>
      </c>
      <c r="Y1037" t="s">
        <v>17610</v>
      </c>
      <c r="Z1037" t="s">
        <v>23042</v>
      </c>
      <c r="AA1037">
        <v>0.64156268613066769</v>
      </c>
      <c r="AB1037" t="str">
        <f>HYPERLINK("Melting_Curves/meltCurve_J3KS81_TMEM199.pdf", "Melting_Curves/meltCurve_J3KS81_TMEM199.pdf")</f>
        <v>Melting_Curves/meltCurve_J3KS81_TMEM199.pdf</v>
      </c>
    </row>
    <row r="1038" spans="1:28" x14ac:dyDescent="0.25">
      <c r="A1038" t="s">
        <v>1042</v>
      </c>
      <c r="B1038">
        <v>0.99299721793515405</v>
      </c>
      <c r="C1038">
        <v>1.0179989588742699</v>
      </c>
      <c r="D1038">
        <v>0.86857845035139603</v>
      </c>
      <c r="E1038">
        <v>0.84233285959035298</v>
      </c>
      <c r="F1038">
        <v>0.78597800484846803</v>
      </c>
      <c r="G1038">
        <v>1.0977305401238999</v>
      </c>
      <c r="H1038">
        <v>1.6669674822078</v>
      </c>
      <c r="I1038">
        <v>2.3445544843311499</v>
      </c>
      <c r="J1038">
        <v>3.3825738319296401</v>
      </c>
      <c r="K1038">
        <v>2.1411730562525801</v>
      </c>
      <c r="L1038">
        <v>13526.1216648014</v>
      </c>
      <c r="M1038">
        <v>250</v>
      </c>
      <c r="O1038">
        <v>54.101038954840099</v>
      </c>
      <c r="P1038">
        <v>0.57762307437744498</v>
      </c>
      <c r="Q1038">
        <v>1.5</v>
      </c>
      <c r="R1038">
        <v>0.28444219212595301</v>
      </c>
      <c r="S1038" t="s">
        <v>6589</v>
      </c>
      <c r="T1038" t="s">
        <v>11100</v>
      </c>
      <c r="U1038" t="s">
        <v>11100</v>
      </c>
      <c r="V1038" t="s">
        <v>11100</v>
      </c>
      <c r="W1038" t="s">
        <v>12117</v>
      </c>
      <c r="X1038">
        <v>6</v>
      </c>
      <c r="Y1038" t="s">
        <v>17611</v>
      </c>
      <c r="Z1038" t="s">
        <v>23043</v>
      </c>
      <c r="AA1038">
        <v>1.214877746080556</v>
      </c>
      <c r="AB1038" t="str">
        <f>HYPERLINK("Melting_Curves/meltCurve_J3KSD8_BLMH.pdf", "Melting_Curves/meltCurve_J3KSD8_BLMH.pdf")</f>
        <v>Melting_Curves/meltCurve_J3KSD8_BLMH.pdf</v>
      </c>
    </row>
    <row r="1039" spans="1:28" x14ac:dyDescent="0.25">
      <c r="A1039" t="s">
        <v>1043</v>
      </c>
      <c r="B1039">
        <v>0.99299721793515405</v>
      </c>
      <c r="C1039">
        <v>1.00528701252525</v>
      </c>
      <c r="D1039">
        <v>0.93756401089018404</v>
      </c>
      <c r="E1039">
        <v>0.891610617464486</v>
      </c>
      <c r="F1039">
        <v>0.70127929550281498</v>
      </c>
      <c r="G1039">
        <v>0.46837554559178102</v>
      </c>
      <c r="H1039">
        <v>0.33763132942432</v>
      </c>
      <c r="I1039">
        <v>0.31569463654145902</v>
      </c>
      <c r="J1039">
        <v>0.28108970578685</v>
      </c>
      <c r="K1039">
        <v>0.240303091663368</v>
      </c>
      <c r="L1039">
        <v>875.56514846052198</v>
      </c>
      <c r="M1039">
        <v>17.080227951102898</v>
      </c>
      <c r="N1039">
        <v>53.378811971281301</v>
      </c>
      <c r="O1039">
        <v>50.574712170680897</v>
      </c>
      <c r="P1039">
        <v>-6.3662567472718298E-2</v>
      </c>
      <c r="Q1039">
        <v>0.24602405518231199</v>
      </c>
      <c r="R1039">
        <v>0.99688261440874604</v>
      </c>
      <c r="S1039" t="s">
        <v>6590</v>
      </c>
      <c r="T1039" t="s">
        <v>11100</v>
      </c>
      <c r="U1039" t="s">
        <v>11100</v>
      </c>
      <c r="V1039" t="s">
        <v>11100</v>
      </c>
      <c r="W1039" t="s">
        <v>12118</v>
      </c>
      <c r="X1039">
        <v>2</v>
      </c>
      <c r="Y1039" t="s">
        <v>17612</v>
      </c>
      <c r="Z1039" t="s">
        <v>23044</v>
      </c>
      <c r="AA1039">
        <v>0.6170316485714783</v>
      </c>
      <c r="AB1039" t="str">
        <f>HYPERLINK("Melting_Curves/meltCurve_J3KSH1_AMZ2.pdf", "Melting_Curves/meltCurve_J3KSH1_AMZ2.pdf")</f>
        <v>Melting_Curves/meltCurve_J3KSH1_AMZ2.pdf</v>
      </c>
    </row>
    <row r="1040" spans="1:28" x14ac:dyDescent="0.25">
      <c r="A1040" t="s">
        <v>1044</v>
      </c>
      <c r="B1040">
        <v>0.99299721793515405</v>
      </c>
      <c r="C1040">
        <v>1.0696834406349101</v>
      </c>
      <c r="D1040">
        <v>0.92596110595151504</v>
      </c>
      <c r="E1040">
        <v>0.905002814748044</v>
      </c>
      <c r="F1040">
        <v>0.81338836775756995</v>
      </c>
      <c r="G1040">
        <v>0.54345190695061896</v>
      </c>
      <c r="H1040">
        <v>0.227220673682378</v>
      </c>
      <c r="I1040">
        <v>0.17904284816261001</v>
      </c>
      <c r="J1040">
        <v>0.15587751376273101</v>
      </c>
      <c r="K1040">
        <v>0.125024301955797</v>
      </c>
      <c r="L1040">
        <v>1089.5656356325701</v>
      </c>
      <c r="M1040">
        <v>20.446778120780301</v>
      </c>
      <c r="N1040">
        <v>53.946850729807799</v>
      </c>
      <c r="O1040">
        <v>52.786044453497801</v>
      </c>
      <c r="P1040">
        <v>-8.6139455179150407E-2</v>
      </c>
      <c r="Q1040">
        <v>0.110505542768405</v>
      </c>
      <c r="R1040">
        <v>0.98820097782681204</v>
      </c>
      <c r="S1040" t="s">
        <v>6591</v>
      </c>
      <c r="T1040" t="s">
        <v>11100</v>
      </c>
      <c r="U1040" t="s">
        <v>11100</v>
      </c>
      <c r="V1040" t="s">
        <v>11100</v>
      </c>
      <c r="W1040" t="s">
        <v>12119</v>
      </c>
      <c r="X1040">
        <v>8</v>
      </c>
      <c r="Y1040" t="s">
        <v>17613</v>
      </c>
      <c r="Z1040" t="s">
        <v>23045</v>
      </c>
      <c r="AA1040">
        <v>0.60419087903091584</v>
      </c>
      <c r="AB1040" t="str">
        <f>HYPERLINK("Melting_Curves/meltCurve_J3KTA1_FBXL20.pdf", "Melting_Curves/meltCurve_J3KTA1_FBXL20.pdf")</f>
        <v>Melting_Curves/meltCurve_J3KTA1_FBXL20.pdf</v>
      </c>
    </row>
    <row r="1041" spans="1:28" x14ac:dyDescent="0.25">
      <c r="A1041" t="s">
        <v>1045</v>
      </c>
      <c r="B1041">
        <v>0.99299721793515405</v>
      </c>
      <c r="C1041">
        <v>0.94993087559541201</v>
      </c>
      <c r="D1041">
        <v>1.18509280122381</v>
      </c>
      <c r="E1041">
        <v>0.68920795536979196</v>
      </c>
      <c r="F1041">
        <v>0.37575626997390299</v>
      </c>
      <c r="G1041">
        <v>0.28857043154069201</v>
      </c>
      <c r="H1041">
        <v>0.160318956409333</v>
      </c>
      <c r="I1041">
        <v>0.24398532923173699</v>
      </c>
      <c r="J1041">
        <v>0.14129206839795599</v>
      </c>
      <c r="K1041">
        <v>0.16642088976021799</v>
      </c>
      <c r="L1041">
        <v>1445.0762799398001</v>
      </c>
      <c r="M1041">
        <v>30.2243287073915</v>
      </c>
      <c r="N1041">
        <v>48.606152137322702</v>
      </c>
      <c r="O1041">
        <v>47.603856818879102</v>
      </c>
      <c r="P1041">
        <v>-0.12779019711487299</v>
      </c>
      <c r="Q1041">
        <v>0.194917799782685</v>
      </c>
      <c r="R1041">
        <v>0.955654676445441</v>
      </c>
      <c r="S1041" t="s">
        <v>6592</v>
      </c>
      <c r="T1041" t="s">
        <v>11100</v>
      </c>
      <c r="U1041" t="s">
        <v>11100</v>
      </c>
      <c r="V1041" t="s">
        <v>11100</v>
      </c>
      <c r="W1041" t="s">
        <v>12120</v>
      </c>
      <c r="X1041">
        <v>2</v>
      </c>
      <c r="Y1041" t="s">
        <v>17614</v>
      </c>
      <c r="Z1041" t="s">
        <v>23046</v>
      </c>
      <c r="AA1041">
        <v>0.48974184994894199</v>
      </c>
      <c r="AB1041" t="str">
        <f>HYPERLINK("Melting_Curves/meltCurve_J3KTD6_AURKB.pdf", "Melting_Curves/meltCurve_J3KTD6_AURKB.pdf")</f>
        <v>Melting_Curves/meltCurve_J3KTD6_AURKB.pdf</v>
      </c>
    </row>
    <row r="1042" spans="1:28" x14ac:dyDescent="0.25">
      <c r="A1042" t="s">
        <v>1046</v>
      </c>
      <c r="B1042">
        <v>0.99299721793515405</v>
      </c>
      <c r="C1042">
        <v>0.95457753435456505</v>
      </c>
      <c r="D1042">
        <v>1.0049206382375699</v>
      </c>
      <c r="E1042">
        <v>0.86027082978216396</v>
      </c>
      <c r="F1042">
        <v>0.71720346858321304</v>
      </c>
      <c r="G1042">
        <v>0.62719257398008499</v>
      </c>
      <c r="H1042">
        <v>0.64031627091124499</v>
      </c>
      <c r="I1042">
        <v>0.69077207278631603</v>
      </c>
      <c r="J1042">
        <v>0.67324591686842705</v>
      </c>
      <c r="K1042">
        <v>1.1976345181702399</v>
      </c>
      <c r="L1042">
        <v>11635.581011660701</v>
      </c>
      <c r="M1042">
        <v>250</v>
      </c>
      <c r="O1042">
        <v>46.539345879687502</v>
      </c>
      <c r="P1042">
        <v>-0.32535982047841999</v>
      </c>
      <c r="Q1042">
        <v>0.75772746996764995</v>
      </c>
      <c r="R1042">
        <v>0.29940380471114902</v>
      </c>
      <c r="S1042" t="s">
        <v>6593</v>
      </c>
      <c r="T1042" t="s">
        <v>11100</v>
      </c>
      <c r="U1042" t="s">
        <v>11100</v>
      </c>
      <c r="V1042" t="s">
        <v>11100</v>
      </c>
      <c r="W1042" t="s">
        <v>12121</v>
      </c>
      <c r="X1042">
        <v>9</v>
      </c>
      <c r="Y1042" t="s">
        <v>17615</v>
      </c>
      <c r="Z1042" t="s">
        <v>23047</v>
      </c>
      <c r="AA1042">
        <v>0.83480869201563179</v>
      </c>
      <c r="AB1042" t="str">
        <f>HYPERLINK("Melting_Curves/meltCurve_J3KTL2_SRSF1.pdf", "Melting_Curves/meltCurve_J3KTL2_SRSF1.pdf")</f>
        <v>Melting_Curves/meltCurve_J3KTL2_SRSF1.pdf</v>
      </c>
    </row>
    <row r="1043" spans="1:28" x14ac:dyDescent="0.25">
      <c r="A1043" t="s">
        <v>1047</v>
      </c>
      <c r="B1043">
        <v>0.99299721793515405</v>
      </c>
      <c r="C1043">
        <v>0.94706616738323202</v>
      </c>
      <c r="D1043">
        <v>1.0381600281586501</v>
      </c>
      <c r="E1043">
        <v>0.79322011563040196</v>
      </c>
      <c r="F1043">
        <v>0.68222992998590204</v>
      </c>
      <c r="G1043">
        <v>0.36549532970978099</v>
      </c>
      <c r="H1043">
        <v>0.318295689193211</v>
      </c>
      <c r="I1043">
        <v>0.25583389227535103</v>
      </c>
      <c r="J1043">
        <v>0.272526528780767</v>
      </c>
      <c r="K1043">
        <v>0.234394987845436</v>
      </c>
      <c r="L1043">
        <v>936.32475362111904</v>
      </c>
      <c r="M1043">
        <v>18.618787545096499</v>
      </c>
      <c r="N1043">
        <v>52.079733520706903</v>
      </c>
      <c r="O1043">
        <v>49.719887086305398</v>
      </c>
      <c r="P1043">
        <v>-7.1491723968301196E-2</v>
      </c>
      <c r="Q1043">
        <v>0.23638269372582399</v>
      </c>
      <c r="R1043">
        <v>0.98260768530322196</v>
      </c>
      <c r="S1043" t="s">
        <v>6594</v>
      </c>
      <c r="T1043" t="s">
        <v>11100</v>
      </c>
      <c r="U1043" t="s">
        <v>11100</v>
      </c>
      <c r="V1043" t="s">
        <v>11100</v>
      </c>
      <c r="W1043" t="s">
        <v>12122</v>
      </c>
      <c r="X1043">
        <v>7</v>
      </c>
      <c r="Y1043" t="s">
        <v>17616</v>
      </c>
      <c r="Z1043" t="s">
        <v>23048</v>
      </c>
      <c r="AA1043">
        <v>0.58598534803345181</v>
      </c>
      <c r="AB1043" t="str">
        <f>HYPERLINK("Melting_Curves/meltCurve_J3QK89_CHERP.pdf", "Melting_Curves/meltCurve_J3QK89_CHERP.pdf")</f>
        <v>Melting_Curves/meltCurve_J3QK89_CHERP.pdf</v>
      </c>
    </row>
    <row r="1044" spans="1:28" x14ac:dyDescent="0.25">
      <c r="A1044" t="s">
        <v>1048</v>
      </c>
      <c r="B1044">
        <v>0.99299721793515405</v>
      </c>
      <c r="C1044">
        <v>0.75036246171785304</v>
      </c>
      <c r="D1044">
        <v>0.90056346521290398</v>
      </c>
      <c r="E1044">
        <v>0.667182759680779</v>
      </c>
      <c r="F1044">
        <v>0.55658279215781403</v>
      </c>
      <c r="G1044">
        <v>0.51178978220186599</v>
      </c>
      <c r="H1044">
        <v>0.41426129945006701</v>
      </c>
      <c r="I1044">
        <v>0.31474175403107502</v>
      </c>
      <c r="J1044">
        <v>0.397102723932304</v>
      </c>
      <c r="K1044">
        <v>0.229791414671809</v>
      </c>
      <c r="L1044">
        <v>327.577225895781</v>
      </c>
      <c r="M1044">
        <v>6.4179650982932603</v>
      </c>
      <c r="N1044">
        <v>53.4281086385405</v>
      </c>
      <c r="O1044">
        <v>46.761457806320998</v>
      </c>
      <c r="P1044">
        <v>-3.0111115622489599E-2</v>
      </c>
      <c r="Q1044">
        <v>0.12466440050512501</v>
      </c>
      <c r="R1044">
        <v>0.92351753469939801</v>
      </c>
      <c r="S1044" t="s">
        <v>6595</v>
      </c>
      <c r="T1044" t="s">
        <v>11100</v>
      </c>
      <c r="U1044" t="s">
        <v>11100</v>
      </c>
      <c r="V1044" t="s">
        <v>11100</v>
      </c>
      <c r="W1044" t="s">
        <v>12123</v>
      </c>
      <c r="X1044">
        <v>2</v>
      </c>
      <c r="Y1044" t="s">
        <v>17617</v>
      </c>
      <c r="Z1044" t="s">
        <v>23049</v>
      </c>
      <c r="AA1044">
        <v>0.56696108098564124</v>
      </c>
      <c r="AB1044" t="str">
        <f>HYPERLINK("Melting_Curves/meltCurve_J3QKS7_SMARCE1.pdf", "Melting_Curves/meltCurve_J3QKS7_SMARCE1.pdf")</f>
        <v>Melting_Curves/meltCurve_J3QKS7_SMARCE1.pdf</v>
      </c>
    </row>
    <row r="1045" spans="1:28" x14ac:dyDescent="0.25">
      <c r="A1045" t="s">
        <v>1049</v>
      </c>
      <c r="B1045">
        <v>0.99299721793515405</v>
      </c>
      <c r="C1045">
        <v>1.0127842578325501</v>
      </c>
      <c r="D1045">
        <v>0.93015942410753505</v>
      </c>
      <c r="E1045">
        <v>0.79857431091289599</v>
      </c>
      <c r="F1045">
        <v>0.56349912744470998</v>
      </c>
      <c r="G1045">
        <v>0.301401602552063</v>
      </c>
      <c r="H1045">
        <v>0.168886866426772</v>
      </c>
      <c r="I1045">
        <v>0.14660076668088101</v>
      </c>
      <c r="J1045">
        <v>0.151330183391512</v>
      </c>
      <c r="K1045">
        <v>0.12609876253705901</v>
      </c>
      <c r="L1045">
        <v>891.09966519574004</v>
      </c>
      <c r="M1045">
        <v>17.8281918465104</v>
      </c>
      <c r="N1045">
        <v>50.720045489027797</v>
      </c>
      <c r="O1045">
        <v>49.366483461796001</v>
      </c>
      <c r="P1045">
        <v>-7.9981318426324596E-2</v>
      </c>
      <c r="Q1045">
        <v>0.11416844209673201</v>
      </c>
      <c r="R1045">
        <v>0.99780883368666495</v>
      </c>
      <c r="S1045" t="s">
        <v>6596</v>
      </c>
      <c r="T1045" t="s">
        <v>11100</v>
      </c>
      <c r="U1045" t="s">
        <v>11100</v>
      </c>
      <c r="V1045" t="s">
        <v>11100</v>
      </c>
      <c r="W1045" t="s">
        <v>12124</v>
      </c>
      <c r="X1045">
        <v>6</v>
      </c>
      <c r="Y1045" t="s">
        <v>17618</v>
      </c>
      <c r="Z1045" t="s">
        <v>23050</v>
      </c>
      <c r="AA1045">
        <v>0.51169647461884049</v>
      </c>
      <c r="AB1045" t="str">
        <f>HYPERLINK("Melting_Curves/meltCurve_J3QL56_SCO1.pdf", "Melting_Curves/meltCurve_J3QL56_SCO1.pdf")</f>
        <v>Melting_Curves/meltCurve_J3QL56_SCO1.pdf</v>
      </c>
    </row>
    <row r="1046" spans="1:28" x14ac:dyDescent="0.25">
      <c r="A1046" t="s">
        <v>1050</v>
      </c>
      <c r="B1046">
        <v>0.99299721793515405</v>
      </c>
      <c r="C1046">
        <v>0.92895241041872101</v>
      </c>
      <c r="D1046">
        <v>1.00950369782841</v>
      </c>
      <c r="E1046">
        <v>0.890828271603196</v>
      </c>
      <c r="F1046">
        <v>0.85926822085393995</v>
      </c>
      <c r="G1046">
        <v>0.75435246755843299</v>
      </c>
      <c r="H1046">
        <v>0.48787623691690901</v>
      </c>
      <c r="I1046">
        <v>0.60551418785546496</v>
      </c>
      <c r="J1046">
        <v>0.64288884743298902</v>
      </c>
      <c r="K1046">
        <v>0.75542318555070298</v>
      </c>
      <c r="L1046">
        <v>1190.2429529072599</v>
      </c>
      <c r="M1046">
        <v>23.5442385507782</v>
      </c>
      <c r="O1046">
        <v>50.193004673905001</v>
      </c>
      <c r="P1046">
        <v>-4.34469831895175E-2</v>
      </c>
      <c r="Q1046">
        <v>0.62951486903477705</v>
      </c>
      <c r="R1046">
        <v>0.79425618452782998</v>
      </c>
      <c r="S1046" t="s">
        <v>6597</v>
      </c>
      <c r="T1046" t="s">
        <v>11100</v>
      </c>
      <c r="U1046" t="s">
        <v>11100</v>
      </c>
      <c r="V1046" t="s">
        <v>11100</v>
      </c>
      <c r="W1046" t="s">
        <v>12125</v>
      </c>
      <c r="X1046">
        <v>1</v>
      </c>
      <c r="Y1046" t="s">
        <v>17619</v>
      </c>
      <c r="Z1046" t="s">
        <v>23051</v>
      </c>
      <c r="AA1046">
        <v>0.80053575608333361</v>
      </c>
      <c r="AB1046" t="str">
        <f>HYPERLINK("Melting_Curves/meltCurve_J3QL63_TVP23B.pdf", "Melting_Curves/meltCurve_J3QL63_TVP23B.pdf")</f>
        <v>Melting_Curves/meltCurve_J3QL63_TVP23B.pdf</v>
      </c>
    </row>
    <row r="1047" spans="1:28" x14ac:dyDescent="0.25">
      <c r="A1047" t="s">
        <v>1051</v>
      </c>
      <c r="B1047">
        <v>0.99299721793515405</v>
      </c>
      <c r="C1047">
        <v>1.0513912987099401</v>
      </c>
      <c r="D1047">
        <v>1.36480161123312</v>
      </c>
      <c r="E1047">
        <v>0.94400069677738396</v>
      </c>
      <c r="F1047">
        <v>0.81180960365933097</v>
      </c>
      <c r="G1047">
        <v>0.548732146676711</v>
      </c>
      <c r="H1047">
        <v>0.20398624691056799</v>
      </c>
      <c r="I1047">
        <v>0.177928984793469</v>
      </c>
      <c r="J1047">
        <v>0.13765990173105899</v>
      </c>
      <c r="K1047">
        <v>0.115049246694756</v>
      </c>
      <c r="L1047">
        <v>1316.5180380695799</v>
      </c>
      <c r="M1047">
        <v>24.6813914192041</v>
      </c>
      <c r="N1047">
        <v>53.919774326336402</v>
      </c>
      <c r="O1047">
        <v>52.994027504235198</v>
      </c>
      <c r="P1047">
        <v>-0.10287660209324399</v>
      </c>
      <c r="Q1047">
        <v>0.116456564729359</v>
      </c>
      <c r="R1047">
        <v>0.923694415110074</v>
      </c>
      <c r="S1047" t="s">
        <v>6598</v>
      </c>
      <c r="T1047" t="s">
        <v>11100</v>
      </c>
      <c r="U1047" t="s">
        <v>11100</v>
      </c>
      <c r="V1047" t="s">
        <v>11100</v>
      </c>
      <c r="W1047" t="s">
        <v>12126</v>
      </c>
      <c r="X1047">
        <v>6</v>
      </c>
      <c r="Y1047" t="s">
        <v>17620</v>
      </c>
      <c r="Z1047" t="s">
        <v>23052</v>
      </c>
      <c r="AA1047">
        <v>0.60566333017299412</v>
      </c>
      <c r="AB1047" t="str">
        <f>HYPERLINK("Melting_Curves/meltCurve_J3QL71_SCRN2.pdf", "Melting_Curves/meltCurve_J3QL71_SCRN2.pdf")</f>
        <v>Melting_Curves/meltCurve_J3QL71_SCRN2.pdf</v>
      </c>
    </row>
    <row r="1048" spans="1:28" x14ac:dyDescent="0.25">
      <c r="A1048" t="s">
        <v>1052</v>
      </c>
      <c r="B1048">
        <v>0.99299721793515405</v>
      </c>
      <c r="C1048">
        <v>0.99735969069384101</v>
      </c>
      <c r="D1048">
        <v>0.82885946047277603</v>
      </c>
      <c r="E1048">
        <v>0.85323723826732201</v>
      </c>
      <c r="F1048">
        <v>0.76601346549835003</v>
      </c>
      <c r="G1048">
        <v>0.47792861651546698</v>
      </c>
      <c r="H1048">
        <v>1.0353658992614101</v>
      </c>
      <c r="I1048">
        <v>1.06820574161358</v>
      </c>
      <c r="J1048">
        <v>0.90887682669015402</v>
      </c>
      <c r="K1048">
        <v>0.69626267862338598</v>
      </c>
      <c r="L1048">
        <v>10140.710883067701</v>
      </c>
      <c r="M1048">
        <v>250</v>
      </c>
      <c r="O1048">
        <v>40.5602477582106</v>
      </c>
      <c r="P1048">
        <v>-0.26296725791493702</v>
      </c>
      <c r="Q1048">
        <v>0.82934372597792905</v>
      </c>
      <c r="R1048">
        <v>0.14871122332748901</v>
      </c>
      <c r="S1048" t="s">
        <v>6599</v>
      </c>
      <c r="T1048" t="s">
        <v>11100</v>
      </c>
      <c r="U1048" t="s">
        <v>11100</v>
      </c>
      <c r="V1048" t="s">
        <v>11100</v>
      </c>
      <c r="W1048" t="s">
        <v>12127</v>
      </c>
      <c r="X1048">
        <v>2</v>
      </c>
      <c r="Y1048" t="s">
        <v>17621</v>
      </c>
      <c r="Z1048" t="s">
        <v>23053</v>
      </c>
      <c r="AA1048">
        <v>0.8496232612513186</v>
      </c>
      <c r="AB1048" t="str">
        <f>HYPERLINK("Melting_Curves/meltCurve_J3QLB2_SLC39A11.pdf", "Melting_Curves/meltCurve_J3QLB2_SLC39A11.pdf")</f>
        <v>Melting_Curves/meltCurve_J3QLB2_SLC39A11.pdf</v>
      </c>
    </row>
    <row r="1049" spans="1:28" x14ac:dyDescent="0.25">
      <c r="A1049" t="s">
        <v>1053</v>
      </c>
      <c r="B1049">
        <v>0.99299721793515405</v>
      </c>
      <c r="C1049">
        <v>1.1445850633888199</v>
      </c>
      <c r="D1049">
        <v>0.92186591282237695</v>
      </c>
      <c r="E1049">
        <v>0.96705516521701695</v>
      </c>
      <c r="F1049">
        <v>0.82188414006630295</v>
      </c>
      <c r="G1049">
        <v>0.51911439306504104</v>
      </c>
      <c r="H1049">
        <v>0.43050664983373099</v>
      </c>
      <c r="I1049">
        <v>0.37281386470384897</v>
      </c>
      <c r="J1049">
        <v>0.27989680841534598</v>
      </c>
      <c r="K1049">
        <v>0.19985350386373801</v>
      </c>
      <c r="L1049">
        <v>887.62347843331702</v>
      </c>
      <c r="M1049">
        <v>16.6682156800874</v>
      </c>
      <c r="N1049">
        <v>55.295212495640399</v>
      </c>
      <c r="O1049">
        <v>52.503691911368698</v>
      </c>
      <c r="P1049">
        <v>-6.11255532851495E-2</v>
      </c>
      <c r="Q1049">
        <v>0.229887202730055</v>
      </c>
      <c r="R1049">
        <v>0.96288905896977395</v>
      </c>
      <c r="S1049" t="s">
        <v>6600</v>
      </c>
      <c r="T1049" t="s">
        <v>11100</v>
      </c>
      <c r="U1049" t="s">
        <v>11100</v>
      </c>
      <c r="V1049" t="s">
        <v>11100</v>
      </c>
      <c r="W1049" t="s">
        <v>12128</v>
      </c>
      <c r="X1049">
        <v>8</v>
      </c>
      <c r="Y1049" t="s">
        <v>17622</v>
      </c>
      <c r="Z1049" t="s">
        <v>23054</v>
      </c>
      <c r="AA1049">
        <v>0.65919383706529477</v>
      </c>
      <c r="AB1049" t="str">
        <f>HYPERLINK("Melting_Curves/meltCurve_J3QLD9_FLOT2.pdf", "Melting_Curves/meltCurve_J3QLD9_FLOT2.pdf")</f>
        <v>Melting_Curves/meltCurve_J3QLD9_FLOT2.pdf</v>
      </c>
    </row>
    <row r="1050" spans="1:28" x14ac:dyDescent="0.25">
      <c r="A1050" t="s">
        <v>1054</v>
      </c>
      <c r="B1050">
        <v>0.99299721793515405</v>
      </c>
      <c r="C1050">
        <v>0.97636149715460996</v>
      </c>
      <c r="D1050">
        <v>0.93839393064424903</v>
      </c>
      <c r="E1050">
        <v>0.946893424724357</v>
      </c>
      <c r="F1050">
        <v>0.90628487866817098</v>
      </c>
      <c r="G1050">
        <v>0.65325277685609695</v>
      </c>
      <c r="H1050">
        <v>0.47026106503495602</v>
      </c>
      <c r="I1050">
        <v>0.35349290854065402</v>
      </c>
      <c r="J1050">
        <v>0.33454031055826899</v>
      </c>
      <c r="K1050">
        <v>0.23497059968564399</v>
      </c>
      <c r="L1050">
        <v>933.265101072589</v>
      </c>
      <c r="M1050">
        <v>17.0460748192178</v>
      </c>
      <c r="N1050">
        <v>56.887052278161597</v>
      </c>
      <c r="O1050">
        <v>54.012719733525202</v>
      </c>
      <c r="P1050">
        <v>-6.0243885614350103E-2</v>
      </c>
      <c r="Q1050">
        <v>0.23648413167474699</v>
      </c>
      <c r="R1050">
        <v>0.98976216189570998</v>
      </c>
      <c r="S1050" t="s">
        <v>6601</v>
      </c>
      <c r="T1050" t="s">
        <v>11100</v>
      </c>
      <c r="U1050" t="s">
        <v>11100</v>
      </c>
      <c r="V1050" t="s">
        <v>11100</v>
      </c>
      <c r="W1050" t="s">
        <v>12129</v>
      </c>
      <c r="X1050">
        <v>4</v>
      </c>
      <c r="Y1050" t="s">
        <v>17623</v>
      </c>
      <c r="Z1050" t="s">
        <v>23055</v>
      </c>
      <c r="AA1050">
        <v>0.69853528620746086</v>
      </c>
      <c r="AB1050" t="str">
        <f>HYPERLINK("Melting_Curves/meltCurve_J3QLR8_MRPS23.pdf", "Melting_Curves/meltCurve_J3QLR8_MRPS23.pdf")</f>
        <v>Melting_Curves/meltCurve_J3QLR8_MRPS23.pdf</v>
      </c>
    </row>
    <row r="1051" spans="1:28" x14ac:dyDescent="0.25">
      <c r="A1051" t="s">
        <v>1055</v>
      </c>
      <c r="B1051">
        <v>0.99299721793515405</v>
      </c>
      <c r="C1051">
        <v>0.90417507049959001</v>
      </c>
      <c r="D1051">
        <v>0.90794791330303803</v>
      </c>
      <c r="E1051">
        <v>0.81809842123996901</v>
      </c>
      <c r="F1051">
        <v>0.68787393712300005</v>
      </c>
      <c r="G1051">
        <v>0.453122573482094</v>
      </c>
      <c r="H1051">
        <v>0.34777715385799501</v>
      </c>
      <c r="I1051">
        <v>0.30351148078637802</v>
      </c>
      <c r="J1051">
        <v>0.29582589754272298</v>
      </c>
      <c r="K1051">
        <v>0.25565918726380799</v>
      </c>
      <c r="L1051">
        <v>615.39127837661897</v>
      </c>
      <c r="M1051">
        <v>12.0759361480662</v>
      </c>
      <c r="N1051">
        <v>53.3932106684614</v>
      </c>
      <c r="O1051">
        <v>49.623033503276297</v>
      </c>
      <c r="P1051">
        <v>-4.7975775880781599E-2</v>
      </c>
      <c r="Q1051">
        <v>0.21160775076211599</v>
      </c>
      <c r="R1051">
        <v>0.98793137124304398</v>
      </c>
      <c r="S1051" t="s">
        <v>6602</v>
      </c>
      <c r="T1051" t="s">
        <v>11100</v>
      </c>
      <c r="U1051" t="s">
        <v>11100</v>
      </c>
      <c r="V1051" t="s">
        <v>11100</v>
      </c>
      <c r="W1051" t="s">
        <v>12130</v>
      </c>
      <c r="X1051">
        <v>1</v>
      </c>
      <c r="Y1051" t="s">
        <v>17624</v>
      </c>
      <c r="Z1051" t="s">
        <v>23056</v>
      </c>
      <c r="AA1051">
        <v>0.59893640585505459</v>
      </c>
      <c r="AB1051" t="str">
        <f>HYPERLINK("Melting_Curves/meltCurve_J3QLS3_MRPS7.pdf", "Melting_Curves/meltCurve_J3QLS3_MRPS7.pdf")</f>
        <v>Melting_Curves/meltCurve_J3QLS3_MRPS7.pdf</v>
      </c>
    </row>
    <row r="1052" spans="1:28" x14ac:dyDescent="0.25">
      <c r="A1052" t="s">
        <v>1056</v>
      </c>
      <c r="B1052">
        <v>0.99299721793515405</v>
      </c>
      <c r="C1052">
        <v>0.98510576724556298</v>
      </c>
      <c r="D1052">
        <v>0.97974267741608401</v>
      </c>
      <c r="E1052">
        <v>0.90409433142754203</v>
      </c>
      <c r="F1052">
        <v>0.77673591535043296</v>
      </c>
      <c r="G1052">
        <v>0.65767307502500105</v>
      </c>
      <c r="H1052">
        <v>0.56128707402644595</v>
      </c>
      <c r="I1052">
        <v>0.61497216414703504</v>
      </c>
      <c r="J1052">
        <v>0.618800161543403</v>
      </c>
      <c r="K1052">
        <v>0.62641472040651502</v>
      </c>
      <c r="L1052">
        <v>1112.7076056493499</v>
      </c>
      <c r="M1052">
        <v>22.571172882126302</v>
      </c>
      <c r="O1052">
        <v>48.915660499365799</v>
      </c>
      <c r="P1052">
        <v>-4.5891482281481398E-2</v>
      </c>
      <c r="Q1052">
        <v>0.60218870327426499</v>
      </c>
      <c r="R1052">
        <v>0.98351011795850396</v>
      </c>
      <c r="S1052" t="s">
        <v>6603</v>
      </c>
      <c r="T1052" t="s">
        <v>11100</v>
      </c>
      <c r="U1052" t="s">
        <v>11100</v>
      </c>
      <c r="V1052" t="s">
        <v>11100</v>
      </c>
      <c r="W1052" t="s">
        <v>12131</v>
      </c>
      <c r="X1052">
        <v>11</v>
      </c>
      <c r="Y1052" t="s">
        <v>17625</v>
      </c>
      <c r="Z1052" t="s">
        <v>23057</v>
      </c>
      <c r="AA1052">
        <v>0.7694555801505063</v>
      </c>
      <c r="AB1052" t="str">
        <f>HYPERLINK("Melting_Curves/meltCurve_J3QQJ0_SAP30BP.pdf", "Melting_Curves/meltCurve_J3QQJ0_SAP30BP.pdf")</f>
        <v>Melting_Curves/meltCurve_J3QQJ0_SAP30BP.pdf</v>
      </c>
    </row>
    <row r="1053" spans="1:28" x14ac:dyDescent="0.25">
      <c r="A1053" t="s">
        <v>1057</v>
      </c>
      <c r="B1053">
        <v>0.99299721793515405</v>
      </c>
      <c r="C1053">
        <v>0.92576918428734301</v>
      </c>
      <c r="D1053">
        <v>0.95739267095966196</v>
      </c>
      <c r="E1053">
        <v>0.88167261940372599</v>
      </c>
      <c r="F1053">
        <v>0.69144454722950699</v>
      </c>
      <c r="G1053">
        <v>0.82538570551024804</v>
      </c>
      <c r="H1053">
        <v>0.55236223792338002</v>
      </c>
      <c r="I1053">
        <v>0.47245842190702297</v>
      </c>
      <c r="J1053">
        <v>0.41100723655875498</v>
      </c>
      <c r="K1053">
        <v>0.329872901528519</v>
      </c>
      <c r="L1053">
        <v>399.589467365112</v>
      </c>
      <c r="M1053">
        <v>6.6162193246440202</v>
      </c>
      <c r="N1053">
        <v>60.3954383757332</v>
      </c>
      <c r="O1053">
        <v>55.592833036804102</v>
      </c>
      <c r="P1053">
        <v>-2.98207840385416E-2</v>
      </c>
      <c r="Q1053">
        <v>0</v>
      </c>
      <c r="R1053">
        <v>0.94179994060989303</v>
      </c>
      <c r="S1053" t="s">
        <v>6604</v>
      </c>
      <c r="T1053" t="s">
        <v>11100</v>
      </c>
      <c r="U1053" t="s">
        <v>11100</v>
      </c>
      <c r="V1053" t="s">
        <v>11100</v>
      </c>
      <c r="W1053" t="s">
        <v>12132</v>
      </c>
      <c r="X1053">
        <v>9</v>
      </c>
      <c r="Y1053" t="s">
        <v>17626</v>
      </c>
      <c r="Z1053" t="s">
        <v>23058</v>
      </c>
      <c r="AA1053">
        <v>0.71419038695971282</v>
      </c>
      <c r="AB1053" t="str">
        <f>HYPERLINK("Melting_Curves/meltCurve_J3QQT2_RPL17.pdf", "Melting_Curves/meltCurve_J3QQT2_RPL17.pdf")</f>
        <v>Melting_Curves/meltCurve_J3QQT2_RPL17.pdf</v>
      </c>
    </row>
    <row r="1054" spans="1:28" x14ac:dyDescent="0.25">
      <c r="A1054" t="s">
        <v>1058</v>
      </c>
      <c r="B1054">
        <v>0.99299721793515405</v>
      </c>
      <c r="C1054">
        <v>0.76309795245103895</v>
      </c>
      <c r="D1054">
        <v>0.84269163504866895</v>
      </c>
      <c r="E1054">
        <v>0.81629992525304296</v>
      </c>
      <c r="F1054">
        <v>0.65795571995201996</v>
      </c>
      <c r="G1054">
        <v>0.32209622825753897</v>
      </c>
      <c r="H1054">
        <v>0.191427803020464</v>
      </c>
      <c r="I1054">
        <v>0.17290008465193399</v>
      </c>
      <c r="J1054">
        <v>0.193502520681398</v>
      </c>
      <c r="K1054">
        <v>0.15042429238420699</v>
      </c>
      <c r="L1054">
        <v>540.55859781993399</v>
      </c>
      <c r="M1054">
        <v>10.625689955769699</v>
      </c>
      <c r="N1054">
        <v>51.407027205192399</v>
      </c>
      <c r="O1054">
        <v>49.170153322837997</v>
      </c>
      <c r="P1054">
        <v>-5.1220791652086199E-2</v>
      </c>
      <c r="Q1054">
        <v>5.2272820391027403E-2</v>
      </c>
      <c r="R1054">
        <v>0.933126171311221</v>
      </c>
      <c r="S1054" t="s">
        <v>6605</v>
      </c>
      <c r="T1054" t="s">
        <v>11100</v>
      </c>
      <c r="U1054" t="s">
        <v>11100</v>
      </c>
      <c r="V1054" t="s">
        <v>11100</v>
      </c>
      <c r="W1054" t="s">
        <v>12133</v>
      </c>
      <c r="X1054">
        <v>28</v>
      </c>
      <c r="Y1054" t="s">
        <v>17627</v>
      </c>
      <c r="Z1054" t="s">
        <v>23059</v>
      </c>
      <c r="AA1054">
        <v>0.51844339093799907</v>
      </c>
      <c r="AB1054" t="str">
        <f>HYPERLINK("Melting_Curves/meltCurve_J3QQX3_FDXR.pdf", "Melting_Curves/meltCurve_J3QQX3_FDXR.pdf")</f>
        <v>Melting_Curves/meltCurve_J3QQX3_FDXR.pdf</v>
      </c>
    </row>
    <row r="1055" spans="1:28" x14ac:dyDescent="0.25">
      <c r="A1055" t="s">
        <v>1059</v>
      </c>
      <c r="B1055">
        <v>0.99299721793515405</v>
      </c>
      <c r="C1055">
        <v>0.87054513527331201</v>
      </c>
      <c r="D1055">
        <v>0.96357205361446996</v>
      </c>
      <c r="E1055">
        <v>0.69872199556786496</v>
      </c>
      <c r="F1055">
        <v>0.54289189305750896</v>
      </c>
      <c r="G1055">
        <v>0.46095190990836699</v>
      </c>
      <c r="H1055">
        <v>0.35612444185011999</v>
      </c>
      <c r="I1055">
        <v>0.38892990113972198</v>
      </c>
      <c r="J1055">
        <v>0.40463174531367802</v>
      </c>
      <c r="K1055">
        <v>0.40814463718627603</v>
      </c>
      <c r="L1055">
        <v>840.07470837230699</v>
      </c>
      <c r="M1055">
        <v>17.8500980261405</v>
      </c>
      <c r="N1055">
        <v>51.248686348437502</v>
      </c>
      <c r="O1055">
        <v>46.4840140075584</v>
      </c>
      <c r="P1055">
        <v>-5.9173742572766599E-2</v>
      </c>
      <c r="Q1055">
        <v>0.38364662879425898</v>
      </c>
      <c r="R1055">
        <v>0.966958847545761</v>
      </c>
      <c r="S1055" t="s">
        <v>6606</v>
      </c>
      <c r="T1055" t="s">
        <v>11100</v>
      </c>
      <c r="U1055" t="s">
        <v>11100</v>
      </c>
      <c r="V1055" t="s">
        <v>11100</v>
      </c>
      <c r="W1055" t="s">
        <v>12134</v>
      </c>
      <c r="X1055">
        <v>1</v>
      </c>
      <c r="Y1055" t="s">
        <v>17628</v>
      </c>
      <c r="Z1055" t="s">
        <v>23060</v>
      </c>
      <c r="AA1055">
        <v>0.60043707970307547</v>
      </c>
      <c r="AB1055" t="str">
        <f>HYPERLINK("Melting_Curves/meltCurve_J3QQY0_MSL1.pdf", "Melting_Curves/meltCurve_J3QQY0_MSL1.pdf")</f>
        <v>Melting_Curves/meltCurve_J3QQY0_MSL1.pdf</v>
      </c>
    </row>
    <row r="1056" spans="1:28" x14ac:dyDescent="0.25">
      <c r="A1056" t="s">
        <v>1060</v>
      </c>
      <c r="B1056">
        <v>0.99299721793515405</v>
      </c>
      <c r="C1056">
        <v>0.77841925621040198</v>
      </c>
      <c r="D1056">
        <v>0.66410990818472904</v>
      </c>
      <c r="E1056">
        <v>0.74234175226236798</v>
      </c>
      <c r="F1056">
        <v>0.65626161505320701</v>
      </c>
      <c r="G1056">
        <v>0.51743450802499302</v>
      </c>
      <c r="H1056">
        <v>0.29392543932910598</v>
      </c>
      <c r="I1056">
        <v>0.36219245114186599</v>
      </c>
      <c r="J1056">
        <v>0.37791237570644798</v>
      </c>
      <c r="K1056">
        <v>0.570246100389046</v>
      </c>
      <c r="L1056">
        <v>377.15581670992998</v>
      </c>
      <c r="M1056">
        <v>8.3142216744867792</v>
      </c>
      <c r="N1056">
        <v>53.904278650167797</v>
      </c>
      <c r="O1056">
        <v>42.965814869294199</v>
      </c>
      <c r="P1056">
        <v>-3.0696584999272799E-2</v>
      </c>
      <c r="Q1056">
        <v>0.366091599155625</v>
      </c>
      <c r="R1056">
        <v>0.76788391357938701</v>
      </c>
      <c r="S1056" t="s">
        <v>6607</v>
      </c>
      <c r="T1056" t="s">
        <v>11100</v>
      </c>
      <c r="U1056" t="s">
        <v>11100</v>
      </c>
      <c r="V1056" t="s">
        <v>11100</v>
      </c>
      <c r="W1056" t="s">
        <v>12135</v>
      </c>
      <c r="X1056">
        <v>2</v>
      </c>
      <c r="Y1056" t="s">
        <v>17629</v>
      </c>
      <c r="Z1056" t="s">
        <v>23061</v>
      </c>
      <c r="AA1056">
        <v>0.58289390488615678</v>
      </c>
      <c r="AB1056" t="str">
        <f>HYPERLINK("Melting_Curves/meltCurve_J3QR01_STRA13.pdf", "Melting_Curves/meltCurve_J3QR01_STRA13.pdf")</f>
        <v>Melting_Curves/meltCurve_J3QR01_STRA13.pdf</v>
      </c>
    </row>
    <row r="1057" spans="1:28" x14ac:dyDescent="0.25">
      <c r="A1057" t="s">
        <v>1061</v>
      </c>
      <c r="B1057">
        <v>0.99299721793515405</v>
      </c>
      <c r="C1057">
        <v>1.0333116857492499</v>
      </c>
      <c r="D1057">
        <v>0.98552295742698603</v>
      </c>
      <c r="E1057">
        <v>0.99889817436125605</v>
      </c>
      <c r="F1057">
        <v>0.77010742136806498</v>
      </c>
      <c r="G1057">
        <v>0.49990153372449803</v>
      </c>
      <c r="H1057">
        <v>0.52611896303684702</v>
      </c>
      <c r="I1057">
        <v>0.81878688838690705</v>
      </c>
      <c r="J1057">
        <v>0.813185244596493</v>
      </c>
      <c r="K1057">
        <v>0.65551919402765002</v>
      </c>
      <c r="L1057">
        <v>12511.797540944999</v>
      </c>
      <c r="M1057">
        <v>250</v>
      </c>
      <c r="O1057">
        <v>50.0439874954887</v>
      </c>
      <c r="P1057">
        <v>-0.42125144648671897</v>
      </c>
      <c r="Q1057">
        <v>0.66270236660263704</v>
      </c>
      <c r="R1057">
        <v>0.73422872534995998</v>
      </c>
      <c r="S1057" t="s">
        <v>6608</v>
      </c>
      <c r="T1057" t="s">
        <v>11100</v>
      </c>
      <c r="U1057" t="s">
        <v>11100</v>
      </c>
      <c r="V1057" t="s">
        <v>11100</v>
      </c>
      <c r="W1057" t="s">
        <v>12136</v>
      </c>
      <c r="X1057">
        <v>2</v>
      </c>
      <c r="Y1057" t="s">
        <v>17630</v>
      </c>
      <c r="Z1057" t="s">
        <v>23062</v>
      </c>
      <c r="AA1057">
        <v>0.8094248709660864</v>
      </c>
      <c r="AB1057" t="str">
        <f>HYPERLINK("Melting_Curves/meltCurve_J3QR07_YTHDC1.pdf", "Melting_Curves/meltCurve_J3QR07_YTHDC1.pdf")</f>
        <v>Melting_Curves/meltCurve_J3QR07_YTHDC1.pdf</v>
      </c>
    </row>
    <row r="1058" spans="1:28" x14ac:dyDescent="0.25">
      <c r="A1058" t="s">
        <v>1062</v>
      </c>
      <c r="B1058">
        <v>0.99299721793515405</v>
      </c>
      <c r="C1058">
        <v>0.89159195867113805</v>
      </c>
      <c r="D1058">
        <v>0.810067380705773</v>
      </c>
      <c r="E1058">
        <v>0.89354674668743606</v>
      </c>
      <c r="F1058">
        <v>1.0770602171291701</v>
      </c>
      <c r="G1058">
        <v>0.78600713319336202</v>
      </c>
      <c r="H1058">
        <v>0.76928112701776297</v>
      </c>
      <c r="I1058">
        <v>0.49745808140200398</v>
      </c>
      <c r="J1058">
        <v>0.34470622925251998</v>
      </c>
      <c r="K1058">
        <v>0.31249412546297201</v>
      </c>
      <c r="L1058">
        <v>934.44610230527701</v>
      </c>
      <c r="M1058">
        <v>15.6446163295192</v>
      </c>
      <c r="N1058">
        <v>61.237335540083997</v>
      </c>
      <c r="O1058">
        <v>58.779188337254901</v>
      </c>
      <c r="P1058">
        <v>-5.5908724739310599E-2</v>
      </c>
      <c r="Q1058">
        <v>0.15984185221625499</v>
      </c>
      <c r="R1058">
        <v>0.86802787266175196</v>
      </c>
      <c r="S1058" t="s">
        <v>6609</v>
      </c>
      <c r="T1058" t="s">
        <v>11100</v>
      </c>
      <c r="U1058" t="s">
        <v>11100</v>
      </c>
      <c r="V1058" t="s">
        <v>11100</v>
      </c>
      <c r="W1058" t="s">
        <v>12137</v>
      </c>
      <c r="X1058">
        <v>4</v>
      </c>
      <c r="Y1058" t="s">
        <v>17631</v>
      </c>
      <c r="Z1058" t="s">
        <v>23063</v>
      </c>
      <c r="AA1058">
        <v>0.79325091276525728</v>
      </c>
      <c r="AB1058" t="str">
        <f>HYPERLINK("Melting_Curves/meltCurve_J3QR09_RPL19.pdf", "Melting_Curves/meltCurve_J3QR09_RPL19.pdf")</f>
        <v>Melting_Curves/meltCurve_J3QR09_RPL19.pdf</v>
      </c>
    </row>
    <row r="1059" spans="1:28" x14ac:dyDescent="0.25">
      <c r="A1059" t="s">
        <v>1063</v>
      </c>
      <c r="B1059">
        <v>0.99299721793515405</v>
      </c>
      <c r="C1059">
        <v>1.1075394422060401</v>
      </c>
      <c r="D1059">
        <v>0.92077355352075696</v>
      </c>
      <c r="E1059">
        <v>0.85801101913413702</v>
      </c>
      <c r="F1059">
        <v>0.74650630450431699</v>
      </c>
      <c r="G1059">
        <v>0.47942759711428601</v>
      </c>
      <c r="H1059">
        <v>0.27311793686904401</v>
      </c>
      <c r="I1059">
        <v>0.23108937775003</v>
      </c>
      <c r="J1059">
        <v>0.18956179102529</v>
      </c>
      <c r="K1059">
        <v>0.15016053143008101</v>
      </c>
      <c r="L1059">
        <v>822.45571808183195</v>
      </c>
      <c r="M1059">
        <v>15.6871072568618</v>
      </c>
      <c r="N1059">
        <v>53.446655196451502</v>
      </c>
      <c r="O1059">
        <v>51.5989537745251</v>
      </c>
      <c r="P1059">
        <v>-6.6196015501426494E-2</v>
      </c>
      <c r="Q1059">
        <v>0.12913053708650099</v>
      </c>
      <c r="R1059">
        <v>0.98388849037663695</v>
      </c>
      <c r="S1059" t="s">
        <v>6610</v>
      </c>
      <c r="T1059" t="s">
        <v>11100</v>
      </c>
      <c r="U1059" t="s">
        <v>11100</v>
      </c>
      <c r="V1059" t="s">
        <v>11100</v>
      </c>
      <c r="W1059" t="s">
        <v>12138</v>
      </c>
      <c r="X1059">
        <v>3</v>
      </c>
      <c r="Y1059" t="s">
        <v>17632</v>
      </c>
      <c r="Z1059" t="s">
        <v>23064</v>
      </c>
      <c r="AA1059">
        <v>0.59244216400891925</v>
      </c>
      <c r="AB1059" t="str">
        <f>HYPERLINK("Melting_Curves/meltCurve_J3QRD1_ALDH3A2.pdf", "Melting_Curves/meltCurve_J3QRD1_ALDH3A2.pdf")</f>
        <v>Melting_Curves/meltCurve_J3QRD1_ALDH3A2.pdf</v>
      </c>
    </row>
    <row r="1060" spans="1:28" x14ac:dyDescent="0.25">
      <c r="A1060" t="s">
        <v>1064</v>
      </c>
      <c r="B1060">
        <v>0.99299721793515405</v>
      </c>
      <c r="C1060">
        <v>1.0183966626059899</v>
      </c>
      <c r="D1060">
        <v>0.94722123306197303</v>
      </c>
      <c r="E1060">
        <v>0.88227934245543105</v>
      </c>
      <c r="F1060">
        <v>0.79190133834717502</v>
      </c>
      <c r="G1060">
        <v>0.674819217383956</v>
      </c>
      <c r="H1060">
        <v>0.41482586334164601</v>
      </c>
      <c r="I1060">
        <v>0.25466887726917398</v>
      </c>
      <c r="J1060">
        <v>0.22484817745262001</v>
      </c>
      <c r="K1060">
        <v>0.15464473989056701</v>
      </c>
      <c r="L1060">
        <v>657.68991426971297</v>
      </c>
      <c r="M1060">
        <v>11.7743435135773</v>
      </c>
      <c r="N1060">
        <v>56.133105703709298</v>
      </c>
      <c r="O1060">
        <v>54.3196798496094</v>
      </c>
      <c r="P1060">
        <v>-5.2683813191853002E-2</v>
      </c>
      <c r="Q1060">
        <v>2.8047532752419502E-2</v>
      </c>
      <c r="R1060">
        <v>0.99277561942409798</v>
      </c>
      <c r="S1060" t="s">
        <v>6611</v>
      </c>
      <c r="T1060" t="s">
        <v>11100</v>
      </c>
      <c r="U1060" t="s">
        <v>11100</v>
      </c>
      <c r="V1060" t="s">
        <v>11100</v>
      </c>
      <c r="W1060" t="s">
        <v>11939</v>
      </c>
      <c r="X1060">
        <v>5</v>
      </c>
      <c r="Z1060" t="s">
        <v>23065</v>
      </c>
      <c r="AA1060">
        <v>0.64892885794063893</v>
      </c>
      <c r="AB1060" t="str">
        <f>HYPERLINK("Melting_Curves/meltCurve_J3QRK9_.pdf", "Melting_Curves/meltCurve_J3QRK9_.pdf")</f>
        <v>Melting_Curves/meltCurve_J3QRK9_.pdf</v>
      </c>
    </row>
    <row r="1061" spans="1:28" x14ac:dyDescent="0.25">
      <c r="A1061" t="s">
        <v>1065</v>
      </c>
      <c r="B1061">
        <v>0.99299721793515405</v>
      </c>
      <c r="C1061">
        <v>0.93470704916472902</v>
      </c>
      <c r="D1061">
        <v>0.77378150089205799</v>
      </c>
      <c r="E1061">
        <v>0.82065375853091105</v>
      </c>
      <c r="F1061">
        <v>0.93680326692427396</v>
      </c>
      <c r="G1061">
        <v>0.53268948586000098</v>
      </c>
      <c r="H1061">
        <v>0.44129671526047298</v>
      </c>
      <c r="I1061">
        <v>0.41311094802897202</v>
      </c>
      <c r="J1061">
        <v>0.29160719205799801</v>
      </c>
      <c r="K1061">
        <v>9.3596099947886202E-2</v>
      </c>
      <c r="L1061">
        <v>495.46743886816802</v>
      </c>
      <c r="M1061">
        <v>8.7715646198663908</v>
      </c>
      <c r="N1061">
        <v>56.485637440345897</v>
      </c>
      <c r="O1061">
        <v>53.7805292697659</v>
      </c>
      <c r="P1061">
        <v>-4.0807444901337801E-2</v>
      </c>
      <c r="Q1061">
        <v>0</v>
      </c>
      <c r="R1061">
        <v>0.89670192813678695</v>
      </c>
      <c r="S1061" t="s">
        <v>6612</v>
      </c>
      <c r="T1061" t="s">
        <v>11100</v>
      </c>
      <c r="U1061" t="s">
        <v>11100</v>
      </c>
      <c r="V1061" t="s">
        <v>11100</v>
      </c>
      <c r="W1061" t="s">
        <v>12139</v>
      </c>
      <c r="X1061">
        <v>1</v>
      </c>
      <c r="Y1061" t="s">
        <v>17633</v>
      </c>
      <c r="Z1061" t="s">
        <v>23066</v>
      </c>
      <c r="AA1061">
        <v>0.6475330573342285</v>
      </c>
      <c r="AB1061" t="str">
        <f>HYPERLINK("Melting_Curves/meltCurve_J3QRM9_ORMDL3.pdf", "Melting_Curves/meltCurve_J3QRM9_ORMDL3.pdf")</f>
        <v>Melting_Curves/meltCurve_J3QRM9_ORMDL3.pdf</v>
      </c>
    </row>
    <row r="1062" spans="1:28" x14ac:dyDescent="0.25">
      <c r="A1062" t="s">
        <v>1066</v>
      </c>
      <c r="B1062">
        <v>0.99299721793515405</v>
      </c>
      <c r="C1062">
        <v>1.0226154428707801</v>
      </c>
      <c r="D1062">
        <v>0.89581194917321205</v>
      </c>
      <c r="E1062">
        <v>0.97705397789805304</v>
      </c>
      <c r="F1062">
        <v>0.79178494945865097</v>
      </c>
      <c r="G1062">
        <v>1.11614364807217</v>
      </c>
      <c r="H1062">
        <v>0.82809305688246304</v>
      </c>
      <c r="I1062">
        <v>0.46709084226769398</v>
      </c>
      <c r="J1062">
        <v>0.39841261997605198</v>
      </c>
      <c r="K1062">
        <v>0.30279677125218102</v>
      </c>
      <c r="L1062">
        <v>2551.8659656555701</v>
      </c>
      <c r="M1062">
        <v>43.269595127719299</v>
      </c>
      <c r="N1062">
        <v>60.551799230024301</v>
      </c>
      <c r="O1062">
        <v>58.850403782665602</v>
      </c>
      <c r="P1062">
        <v>-0.121711558011051</v>
      </c>
      <c r="Q1062">
        <v>0.33784783196498003</v>
      </c>
      <c r="R1062">
        <v>0.89970725025963305</v>
      </c>
      <c r="S1062" t="s">
        <v>6613</v>
      </c>
      <c r="T1062" t="s">
        <v>11100</v>
      </c>
      <c r="U1062" t="s">
        <v>11100</v>
      </c>
      <c r="V1062" t="s">
        <v>11100</v>
      </c>
      <c r="W1062" t="s">
        <v>12140</v>
      </c>
      <c r="X1062">
        <v>6</v>
      </c>
      <c r="Y1062" t="s">
        <v>17634</v>
      </c>
      <c r="Z1062" t="s">
        <v>23067</v>
      </c>
      <c r="AA1062">
        <v>0.82497008383437087</v>
      </c>
      <c r="AB1062" t="str">
        <f>HYPERLINK("Melting_Curves/meltCurve_J3QRS3_MYL12A.pdf", "Melting_Curves/meltCurve_J3QRS3_MYL12A.pdf")</f>
        <v>Melting_Curves/meltCurve_J3QRS3_MYL12A.pdf</v>
      </c>
    </row>
    <row r="1063" spans="1:28" x14ac:dyDescent="0.25">
      <c r="A1063" t="s">
        <v>1067</v>
      </c>
      <c r="B1063">
        <v>0.99299721793515405</v>
      </c>
      <c r="C1063">
        <v>0.85082239423049899</v>
      </c>
      <c r="D1063">
        <v>0.98947580858458395</v>
      </c>
      <c r="E1063">
        <v>0.81147587375438401</v>
      </c>
      <c r="F1063">
        <v>0.75034677462230004</v>
      </c>
      <c r="G1063">
        <v>0.50076944198385298</v>
      </c>
      <c r="H1063">
        <v>0.54374328004942496</v>
      </c>
      <c r="I1063">
        <v>0.58135358567524198</v>
      </c>
      <c r="J1063">
        <v>0.64125888050989799</v>
      </c>
      <c r="K1063">
        <v>0.46826386294843603</v>
      </c>
      <c r="L1063">
        <v>850.00109224187395</v>
      </c>
      <c r="M1063">
        <v>17.687999622134399</v>
      </c>
      <c r="O1063">
        <v>47.453631167394001</v>
      </c>
      <c r="P1063">
        <v>-4.3212785538539897E-2</v>
      </c>
      <c r="Q1063">
        <v>0.53629687105889201</v>
      </c>
      <c r="R1063">
        <v>0.85065317399741702</v>
      </c>
      <c r="S1063" t="s">
        <v>6614</v>
      </c>
      <c r="T1063" t="s">
        <v>11100</v>
      </c>
      <c r="U1063" t="s">
        <v>11100</v>
      </c>
      <c r="V1063" t="s">
        <v>11100</v>
      </c>
      <c r="W1063" t="s">
        <v>12141</v>
      </c>
      <c r="X1063">
        <v>6</v>
      </c>
      <c r="Y1063" t="s">
        <v>17635</v>
      </c>
      <c r="Z1063" t="s">
        <v>23068</v>
      </c>
      <c r="AA1063">
        <v>0.71482434236548176</v>
      </c>
      <c r="AB1063" t="str">
        <f>HYPERLINK("Melting_Curves/meltCurve_J3QRS9_ZNF207.pdf", "Melting_Curves/meltCurve_J3QRS9_ZNF207.pdf")</f>
        <v>Melting_Curves/meltCurve_J3QRS9_ZNF207.pdf</v>
      </c>
    </row>
    <row r="1064" spans="1:28" x14ac:dyDescent="0.25">
      <c r="A1064" t="s">
        <v>1068</v>
      </c>
      <c r="B1064">
        <v>0.99299721793515405</v>
      </c>
      <c r="C1064">
        <v>0.93211403886722399</v>
      </c>
      <c r="D1064">
        <v>0.91817223942912496</v>
      </c>
      <c r="E1064">
        <v>0.73909535440665097</v>
      </c>
      <c r="F1064">
        <v>0.57090507294363602</v>
      </c>
      <c r="G1064">
        <v>0.24780046588634499</v>
      </c>
      <c r="H1064">
        <v>0.140323210972427</v>
      </c>
      <c r="I1064">
        <v>0.122024989258001</v>
      </c>
      <c r="J1064">
        <v>0.12546724230359399</v>
      </c>
      <c r="K1064">
        <v>9.3892102923989695E-2</v>
      </c>
      <c r="L1064">
        <v>779.98451224570897</v>
      </c>
      <c r="M1064">
        <v>15.6661876002246</v>
      </c>
      <c r="N1064">
        <v>50.275593656237596</v>
      </c>
      <c r="O1064">
        <v>48.9977031633398</v>
      </c>
      <c r="P1064">
        <v>-7.4303515981218496E-2</v>
      </c>
      <c r="Q1064">
        <v>7.0509940046960207E-2</v>
      </c>
      <c r="R1064">
        <v>0.99144171569689399</v>
      </c>
      <c r="S1064" t="s">
        <v>6615</v>
      </c>
      <c r="T1064" t="s">
        <v>11100</v>
      </c>
      <c r="U1064" t="s">
        <v>11100</v>
      </c>
      <c r="V1064" t="s">
        <v>11100</v>
      </c>
      <c r="W1064" t="s">
        <v>12142</v>
      </c>
      <c r="X1064">
        <v>8</v>
      </c>
      <c r="Y1064" t="s">
        <v>17636</v>
      </c>
      <c r="Z1064" t="s">
        <v>23069</v>
      </c>
      <c r="AA1064">
        <v>0.48504033975791921</v>
      </c>
      <c r="AB1064" t="str">
        <f>HYPERLINK("Melting_Curves/meltCurve_J3QRU1_YES1.pdf", "Melting_Curves/meltCurve_J3QRU1_YES1.pdf")</f>
        <v>Melting_Curves/meltCurve_J3QRU1_YES1.pdf</v>
      </c>
    </row>
    <row r="1065" spans="1:28" x14ac:dyDescent="0.25">
      <c r="A1065" t="s">
        <v>1069</v>
      </c>
      <c r="B1065">
        <v>0.99299721793515405</v>
      </c>
      <c r="C1065">
        <v>0.95558571345610899</v>
      </c>
      <c r="D1065">
        <v>0.82766933518607</v>
      </c>
      <c r="E1065">
        <v>0.93446189175620098</v>
      </c>
      <c r="F1065">
        <v>0.80602235006142897</v>
      </c>
      <c r="G1065">
        <v>0.52937822797925604</v>
      </c>
      <c r="H1065">
        <v>0.50738153085015403</v>
      </c>
      <c r="I1065">
        <v>0.571674945993638</v>
      </c>
      <c r="J1065">
        <v>0.50657875334354596</v>
      </c>
      <c r="K1065">
        <v>0.444791437378599</v>
      </c>
      <c r="L1065">
        <v>695.64161996005305</v>
      </c>
      <c r="M1065">
        <v>13.776896506124499</v>
      </c>
      <c r="N1065">
        <v>61.331009317191402</v>
      </c>
      <c r="O1065">
        <v>49.465166595457298</v>
      </c>
      <c r="P1065">
        <v>-3.7871256853604401E-2</v>
      </c>
      <c r="Q1065">
        <v>0.45617837180713799</v>
      </c>
      <c r="R1065">
        <v>0.90109146087180902</v>
      </c>
      <c r="S1065" t="s">
        <v>6616</v>
      </c>
      <c r="T1065" t="s">
        <v>11100</v>
      </c>
      <c r="U1065" t="s">
        <v>11100</v>
      </c>
      <c r="V1065" t="s">
        <v>11100</v>
      </c>
      <c r="W1065" t="s">
        <v>12143</v>
      </c>
      <c r="X1065">
        <v>6</v>
      </c>
      <c r="Y1065" t="s">
        <v>17637</v>
      </c>
      <c r="Z1065" t="s">
        <v>23070</v>
      </c>
      <c r="AA1065">
        <v>0.71328478351884961</v>
      </c>
      <c r="AB1065" t="str">
        <f>HYPERLINK("Melting_Curves/meltCurve_J3QRU4_VAMP2.pdf", "Melting_Curves/meltCurve_J3QRU4_VAMP2.pdf")</f>
        <v>Melting_Curves/meltCurve_J3QRU4_VAMP2.pdf</v>
      </c>
    </row>
    <row r="1066" spans="1:28" x14ac:dyDescent="0.25">
      <c r="A1066" t="s">
        <v>1070</v>
      </c>
      <c r="B1066">
        <v>0.99299721793515405</v>
      </c>
      <c r="C1066">
        <v>0.982381820167329</v>
      </c>
      <c r="D1066">
        <v>0.99415679544245605</v>
      </c>
      <c r="E1066">
        <v>0.69217785479902905</v>
      </c>
      <c r="F1066">
        <v>0.47827087751098901</v>
      </c>
      <c r="G1066">
        <v>0.45488522449511698</v>
      </c>
      <c r="H1066">
        <v>0.49194059163376802</v>
      </c>
      <c r="I1066">
        <v>0.163874270578061</v>
      </c>
      <c r="J1066">
        <v>0</v>
      </c>
      <c r="K1066">
        <v>0.11065420014416</v>
      </c>
      <c r="L1066">
        <v>506.03211111547301</v>
      </c>
      <c r="M1066">
        <v>9.7076877965046506</v>
      </c>
      <c r="N1066">
        <v>52.126945318242903</v>
      </c>
      <c r="O1066">
        <v>50.059190490256</v>
      </c>
      <c r="P1066">
        <v>-4.8507454862409698E-2</v>
      </c>
      <c r="Q1066">
        <v>0</v>
      </c>
      <c r="R1066">
        <v>0.92687533055326499</v>
      </c>
      <c r="S1066" t="s">
        <v>6617</v>
      </c>
      <c r="T1066" t="s">
        <v>11100</v>
      </c>
      <c r="U1066" t="s">
        <v>11100</v>
      </c>
      <c r="V1066" t="s">
        <v>11100</v>
      </c>
      <c r="W1066" t="s">
        <v>12144</v>
      </c>
      <c r="X1066">
        <v>2</v>
      </c>
      <c r="Y1066" t="s">
        <v>17638</v>
      </c>
      <c r="Z1066" t="s">
        <v>23071</v>
      </c>
      <c r="AA1066">
        <v>0.53070546364734983</v>
      </c>
      <c r="AB1066" t="str">
        <f>HYPERLINK("Melting_Curves/meltCurve_J3QS41_HELZ.pdf", "Melting_Curves/meltCurve_J3QS41_HELZ.pdf")</f>
        <v>Melting_Curves/meltCurve_J3QS41_HELZ.pdf</v>
      </c>
    </row>
    <row r="1067" spans="1:28" x14ac:dyDescent="0.25">
      <c r="A1067" t="s">
        <v>1071</v>
      </c>
      <c r="B1067">
        <v>0.99299721793515405</v>
      </c>
      <c r="C1067">
        <v>0.98768907061614897</v>
      </c>
      <c r="D1067">
        <v>0.84822302191472099</v>
      </c>
      <c r="E1067">
        <v>0.89322010892896697</v>
      </c>
      <c r="F1067">
        <v>0.59688521188485499</v>
      </c>
      <c r="G1067">
        <v>0.51262592397486895</v>
      </c>
      <c r="H1067">
        <v>0.22597075957195001</v>
      </c>
      <c r="I1067">
        <v>0.15084202850122599</v>
      </c>
      <c r="J1067">
        <v>0.162280683831908</v>
      </c>
      <c r="K1067">
        <v>7.3741821653056205E-2</v>
      </c>
      <c r="L1067">
        <v>617.98936253836098</v>
      </c>
      <c r="M1067">
        <v>11.7246970491606</v>
      </c>
      <c r="N1067">
        <v>52.770420889157897</v>
      </c>
      <c r="O1067">
        <v>51.245114878413901</v>
      </c>
      <c r="P1067">
        <v>-5.6822172036512401E-2</v>
      </c>
      <c r="Q1067">
        <v>6.8516131328014004E-3</v>
      </c>
      <c r="R1067">
        <v>0.97978176271644302</v>
      </c>
      <c r="S1067" t="s">
        <v>6618</v>
      </c>
      <c r="T1067" t="s">
        <v>11100</v>
      </c>
      <c r="U1067" t="s">
        <v>11100</v>
      </c>
      <c r="V1067" t="s">
        <v>11100</v>
      </c>
      <c r="W1067" t="s">
        <v>12145</v>
      </c>
      <c r="X1067">
        <v>4</v>
      </c>
      <c r="Y1067" t="s">
        <v>17639</v>
      </c>
      <c r="Z1067" t="s">
        <v>23072</v>
      </c>
      <c r="AA1067">
        <v>0.54892784554063323</v>
      </c>
      <c r="AB1067" t="str">
        <f>HYPERLINK("Melting_Curves/meltCurve_J3QSD7_CDK12.pdf", "Melting_Curves/meltCurve_J3QSD7_CDK12.pdf")</f>
        <v>Melting_Curves/meltCurve_J3QSD7_CDK12.pdf</v>
      </c>
    </row>
    <row r="1068" spans="1:28" x14ac:dyDescent="0.25">
      <c r="A1068" t="s">
        <v>1072</v>
      </c>
      <c r="B1068">
        <v>0.99299721793515405</v>
      </c>
      <c r="C1068">
        <v>0.78050678095915704</v>
      </c>
      <c r="D1068">
        <v>0.68748984119850698</v>
      </c>
      <c r="E1068">
        <v>0.636086404068263</v>
      </c>
      <c r="F1068">
        <v>0.516985611910175</v>
      </c>
      <c r="G1068">
        <v>0.31970535513194998</v>
      </c>
      <c r="H1068">
        <v>0.41379980711172498</v>
      </c>
      <c r="I1068">
        <v>0.58431573045852903</v>
      </c>
      <c r="J1068">
        <v>0.69914254193773295</v>
      </c>
      <c r="K1068">
        <v>0.50209712507057902</v>
      </c>
      <c r="L1068">
        <v>740.78569630428206</v>
      </c>
      <c r="M1068">
        <v>17.933264366850199</v>
      </c>
      <c r="O1068">
        <v>40.8045376728005</v>
      </c>
      <c r="P1068">
        <v>-5.3742464100096803E-2</v>
      </c>
      <c r="Q1068">
        <v>0.51089182076970596</v>
      </c>
      <c r="R1068">
        <v>0.70140826184592797</v>
      </c>
      <c r="S1068" t="s">
        <v>6619</v>
      </c>
      <c r="T1068" t="s">
        <v>11100</v>
      </c>
      <c r="U1068" t="s">
        <v>11100</v>
      </c>
      <c r="V1068" t="s">
        <v>11100</v>
      </c>
      <c r="W1068" t="s">
        <v>12146</v>
      </c>
      <c r="X1068">
        <v>2</v>
      </c>
      <c r="Y1068" t="s">
        <v>17640</v>
      </c>
      <c r="Z1068" t="s">
        <v>23073</v>
      </c>
      <c r="AA1068">
        <v>0.59142328739683936</v>
      </c>
      <c r="AB1068" t="str">
        <f>HYPERLINK("Melting_Curves/meltCurve_J3QSR7_KIAA1549.pdf", "Melting_Curves/meltCurve_J3QSR7_KIAA1549.pdf")</f>
        <v>Melting_Curves/meltCurve_J3QSR7_KIAA1549.pdf</v>
      </c>
    </row>
    <row r="1069" spans="1:28" x14ac:dyDescent="0.25">
      <c r="A1069" t="s">
        <v>1073</v>
      </c>
      <c r="B1069">
        <v>0.99299721793515405</v>
      </c>
      <c r="C1069">
        <v>1.0054637784131299</v>
      </c>
      <c r="D1069">
        <v>1.1259103842662299</v>
      </c>
      <c r="E1069">
        <v>0.98057470285617698</v>
      </c>
      <c r="F1069">
        <v>0.87631694489232803</v>
      </c>
      <c r="G1069">
        <v>0.52002594163648397</v>
      </c>
      <c r="H1069">
        <v>0.55170719787059896</v>
      </c>
      <c r="I1069">
        <v>0.66281776329242803</v>
      </c>
      <c r="J1069">
        <v>0.85683749824599098</v>
      </c>
      <c r="K1069">
        <v>0.41066927495351102</v>
      </c>
      <c r="L1069">
        <v>12590.2772343667</v>
      </c>
      <c r="M1069">
        <v>250</v>
      </c>
      <c r="O1069">
        <v>50.357886181296998</v>
      </c>
      <c r="P1069">
        <v>-0.49593581637566198</v>
      </c>
      <c r="Q1069">
        <v>0.60041153032475103</v>
      </c>
      <c r="R1069">
        <v>0.75677315458713801</v>
      </c>
      <c r="S1069" t="s">
        <v>6620</v>
      </c>
      <c r="T1069" t="s">
        <v>11100</v>
      </c>
      <c r="U1069" t="s">
        <v>11100</v>
      </c>
      <c r="V1069" t="s">
        <v>11100</v>
      </c>
      <c r="W1069" t="s">
        <v>12147</v>
      </c>
      <c r="X1069">
        <v>2</v>
      </c>
      <c r="Y1069" t="s">
        <v>17641</v>
      </c>
      <c r="Z1069" t="s">
        <v>23074</v>
      </c>
      <c r="AA1069">
        <v>0.77841168292032537</v>
      </c>
      <c r="AB1069" t="str">
        <f>HYPERLINK("Melting_Curves/meltCurve_J3QT56_HYPK.pdf", "Melting_Curves/meltCurve_J3QT56_HYPK.pdf")</f>
        <v>Melting_Curves/meltCurve_J3QT56_HYPK.pdf</v>
      </c>
    </row>
    <row r="1070" spans="1:28" x14ac:dyDescent="0.25">
      <c r="A1070" t="s">
        <v>1074</v>
      </c>
      <c r="B1070">
        <v>0.99299721793515405</v>
      </c>
      <c r="C1070">
        <v>0.89554478294750095</v>
      </c>
      <c r="D1070">
        <v>0.58029375017479001</v>
      </c>
      <c r="E1070">
        <v>0.433631774452506</v>
      </c>
      <c r="F1070">
        <v>0.71505677590136696</v>
      </c>
      <c r="G1070">
        <v>0.76479490672591199</v>
      </c>
      <c r="H1070">
        <v>0.52953669186216301</v>
      </c>
      <c r="I1070">
        <v>0.37867199906683902</v>
      </c>
      <c r="J1070">
        <v>0.17599528326948399</v>
      </c>
      <c r="K1070">
        <v>0.15096848431212501</v>
      </c>
      <c r="L1070">
        <v>257.98894766167899</v>
      </c>
      <c r="M1070">
        <v>4.7959906630821703</v>
      </c>
      <c r="N1070">
        <v>53.792629254623002</v>
      </c>
      <c r="O1070">
        <v>46.480196593944903</v>
      </c>
      <c r="P1070">
        <v>-2.5978055602157799E-2</v>
      </c>
      <c r="Q1070">
        <v>0</v>
      </c>
      <c r="R1070">
        <v>0.66976540793711303</v>
      </c>
      <c r="S1070" t="s">
        <v>6621</v>
      </c>
      <c r="T1070" t="s">
        <v>11100</v>
      </c>
      <c r="U1070" t="s">
        <v>11100</v>
      </c>
      <c r="V1070" t="s">
        <v>11100</v>
      </c>
      <c r="W1070" t="s">
        <v>12148</v>
      </c>
      <c r="X1070">
        <v>3</v>
      </c>
      <c r="Y1070" t="s">
        <v>17642</v>
      </c>
      <c r="Z1070" t="s">
        <v>23075</v>
      </c>
      <c r="AA1070">
        <v>0.56123647056132109</v>
      </c>
      <c r="AB1070" t="str">
        <f>HYPERLINK("Melting_Curves/meltCurve_J3QT73_COPS7B.pdf", "Melting_Curves/meltCurve_J3QT73_COPS7B.pdf")</f>
        <v>Melting_Curves/meltCurve_J3QT73_COPS7B.pdf</v>
      </c>
    </row>
    <row r="1071" spans="1:28" x14ac:dyDescent="0.25">
      <c r="A1071" t="s">
        <v>1075</v>
      </c>
      <c r="B1071">
        <v>0.99299721793515405</v>
      </c>
      <c r="C1071">
        <v>0.930987765904014</v>
      </c>
      <c r="D1071">
        <v>1.0475848355869599</v>
      </c>
      <c r="E1071">
        <v>0.83546197740180095</v>
      </c>
      <c r="F1071">
        <v>0.69879704778267604</v>
      </c>
      <c r="G1071">
        <v>0.68189093038196502</v>
      </c>
      <c r="H1071">
        <v>0.60796394230641104</v>
      </c>
      <c r="I1071">
        <v>0.56866356431435205</v>
      </c>
      <c r="J1071">
        <v>0.49756496252271798</v>
      </c>
      <c r="K1071">
        <v>0.46185039629406099</v>
      </c>
      <c r="L1071">
        <v>548.93673122130895</v>
      </c>
      <c r="M1071">
        <v>10.6848755551203</v>
      </c>
      <c r="N1071">
        <v>65.369937415333894</v>
      </c>
      <c r="O1071">
        <v>49.673622527179802</v>
      </c>
      <c r="P1071">
        <v>-2.9628546017367301E-2</v>
      </c>
      <c r="Q1071">
        <v>0.44923938796155499</v>
      </c>
      <c r="R1071">
        <v>0.94571688622938399</v>
      </c>
      <c r="S1071" t="s">
        <v>6622</v>
      </c>
      <c r="T1071" t="s">
        <v>11100</v>
      </c>
      <c r="U1071" t="s">
        <v>11100</v>
      </c>
      <c r="V1071" t="s">
        <v>11100</v>
      </c>
      <c r="W1071" t="s">
        <v>12149</v>
      </c>
      <c r="X1071">
        <v>7</v>
      </c>
      <c r="Y1071" t="s">
        <v>17643</v>
      </c>
      <c r="Z1071" t="s">
        <v>23076</v>
      </c>
      <c r="AA1071">
        <v>0.72844722244007143</v>
      </c>
      <c r="AB1071" t="str">
        <f>HYPERLINK("Melting_Curves/meltCurve_J3QTA6_CHCHD6.pdf", "Melting_Curves/meltCurve_J3QTA6_CHCHD6.pdf")</f>
        <v>Melting_Curves/meltCurve_J3QTA6_CHCHD6.pdf</v>
      </c>
    </row>
    <row r="1072" spans="1:28" x14ac:dyDescent="0.25">
      <c r="A1072" t="s">
        <v>1076</v>
      </c>
      <c r="B1072">
        <v>0.99299721793515405</v>
      </c>
      <c r="C1072">
        <v>1.0415757731034401</v>
      </c>
      <c r="D1072">
        <v>0.97528130511639399</v>
      </c>
      <c r="E1072">
        <v>0.73281801047221196</v>
      </c>
      <c r="F1072">
        <v>0.57554518765375196</v>
      </c>
      <c r="G1072">
        <v>0.28562216282707698</v>
      </c>
      <c r="H1072">
        <v>0.14859020198707101</v>
      </c>
      <c r="I1072">
        <v>0.119458954263548</v>
      </c>
      <c r="J1072">
        <v>0.164831649746147</v>
      </c>
      <c r="K1072">
        <v>8.1616653974456596E-2</v>
      </c>
      <c r="L1072">
        <v>853.35308577905596</v>
      </c>
      <c r="M1072">
        <v>17.087847569352</v>
      </c>
      <c r="N1072">
        <v>50.531507002200897</v>
      </c>
      <c r="O1072">
        <v>49.270288049795802</v>
      </c>
      <c r="P1072">
        <v>-7.8840216335959404E-2</v>
      </c>
      <c r="Q1072">
        <v>9.0758523803402394E-2</v>
      </c>
      <c r="R1072">
        <v>0.98979345830173304</v>
      </c>
      <c r="S1072" t="s">
        <v>6623</v>
      </c>
      <c r="T1072" t="s">
        <v>11100</v>
      </c>
      <c r="U1072" t="s">
        <v>11100</v>
      </c>
      <c r="V1072" t="s">
        <v>11100</v>
      </c>
      <c r="W1072" t="s">
        <v>12150</v>
      </c>
      <c r="X1072">
        <v>2</v>
      </c>
      <c r="Y1072" t="s">
        <v>17644</v>
      </c>
      <c r="Z1072" t="s">
        <v>23077</v>
      </c>
      <c r="AA1072">
        <v>0.49852221156066628</v>
      </c>
      <c r="AB1072" t="str">
        <f>HYPERLINK("Melting_Curves/meltCurve_J3QTQ0_DST.pdf", "Melting_Curves/meltCurve_J3QTQ0_DST.pdf")</f>
        <v>Melting_Curves/meltCurve_J3QTQ0_DST.pdf</v>
      </c>
    </row>
    <row r="1073" spans="1:28" x14ac:dyDescent="0.25">
      <c r="A1073" t="s">
        <v>1077</v>
      </c>
      <c r="B1073">
        <v>0.99299721793515405</v>
      </c>
      <c r="C1073">
        <v>0.85724415723460901</v>
      </c>
      <c r="D1073">
        <v>0.72683938114691304</v>
      </c>
      <c r="E1073">
        <v>0.56665502616656405</v>
      </c>
      <c r="F1073">
        <v>0.50173170753896901</v>
      </c>
      <c r="G1073">
        <v>0.47362940064311299</v>
      </c>
      <c r="H1073">
        <v>0.449621498233158</v>
      </c>
      <c r="I1073">
        <v>0.29830654415949798</v>
      </c>
      <c r="J1073">
        <v>0.14444296859068201</v>
      </c>
      <c r="K1073">
        <v>0.182672258069561</v>
      </c>
      <c r="L1073">
        <v>306.131385975348</v>
      </c>
      <c r="M1073">
        <v>5.97858064034829</v>
      </c>
      <c r="N1073">
        <v>51.204692859759902</v>
      </c>
      <c r="O1073">
        <v>46.356199215626603</v>
      </c>
      <c r="P1073">
        <v>-3.2348369489048602E-2</v>
      </c>
      <c r="Q1073">
        <v>0</v>
      </c>
      <c r="R1073">
        <v>0.94769775378473198</v>
      </c>
      <c r="S1073" t="s">
        <v>6624</v>
      </c>
      <c r="T1073" t="s">
        <v>11100</v>
      </c>
      <c r="U1073" t="s">
        <v>11100</v>
      </c>
      <c r="V1073" t="s">
        <v>11100</v>
      </c>
      <c r="W1073" t="s">
        <v>12151</v>
      </c>
      <c r="X1073">
        <v>1</v>
      </c>
      <c r="Y1073" t="s">
        <v>17645</v>
      </c>
      <c r="Z1073" t="s">
        <v>23078</v>
      </c>
      <c r="AA1073">
        <v>0.50966090325922209</v>
      </c>
      <c r="AB1073" t="str">
        <f>HYPERLINK("Melting_Curves/meltCurve_J9JIC5_C17orf75.pdf", "Melting_Curves/meltCurve_J9JIC5_C17orf75.pdf")</f>
        <v>Melting_Curves/meltCurve_J9JIC5_C17orf75.pdf</v>
      </c>
    </row>
    <row r="1074" spans="1:28" x14ac:dyDescent="0.25">
      <c r="A1074" t="s">
        <v>1078</v>
      </c>
      <c r="B1074">
        <v>0.99299721793515405</v>
      </c>
      <c r="C1074">
        <v>0.99153160166232601</v>
      </c>
      <c r="D1074">
        <v>0.93594757594470901</v>
      </c>
      <c r="E1074">
        <v>0.85879149116799902</v>
      </c>
      <c r="F1074">
        <v>0.77362038209122697</v>
      </c>
      <c r="G1074">
        <v>0.54842043735757695</v>
      </c>
      <c r="H1074">
        <v>0.26416194145030503</v>
      </c>
      <c r="I1074">
        <v>0.18985850927091699</v>
      </c>
      <c r="J1074">
        <v>0.14179757444227201</v>
      </c>
      <c r="K1074">
        <v>0.12104882286407601</v>
      </c>
      <c r="L1074">
        <v>783.98470694494802</v>
      </c>
      <c r="M1074">
        <v>14.636546476563501</v>
      </c>
      <c r="N1074">
        <v>54.019344307136699</v>
      </c>
      <c r="O1074">
        <v>52.593423064738403</v>
      </c>
      <c r="P1074">
        <v>-6.5539612476331E-2</v>
      </c>
      <c r="Q1074">
        <v>5.8092043058990898E-2</v>
      </c>
      <c r="R1074">
        <v>0.99295242044258702</v>
      </c>
      <c r="S1074" t="s">
        <v>6625</v>
      </c>
      <c r="T1074" t="s">
        <v>11100</v>
      </c>
      <c r="U1074" t="s">
        <v>11100</v>
      </c>
      <c r="V1074" t="s">
        <v>11100</v>
      </c>
      <c r="W1074" t="s">
        <v>12152</v>
      </c>
      <c r="X1074">
        <v>29</v>
      </c>
      <c r="Y1074" t="s">
        <v>17646</v>
      </c>
      <c r="Z1074" t="s">
        <v>23079</v>
      </c>
      <c r="AA1074">
        <v>0.59443672488296306</v>
      </c>
      <c r="AB1074" t="str">
        <f>HYPERLINK("Melting_Curves/meltCurve_J9JID7_LMNB2.pdf", "Melting_Curves/meltCurve_J9JID7_LMNB2.pdf")</f>
        <v>Melting_Curves/meltCurve_J9JID7_LMNB2.pdf</v>
      </c>
    </row>
    <row r="1075" spans="1:28" x14ac:dyDescent="0.25">
      <c r="A1075" t="s">
        <v>1079</v>
      </c>
      <c r="B1075">
        <v>0.99299721793515405</v>
      </c>
      <c r="C1075">
        <v>0.92880579397296403</v>
      </c>
      <c r="D1075">
        <v>0.87897026111044096</v>
      </c>
      <c r="E1075">
        <v>0.85257051500752801</v>
      </c>
      <c r="F1075">
        <v>0.73762974623102295</v>
      </c>
      <c r="G1075">
        <v>0.51220363803366098</v>
      </c>
      <c r="H1075">
        <v>0.31464196838195402</v>
      </c>
      <c r="I1075">
        <v>0.20581566458947401</v>
      </c>
      <c r="J1075">
        <v>0.18241984062858799</v>
      </c>
      <c r="K1075">
        <v>0.13549188460244399</v>
      </c>
      <c r="L1075">
        <v>583.18556981274799</v>
      </c>
      <c r="M1075">
        <v>10.846220770070699</v>
      </c>
      <c r="N1075">
        <v>53.958071511337202</v>
      </c>
      <c r="O1075">
        <v>52.037600518426501</v>
      </c>
      <c r="P1075">
        <v>-5.1151969046367297E-2</v>
      </c>
      <c r="Q1075">
        <v>1.8689356681823401E-2</v>
      </c>
      <c r="R1075">
        <v>0.98986838208948102</v>
      </c>
      <c r="S1075" t="s">
        <v>6626</v>
      </c>
      <c r="T1075" t="s">
        <v>11100</v>
      </c>
      <c r="U1075" t="s">
        <v>11100</v>
      </c>
      <c r="V1075" t="s">
        <v>11100</v>
      </c>
      <c r="W1075" t="s">
        <v>12153</v>
      </c>
      <c r="X1075">
        <v>2</v>
      </c>
      <c r="Y1075" t="s">
        <v>17647</v>
      </c>
      <c r="Z1075" t="s">
        <v>23080</v>
      </c>
      <c r="AA1075">
        <v>0.5857821571748355</v>
      </c>
      <c r="AB1075" t="str">
        <f>HYPERLINK("Melting_Curves/meltCurve_J9JID9_PITPNC1.pdf", "Melting_Curves/meltCurve_J9JID9_PITPNC1.pdf")</f>
        <v>Melting_Curves/meltCurve_J9JID9_PITPNC1.pdf</v>
      </c>
    </row>
    <row r="1076" spans="1:28" x14ac:dyDescent="0.25">
      <c r="A1076" t="s">
        <v>1080</v>
      </c>
      <c r="B1076">
        <v>0.99299721793515405</v>
      </c>
      <c r="C1076">
        <v>1.07335587943636</v>
      </c>
      <c r="D1076">
        <v>0.86980594231224795</v>
      </c>
      <c r="E1076">
        <v>0.83084869575456</v>
      </c>
      <c r="F1076">
        <v>0.760150507833256</v>
      </c>
      <c r="G1076">
        <v>0.56116007747705798</v>
      </c>
      <c r="H1076">
        <v>0.50660753927704605</v>
      </c>
      <c r="I1076">
        <v>0.33198958473589502</v>
      </c>
      <c r="J1076">
        <v>0.14118531658642999</v>
      </c>
      <c r="K1076">
        <v>9.6125238819230296E-2</v>
      </c>
      <c r="L1076">
        <v>560.60662648308505</v>
      </c>
      <c r="M1076">
        <v>10.0789683279804</v>
      </c>
      <c r="N1076">
        <v>55.621419343355399</v>
      </c>
      <c r="O1076">
        <v>53.564972975559598</v>
      </c>
      <c r="P1076">
        <v>-4.7063056018330503E-2</v>
      </c>
      <c r="Q1076">
        <v>0</v>
      </c>
      <c r="R1076">
        <v>0.96819580989619902</v>
      </c>
      <c r="S1076" t="s">
        <v>6627</v>
      </c>
      <c r="T1076" t="s">
        <v>11100</v>
      </c>
      <c r="U1076" t="s">
        <v>11100</v>
      </c>
      <c r="V1076" t="s">
        <v>11100</v>
      </c>
      <c r="W1076" t="s">
        <v>12154</v>
      </c>
      <c r="X1076">
        <v>4</v>
      </c>
      <c r="Y1076" t="s">
        <v>17648</v>
      </c>
      <c r="Z1076" t="s">
        <v>23081</v>
      </c>
      <c r="AA1076">
        <v>0.62935027085261852</v>
      </c>
      <c r="AB1076" t="str">
        <f>HYPERLINK("Melting_Curves/meltCurve_J9JIE6_TMCO1.pdf", "Melting_Curves/meltCurve_J9JIE6_TMCO1.pdf")</f>
        <v>Melting_Curves/meltCurve_J9JIE6_TMCO1.pdf</v>
      </c>
    </row>
    <row r="1077" spans="1:28" x14ac:dyDescent="0.25">
      <c r="A1077" t="s">
        <v>1081</v>
      </c>
      <c r="B1077">
        <v>0.99299721793515405</v>
      </c>
      <c r="C1077">
        <v>0.94073499365800695</v>
      </c>
      <c r="D1077">
        <v>0.73539172310185297</v>
      </c>
      <c r="E1077">
        <v>0.89159072916582405</v>
      </c>
      <c r="F1077">
        <v>0.75145360800442595</v>
      </c>
      <c r="G1077">
        <v>0.60472196128127498</v>
      </c>
      <c r="H1077">
        <v>0.41451170257644399</v>
      </c>
      <c r="I1077">
        <v>0.446103801649123</v>
      </c>
      <c r="J1077">
        <v>0.42554653674221798</v>
      </c>
      <c r="K1077">
        <v>0.32981700700938099</v>
      </c>
      <c r="L1077">
        <v>352.50587079123198</v>
      </c>
      <c r="M1077">
        <v>6.3650515316628802</v>
      </c>
      <c r="N1077">
        <v>57.900287160938397</v>
      </c>
      <c r="O1077">
        <v>50.671332332428399</v>
      </c>
      <c r="P1077">
        <v>-2.76781787441483E-2</v>
      </c>
      <c r="Q1077">
        <v>0.120933872480118</v>
      </c>
      <c r="R1077">
        <v>0.91551270761600201</v>
      </c>
      <c r="S1077" t="s">
        <v>6628</v>
      </c>
      <c r="T1077" t="s">
        <v>11100</v>
      </c>
      <c r="U1077" t="s">
        <v>11100</v>
      </c>
      <c r="V1077" t="s">
        <v>11100</v>
      </c>
      <c r="W1077" t="s">
        <v>12155</v>
      </c>
      <c r="X1077">
        <v>1</v>
      </c>
      <c r="Y1077" t="s">
        <v>17649</v>
      </c>
      <c r="Z1077" t="s">
        <v>23082</v>
      </c>
      <c r="AA1077">
        <v>0.65423150129357854</v>
      </c>
      <c r="AB1077" t="str">
        <f>HYPERLINK("Melting_Curves/meltCurve_J9JIG6_ARSG.pdf", "Melting_Curves/meltCurve_J9JIG6_ARSG.pdf")</f>
        <v>Melting_Curves/meltCurve_J9JIG6_ARSG.pdf</v>
      </c>
    </row>
    <row r="1078" spans="1:28" x14ac:dyDescent="0.25">
      <c r="A1078" t="s">
        <v>1082</v>
      </c>
      <c r="B1078">
        <v>0.99299721793515405</v>
      </c>
      <c r="C1078">
        <v>0.82259696840936802</v>
      </c>
      <c r="D1078">
        <v>0.87058518928212603</v>
      </c>
      <c r="E1078">
        <v>0.79999787280130796</v>
      </c>
      <c r="F1078">
        <v>0.598802319740384</v>
      </c>
      <c r="G1078">
        <v>0.26711384426606699</v>
      </c>
      <c r="H1078">
        <v>0.24836429543614599</v>
      </c>
      <c r="I1078">
        <v>0.26600717168743399</v>
      </c>
      <c r="J1078">
        <v>0.180091251708137</v>
      </c>
      <c r="K1078">
        <v>0.171730284376129</v>
      </c>
      <c r="L1078">
        <v>637.718631171482</v>
      </c>
      <c r="M1078">
        <v>12.8401003496258</v>
      </c>
      <c r="N1078">
        <v>50.944130635876803</v>
      </c>
      <c r="O1078">
        <v>48.507733330136197</v>
      </c>
      <c r="P1078">
        <v>-5.7074598416052703E-2</v>
      </c>
      <c r="Q1078">
        <v>0.13768684461783501</v>
      </c>
      <c r="R1078">
        <v>0.95607792055087104</v>
      </c>
      <c r="S1078" t="s">
        <v>6629</v>
      </c>
      <c r="T1078" t="s">
        <v>11100</v>
      </c>
      <c r="U1078" t="s">
        <v>11100</v>
      </c>
      <c r="V1078" t="s">
        <v>11100</v>
      </c>
      <c r="W1078" t="s">
        <v>12156</v>
      </c>
      <c r="X1078">
        <v>2</v>
      </c>
      <c r="Y1078" t="s">
        <v>17650</v>
      </c>
      <c r="Z1078" t="s">
        <v>23083</v>
      </c>
      <c r="AA1078">
        <v>0.52439349563108817</v>
      </c>
      <c r="AB1078" t="str">
        <f>HYPERLINK("Melting_Curves/meltCurve_K4DI92_RWDD4.pdf", "Melting_Curves/meltCurve_K4DI92_RWDD4.pdf")</f>
        <v>Melting_Curves/meltCurve_K4DI92_RWDD4.pdf</v>
      </c>
    </row>
    <row r="1079" spans="1:28" x14ac:dyDescent="0.25">
      <c r="A1079" t="s">
        <v>1083</v>
      </c>
      <c r="B1079">
        <v>0.99299721793515405</v>
      </c>
      <c r="C1079">
        <v>0.92240838524149105</v>
      </c>
      <c r="D1079">
        <v>0.91812861613996</v>
      </c>
      <c r="E1079">
        <v>0.80530187770470096</v>
      </c>
      <c r="F1079">
        <v>0.70986985809065795</v>
      </c>
      <c r="G1079">
        <v>0.85502684474670998</v>
      </c>
      <c r="H1079">
        <v>1.0775519803361699</v>
      </c>
      <c r="I1079">
        <v>0.52744889706268405</v>
      </c>
      <c r="J1079">
        <v>0.214153443967083</v>
      </c>
      <c r="K1079">
        <v>0.18311921814607801</v>
      </c>
      <c r="L1079">
        <v>11040.924069861399</v>
      </c>
      <c r="M1079">
        <v>181.36120332559901</v>
      </c>
      <c r="N1079">
        <v>61.048462753167897</v>
      </c>
      <c r="O1079">
        <v>60.870690200982999</v>
      </c>
      <c r="P1079">
        <v>-0.59694153007080297</v>
      </c>
      <c r="Q1079">
        <v>0.19858840393916899</v>
      </c>
      <c r="R1079">
        <v>0.81744133145015196</v>
      </c>
      <c r="S1079" t="s">
        <v>6630</v>
      </c>
      <c r="T1079" t="s">
        <v>11100</v>
      </c>
      <c r="U1079" t="s">
        <v>11100</v>
      </c>
      <c r="V1079" t="s">
        <v>11100</v>
      </c>
      <c r="W1079" t="s">
        <v>12157</v>
      </c>
      <c r="X1079">
        <v>13</v>
      </c>
      <c r="Y1079" t="s">
        <v>17651</v>
      </c>
      <c r="Z1079" t="s">
        <v>23084</v>
      </c>
      <c r="AA1079">
        <v>0.8366238011073206</v>
      </c>
      <c r="AB1079" t="str">
        <f>HYPERLINK("Melting_Curves/meltCurve_K4DI93_CUL4B.pdf", "Melting_Curves/meltCurve_K4DI93_CUL4B.pdf")</f>
        <v>Melting_Curves/meltCurve_K4DI93_CUL4B.pdf</v>
      </c>
    </row>
    <row r="1080" spans="1:28" x14ac:dyDescent="0.25">
      <c r="A1080" t="s">
        <v>1084</v>
      </c>
      <c r="B1080">
        <v>0.99299721793515405</v>
      </c>
      <c r="C1080">
        <v>1.0346512217492501</v>
      </c>
      <c r="D1080">
        <v>0.96624058114146805</v>
      </c>
      <c r="E1080">
        <v>0.77595681643745296</v>
      </c>
      <c r="F1080">
        <v>0.62588998629518</v>
      </c>
      <c r="G1080">
        <v>0.36684115400718498</v>
      </c>
      <c r="H1080">
        <v>0.27265537357022102</v>
      </c>
      <c r="I1080">
        <v>0.22018358860146001</v>
      </c>
      <c r="J1080">
        <v>0.195109829909311</v>
      </c>
      <c r="K1080">
        <v>0.14288298636107499</v>
      </c>
      <c r="L1080">
        <v>768.96801354536206</v>
      </c>
      <c r="M1080">
        <v>15.2173974610433</v>
      </c>
      <c r="N1080">
        <v>51.723264061454103</v>
      </c>
      <c r="O1080">
        <v>49.683621262189298</v>
      </c>
      <c r="P1080">
        <v>-6.52598779909042E-2</v>
      </c>
      <c r="Q1080">
        <v>0.14780761713139901</v>
      </c>
      <c r="R1080">
        <v>0.99405427499353505</v>
      </c>
      <c r="S1080" t="s">
        <v>6631</v>
      </c>
      <c r="T1080" t="s">
        <v>11100</v>
      </c>
      <c r="U1080" t="s">
        <v>11100</v>
      </c>
      <c r="V1080" t="s">
        <v>11100</v>
      </c>
      <c r="W1080" t="s">
        <v>12158</v>
      </c>
      <c r="X1080">
        <v>1</v>
      </c>
      <c r="Y1080" t="s">
        <v>17652</v>
      </c>
      <c r="Z1080" t="s">
        <v>23085</v>
      </c>
      <c r="AA1080">
        <v>0.54934701523236729</v>
      </c>
      <c r="AB1080" t="str">
        <f>HYPERLINK("Melting_Curves/meltCurve_K7EID0_MLX.pdf", "Melting_Curves/meltCurve_K7EID0_MLX.pdf")</f>
        <v>Melting_Curves/meltCurve_K7EID0_MLX.pdf</v>
      </c>
    </row>
    <row r="1081" spans="1:28" x14ac:dyDescent="0.25">
      <c r="A1081" t="s">
        <v>1085</v>
      </c>
      <c r="B1081">
        <v>0.99299721793515405</v>
      </c>
      <c r="C1081">
        <v>0.71330080665570506</v>
      </c>
      <c r="D1081">
        <v>1.21729397500332</v>
      </c>
      <c r="E1081">
        <v>0.74280201588980499</v>
      </c>
      <c r="F1081">
        <v>0.75154416821067005</v>
      </c>
      <c r="G1081">
        <v>1.15538688786865</v>
      </c>
      <c r="H1081">
        <v>0.64689544995718795</v>
      </c>
      <c r="I1081">
        <v>0.94278956119618196</v>
      </c>
      <c r="J1081">
        <v>0.71897734527183399</v>
      </c>
      <c r="K1081">
        <v>1.3691329892850601</v>
      </c>
      <c r="L1081">
        <v>15000</v>
      </c>
      <c r="M1081">
        <v>224.91588253940799</v>
      </c>
      <c r="O1081">
        <v>66.686326977566793</v>
      </c>
      <c r="P1081">
        <v>0.42159295094218302</v>
      </c>
      <c r="Q1081">
        <v>1.5</v>
      </c>
      <c r="R1081">
        <v>0.140953554159331</v>
      </c>
      <c r="S1081" t="s">
        <v>6632</v>
      </c>
      <c r="T1081" t="s">
        <v>11100</v>
      </c>
      <c r="U1081" t="s">
        <v>11100</v>
      </c>
      <c r="V1081" t="s">
        <v>11100</v>
      </c>
      <c r="W1081" t="s">
        <v>12159</v>
      </c>
      <c r="X1081">
        <v>2</v>
      </c>
      <c r="Y1081" t="s">
        <v>17653</v>
      </c>
      <c r="Z1081" t="s">
        <v>23086</v>
      </c>
      <c r="AA1081">
        <v>1.0065982645177229</v>
      </c>
      <c r="AB1081" t="str">
        <f>HYPERLINK("Melting_Curves/meltCurve_K7EIE8_MBD3.pdf", "Melting_Curves/meltCurve_K7EIE8_MBD3.pdf")</f>
        <v>Melting_Curves/meltCurve_K7EIE8_MBD3.pdf</v>
      </c>
    </row>
    <row r="1082" spans="1:28" x14ac:dyDescent="0.25">
      <c r="A1082" t="s">
        <v>1086</v>
      </c>
      <c r="B1082">
        <v>0.99299721793515405</v>
      </c>
      <c r="C1082">
        <v>0.94080065435485205</v>
      </c>
      <c r="D1082">
        <v>0.89117146088348198</v>
      </c>
      <c r="E1082">
        <v>0.79629452933795397</v>
      </c>
      <c r="F1082">
        <v>0.72098284119257605</v>
      </c>
      <c r="G1082">
        <v>0.35385164541731801</v>
      </c>
      <c r="H1082">
        <v>0.22317336460561199</v>
      </c>
      <c r="I1082">
        <v>0.202404683843741</v>
      </c>
      <c r="J1082">
        <v>0.17275079107626001</v>
      </c>
      <c r="K1082">
        <v>0.14190235993735401</v>
      </c>
      <c r="L1082">
        <v>734.05484538356995</v>
      </c>
      <c r="M1082">
        <v>14.3166879746157</v>
      </c>
      <c r="N1082">
        <v>52.134206245863602</v>
      </c>
      <c r="O1082">
        <v>50.3034434845693</v>
      </c>
      <c r="P1082">
        <v>-6.3664079109680999E-2</v>
      </c>
      <c r="Q1082">
        <v>0.10534219973783999</v>
      </c>
      <c r="R1082">
        <v>0.98108667775508895</v>
      </c>
      <c r="S1082" t="s">
        <v>6633</v>
      </c>
      <c r="T1082" t="s">
        <v>11100</v>
      </c>
      <c r="U1082" t="s">
        <v>11100</v>
      </c>
      <c r="V1082" t="s">
        <v>11100</v>
      </c>
      <c r="W1082" t="s">
        <v>12046</v>
      </c>
      <c r="X1082">
        <v>19</v>
      </c>
      <c r="Y1082" t="s">
        <v>17540</v>
      </c>
      <c r="Z1082" t="s">
        <v>23087</v>
      </c>
      <c r="AA1082">
        <v>0.54982576741499645</v>
      </c>
      <c r="AB1082" t="str">
        <f>HYPERLINK("Melting_Curves/meltCurve_K7EIG1_CLUH.pdf", "Melting_Curves/meltCurve_K7EIG1_CLUH.pdf")</f>
        <v>Melting_Curves/meltCurve_K7EIG1_CLUH.pdf</v>
      </c>
    </row>
    <row r="1083" spans="1:28" x14ac:dyDescent="0.25">
      <c r="A1083" t="s">
        <v>1087</v>
      </c>
      <c r="B1083">
        <v>0.99299721793515405</v>
      </c>
      <c r="C1083">
        <v>0.92954307633381605</v>
      </c>
      <c r="D1083">
        <v>1.0279134638112799</v>
      </c>
      <c r="E1083">
        <v>0.81406427310769702</v>
      </c>
      <c r="F1083">
        <v>0.84468947425010299</v>
      </c>
      <c r="G1083">
        <v>0.72466222596702901</v>
      </c>
      <c r="H1083">
        <v>0.39419078851488798</v>
      </c>
      <c r="I1083">
        <v>0.20062629546510999</v>
      </c>
      <c r="J1083">
        <v>0.19679600949189399</v>
      </c>
      <c r="K1083">
        <v>0.16715063205459099</v>
      </c>
      <c r="L1083">
        <v>821.92963468031598</v>
      </c>
      <c r="M1083">
        <v>14.803761376597899</v>
      </c>
      <c r="N1083">
        <v>56.076883012097198</v>
      </c>
      <c r="O1083">
        <v>54.538086238177897</v>
      </c>
      <c r="P1083">
        <v>-6.3240689216441798E-2</v>
      </c>
      <c r="Q1083">
        <v>6.8167055949425806E-2</v>
      </c>
      <c r="R1083">
        <v>0.96669830450133698</v>
      </c>
      <c r="S1083" t="s">
        <v>6634</v>
      </c>
      <c r="T1083" t="s">
        <v>11100</v>
      </c>
      <c r="U1083" t="s">
        <v>11100</v>
      </c>
      <c r="V1083" t="s">
        <v>11100</v>
      </c>
      <c r="W1083" t="s">
        <v>12160</v>
      </c>
      <c r="X1083">
        <v>12</v>
      </c>
      <c r="Y1083" t="s">
        <v>17654</v>
      </c>
      <c r="Z1083" t="s">
        <v>23088</v>
      </c>
      <c r="AA1083">
        <v>0.65541951153721334</v>
      </c>
      <c r="AB1083" t="str">
        <f>HYPERLINK("Melting_Curves/meltCurve_K7EIK7_EML2.pdf", "Melting_Curves/meltCurve_K7EIK7_EML2.pdf")</f>
        <v>Melting_Curves/meltCurve_K7EIK7_EML2.pdf</v>
      </c>
    </row>
    <row r="1084" spans="1:28" x14ac:dyDescent="0.25">
      <c r="A1084" t="s">
        <v>1088</v>
      </c>
      <c r="B1084">
        <v>0.99299721793515405</v>
      </c>
      <c r="C1084">
        <v>0.881327132988587</v>
      </c>
      <c r="D1084">
        <v>0.99299657834091604</v>
      </c>
      <c r="E1084">
        <v>0.70079173470285405</v>
      </c>
      <c r="F1084">
        <v>0.689372289732328</v>
      </c>
      <c r="G1084">
        <v>0.60129407157385295</v>
      </c>
      <c r="H1084">
        <v>0.28218950049350999</v>
      </c>
      <c r="I1084">
        <v>0.185314269958924</v>
      </c>
      <c r="J1084">
        <v>0.152768644868607</v>
      </c>
      <c r="K1084">
        <v>0.188285352763429</v>
      </c>
      <c r="L1084">
        <v>508.79987954447103</v>
      </c>
      <c r="M1084">
        <v>9.4890523965734594</v>
      </c>
      <c r="N1084">
        <v>53.619680759288698</v>
      </c>
      <c r="O1084">
        <v>51.400261625242898</v>
      </c>
      <c r="P1084">
        <v>-4.6180162564586402E-2</v>
      </c>
      <c r="Q1084">
        <v>0</v>
      </c>
      <c r="R1084">
        <v>0.952953386940809</v>
      </c>
      <c r="S1084" t="s">
        <v>6635</v>
      </c>
      <c r="T1084" t="s">
        <v>11100</v>
      </c>
      <c r="U1084" t="s">
        <v>11100</v>
      </c>
      <c r="V1084" t="s">
        <v>11100</v>
      </c>
      <c r="W1084" t="s">
        <v>11939</v>
      </c>
      <c r="X1084">
        <v>3</v>
      </c>
      <c r="Z1084" t="s">
        <v>23089</v>
      </c>
      <c r="AA1084">
        <v>0.57323739472497504</v>
      </c>
      <c r="AB1084" t="str">
        <f>HYPERLINK("Melting_Curves/meltCurve_K7EIL6_.pdf", "Melting_Curves/meltCurve_K7EIL6_.pdf")</f>
        <v>Melting_Curves/meltCurve_K7EIL6_.pdf</v>
      </c>
    </row>
    <row r="1085" spans="1:28" x14ac:dyDescent="0.25">
      <c r="A1085" t="s">
        <v>1089</v>
      </c>
      <c r="B1085">
        <v>0.99299721793515405</v>
      </c>
      <c r="C1085">
        <v>1.04796672466412</v>
      </c>
      <c r="D1085">
        <v>0.91224451398759299</v>
      </c>
      <c r="E1085">
        <v>0.897716595516031</v>
      </c>
      <c r="F1085">
        <v>0.97414064721419502</v>
      </c>
      <c r="G1085">
        <v>0.56779648881210099</v>
      </c>
      <c r="H1085">
        <v>0.45835966653962301</v>
      </c>
      <c r="I1085">
        <v>0.37677999118205902</v>
      </c>
      <c r="J1085">
        <v>0.30331228193712501</v>
      </c>
      <c r="K1085">
        <v>0.30221221613176802</v>
      </c>
      <c r="L1085">
        <v>1531.65168506025</v>
      </c>
      <c r="M1085">
        <v>28.724542270842001</v>
      </c>
      <c r="N1085">
        <v>55.374718916915</v>
      </c>
      <c r="O1085">
        <v>53.065621843078901</v>
      </c>
      <c r="P1085">
        <v>-9.0993673381963902E-2</v>
      </c>
      <c r="Q1085">
        <v>0.32759953531310998</v>
      </c>
      <c r="R1085">
        <v>0.96315021932183698</v>
      </c>
      <c r="S1085" t="s">
        <v>6636</v>
      </c>
      <c r="T1085" t="s">
        <v>11100</v>
      </c>
      <c r="U1085" t="s">
        <v>11100</v>
      </c>
      <c r="V1085" t="s">
        <v>11100</v>
      </c>
      <c r="W1085" t="s">
        <v>12161</v>
      </c>
      <c r="X1085">
        <v>1</v>
      </c>
      <c r="Y1085" t="s">
        <v>17655</v>
      </c>
      <c r="Z1085" t="s">
        <v>23090</v>
      </c>
      <c r="AA1085">
        <v>0.69807465390780521</v>
      </c>
      <c r="AB1085" t="str">
        <f>HYPERLINK("Melting_Curves/meltCurve_K7EIP7_YIPF2.pdf", "Melting_Curves/meltCurve_K7EIP7_YIPF2.pdf")</f>
        <v>Melting_Curves/meltCurve_K7EIP7_YIPF2.pdf</v>
      </c>
    </row>
    <row r="1086" spans="1:28" x14ac:dyDescent="0.25">
      <c r="A1086" t="s">
        <v>1090</v>
      </c>
      <c r="B1086">
        <v>0.99299721793515405</v>
      </c>
      <c r="C1086">
        <v>1.02458491655922</v>
      </c>
      <c r="D1086">
        <v>0.97837852042520701</v>
      </c>
      <c r="E1086">
        <v>0.85919699026135399</v>
      </c>
      <c r="F1086">
        <v>0.61762722489296196</v>
      </c>
      <c r="G1086">
        <v>0.51924618412311596</v>
      </c>
      <c r="H1086">
        <v>0.384350282466978</v>
      </c>
      <c r="I1086">
        <v>0.29949300169273402</v>
      </c>
      <c r="J1086">
        <v>0.188408614729068</v>
      </c>
      <c r="K1086">
        <v>6.5962085226231301E-2</v>
      </c>
      <c r="L1086">
        <v>547.51379776162105</v>
      </c>
      <c r="M1086">
        <v>10.0942043457033</v>
      </c>
      <c r="N1086">
        <v>54.240411507263303</v>
      </c>
      <c r="O1086">
        <v>52.240706645812999</v>
      </c>
      <c r="P1086">
        <v>-4.8328895162100899E-2</v>
      </c>
      <c r="Q1086">
        <v>0</v>
      </c>
      <c r="R1086">
        <v>0.98441986346941102</v>
      </c>
      <c r="S1086" t="s">
        <v>6637</v>
      </c>
      <c r="T1086" t="s">
        <v>11100</v>
      </c>
      <c r="U1086" t="s">
        <v>11100</v>
      </c>
      <c r="V1086" t="s">
        <v>11100</v>
      </c>
      <c r="W1086" t="s">
        <v>12162</v>
      </c>
      <c r="X1086">
        <v>3</v>
      </c>
      <c r="Y1086" t="s">
        <v>17656</v>
      </c>
      <c r="Z1086" t="s">
        <v>23091</v>
      </c>
      <c r="AA1086">
        <v>0.59111073116247292</v>
      </c>
      <c r="AB1086" t="str">
        <f>HYPERLINK("Melting_Curves/meltCurve_K7EIS0_TUBG1.pdf", "Melting_Curves/meltCurve_K7EIS0_TUBG1.pdf")</f>
        <v>Melting_Curves/meltCurve_K7EIS0_TUBG1.pdf</v>
      </c>
    </row>
    <row r="1087" spans="1:28" x14ac:dyDescent="0.25">
      <c r="A1087" t="s">
        <v>1091</v>
      </c>
      <c r="B1087">
        <v>0.99299721793515405</v>
      </c>
      <c r="C1087">
        <v>0.96707998326719402</v>
      </c>
      <c r="D1087">
        <v>1.0430376020446901</v>
      </c>
      <c r="E1087">
        <v>0.86104753160179703</v>
      </c>
      <c r="F1087">
        <v>0.71252087305767797</v>
      </c>
      <c r="G1087">
        <v>0.58261946517017904</v>
      </c>
      <c r="H1087">
        <v>0.33751872557760398</v>
      </c>
      <c r="I1087">
        <v>0.26402683973990398</v>
      </c>
      <c r="J1087">
        <v>0.30588452083954099</v>
      </c>
      <c r="K1087">
        <v>0.235773915318404</v>
      </c>
      <c r="L1087">
        <v>801.59232998740799</v>
      </c>
      <c r="M1087">
        <v>15.3200940945074</v>
      </c>
      <c r="N1087">
        <v>54.335591721425999</v>
      </c>
      <c r="O1087">
        <v>51.4557413855037</v>
      </c>
      <c r="P1087">
        <v>-5.8322319441075798E-2</v>
      </c>
      <c r="Q1087">
        <v>0.21652197342715301</v>
      </c>
      <c r="R1087">
        <v>0.98431522716131603</v>
      </c>
      <c r="S1087" t="s">
        <v>6638</v>
      </c>
      <c r="T1087" t="s">
        <v>11100</v>
      </c>
      <c r="U1087" t="s">
        <v>11100</v>
      </c>
      <c r="V1087" t="s">
        <v>11100</v>
      </c>
      <c r="W1087" t="s">
        <v>12163</v>
      </c>
      <c r="X1087">
        <v>8</v>
      </c>
      <c r="Y1087" t="s">
        <v>17657</v>
      </c>
      <c r="Z1087" t="s">
        <v>23092</v>
      </c>
      <c r="AA1087">
        <v>0.63104794884539828</v>
      </c>
      <c r="AB1087" t="str">
        <f>HYPERLINK("Melting_Curves/meltCurve_K7EIU8_SMAD4.pdf", "Melting_Curves/meltCurve_K7EIU8_SMAD4.pdf")</f>
        <v>Melting_Curves/meltCurve_K7EIU8_SMAD4.pdf</v>
      </c>
    </row>
    <row r="1088" spans="1:28" x14ac:dyDescent="0.25">
      <c r="A1088" t="s">
        <v>1092</v>
      </c>
      <c r="B1088">
        <v>0.99299721793515405</v>
      </c>
      <c r="C1088">
        <v>1.1894484013000399</v>
      </c>
      <c r="D1088">
        <v>0.94418051918291201</v>
      </c>
      <c r="E1088">
        <v>0.97054287386667804</v>
      </c>
      <c r="F1088">
        <v>0.62643934988224803</v>
      </c>
      <c r="G1088">
        <v>0.19648033901970599</v>
      </c>
      <c r="H1088">
        <v>0.15566864573423</v>
      </c>
      <c r="I1088">
        <v>0.121731798678828</v>
      </c>
      <c r="J1088">
        <v>0.115742803604641</v>
      </c>
      <c r="K1088">
        <v>8.63454273338847E-2</v>
      </c>
      <c r="L1088">
        <v>1883.0834600748101</v>
      </c>
      <c r="M1088">
        <v>37.200429344584101</v>
      </c>
      <c r="N1088">
        <v>50.978451694853497</v>
      </c>
      <c r="O1088">
        <v>50.4743382438037</v>
      </c>
      <c r="P1088">
        <v>-0.163047308548016</v>
      </c>
      <c r="Q1088">
        <v>0.115098360366443</v>
      </c>
      <c r="R1088">
        <v>0.97747921649626801</v>
      </c>
      <c r="S1088" t="s">
        <v>6639</v>
      </c>
      <c r="T1088" t="s">
        <v>11100</v>
      </c>
      <c r="U1088" t="s">
        <v>11100</v>
      </c>
      <c r="V1088" t="s">
        <v>11100</v>
      </c>
      <c r="W1088" t="s">
        <v>12164</v>
      </c>
      <c r="X1088">
        <v>2</v>
      </c>
      <c r="Y1088" t="s">
        <v>17658</v>
      </c>
      <c r="Z1088" t="s">
        <v>23093</v>
      </c>
      <c r="AA1088">
        <v>0.5204192642059785</v>
      </c>
      <c r="AB1088" t="str">
        <f>HYPERLINK("Melting_Curves/meltCurve_K7EJ08_SEC14L1.pdf", "Melting_Curves/meltCurve_K7EJ08_SEC14L1.pdf")</f>
        <v>Melting_Curves/meltCurve_K7EJ08_SEC14L1.pdf</v>
      </c>
    </row>
    <row r="1089" spans="1:28" x14ac:dyDescent="0.25">
      <c r="A1089" t="s">
        <v>1093</v>
      </c>
      <c r="B1089">
        <v>0.99299721793515405</v>
      </c>
      <c r="C1089">
        <v>0.95979049824504203</v>
      </c>
      <c r="D1089">
        <v>0.93763926316079205</v>
      </c>
      <c r="E1089">
        <v>0.78817159965476602</v>
      </c>
      <c r="F1089">
        <v>0.77736537747519796</v>
      </c>
      <c r="G1089">
        <v>0.57184822492308196</v>
      </c>
      <c r="H1089">
        <v>1.13966369770901</v>
      </c>
      <c r="I1089">
        <v>0.85862475924416004</v>
      </c>
      <c r="J1089">
        <v>0.682086832291255</v>
      </c>
      <c r="K1089">
        <v>0.64936244451120895</v>
      </c>
      <c r="L1089">
        <v>1932.5905896760401</v>
      </c>
      <c r="M1089">
        <v>44.102352944694097</v>
      </c>
      <c r="O1089">
        <v>43.730789038555699</v>
      </c>
      <c r="P1089">
        <v>-5.5733724372363597E-2</v>
      </c>
      <c r="Q1089">
        <v>0.77894375914313096</v>
      </c>
      <c r="R1089">
        <v>0.252669817455838</v>
      </c>
      <c r="S1089" t="s">
        <v>6640</v>
      </c>
      <c r="T1089" t="s">
        <v>11100</v>
      </c>
      <c r="U1089" t="s">
        <v>11100</v>
      </c>
      <c r="V1089" t="s">
        <v>11100</v>
      </c>
      <c r="W1089" t="s">
        <v>12165</v>
      </c>
      <c r="X1089">
        <v>1</v>
      </c>
      <c r="Y1089" t="s">
        <v>17659</v>
      </c>
      <c r="Z1089" t="s">
        <v>23094</v>
      </c>
      <c r="AA1089">
        <v>0.82975304390170701</v>
      </c>
      <c r="AB1089" t="str">
        <f>HYPERLINK("Melting_Curves/meltCurve_K7EJ78_RPS15.pdf", "Melting_Curves/meltCurve_K7EJ78_RPS15.pdf")</f>
        <v>Melting_Curves/meltCurve_K7EJ78_RPS15.pdf</v>
      </c>
    </row>
    <row r="1090" spans="1:28" x14ac:dyDescent="0.25">
      <c r="A1090" t="s">
        <v>1094</v>
      </c>
      <c r="B1090">
        <v>0.99299721793515405</v>
      </c>
      <c r="C1090">
        <v>0.95168223472503499</v>
      </c>
      <c r="D1090">
        <v>0.99358121602201599</v>
      </c>
      <c r="E1090">
        <v>0.85358814190382004</v>
      </c>
      <c r="F1090">
        <v>0.76546342904064502</v>
      </c>
      <c r="G1090">
        <v>0.44322205759162697</v>
      </c>
      <c r="H1090">
        <v>0.25033862313744598</v>
      </c>
      <c r="I1090">
        <v>0.232183188085133</v>
      </c>
      <c r="J1090">
        <v>0.229078970871058</v>
      </c>
      <c r="K1090">
        <v>0.17565174794510199</v>
      </c>
      <c r="L1090">
        <v>1006.24806261451</v>
      </c>
      <c r="M1090">
        <v>19.399802017224999</v>
      </c>
      <c r="N1090">
        <v>53.075638223404802</v>
      </c>
      <c r="O1090">
        <v>51.327268493519803</v>
      </c>
      <c r="P1090">
        <v>-7.7644116164447899E-2</v>
      </c>
      <c r="Q1090">
        <v>0.17831849896082999</v>
      </c>
      <c r="R1090">
        <v>0.98986658121341797</v>
      </c>
      <c r="S1090" t="s">
        <v>6641</v>
      </c>
      <c r="T1090" t="s">
        <v>11100</v>
      </c>
      <c r="U1090" t="s">
        <v>11100</v>
      </c>
      <c r="V1090" t="s">
        <v>11100</v>
      </c>
      <c r="W1090" t="s">
        <v>12166</v>
      </c>
      <c r="X1090">
        <v>7</v>
      </c>
      <c r="Y1090" t="s">
        <v>17660</v>
      </c>
      <c r="Z1090" t="s">
        <v>23095</v>
      </c>
      <c r="AA1090">
        <v>0.59672531738352452</v>
      </c>
      <c r="AB1090" t="str">
        <f>HYPERLINK("Melting_Curves/meltCurve_K7EJH0_SPC24.pdf", "Melting_Curves/meltCurve_K7EJH0_SPC24.pdf")</f>
        <v>Melting_Curves/meltCurve_K7EJH0_SPC24.pdf</v>
      </c>
    </row>
    <row r="1091" spans="1:28" x14ac:dyDescent="0.25">
      <c r="A1091" t="s">
        <v>1095</v>
      </c>
      <c r="B1091">
        <v>0.99299721793515405</v>
      </c>
      <c r="C1091">
        <v>0.96597170055220904</v>
      </c>
      <c r="D1091">
        <v>0.94502884024016898</v>
      </c>
      <c r="E1091">
        <v>0.892321696684934</v>
      </c>
      <c r="F1091">
        <v>0.70551805722853</v>
      </c>
      <c r="G1091">
        <v>0.53828659390903699</v>
      </c>
      <c r="H1091">
        <v>0.51986012762150602</v>
      </c>
      <c r="I1091">
        <v>0.56014124503113205</v>
      </c>
      <c r="J1091">
        <v>0.16036276722543399</v>
      </c>
      <c r="K1091">
        <v>0.103358814907426</v>
      </c>
      <c r="L1091">
        <v>492.70709114173098</v>
      </c>
      <c r="M1091">
        <v>8.7032219818562808</v>
      </c>
      <c r="N1091">
        <v>56.612030787035202</v>
      </c>
      <c r="O1091">
        <v>53.8614985961351</v>
      </c>
      <c r="P1091">
        <v>-4.0429597635566701E-2</v>
      </c>
      <c r="Q1091">
        <v>0</v>
      </c>
      <c r="R1091">
        <v>0.91785397078920095</v>
      </c>
      <c r="S1091" t="s">
        <v>6642</v>
      </c>
      <c r="T1091" t="s">
        <v>11100</v>
      </c>
      <c r="U1091" t="s">
        <v>11100</v>
      </c>
      <c r="V1091" t="s">
        <v>11100</v>
      </c>
      <c r="W1091" t="s">
        <v>12167</v>
      </c>
      <c r="X1091">
        <v>10</v>
      </c>
      <c r="Y1091" t="s">
        <v>17661</v>
      </c>
      <c r="Z1091" t="s">
        <v>23096</v>
      </c>
      <c r="AA1091">
        <v>0.65036510800863168</v>
      </c>
      <c r="AB1091" t="str">
        <f>HYPERLINK("Melting_Curves/meltCurve_K7EJL1_AP1M1.pdf", "Melting_Curves/meltCurve_K7EJL1_AP1M1.pdf")</f>
        <v>Melting_Curves/meltCurve_K7EJL1_AP1M1.pdf</v>
      </c>
    </row>
    <row r="1092" spans="1:28" x14ac:dyDescent="0.25">
      <c r="A1092" t="s">
        <v>1096</v>
      </c>
      <c r="B1092">
        <v>0.99299721793515405</v>
      </c>
      <c r="C1092">
        <v>1.0144130132950899</v>
      </c>
      <c r="D1092">
        <v>2.1468828313618298</v>
      </c>
      <c r="E1092">
        <v>1.1170209843591801</v>
      </c>
      <c r="F1092">
        <v>0.76702982859552604</v>
      </c>
      <c r="G1092">
        <v>1.27771058671283</v>
      </c>
      <c r="H1092">
        <v>0.46930597182357497</v>
      </c>
      <c r="I1092">
        <v>0.51380781616662297</v>
      </c>
      <c r="J1092">
        <v>0.76303570096594098</v>
      </c>
      <c r="K1092">
        <v>0.46614744759300097</v>
      </c>
      <c r="L1092">
        <v>13920.234250949199</v>
      </c>
      <c r="M1092">
        <v>250</v>
      </c>
      <c r="O1092">
        <v>55.677353303410101</v>
      </c>
      <c r="P1092">
        <v>-0.50173597789412006</v>
      </c>
      <c r="Q1092">
        <v>0.55303453419003101</v>
      </c>
      <c r="R1092">
        <v>0.33802186824112501</v>
      </c>
      <c r="S1092" t="s">
        <v>6643</v>
      </c>
      <c r="T1092" t="s">
        <v>11100</v>
      </c>
      <c r="U1092" t="s">
        <v>11100</v>
      </c>
      <c r="V1092" t="s">
        <v>11100</v>
      </c>
      <c r="W1092" t="s">
        <v>12168</v>
      </c>
      <c r="X1092">
        <v>2</v>
      </c>
      <c r="Y1092" t="s">
        <v>17662</v>
      </c>
      <c r="Z1092" t="s">
        <v>23097</v>
      </c>
      <c r="AA1092">
        <v>0.83140266827683684</v>
      </c>
      <c r="AB1092" t="str">
        <f>HYPERLINK("Melting_Curves/meltCurve_K7EJQ7_SEC11C.pdf", "Melting_Curves/meltCurve_K7EJQ7_SEC11C.pdf")</f>
        <v>Melting_Curves/meltCurve_K7EJQ7_SEC11C.pdf</v>
      </c>
    </row>
    <row r="1093" spans="1:28" x14ac:dyDescent="0.25">
      <c r="A1093" t="s">
        <v>1097</v>
      </c>
      <c r="B1093">
        <v>0.99299721793515405</v>
      </c>
      <c r="C1093">
        <v>0.90229727512811997</v>
      </c>
      <c r="D1093">
        <v>0.96219306801928595</v>
      </c>
      <c r="E1093">
        <v>0.734674593431629</v>
      </c>
      <c r="F1093">
        <v>0.46779426960218501</v>
      </c>
      <c r="G1093">
        <v>0.23482197172133701</v>
      </c>
      <c r="H1093">
        <v>0.19270246752321901</v>
      </c>
      <c r="I1093">
        <v>0.20318149633719099</v>
      </c>
      <c r="J1093">
        <v>0.23966318478120899</v>
      </c>
      <c r="K1093">
        <v>0.25613578934900599</v>
      </c>
      <c r="L1093">
        <v>1096.33656761065</v>
      </c>
      <c r="M1093">
        <v>22.775703319865901</v>
      </c>
      <c r="N1093">
        <v>49.324743771892003</v>
      </c>
      <c r="O1093">
        <v>47.7697507746757</v>
      </c>
      <c r="P1093">
        <v>-9.4025776222832202E-2</v>
      </c>
      <c r="Q1093">
        <v>0.21117685318077201</v>
      </c>
      <c r="R1093">
        <v>0.98506550185271002</v>
      </c>
      <c r="S1093" t="s">
        <v>6644</v>
      </c>
      <c r="T1093" t="s">
        <v>11100</v>
      </c>
      <c r="U1093" t="s">
        <v>11100</v>
      </c>
      <c r="V1093" t="s">
        <v>11100</v>
      </c>
      <c r="W1093" t="s">
        <v>12169</v>
      </c>
      <c r="X1093">
        <v>8</v>
      </c>
      <c r="Y1093" t="s">
        <v>17663</v>
      </c>
      <c r="Z1093" t="s">
        <v>23098</v>
      </c>
      <c r="AA1093">
        <v>0.51207872818301381</v>
      </c>
      <c r="AB1093" t="str">
        <f>HYPERLINK("Melting_Curves/meltCurve_K7EK07_H3F3B.pdf", "Melting_Curves/meltCurve_K7EK07_H3F3B.pdf")</f>
        <v>Melting_Curves/meltCurve_K7EK07_H3F3B.pdf</v>
      </c>
    </row>
    <row r="1094" spans="1:28" x14ac:dyDescent="0.25">
      <c r="A1094" t="s">
        <v>1098</v>
      </c>
      <c r="B1094">
        <v>0.99299721793515405</v>
      </c>
      <c r="C1094">
        <v>1.0305493934805099</v>
      </c>
      <c r="D1094">
        <v>0.72644297191213003</v>
      </c>
      <c r="E1094">
        <v>0.67788895282147799</v>
      </c>
      <c r="F1094">
        <v>0.62541807291451601</v>
      </c>
      <c r="G1094">
        <v>0.472748100516514</v>
      </c>
      <c r="H1094">
        <v>0.28563112558586501</v>
      </c>
      <c r="I1094">
        <v>0.27756238864902799</v>
      </c>
      <c r="J1094">
        <v>7.1591327960339499E-2</v>
      </c>
      <c r="K1094">
        <v>0</v>
      </c>
      <c r="L1094">
        <v>467.76962851372701</v>
      </c>
      <c r="M1094">
        <v>9.0495432352336707</v>
      </c>
      <c r="N1094">
        <v>51.689860545688902</v>
      </c>
      <c r="O1094">
        <v>49.3531500803822</v>
      </c>
      <c r="P1094">
        <v>-4.5873363841965602E-2</v>
      </c>
      <c r="Q1094">
        <v>0</v>
      </c>
      <c r="R1094">
        <v>0.94635130534287004</v>
      </c>
      <c r="S1094" t="s">
        <v>6645</v>
      </c>
      <c r="T1094" t="s">
        <v>11100</v>
      </c>
      <c r="U1094" t="s">
        <v>11100</v>
      </c>
      <c r="V1094" t="s">
        <v>11100</v>
      </c>
      <c r="W1094" t="s">
        <v>12170</v>
      </c>
      <c r="X1094">
        <v>2</v>
      </c>
      <c r="Y1094" t="s">
        <v>17664</v>
      </c>
      <c r="Z1094" t="s">
        <v>23099</v>
      </c>
      <c r="AA1094">
        <v>0.51896524902786245</v>
      </c>
      <c r="AB1094" t="str">
        <f>HYPERLINK("Melting_Curves/meltCurve_K7EK99_LIN37.pdf", "Melting_Curves/meltCurve_K7EK99_LIN37.pdf")</f>
        <v>Melting_Curves/meltCurve_K7EK99_LIN37.pdf</v>
      </c>
    </row>
    <row r="1095" spans="1:28" x14ac:dyDescent="0.25">
      <c r="A1095" t="s">
        <v>1099</v>
      </c>
      <c r="B1095">
        <v>0.99299721793515405</v>
      </c>
      <c r="C1095">
        <v>0.96638536442154099</v>
      </c>
      <c r="D1095">
        <v>0.96993947310094897</v>
      </c>
      <c r="E1095">
        <v>0.81184587763871996</v>
      </c>
      <c r="F1095">
        <v>0.70492579167795599</v>
      </c>
      <c r="G1095">
        <v>0.65375896854733095</v>
      </c>
      <c r="H1095">
        <v>0.58669509079062898</v>
      </c>
      <c r="I1095">
        <v>0.40748222091185099</v>
      </c>
      <c r="J1095">
        <v>0.189478982953667</v>
      </c>
      <c r="K1095">
        <v>0.15022966474127</v>
      </c>
      <c r="L1095">
        <v>502.69089404407902</v>
      </c>
      <c r="M1095">
        <v>8.8248764815094702</v>
      </c>
      <c r="N1095">
        <v>56.962933128201399</v>
      </c>
      <c r="O1095">
        <v>54.265304423011798</v>
      </c>
      <c r="P1095">
        <v>-4.0687967056577602E-2</v>
      </c>
      <c r="Q1095">
        <v>0</v>
      </c>
      <c r="R1095">
        <v>0.96211679494263902</v>
      </c>
      <c r="S1095" t="s">
        <v>6646</v>
      </c>
      <c r="T1095" t="s">
        <v>11100</v>
      </c>
      <c r="U1095" t="s">
        <v>11100</v>
      </c>
      <c r="V1095" t="s">
        <v>11100</v>
      </c>
      <c r="W1095" t="s">
        <v>12171</v>
      </c>
      <c r="X1095">
        <v>34</v>
      </c>
      <c r="Y1095" t="s">
        <v>17665</v>
      </c>
      <c r="Z1095" t="s">
        <v>23100</v>
      </c>
      <c r="AA1095">
        <v>0.65970964230864515</v>
      </c>
      <c r="AB1095" t="str">
        <f>HYPERLINK("Melting_Curves/meltCurve_K7EKE6_LONP1.pdf", "Melting_Curves/meltCurve_K7EKE6_LONP1.pdf")</f>
        <v>Melting_Curves/meltCurve_K7EKE6_LONP1.pdf</v>
      </c>
    </row>
    <row r="1096" spans="1:28" x14ac:dyDescent="0.25">
      <c r="A1096" t="s">
        <v>1100</v>
      </c>
      <c r="B1096">
        <v>0.99299721793515405</v>
      </c>
      <c r="C1096">
        <v>0.99256675160792496</v>
      </c>
      <c r="D1096">
        <v>0.52310938429595</v>
      </c>
      <c r="E1096">
        <v>0.92901568593719197</v>
      </c>
      <c r="F1096">
        <v>0.85771967194007404</v>
      </c>
      <c r="G1096">
        <v>1.08071202909369</v>
      </c>
      <c r="H1096">
        <v>1.06922517972401</v>
      </c>
      <c r="I1096">
        <v>0.57131475324379699</v>
      </c>
      <c r="J1096">
        <v>0.358700274981956</v>
      </c>
      <c r="K1096">
        <v>0.19633278580355201</v>
      </c>
      <c r="L1096">
        <v>4208.8725814347699</v>
      </c>
      <c r="M1096">
        <v>69.255119018620803</v>
      </c>
      <c r="N1096">
        <v>61.436097344423899</v>
      </c>
      <c r="O1096">
        <v>60.722838652555801</v>
      </c>
      <c r="P1096">
        <v>-0.21011006200551</v>
      </c>
      <c r="Q1096">
        <v>0.26310277923855502</v>
      </c>
      <c r="R1096">
        <v>0.69788528272398498</v>
      </c>
      <c r="S1096" t="s">
        <v>6647</v>
      </c>
      <c r="T1096" t="s">
        <v>11100</v>
      </c>
      <c r="U1096" t="s">
        <v>11100</v>
      </c>
      <c r="V1096" t="s">
        <v>11100</v>
      </c>
      <c r="W1096" t="s">
        <v>12172</v>
      </c>
      <c r="X1096">
        <v>2</v>
      </c>
      <c r="Y1096" t="s">
        <v>17666</v>
      </c>
      <c r="Z1096" t="s">
        <v>23101</v>
      </c>
      <c r="AA1096">
        <v>0.84803933076493199</v>
      </c>
      <c r="AB1096" t="str">
        <f>HYPERLINK("Melting_Curves/meltCurve_K7EKI4_MRPL4.pdf", "Melting_Curves/meltCurve_K7EKI4_MRPL4.pdf")</f>
        <v>Melting_Curves/meltCurve_K7EKI4_MRPL4.pdf</v>
      </c>
    </row>
    <row r="1097" spans="1:28" x14ac:dyDescent="0.25">
      <c r="A1097" t="s">
        <v>1101</v>
      </c>
      <c r="B1097">
        <v>0.99299721793515405</v>
      </c>
      <c r="C1097">
        <v>1.0308555519712801</v>
      </c>
      <c r="D1097">
        <v>0.90955130656060301</v>
      </c>
      <c r="E1097">
        <v>0.63945141445336096</v>
      </c>
      <c r="F1097">
        <v>0.69989490327318504</v>
      </c>
      <c r="G1097">
        <v>0.13231435778866199</v>
      </c>
      <c r="H1097">
        <v>0.33926605223946499</v>
      </c>
      <c r="I1097">
        <v>0.19238066621837899</v>
      </c>
      <c r="J1097">
        <v>0.15149918659457301</v>
      </c>
      <c r="K1097">
        <v>0</v>
      </c>
      <c r="L1097">
        <v>607.61261997599502</v>
      </c>
      <c r="M1097">
        <v>12.0528445588791</v>
      </c>
      <c r="N1097">
        <v>50.788343982312099</v>
      </c>
      <c r="O1097">
        <v>49.084805153857097</v>
      </c>
      <c r="P1097">
        <v>-5.8781969468686503E-2</v>
      </c>
      <c r="Q1097">
        <v>4.2676490604683398E-2</v>
      </c>
      <c r="R1097">
        <v>0.91683754597741596</v>
      </c>
      <c r="S1097" t="s">
        <v>6648</v>
      </c>
      <c r="T1097" t="s">
        <v>11100</v>
      </c>
      <c r="U1097" t="s">
        <v>11100</v>
      </c>
      <c r="V1097" t="s">
        <v>11100</v>
      </c>
      <c r="W1097" t="s">
        <v>11355</v>
      </c>
      <c r="X1097">
        <v>1</v>
      </c>
      <c r="Y1097" t="s">
        <v>17667</v>
      </c>
      <c r="Z1097" t="s">
        <v>23102</v>
      </c>
      <c r="AA1097">
        <v>0.49660606513228439</v>
      </c>
      <c r="AB1097" t="str">
        <f>HYPERLINK("Melting_Curves/meltCurve_K7EKS3_POLRMT.pdf", "Melting_Curves/meltCurve_K7EKS3_POLRMT.pdf")</f>
        <v>Melting_Curves/meltCurve_K7EKS3_POLRMT.pdf</v>
      </c>
    </row>
    <row r="1098" spans="1:28" x14ac:dyDescent="0.25">
      <c r="A1098" t="s">
        <v>1102</v>
      </c>
      <c r="B1098">
        <v>0.99299721793515405</v>
      </c>
      <c r="C1098">
        <v>0.79304504138820298</v>
      </c>
      <c r="D1098">
        <v>0.89739424974576898</v>
      </c>
      <c r="E1098">
        <v>0.757537589317131</v>
      </c>
      <c r="F1098">
        <v>0.62331262094055495</v>
      </c>
      <c r="G1098">
        <v>0.45633652404095199</v>
      </c>
      <c r="H1098">
        <v>0.48591646461958699</v>
      </c>
      <c r="I1098">
        <v>0.52250130941762896</v>
      </c>
      <c r="J1098">
        <v>0.56710801183412896</v>
      </c>
      <c r="K1098">
        <v>0.45860959391884498</v>
      </c>
      <c r="L1098">
        <v>522.63607097014096</v>
      </c>
      <c r="M1098">
        <v>11.3742103044244</v>
      </c>
      <c r="N1098">
        <v>60.502705636160499</v>
      </c>
      <c r="O1098">
        <v>44.5976615785913</v>
      </c>
      <c r="P1098">
        <v>-3.3956925303131699E-2</v>
      </c>
      <c r="Q1098">
        <v>0.467584837860478</v>
      </c>
      <c r="R1098">
        <v>0.87909500362876303</v>
      </c>
      <c r="S1098" t="s">
        <v>6649</v>
      </c>
      <c r="T1098" t="s">
        <v>11100</v>
      </c>
      <c r="U1098" t="s">
        <v>11100</v>
      </c>
      <c r="V1098" t="s">
        <v>11100</v>
      </c>
      <c r="W1098" t="s">
        <v>12173</v>
      </c>
      <c r="X1098">
        <v>3</v>
      </c>
      <c r="Y1098" t="s">
        <v>17668</v>
      </c>
      <c r="Z1098" t="s">
        <v>23103</v>
      </c>
      <c r="AA1098">
        <v>0.64655666548714641</v>
      </c>
      <c r="AB1098" t="str">
        <f>HYPERLINK("Melting_Curves/meltCurve_K7EKW3_TMUB2.pdf", "Melting_Curves/meltCurve_K7EKW3_TMUB2.pdf")</f>
        <v>Melting_Curves/meltCurve_K7EKW3_TMUB2.pdf</v>
      </c>
    </row>
    <row r="1099" spans="1:28" x14ac:dyDescent="0.25">
      <c r="A1099" t="s">
        <v>1103</v>
      </c>
      <c r="B1099">
        <v>0.99299721793515405</v>
      </c>
      <c r="C1099">
        <v>0.98104094333410796</v>
      </c>
      <c r="D1099">
        <v>0.73367536304260605</v>
      </c>
      <c r="E1099">
        <v>0.83187203320908998</v>
      </c>
      <c r="F1099">
        <v>0.75901633096367904</v>
      </c>
      <c r="G1099">
        <v>0.47680892668674801</v>
      </c>
      <c r="H1099">
        <v>0.53567263667137399</v>
      </c>
      <c r="I1099">
        <v>0.39641378250168402</v>
      </c>
      <c r="J1099">
        <v>0.27316018072297699</v>
      </c>
      <c r="K1099">
        <v>0.187237225386122</v>
      </c>
      <c r="L1099">
        <v>380.57926183502002</v>
      </c>
      <c r="M1099">
        <v>6.8063356407545399</v>
      </c>
      <c r="N1099">
        <v>55.915445416595801</v>
      </c>
      <c r="O1099">
        <v>51.684314248924302</v>
      </c>
      <c r="P1099">
        <v>-3.2990270526640698E-2</v>
      </c>
      <c r="Q1099">
        <v>0</v>
      </c>
      <c r="R1099">
        <v>0.92955627646334904</v>
      </c>
      <c r="S1099" t="s">
        <v>6650</v>
      </c>
      <c r="T1099" t="s">
        <v>11100</v>
      </c>
      <c r="U1099" t="s">
        <v>11100</v>
      </c>
      <c r="V1099" t="s">
        <v>11100</v>
      </c>
      <c r="W1099" t="s">
        <v>12174</v>
      </c>
      <c r="X1099">
        <v>12</v>
      </c>
      <c r="Y1099" t="s">
        <v>17669</v>
      </c>
      <c r="Z1099" t="s">
        <v>23104</v>
      </c>
      <c r="AA1099">
        <v>0.6220212811294914</v>
      </c>
      <c r="AB1099" t="str">
        <f>HYPERLINK("Melting_Curves/meltCurve_K7EL68_CDC37.pdf", "Melting_Curves/meltCurve_K7EL68_CDC37.pdf")</f>
        <v>Melting_Curves/meltCurve_K7EL68_CDC37.pdf</v>
      </c>
    </row>
    <row r="1100" spans="1:28" x14ac:dyDescent="0.25">
      <c r="A1100" t="s">
        <v>1104</v>
      </c>
      <c r="B1100">
        <v>0.99299721793515405</v>
      </c>
      <c r="C1100">
        <v>0.74826737963477197</v>
      </c>
      <c r="D1100">
        <v>0.69804114422401198</v>
      </c>
      <c r="E1100">
        <v>0.70795560927217704</v>
      </c>
      <c r="F1100">
        <v>0.68385064024962405</v>
      </c>
      <c r="G1100">
        <v>0.28675117435818898</v>
      </c>
      <c r="H1100">
        <v>0.207674441716727</v>
      </c>
      <c r="I1100">
        <v>0.244401492566133</v>
      </c>
      <c r="J1100">
        <v>0.16759744978702801</v>
      </c>
      <c r="K1100">
        <v>0.162506970586722</v>
      </c>
      <c r="L1100">
        <v>359.292028821119</v>
      </c>
      <c r="M1100">
        <v>7.1349356592679003</v>
      </c>
      <c r="N1100">
        <v>50.356729537002103</v>
      </c>
      <c r="O1100">
        <v>46.850785511060998</v>
      </c>
      <c r="P1100">
        <v>-3.81384647948457E-2</v>
      </c>
      <c r="Q1100">
        <v>0</v>
      </c>
      <c r="R1100">
        <v>0.90667448554552799</v>
      </c>
      <c r="S1100" t="s">
        <v>6651</v>
      </c>
      <c r="T1100" t="s">
        <v>11100</v>
      </c>
      <c r="U1100" t="s">
        <v>11100</v>
      </c>
      <c r="V1100" t="s">
        <v>11100</v>
      </c>
      <c r="W1100" t="s">
        <v>12175</v>
      </c>
      <c r="X1100">
        <v>1</v>
      </c>
      <c r="Y1100" t="s">
        <v>17670</v>
      </c>
      <c r="Z1100" t="s">
        <v>23105</v>
      </c>
      <c r="AA1100">
        <v>0.48648861984515102</v>
      </c>
      <c r="AB1100" t="str">
        <f>HYPERLINK("Melting_Curves/meltCurve_K7EL81_PPP1R12C.pdf", "Melting_Curves/meltCurve_K7EL81_PPP1R12C.pdf")</f>
        <v>Melting_Curves/meltCurve_K7EL81_PPP1R12C.pdf</v>
      </c>
    </row>
    <row r="1101" spans="1:28" x14ac:dyDescent="0.25">
      <c r="A1101" t="s">
        <v>1105</v>
      </c>
      <c r="B1101">
        <v>0.99299721793515405</v>
      </c>
      <c r="C1101">
        <v>0.74217005731230201</v>
      </c>
      <c r="D1101">
        <v>0.77455800976419598</v>
      </c>
      <c r="E1101">
        <v>0.69940860361202495</v>
      </c>
      <c r="F1101">
        <v>0.59020602826677204</v>
      </c>
      <c r="G1101">
        <v>0.50569060461412796</v>
      </c>
      <c r="H1101">
        <v>0.51858145847999304</v>
      </c>
      <c r="I1101">
        <v>0.50920176105041903</v>
      </c>
      <c r="J1101">
        <v>0.275812765409574</v>
      </c>
      <c r="K1101">
        <v>0.29765972854607498</v>
      </c>
      <c r="L1101">
        <v>236.608457604807</v>
      </c>
      <c r="M1101">
        <v>4.26664419452384</v>
      </c>
      <c r="N1101">
        <v>55.455399329247903</v>
      </c>
      <c r="O1101">
        <v>46.429735224275603</v>
      </c>
      <c r="P1101">
        <v>-2.32132150039411E-2</v>
      </c>
      <c r="Q1101">
        <v>0</v>
      </c>
      <c r="R1101">
        <v>0.902093384576511</v>
      </c>
      <c r="S1101" t="s">
        <v>6652</v>
      </c>
      <c r="T1101" t="s">
        <v>11100</v>
      </c>
      <c r="U1101" t="s">
        <v>11100</v>
      </c>
      <c r="V1101" t="s">
        <v>11100</v>
      </c>
      <c r="W1101" t="s">
        <v>12176</v>
      </c>
      <c r="X1101">
        <v>2</v>
      </c>
      <c r="Y1101" t="s">
        <v>17671</v>
      </c>
      <c r="Z1101" t="s">
        <v>23106</v>
      </c>
      <c r="AA1101">
        <v>0.58624382370411066</v>
      </c>
      <c r="AB1101" t="str">
        <f>HYPERLINK("Melting_Curves/meltCurve_K7ELC7_RPL27.pdf", "Melting_Curves/meltCurve_K7ELC7_RPL27.pdf")</f>
        <v>Melting_Curves/meltCurve_K7ELC7_RPL27.pdf</v>
      </c>
    </row>
    <row r="1102" spans="1:28" x14ac:dyDescent="0.25">
      <c r="A1102" t="s">
        <v>1106</v>
      </c>
      <c r="B1102">
        <v>0.99299721793515405</v>
      </c>
      <c r="C1102">
        <v>0.99582848924746004</v>
      </c>
      <c r="D1102">
        <v>1.0152962734436</v>
      </c>
      <c r="E1102">
        <v>0.92445427097992705</v>
      </c>
      <c r="F1102">
        <v>0.81316869819648097</v>
      </c>
      <c r="G1102">
        <v>0.67309740144874597</v>
      </c>
      <c r="H1102">
        <v>0.58907821424864104</v>
      </c>
      <c r="I1102">
        <v>0.55937054264917896</v>
      </c>
      <c r="J1102">
        <v>0.61473521325451896</v>
      </c>
      <c r="K1102">
        <v>0.52568709870671704</v>
      </c>
      <c r="L1102">
        <v>1008.12733870461</v>
      </c>
      <c r="M1102">
        <v>19.801906956041901</v>
      </c>
      <c r="O1102">
        <v>50.399939914709599</v>
      </c>
      <c r="P1102">
        <v>-4.3647794860039599E-2</v>
      </c>
      <c r="Q1102">
        <v>0.55564449356023504</v>
      </c>
      <c r="R1102">
        <v>0.98586685352690895</v>
      </c>
      <c r="S1102" t="s">
        <v>6653</v>
      </c>
      <c r="T1102" t="s">
        <v>11100</v>
      </c>
      <c r="U1102" t="s">
        <v>11100</v>
      </c>
      <c r="V1102" t="s">
        <v>11100</v>
      </c>
      <c r="W1102" t="s">
        <v>12177</v>
      </c>
      <c r="X1102">
        <v>23</v>
      </c>
      <c r="Y1102" t="s">
        <v>17672</v>
      </c>
      <c r="Z1102" t="s">
        <v>23107</v>
      </c>
      <c r="AA1102">
        <v>0.7676064766794527</v>
      </c>
      <c r="AB1102" t="str">
        <f>HYPERLINK("Melting_Curves/meltCurve_K7ELL7_PRKCSH.pdf", "Melting_Curves/meltCurve_K7ELL7_PRKCSH.pdf")</f>
        <v>Melting_Curves/meltCurve_K7ELL7_PRKCSH.pdf</v>
      </c>
    </row>
    <row r="1103" spans="1:28" x14ac:dyDescent="0.25">
      <c r="A1103" t="s">
        <v>1107</v>
      </c>
      <c r="B1103">
        <v>0.99299721793515405</v>
      </c>
      <c r="C1103">
        <v>1.0641281276705199</v>
      </c>
      <c r="D1103">
        <v>0.97104005067149401</v>
      </c>
      <c r="E1103">
        <v>1.0283455619266999</v>
      </c>
      <c r="F1103">
        <v>0.87053665045723105</v>
      </c>
      <c r="G1103">
        <v>0.81893385216005099</v>
      </c>
      <c r="H1103">
        <v>0.44370858191519902</v>
      </c>
      <c r="I1103">
        <v>0.39531097785416602</v>
      </c>
      <c r="J1103">
        <v>0.30841890923190601</v>
      </c>
      <c r="K1103">
        <v>0.18793810995919</v>
      </c>
      <c r="L1103">
        <v>1042.4327885428299</v>
      </c>
      <c r="M1103">
        <v>18.5503338657666</v>
      </c>
      <c r="N1103">
        <v>57.739810182803303</v>
      </c>
      <c r="O1103">
        <v>55.553993838187203</v>
      </c>
      <c r="P1103">
        <v>-6.7150848119690298E-2</v>
      </c>
      <c r="Q1103">
        <v>0.195629689924394</v>
      </c>
      <c r="R1103">
        <v>0.97496552531176695</v>
      </c>
      <c r="S1103" t="s">
        <v>6654</v>
      </c>
      <c r="T1103" t="s">
        <v>11100</v>
      </c>
      <c r="U1103" t="s">
        <v>11100</v>
      </c>
      <c r="V1103" t="s">
        <v>11100</v>
      </c>
      <c r="W1103" t="s">
        <v>12178</v>
      </c>
      <c r="X1103">
        <v>3</v>
      </c>
      <c r="Y1103" t="s">
        <v>17673</v>
      </c>
      <c r="Z1103" t="s">
        <v>23108</v>
      </c>
      <c r="AA1103">
        <v>0.71874546608159018</v>
      </c>
      <c r="AB1103" t="str">
        <f>HYPERLINK("Melting_Curves/meltCurve_K7ELY2_STX10.pdf", "Melting_Curves/meltCurve_K7ELY2_STX10.pdf")</f>
        <v>Melting_Curves/meltCurve_K7ELY2_STX10.pdf</v>
      </c>
    </row>
    <row r="1104" spans="1:28" x14ac:dyDescent="0.25">
      <c r="A1104" t="s">
        <v>1108</v>
      </c>
      <c r="B1104">
        <v>0.99299721793515405</v>
      </c>
      <c r="C1104">
        <v>0.85098172126962401</v>
      </c>
      <c r="D1104">
        <v>0.83116020010580904</v>
      </c>
      <c r="E1104">
        <v>0.78419259745859404</v>
      </c>
      <c r="F1104">
        <v>0.74849327200939597</v>
      </c>
      <c r="G1104">
        <v>0.70139635544275603</v>
      </c>
      <c r="H1104">
        <v>1.3016646678506201</v>
      </c>
      <c r="I1104">
        <v>1.44533533408857</v>
      </c>
      <c r="J1104">
        <v>1.5956424703683101</v>
      </c>
      <c r="K1104">
        <v>1.3931802917416201</v>
      </c>
      <c r="L1104">
        <v>14319.1975583273</v>
      </c>
      <c r="M1104">
        <v>250</v>
      </c>
      <c r="O1104">
        <v>57.273137542544497</v>
      </c>
      <c r="P1104">
        <v>0.52168094241618101</v>
      </c>
      <c r="Q1104">
        <v>1.47805276415901</v>
      </c>
      <c r="R1104">
        <v>0.72999414695791898</v>
      </c>
      <c r="S1104" t="s">
        <v>6655</v>
      </c>
      <c r="T1104" t="s">
        <v>11100</v>
      </c>
      <c r="U1104" t="s">
        <v>11100</v>
      </c>
      <c r="V1104" t="s">
        <v>11100</v>
      </c>
      <c r="W1104" t="s">
        <v>12179</v>
      </c>
      <c r="X1104">
        <v>1</v>
      </c>
      <c r="Y1104" t="s">
        <v>17674</v>
      </c>
      <c r="Z1104" t="s">
        <v>23109</v>
      </c>
      <c r="AA1104">
        <v>1.154892189711175</v>
      </c>
      <c r="AB1104" t="str">
        <f>HYPERLINK("Melting_Curves/meltCurve_K7EM02_KATNAL2.pdf", "Melting_Curves/meltCurve_K7EM02_KATNAL2.pdf")</f>
        <v>Melting_Curves/meltCurve_K7EM02_KATNAL2.pdf</v>
      </c>
    </row>
    <row r="1105" spans="1:28" x14ac:dyDescent="0.25">
      <c r="A1105" t="s">
        <v>1109</v>
      </c>
      <c r="B1105">
        <v>0.99299721793515405</v>
      </c>
      <c r="C1105">
        <v>0.90247313492713699</v>
      </c>
      <c r="D1105">
        <v>1.0585446477554601</v>
      </c>
      <c r="E1105">
        <v>0.83431917196651695</v>
      </c>
      <c r="F1105">
        <v>0.69511342604889204</v>
      </c>
      <c r="G1105">
        <v>0.55623432011040697</v>
      </c>
      <c r="H1105">
        <v>0.48597681578621599</v>
      </c>
      <c r="I1105">
        <v>0.54902218525381496</v>
      </c>
      <c r="J1105">
        <v>0.55794017405052998</v>
      </c>
      <c r="K1105">
        <v>0.326165579250983</v>
      </c>
      <c r="L1105">
        <v>883.495074580606</v>
      </c>
      <c r="M1105">
        <v>17.8763112964924</v>
      </c>
      <c r="N1105">
        <v>57.529939109397603</v>
      </c>
      <c r="O1105">
        <v>48.816646436521197</v>
      </c>
      <c r="P1105">
        <v>-4.9462633188500998E-2</v>
      </c>
      <c r="Q1105">
        <v>0.45973698447439398</v>
      </c>
      <c r="R1105">
        <v>0.90371330415997497</v>
      </c>
      <c r="S1105" t="s">
        <v>6656</v>
      </c>
      <c r="T1105" t="s">
        <v>11100</v>
      </c>
      <c r="U1105" t="s">
        <v>11100</v>
      </c>
      <c r="V1105" t="s">
        <v>11100</v>
      </c>
      <c r="W1105" t="s">
        <v>12180</v>
      </c>
      <c r="X1105">
        <v>3</v>
      </c>
      <c r="Y1105" t="s">
        <v>17675</v>
      </c>
      <c r="Z1105" t="s">
        <v>23110</v>
      </c>
      <c r="AA1105">
        <v>0.69211696776490916</v>
      </c>
      <c r="AB1105" t="str">
        <f>HYPERLINK("Melting_Curves/meltCurve_K7EM09_TMEM205.pdf", "Melting_Curves/meltCurve_K7EM09_TMEM205.pdf")</f>
        <v>Melting_Curves/meltCurve_K7EM09_TMEM205.pdf</v>
      </c>
    </row>
    <row r="1106" spans="1:28" x14ac:dyDescent="0.25">
      <c r="A1106" t="s">
        <v>1110</v>
      </c>
      <c r="B1106">
        <v>0.99299721793515405</v>
      </c>
      <c r="C1106">
        <v>0.94937049605345503</v>
      </c>
      <c r="D1106">
        <v>0.83693114191558304</v>
      </c>
      <c r="E1106">
        <v>0.80207317162055403</v>
      </c>
      <c r="F1106">
        <v>0.60229377172585497</v>
      </c>
      <c r="G1106">
        <v>0.63519986340900503</v>
      </c>
      <c r="H1106">
        <v>0.46511906256857</v>
      </c>
      <c r="I1106">
        <v>0.58745594782096</v>
      </c>
      <c r="J1106">
        <v>0.79042683950231796</v>
      </c>
      <c r="K1106">
        <v>0.79878496849981795</v>
      </c>
      <c r="L1106">
        <v>898.00211269340696</v>
      </c>
      <c r="M1106">
        <v>20.4803458272625</v>
      </c>
      <c r="O1106">
        <v>43.435408781095603</v>
      </c>
      <c r="P1106">
        <v>-4.1362311323561898E-2</v>
      </c>
      <c r="Q1106">
        <v>0.649120108719341</v>
      </c>
      <c r="R1106">
        <v>0.63860875352565205</v>
      </c>
      <c r="S1106" t="s">
        <v>6657</v>
      </c>
      <c r="T1106" t="s">
        <v>11100</v>
      </c>
      <c r="U1106" t="s">
        <v>11100</v>
      </c>
      <c r="V1106" t="s">
        <v>11100</v>
      </c>
      <c r="W1106" t="s">
        <v>12181</v>
      </c>
      <c r="X1106">
        <v>15</v>
      </c>
      <c r="Y1106" t="s">
        <v>17676</v>
      </c>
      <c r="Z1106" t="s">
        <v>23111</v>
      </c>
      <c r="AA1106">
        <v>0.73367905379499365</v>
      </c>
      <c r="AB1106" t="str">
        <f>HYPERLINK("Melting_Curves/meltCurve_K7EM38_ACTG1.pdf", "Melting_Curves/meltCurve_K7EM38_ACTG1.pdf")</f>
        <v>Melting_Curves/meltCurve_K7EM38_ACTG1.pdf</v>
      </c>
    </row>
    <row r="1107" spans="1:28" x14ac:dyDescent="0.25">
      <c r="A1107" t="s">
        <v>1111</v>
      </c>
      <c r="B1107">
        <v>0.99299721793515405</v>
      </c>
      <c r="C1107">
        <v>1.0350144797537999</v>
      </c>
      <c r="D1107">
        <v>0.989214094694291</v>
      </c>
      <c r="E1107">
        <v>0.89197051915104797</v>
      </c>
      <c r="F1107">
        <v>0.75287708602046299</v>
      </c>
      <c r="G1107">
        <v>0.48196640782818201</v>
      </c>
      <c r="H1107">
        <v>0.52605805426808205</v>
      </c>
      <c r="I1107">
        <v>0.47655841573731</v>
      </c>
      <c r="J1107">
        <v>0.37548324992148902</v>
      </c>
      <c r="K1107">
        <v>0.28088592339228602</v>
      </c>
      <c r="L1107">
        <v>751.77149370761197</v>
      </c>
      <c r="M1107">
        <v>14.5634147390604</v>
      </c>
      <c r="N1107">
        <v>55.9077150962083</v>
      </c>
      <c r="O1107">
        <v>50.676541035671903</v>
      </c>
      <c r="P1107">
        <v>-4.76866496759756E-2</v>
      </c>
      <c r="Q1107">
        <v>0.33633137372704203</v>
      </c>
      <c r="R1107">
        <v>0.96236458310360595</v>
      </c>
      <c r="S1107" t="s">
        <v>6658</v>
      </c>
      <c r="T1107" t="s">
        <v>11100</v>
      </c>
      <c r="U1107" t="s">
        <v>11100</v>
      </c>
      <c r="V1107" t="s">
        <v>11100</v>
      </c>
      <c r="W1107" t="s">
        <v>12182</v>
      </c>
      <c r="X1107">
        <v>1</v>
      </c>
      <c r="Y1107" t="s">
        <v>17677</v>
      </c>
      <c r="Z1107" t="s">
        <v>23112</v>
      </c>
      <c r="AA1107">
        <v>0.67320709700314196</v>
      </c>
      <c r="AB1107" t="str">
        <f>HYPERLINK("Melting_Curves/meltCurve_K7EN05_ELOF1.pdf", "Melting_Curves/meltCurve_K7EN05_ELOF1.pdf")</f>
        <v>Melting_Curves/meltCurve_K7EN05_ELOF1.pdf</v>
      </c>
    </row>
    <row r="1108" spans="1:28" x14ac:dyDescent="0.25">
      <c r="A1108" t="s">
        <v>1112</v>
      </c>
      <c r="B1108">
        <v>0.99299721793515405</v>
      </c>
      <c r="C1108">
        <v>0.67916503386215499</v>
      </c>
      <c r="D1108">
        <v>0.69575915117007003</v>
      </c>
      <c r="E1108">
        <v>0.68185678361994095</v>
      </c>
      <c r="F1108">
        <v>0.22486399015334099</v>
      </c>
      <c r="G1108">
        <v>0.22592070501915401</v>
      </c>
      <c r="H1108">
        <v>0.207400913782843</v>
      </c>
      <c r="I1108">
        <v>0.164270141502254</v>
      </c>
      <c r="J1108">
        <v>0.22379655605691701</v>
      </c>
      <c r="K1108">
        <v>0.218940609143294</v>
      </c>
      <c r="L1108">
        <v>485.975636553409</v>
      </c>
      <c r="M1108">
        <v>10.7951996878034</v>
      </c>
      <c r="N1108">
        <v>46.514557031494803</v>
      </c>
      <c r="O1108">
        <v>43.555514022365003</v>
      </c>
      <c r="P1108">
        <v>-5.2889618475972199E-2</v>
      </c>
      <c r="Q1108">
        <v>0.14673211749981999</v>
      </c>
      <c r="R1108">
        <v>0.89177859135552595</v>
      </c>
      <c r="S1108" t="s">
        <v>6659</v>
      </c>
      <c r="T1108" t="s">
        <v>11100</v>
      </c>
      <c r="U1108" t="s">
        <v>11100</v>
      </c>
      <c r="V1108" t="s">
        <v>11100</v>
      </c>
      <c r="W1108" t="s">
        <v>12183</v>
      </c>
      <c r="X1108">
        <v>1</v>
      </c>
      <c r="Y1108" t="s">
        <v>17678</v>
      </c>
      <c r="Z1108" t="s">
        <v>23113</v>
      </c>
      <c r="AA1108">
        <v>0.41204675197923141</v>
      </c>
      <c r="AB1108" t="str">
        <f>HYPERLINK("Melting_Curves/meltCurve_K7EN78_R3HDM4.pdf", "Melting_Curves/meltCurve_K7EN78_R3HDM4.pdf")</f>
        <v>Melting_Curves/meltCurve_K7EN78_R3HDM4.pdf</v>
      </c>
    </row>
    <row r="1109" spans="1:28" x14ac:dyDescent="0.25">
      <c r="A1109" t="s">
        <v>1113</v>
      </c>
      <c r="B1109">
        <v>0.99299721793515405</v>
      </c>
      <c r="C1109">
        <v>1.01426682865003</v>
      </c>
      <c r="D1109">
        <v>0.86355740668070102</v>
      </c>
      <c r="E1109">
        <v>1.00528396601654</v>
      </c>
      <c r="F1109">
        <v>0.79801224516621305</v>
      </c>
      <c r="G1109">
        <v>0.71781648764582195</v>
      </c>
      <c r="H1109">
        <v>0.56814290370945097</v>
      </c>
      <c r="I1109">
        <v>0.53744857490343001</v>
      </c>
      <c r="J1109">
        <v>0.59690530933828101</v>
      </c>
      <c r="K1109">
        <v>0.62119440333046005</v>
      </c>
      <c r="L1109">
        <v>1160.47951681628</v>
      </c>
      <c r="M1109">
        <v>22.7484818251158</v>
      </c>
      <c r="O1109">
        <v>50.624189694929903</v>
      </c>
      <c r="P1109">
        <v>-4.7634194482942802E-2</v>
      </c>
      <c r="Q1109">
        <v>0.57599013322220005</v>
      </c>
      <c r="R1109">
        <v>0.91247663264480405</v>
      </c>
      <c r="S1109" t="s">
        <v>6660</v>
      </c>
      <c r="T1109" t="s">
        <v>11100</v>
      </c>
      <c r="U1109" t="s">
        <v>11100</v>
      </c>
      <c r="V1109" t="s">
        <v>11100</v>
      </c>
      <c r="W1109" t="s">
        <v>12184</v>
      </c>
      <c r="X1109">
        <v>1</v>
      </c>
      <c r="Y1109" t="s">
        <v>17679</v>
      </c>
      <c r="Z1109" t="s">
        <v>23114</v>
      </c>
      <c r="AA1109">
        <v>0.77849565815714095</v>
      </c>
      <c r="AB1109" t="str">
        <f>HYPERLINK("Melting_Curves/meltCurve_K7ENF0_NARS.pdf", "Melting_Curves/meltCurve_K7ENF0_NARS.pdf")</f>
        <v>Melting_Curves/meltCurve_K7ENF0_NARS.pdf</v>
      </c>
    </row>
    <row r="1110" spans="1:28" x14ac:dyDescent="0.25">
      <c r="A1110" t="s">
        <v>1114</v>
      </c>
      <c r="B1110">
        <v>0.99299721793515405</v>
      </c>
      <c r="C1110">
        <v>0.94799660338870195</v>
      </c>
      <c r="D1110">
        <v>0.96335828196795403</v>
      </c>
      <c r="E1110">
        <v>0.84604360441686199</v>
      </c>
      <c r="F1110">
        <v>0.77655613468842799</v>
      </c>
      <c r="G1110">
        <v>0.55390915432364396</v>
      </c>
      <c r="H1110">
        <v>0.20872217994596501</v>
      </c>
      <c r="I1110">
        <v>0.16363470598388</v>
      </c>
      <c r="J1110">
        <v>0.122766583260687</v>
      </c>
      <c r="K1110">
        <v>0.12445345708455199</v>
      </c>
      <c r="L1110">
        <v>878.59197934297595</v>
      </c>
      <c r="M1110">
        <v>16.486181875936701</v>
      </c>
      <c r="N1110">
        <v>53.743998562518698</v>
      </c>
      <c r="O1110">
        <v>52.527022098108198</v>
      </c>
      <c r="P1110">
        <v>-7.3397569300726107E-2</v>
      </c>
      <c r="Q1110">
        <v>6.4649994754610099E-2</v>
      </c>
      <c r="R1110">
        <v>0.98543853216524302</v>
      </c>
      <c r="S1110" t="s">
        <v>6661</v>
      </c>
      <c r="T1110" t="s">
        <v>11100</v>
      </c>
      <c r="U1110" t="s">
        <v>11100</v>
      </c>
      <c r="V1110" t="s">
        <v>11100</v>
      </c>
      <c r="W1110" t="s">
        <v>12185</v>
      </c>
      <c r="X1110">
        <v>5</v>
      </c>
      <c r="Y1110" t="s">
        <v>17680</v>
      </c>
      <c r="Z1110" t="s">
        <v>23115</v>
      </c>
      <c r="AA1110">
        <v>0.58745822210482124</v>
      </c>
      <c r="AB1110" t="str">
        <f>HYPERLINK("Melting_Curves/meltCurve_K7ENL9_C18orf8.pdf", "Melting_Curves/meltCurve_K7ENL9_C18orf8.pdf")</f>
        <v>Melting_Curves/meltCurve_K7ENL9_C18orf8.pdf</v>
      </c>
    </row>
    <row r="1111" spans="1:28" x14ac:dyDescent="0.25">
      <c r="A1111" t="s">
        <v>1115</v>
      </c>
      <c r="B1111">
        <v>0.99299721793515405</v>
      </c>
      <c r="C1111">
        <v>1.29919719846212</v>
      </c>
      <c r="D1111">
        <v>0.96645532790048505</v>
      </c>
      <c r="E1111">
        <v>1.0432095305367399</v>
      </c>
      <c r="F1111">
        <v>0.56749281351119896</v>
      </c>
      <c r="G1111">
        <v>0.21957315825674301</v>
      </c>
      <c r="H1111">
        <v>0</v>
      </c>
      <c r="I1111">
        <v>0.15468902282831901</v>
      </c>
      <c r="J1111">
        <v>7.9605208549536399E-2</v>
      </c>
      <c r="K1111">
        <v>0</v>
      </c>
      <c r="L1111">
        <v>1834.2759164520601</v>
      </c>
      <c r="M1111">
        <v>36.251449422841603</v>
      </c>
      <c r="N1111">
        <v>50.794855572384797</v>
      </c>
      <c r="O1111">
        <v>50.445457859688901</v>
      </c>
      <c r="P1111">
        <v>-0.16792131169514801</v>
      </c>
      <c r="Q1111">
        <v>6.5323814039823597E-2</v>
      </c>
      <c r="R1111">
        <v>0.94696297948226305</v>
      </c>
      <c r="S1111" t="s">
        <v>6662</v>
      </c>
      <c r="T1111" t="s">
        <v>11100</v>
      </c>
      <c r="U1111" t="s">
        <v>11100</v>
      </c>
      <c r="V1111" t="s">
        <v>11100</v>
      </c>
      <c r="W1111" t="s">
        <v>12186</v>
      </c>
      <c r="X1111">
        <v>1</v>
      </c>
      <c r="Y1111" t="s">
        <v>17681</v>
      </c>
      <c r="Z1111" t="s">
        <v>23116</v>
      </c>
      <c r="AA1111">
        <v>0.49298039102633939</v>
      </c>
      <c r="AB1111" t="str">
        <f>HYPERLINK("Melting_Curves/meltCurve_K7ENR1_ELK1.pdf", "Melting_Curves/meltCurve_K7ENR1_ELK1.pdf")</f>
        <v>Melting_Curves/meltCurve_K7ENR1_ELK1.pdf</v>
      </c>
    </row>
    <row r="1112" spans="1:28" x14ac:dyDescent="0.25">
      <c r="A1112" t="s">
        <v>1116</v>
      </c>
      <c r="B1112">
        <v>0.99299721793515405</v>
      </c>
      <c r="C1112">
        <v>0.85048322192419301</v>
      </c>
      <c r="D1112">
        <v>1.0424152338736199</v>
      </c>
      <c r="E1112">
        <v>1.0354864159300401</v>
      </c>
      <c r="F1112">
        <v>0.48068836641609702</v>
      </c>
      <c r="G1112">
        <v>0.242292129502546</v>
      </c>
      <c r="H1112">
        <v>0.17986941907905199</v>
      </c>
      <c r="I1112">
        <v>0</v>
      </c>
      <c r="J1112">
        <v>0</v>
      </c>
      <c r="K1112">
        <v>0</v>
      </c>
      <c r="L1112">
        <v>1369.3389987605201</v>
      </c>
      <c r="M1112">
        <v>27.084862182319402</v>
      </c>
      <c r="N1112">
        <v>50.694291033181401</v>
      </c>
      <c r="O1112">
        <v>50.284163509184602</v>
      </c>
      <c r="P1112">
        <v>-0.12991019412149801</v>
      </c>
      <c r="Q1112">
        <v>3.5274907632700303E-2</v>
      </c>
      <c r="R1112">
        <v>0.96469468809551295</v>
      </c>
      <c r="S1112" t="s">
        <v>6663</v>
      </c>
      <c r="T1112" t="s">
        <v>11100</v>
      </c>
      <c r="U1112" t="s">
        <v>11100</v>
      </c>
      <c r="V1112" t="s">
        <v>11100</v>
      </c>
      <c r="W1112" t="s">
        <v>12187</v>
      </c>
      <c r="X1112">
        <v>3</v>
      </c>
      <c r="Y1112" t="s">
        <v>17682</v>
      </c>
      <c r="Z1112" t="s">
        <v>23117</v>
      </c>
      <c r="AA1112">
        <v>0.47852925701812887</v>
      </c>
      <c r="AB1112" t="str">
        <f>HYPERLINK("Melting_Curves/meltCurve_K7EP31_ATP5SL.pdf", "Melting_Curves/meltCurve_K7EP31_ATP5SL.pdf")</f>
        <v>Melting_Curves/meltCurve_K7EP31_ATP5SL.pdf</v>
      </c>
    </row>
    <row r="1113" spans="1:28" x14ac:dyDescent="0.25">
      <c r="A1113" t="s">
        <v>1117</v>
      </c>
      <c r="B1113">
        <v>0.99299721793515405</v>
      </c>
      <c r="C1113">
        <v>1.11116075055959</v>
      </c>
      <c r="D1113">
        <v>1.12772463443613</v>
      </c>
      <c r="E1113">
        <v>0.80093552310020799</v>
      </c>
      <c r="F1113">
        <v>0.353882864242062</v>
      </c>
      <c r="G1113">
        <v>0.29636995478796802</v>
      </c>
      <c r="H1113">
        <v>0.248246171067705</v>
      </c>
      <c r="I1113">
        <v>0.224432226219829</v>
      </c>
      <c r="J1113">
        <v>0.21027766827093</v>
      </c>
      <c r="K1113">
        <v>0.15072235200535899</v>
      </c>
      <c r="L1113">
        <v>1789.9946304064099</v>
      </c>
      <c r="M1113">
        <v>37.2385533083201</v>
      </c>
      <c r="N1113">
        <v>48.837853620896603</v>
      </c>
      <c r="O1113">
        <v>47.930328085189103</v>
      </c>
      <c r="P1113">
        <v>-0.15112542269534299</v>
      </c>
      <c r="Q1113">
        <v>0.221938522427503</v>
      </c>
      <c r="R1113">
        <v>0.97235895279960105</v>
      </c>
      <c r="S1113" t="s">
        <v>6664</v>
      </c>
      <c r="T1113" t="s">
        <v>11100</v>
      </c>
      <c r="U1113" t="s">
        <v>11100</v>
      </c>
      <c r="V1113" t="s">
        <v>11100</v>
      </c>
      <c r="W1113" t="s">
        <v>12188</v>
      </c>
      <c r="X1113">
        <v>6</v>
      </c>
      <c r="Y1113" t="s">
        <v>17683</v>
      </c>
      <c r="Z1113" t="s">
        <v>23118</v>
      </c>
      <c r="AA1113">
        <v>0.51198576391694828</v>
      </c>
      <c r="AB1113" t="str">
        <f>HYPERLINK("Melting_Curves/meltCurve_K7EP32_UBXN6.pdf", "Melting_Curves/meltCurve_K7EP32_UBXN6.pdf")</f>
        <v>Melting_Curves/meltCurve_K7EP32_UBXN6.pdf</v>
      </c>
    </row>
    <row r="1114" spans="1:28" x14ac:dyDescent="0.25">
      <c r="A1114" t="s">
        <v>1118</v>
      </c>
      <c r="B1114">
        <v>0.99299721793515405</v>
      </c>
      <c r="C1114">
        <v>0.98989097271371795</v>
      </c>
      <c r="D1114">
        <v>0.96033055687092495</v>
      </c>
      <c r="E1114">
        <v>0.85668414243893198</v>
      </c>
      <c r="F1114">
        <v>0.76723702518703496</v>
      </c>
      <c r="G1114">
        <v>0.42196593357186701</v>
      </c>
      <c r="H1114">
        <v>0.27237433010831902</v>
      </c>
      <c r="I1114">
        <v>0.21608530932900499</v>
      </c>
      <c r="J1114">
        <v>0.24970317835983899</v>
      </c>
      <c r="K1114">
        <v>0.20599481432502401</v>
      </c>
      <c r="L1114">
        <v>1051.80424588808</v>
      </c>
      <c r="M1114">
        <v>20.3728842779785</v>
      </c>
      <c r="N1114">
        <v>52.9484381228866</v>
      </c>
      <c r="O1114">
        <v>51.137954574721597</v>
      </c>
      <c r="P1114">
        <v>-7.9759362285115695E-2</v>
      </c>
      <c r="Q1114">
        <v>0.199208729953508</v>
      </c>
      <c r="R1114">
        <v>0.99071010694706996</v>
      </c>
      <c r="S1114" t="s">
        <v>6665</v>
      </c>
      <c r="T1114" t="s">
        <v>11100</v>
      </c>
      <c r="U1114" t="s">
        <v>11100</v>
      </c>
      <c r="V1114" t="s">
        <v>11100</v>
      </c>
      <c r="W1114" t="s">
        <v>12189</v>
      </c>
      <c r="X1114">
        <v>1</v>
      </c>
      <c r="Y1114" t="s">
        <v>17684</v>
      </c>
      <c r="Z1114" t="s">
        <v>23119</v>
      </c>
      <c r="AA1114">
        <v>0.59976549356314679</v>
      </c>
      <c r="AB1114" t="str">
        <f>HYPERLINK("Melting_Curves/meltCurve_K7EPX7_MOB3A.pdf", "Melting_Curves/meltCurve_K7EPX7_MOB3A.pdf")</f>
        <v>Melting_Curves/meltCurve_K7EPX7_MOB3A.pdf</v>
      </c>
    </row>
    <row r="1115" spans="1:28" x14ac:dyDescent="0.25">
      <c r="A1115" t="s">
        <v>1119</v>
      </c>
      <c r="B1115">
        <v>0.99299721793515405</v>
      </c>
      <c r="C1115">
        <v>0.941126395135507</v>
      </c>
      <c r="D1115">
        <v>0.83681567247710897</v>
      </c>
      <c r="E1115">
        <v>0.77602748926356702</v>
      </c>
      <c r="F1115">
        <v>0.71989138786433704</v>
      </c>
      <c r="G1115">
        <v>0.53003060852491402</v>
      </c>
      <c r="H1115">
        <v>0.53546049386110695</v>
      </c>
      <c r="I1115">
        <v>0.57840141031048597</v>
      </c>
      <c r="J1115">
        <v>0.69471813426502604</v>
      </c>
      <c r="K1115">
        <v>0.52187016649551898</v>
      </c>
      <c r="L1115">
        <v>613.70625050524495</v>
      </c>
      <c r="M1115">
        <v>13.4434003131356</v>
      </c>
      <c r="O1115">
        <v>44.676469293385203</v>
      </c>
      <c r="P1115">
        <v>-3.2890649408576E-2</v>
      </c>
      <c r="Q1115">
        <v>0.56284556822870702</v>
      </c>
      <c r="R1115">
        <v>0.88117473783410705</v>
      </c>
      <c r="S1115" t="s">
        <v>6666</v>
      </c>
      <c r="T1115" t="s">
        <v>11100</v>
      </c>
      <c r="U1115" t="s">
        <v>11100</v>
      </c>
      <c r="V1115" t="s">
        <v>11100</v>
      </c>
      <c r="W1115" t="s">
        <v>12190</v>
      </c>
      <c r="X1115">
        <v>5</v>
      </c>
      <c r="Y1115" t="s">
        <v>17685</v>
      </c>
      <c r="Z1115" t="s">
        <v>23120</v>
      </c>
      <c r="AA1115">
        <v>0.70142971645218988</v>
      </c>
      <c r="AB1115" t="str">
        <f>HYPERLINK("Melting_Curves/meltCurve_K7EQ77_NDUFA11.pdf", "Melting_Curves/meltCurve_K7EQ77_NDUFA11.pdf")</f>
        <v>Melting_Curves/meltCurve_K7EQ77_NDUFA11.pdf</v>
      </c>
    </row>
    <row r="1116" spans="1:28" x14ac:dyDescent="0.25">
      <c r="A1116" t="s">
        <v>1120</v>
      </c>
      <c r="B1116">
        <v>0.99299721793515405</v>
      </c>
      <c r="C1116">
        <v>0.94708100255511596</v>
      </c>
      <c r="D1116">
        <v>0.94474148711930905</v>
      </c>
      <c r="E1116">
        <v>0.94471792537172805</v>
      </c>
      <c r="F1116">
        <v>0.70361591497415599</v>
      </c>
      <c r="G1116">
        <v>0.67498147347280701</v>
      </c>
      <c r="H1116">
        <v>0.38845183436819303</v>
      </c>
      <c r="I1116">
        <v>0.34858666859120901</v>
      </c>
      <c r="J1116">
        <v>0.23063319816193401</v>
      </c>
      <c r="K1116">
        <v>0.32701639939190802</v>
      </c>
      <c r="L1116">
        <v>723.828764834308</v>
      </c>
      <c r="M1116">
        <v>13.5618170914444</v>
      </c>
      <c r="N1116">
        <v>55.762243493206903</v>
      </c>
      <c r="O1116">
        <v>52.252183233727401</v>
      </c>
      <c r="P1116">
        <v>-5.0594067895089301E-2</v>
      </c>
      <c r="Q1116">
        <v>0.220383381660474</v>
      </c>
      <c r="R1116">
        <v>0.96856080717272397</v>
      </c>
      <c r="S1116" t="s">
        <v>6667</v>
      </c>
      <c r="T1116" t="s">
        <v>11100</v>
      </c>
      <c r="U1116" t="s">
        <v>11100</v>
      </c>
      <c r="V1116" t="s">
        <v>11100</v>
      </c>
      <c r="W1116" t="s">
        <v>12191</v>
      </c>
      <c r="X1116">
        <v>1</v>
      </c>
      <c r="Y1116" t="s">
        <v>17686</v>
      </c>
      <c r="Z1116" t="s">
        <v>23121</v>
      </c>
      <c r="AA1116">
        <v>0.66042811204386886</v>
      </c>
      <c r="AB1116" t="str">
        <f>HYPERLINK("Melting_Curves/meltCurve_K7EQG1_QPCTL.pdf", "Melting_Curves/meltCurve_K7EQG1_QPCTL.pdf")</f>
        <v>Melting_Curves/meltCurve_K7EQG1_QPCTL.pdf</v>
      </c>
    </row>
    <row r="1117" spans="1:28" x14ac:dyDescent="0.25">
      <c r="A1117" t="s">
        <v>1121</v>
      </c>
      <c r="B1117">
        <v>0.99299721793515405</v>
      </c>
      <c r="C1117">
        <v>1.0684335474216899</v>
      </c>
      <c r="D1117">
        <v>0.94551718037764898</v>
      </c>
      <c r="E1117">
        <v>0.88752004553360297</v>
      </c>
      <c r="F1117">
        <v>0.58508186100690796</v>
      </c>
      <c r="G1117">
        <v>0.35391441991913802</v>
      </c>
      <c r="H1117">
        <v>0.325440125969921</v>
      </c>
      <c r="I1117">
        <v>0.206271567573589</v>
      </c>
      <c r="J1117">
        <v>0.118898764186312</v>
      </c>
      <c r="K1117">
        <v>0.17761698292297301</v>
      </c>
      <c r="L1117">
        <v>905.27803437248804</v>
      </c>
      <c r="M1117">
        <v>17.8783080357857</v>
      </c>
      <c r="N1117">
        <v>51.747216939251899</v>
      </c>
      <c r="O1117">
        <v>50.014794418988103</v>
      </c>
      <c r="P1117">
        <v>-7.5118938501582105E-2</v>
      </c>
      <c r="Q1117">
        <v>0.159457894203024</v>
      </c>
      <c r="R1117">
        <v>0.98584024522216196</v>
      </c>
      <c r="S1117" t="s">
        <v>6668</v>
      </c>
      <c r="T1117" t="s">
        <v>11100</v>
      </c>
      <c r="U1117" t="s">
        <v>11100</v>
      </c>
      <c r="V1117" t="s">
        <v>11100</v>
      </c>
      <c r="W1117" t="s">
        <v>11311</v>
      </c>
      <c r="X1117">
        <v>2</v>
      </c>
      <c r="Y1117" t="s">
        <v>17687</v>
      </c>
      <c r="Z1117" t="s">
        <v>23122</v>
      </c>
      <c r="AA1117">
        <v>0.55476467852302813</v>
      </c>
      <c r="AB1117" t="str">
        <f>HYPERLINK("Melting_Curves/meltCurve_K7EQL6_USP32.pdf", "Melting_Curves/meltCurve_K7EQL6_USP32.pdf")</f>
        <v>Melting_Curves/meltCurve_K7EQL6_USP32.pdf</v>
      </c>
    </row>
    <row r="1118" spans="1:28" x14ac:dyDescent="0.25">
      <c r="A1118" t="s">
        <v>1122</v>
      </c>
      <c r="B1118">
        <v>0.99299721793515405</v>
      </c>
      <c r="C1118">
        <v>1.0212174622738499</v>
      </c>
      <c r="D1118">
        <v>0.81918530891443897</v>
      </c>
      <c r="E1118">
        <v>0.71463099097125804</v>
      </c>
      <c r="F1118">
        <v>0.39207809947226202</v>
      </c>
      <c r="G1118">
        <v>0.276297067730297</v>
      </c>
      <c r="H1118">
        <v>0.161201472674146</v>
      </c>
      <c r="I1118">
        <v>0.147702619766375</v>
      </c>
      <c r="J1118">
        <v>0.14104779018281699</v>
      </c>
      <c r="K1118">
        <v>0.14520865008487199</v>
      </c>
      <c r="L1118">
        <v>771.90016705386995</v>
      </c>
      <c r="M1118">
        <v>16.0564276706687</v>
      </c>
      <c r="N1118">
        <v>48.934691106332998</v>
      </c>
      <c r="O1118">
        <v>47.347060399404597</v>
      </c>
      <c r="P1118">
        <v>-7.4359053512661505E-2</v>
      </c>
      <c r="Q1118">
        <v>0.122990460711856</v>
      </c>
      <c r="R1118">
        <v>0.99111068470512298</v>
      </c>
      <c r="S1118" t="s">
        <v>6669</v>
      </c>
      <c r="T1118" t="s">
        <v>11100</v>
      </c>
      <c r="U1118" t="s">
        <v>11100</v>
      </c>
      <c r="V1118" t="s">
        <v>11100</v>
      </c>
      <c r="W1118" t="s">
        <v>12192</v>
      </c>
      <c r="X1118">
        <v>2</v>
      </c>
      <c r="Y1118" t="s">
        <v>17688</v>
      </c>
      <c r="Z1118" t="s">
        <v>23123</v>
      </c>
      <c r="AA1118">
        <v>0.46390197795660459</v>
      </c>
      <c r="AB1118" t="str">
        <f>HYPERLINK("Melting_Curves/meltCurve_K7ER00_FARSA.pdf", "Melting_Curves/meltCurve_K7ER00_FARSA.pdf")</f>
        <v>Melting_Curves/meltCurve_K7ER00_FARSA.pdf</v>
      </c>
    </row>
    <row r="1119" spans="1:28" x14ac:dyDescent="0.25">
      <c r="A1119" t="s">
        <v>1123</v>
      </c>
      <c r="B1119">
        <v>0.99299721793515405</v>
      </c>
      <c r="C1119">
        <v>0.67334900414787902</v>
      </c>
      <c r="D1119">
        <v>0.86252835727751298</v>
      </c>
      <c r="E1119">
        <v>0.469483046128927</v>
      </c>
      <c r="F1119">
        <v>0.68365157970128898</v>
      </c>
      <c r="G1119">
        <v>0.28335950595417803</v>
      </c>
      <c r="H1119">
        <v>0.213365005673228</v>
      </c>
      <c r="I1119">
        <v>0.16857603307498201</v>
      </c>
      <c r="J1119">
        <v>0</v>
      </c>
      <c r="K1119">
        <v>0.154804155843795</v>
      </c>
      <c r="L1119">
        <v>392.05167474262203</v>
      </c>
      <c r="M1119">
        <v>7.9926587972626901</v>
      </c>
      <c r="N1119">
        <v>49.0514669190744</v>
      </c>
      <c r="O1119">
        <v>46.266479184683597</v>
      </c>
      <c r="P1119">
        <v>-4.32371863743473E-2</v>
      </c>
      <c r="Q1119">
        <v>0</v>
      </c>
      <c r="R1119">
        <v>0.85860879426360404</v>
      </c>
      <c r="S1119" t="s">
        <v>6670</v>
      </c>
      <c r="T1119" t="s">
        <v>11100</v>
      </c>
      <c r="U1119" t="s">
        <v>11100</v>
      </c>
      <c r="V1119" t="s">
        <v>11100</v>
      </c>
      <c r="W1119" t="s">
        <v>12193</v>
      </c>
      <c r="X1119">
        <v>1</v>
      </c>
      <c r="Y1119" t="s">
        <v>17689</v>
      </c>
      <c r="Z1119" t="s">
        <v>23124</v>
      </c>
      <c r="AA1119">
        <v>0.44786895587414449</v>
      </c>
      <c r="AB1119" t="str">
        <f>HYPERLINK("Melting_Curves/meltCurve_K7ER93_C19orf55.pdf", "Melting_Curves/meltCurve_K7ER93_C19orf55.pdf")</f>
        <v>Melting_Curves/meltCurve_K7ER93_C19orf55.pdf</v>
      </c>
    </row>
    <row r="1120" spans="1:28" x14ac:dyDescent="0.25">
      <c r="A1120" t="s">
        <v>1124</v>
      </c>
      <c r="B1120">
        <v>0.99299721793515405</v>
      </c>
      <c r="C1120">
        <v>1.05342160200391</v>
      </c>
      <c r="D1120">
        <v>0.92136381084236596</v>
      </c>
      <c r="E1120">
        <v>0.94732083938751099</v>
      </c>
      <c r="F1120">
        <v>0.71686858592119296</v>
      </c>
      <c r="G1120">
        <v>1.2355922577343399</v>
      </c>
      <c r="H1120">
        <v>0.60930264725356398</v>
      </c>
      <c r="I1120">
        <v>0.27607754693241299</v>
      </c>
      <c r="J1120">
        <v>0.22867803757220601</v>
      </c>
      <c r="K1120">
        <v>0.21256600626084601</v>
      </c>
      <c r="L1120">
        <v>14346.906069106701</v>
      </c>
      <c r="M1120">
        <v>250</v>
      </c>
      <c r="N1120">
        <v>57.537337772940099</v>
      </c>
      <c r="O1120">
        <v>57.383975179577</v>
      </c>
      <c r="P1120">
        <v>-0.82873008281848504</v>
      </c>
      <c r="Q1120">
        <v>0.23910708423434399</v>
      </c>
      <c r="R1120">
        <v>0.88042134284477302</v>
      </c>
      <c r="S1120" t="s">
        <v>6671</v>
      </c>
      <c r="T1120" t="s">
        <v>11100</v>
      </c>
      <c r="U1120" t="s">
        <v>11100</v>
      </c>
      <c r="V1120" t="s">
        <v>11100</v>
      </c>
      <c r="W1120" t="s">
        <v>12194</v>
      </c>
      <c r="X1120">
        <v>7</v>
      </c>
      <c r="Y1120" t="s">
        <v>17690</v>
      </c>
      <c r="Z1120" t="s">
        <v>23125</v>
      </c>
      <c r="AA1120">
        <v>0.75627701313911022</v>
      </c>
      <c r="AB1120" t="str">
        <f>HYPERLINK("Melting_Curves/meltCurve_K7ERF1_EIF3K.pdf", "Melting_Curves/meltCurve_K7ERF1_EIF3K.pdf")</f>
        <v>Melting_Curves/meltCurve_K7ERF1_EIF3K.pdf</v>
      </c>
    </row>
    <row r="1121" spans="1:28" x14ac:dyDescent="0.25">
      <c r="A1121" t="s">
        <v>1125</v>
      </c>
      <c r="B1121">
        <v>0.99299721793515405</v>
      </c>
      <c r="C1121">
        <v>0.92732432463735004</v>
      </c>
      <c r="D1121">
        <v>0.86851084858324301</v>
      </c>
      <c r="E1121">
        <v>0.84064534826426196</v>
      </c>
      <c r="F1121">
        <v>0.67540646757163203</v>
      </c>
      <c r="G1121">
        <v>0.240000760091334</v>
      </c>
      <c r="H1121">
        <v>0.167120226449578</v>
      </c>
      <c r="I1121">
        <v>0.16837226851949699</v>
      </c>
      <c r="J1121">
        <v>0.15355964018745499</v>
      </c>
      <c r="K1121">
        <v>0.139255734651305</v>
      </c>
      <c r="L1121">
        <v>1105.43463535244</v>
      </c>
      <c r="M1121">
        <v>21.870861200656702</v>
      </c>
      <c r="N1121">
        <v>51.232231215466001</v>
      </c>
      <c r="O1121">
        <v>50.126851403272802</v>
      </c>
      <c r="P1121">
        <v>-9.5190534221074E-2</v>
      </c>
      <c r="Q1121">
        <v>0.12733336142304799</v>
      </c>
      <c r="R1121">
        <v>0.97435306746870598</v>
      </c>
      <c r="S1121" t="s">
        <v>6672</v>
      </c>
      <c r="T1121" t="s">
        <v>11100</v>
      </c>
      <c r="U1121" t="s">
        <v>11100</v>
      </c>
      <c r="V1121" t="s">
        <v>11100</v>
      </c>
      <c r="W1121" t="s">
        <v>12195</v>
      </c>
      <c r="X1121">
        <v>2</v>
      </c>
      <c r="Y1121" t="s">
        <v>17691</v>
      </c>
      <c r="Z1121" t="s">
        <v>23126</v>
      </c>
      <c r="AA1121">
        <v>0.53111200661272684</v>
      </c>
      <c r="AB1121" t="str">
        <f>HYPERLINK("Melting_Curves/meltCurve_K7ERH7_DTNA.pdf", "Melting_Curves/meltCurve_K7ERH7_DTNA.pdf")</f>
        <v>Melting_Curves/meltCurve_K7ERH7_DTNA.pdf</v>
      </c>
    </row>
    <row r="1122" spans="1:28" x14ac:dyDescent="0.25">
      <c r="A1122" t="s">
        <v>1126</v>
      </c>
      <c r="B1122">
        <v>0.99299721793515405</v>
      </c>
      <c r="C1122">
        <v>0.78632036830667296</v>
      </c>
      <c r="D1122">
        <v>0.77320742291656896</v>
      </c>
      <c r="E1122">
        <v>0.50815246663699098</v>
      </c>
      <c r="F1122">
        <v>0.39589891750721401</v>
      </c>
      <c r="G1122">
        <v>0.35720611027985999</v>
      </c>
      <c r="H1122">
        <v>0.41921603982260702</v>
      </c>
      <c r="I1122">
        <v>0.38997365906889397</v>
      </c>
      <c r="J1122">
        <v>0.407860320501088</v>
      </c>
      <c r="K1122">
        <v>0.39678954737003302</v>
      </c>
      <c r="L1122">
        <v>711.18677617111496</v>
      </c>
      <c r="M1122">
        <v>16.488923774777899</v>
      </c>
      <c r="N1122">
        <v>47.238943850038503</v>
      </c>
      <c r="O1122">
        <v>42.511764154260497</v>
      </c>
      <c r="P1122">
        <v>-6.00457666040356E-2</v>
      </c>
      <c r="Q1122">
        <v>0.38080286944671699</v>
      </c>
      <c r="R1122">
        <v>0.95717098595528105</v>
      </c>
      <c r="S1122" t="s">
        <v>6673</v>
      </c>
      <c r="T1122" t="s">
        <v>11100</v>
      </c>
      <c r="U1122" t="s">
        <v>11100</v>
      </c>
      <c r="V1122" t="s">
        <v>11100</v>
      </c>
      <c r="W1122" t="s">
        <v>12196</v>
      </c>
      <c r="X1122">
        <v>1</v>
      </c>
      <c r="Y1122" t="s">
        <v>17692</v>
      </c>
      <c r="Z1122" t="s">
        <v>23127</v>
      </c>
      <c r="AA1122">
        <v>0.52055772479836826</v>
      </c>
      <c r="AB1122" t="str">
        <f>HYPERLINK("Melting_Curves/meltCurve_K7ERQ0_YIF1B.pdf", "Melting_Curves/meltCurve_K7ERQ0_YIF1B.pdf")</f>
        <v>Melting_Curves/meltCurve_K7ERQ0_YIF1B.pdf</v>
      </c>
    </row>
    <row r="1123" spans="1:28" x14ac:dyDescent="0.25">
      <c r="A1123" t="s">
        <v>1127</v>
      </c>
      <c r="B1123">
        <v>0.99299721793515405</v>
      </c>
      <c r="C1123">
        <v>0.88267112135450398</v>
      </c>
      <c r="D1123">
        <v>0.83929394110829803</v>
      </c>
      <c r="E1123">
        <v>0.68562880754466105</v>
      </c>
      <c r="F1123">
        <v>0.61685115747021502</v>
      </c>
      <c r="G1123">
        <v>0.487753624320863</v>
      </c>
      <c r="H1123">
        <v>0.47928080340264301</v>
      </c>
      <c r="I1123">
        <v>0.55195222181271797</v>
      </c>
      <c r="J1123">
        <v>0.56369585633147201</v>
      </c>
      <c r="K1123">
        <v>0.58273261107692897</v>
      </c>
      <c r="L1123">
        <v>697.69005115230595</v>
      </c>
      <c r="M1123">
        <v>15.7681693502686</v>
      </c>
      <c r="O1123">
        <v>43.553407293513899</v>
      </c>
      <c r="P1123">
        <v>-4.2563500421072299E-2</v>
      </c>
      <c r="Q1123">
        <v>0.529778763646788</v>
      </c>
      <c r="R1123">
        <v>0.94398580388520603</v>
      </c>
      <c r="S1123" t="s">
        <v>6674</v>
      </c>
      <c r="T1123" t="s">
        <v>11100</v>
      </c>
      <c r="U1123" t="s">
        <v>11100</v>
      </c>
      <c r="V1123" t="s">
        <v>11100</v>
      </c>
      <c r="W1123" t="s">
        <v>11465</v>
      </c>
      <c r="X1123">
        <v>1</v>
      </c>
      <c r="Z1123" t="s">
        <v>23128</v>
      </c>
      <c r="AA1123">
        <v>0.65376731143377664</v>
      </c>
      <c r="AB1123" t="str">
        <f>HYPERLINK("Melting_Curves/meltCurve_K7ERS5_.pdf", "Melting_Curves/meltCurve_K7ERS5_.pdf")</f>
        <v>Melting_Curves/meltCurve_K7ERS5_.pdf</v>
      </c>
    </row>
    <row r="1124" spans="1:28" x14ac:dyDescent="0.25">
      <c r="A1124" t="s">
        <v>1128</v>
      </c>
      <c r="B1124">
        <v>0.99299721793515405</v>
      </c>
      <c r="C1124">
        <v>0.74443916322426296</v>
      </c>
      <c r="D1124">
        <v>1.20820177306712</v>
      </c>
      <c r="E1124">
        <v>0.66174867442072105</v>
      </c>
      <c r="F1124">
        <v>0.595288662364169</v>
      </c>
      <c r="G1124">
        <v>0.64700521621309404</v>
      </c>
      <c r="H1124">
        <v>0.303545034524343</v>
      </c>
      <c r="I1124">
        <v>0.10992671093386</v>
      </c>
      <c r="J1124">
        <v>0.13234145496024299</v>
      </c>
      <c r="K1124">
        <v>0.14719070384992999</v>
      </c>
      <c r="L1124">
        <v>555.959529818649</v>
      </c>
      <c r="M1124">
        <v>10.4285939016666</v>
      </c>
      <c r="N1124">
        <v>53.311077949999301</v>
      </c>
      <c r="O1124">
        <v>51.462615220403698</v>
      </c>
      <c r="P1124">
        <v>-5.0682008517639002E-2</v>
      </c>
      <c r="Q1124">
        <v>0</v>
      </c>
      <c r="R1124">
        <v>0.84263565064768198</v>
      </c>
      <c r="S1124" t="s">
        <v>6675</v>
      </c>
      <c r="T1124" t="s">
        <v>11100</v>
      </c>
      <c r="U1124" t="s">
        <v>11100</v>
      </c>
      <c r="V1124" t="s">
        <v>11100</v>
      </c>
      <c r="W1124" t="s">
        <v>12197</v>
      </c>
      <c r="X1124">
        <v>19</v>
      </c>
      <c r="Y1124" t="s">
        <v>17693</v>
      </c>
      <c r="Z1124" t="s">
        <v>23129</v>
      </c>
      <c r="AA1124">
        <v>0.56461767307150224</v>
      </c>
      <c r="AB1124" t="str">
        <f>HYPERLINK("Melting_Curves/meltCurve_K7ES11_UBE2O.pdf", "Melting_Curves/meltCurve_K7ES11_UBE2O.pdf")</f>
        <v>Melting_Curves/meltCurve_K7ES11_UBE2O.pdf</v>
      </c>
    </row>
    <row r="1125" spans="1:28" x14ac:dyDescent="0.25">
      <c r="A1125" t="s">
        <v>1129</v>
      </c>
      <c r="B1125">
        <v>0.99299721793515405</v>
      </c>
      <c r="C1125">
        <v>1.13597626991475</v>
      </c>
      <c r="D1125">
        <v>0.96408823629751195</v>
      </c>
      <c r="E1125">
        <v>0.99490648073648402</v>
      </c>
      <c r="F1125">
        <v>0.71113395414873304</v>
      </c>
      <c r="G1125">
        <v>0.47225484981767601</v>
      </c>
      <c r="H1125">
        <v>0.213306336164615</v>
      </c>
      <c r="I1125">
        <v>0.251280549741146</v>
      </c>
      <c r="J1125">
        <v>0.141915859744841</v>
      </c>
      <c r="K1125">
        <v>7.7011180917554295E-2</v>
      </c>
      <c r="L1125">
        <v>1058.94989941214</v>
      </c>
      <c r="M1125">
        <v>20.180571877953799</v>
      </c>
      <c r="N1125">
        <v>53.1909461940987</v>
      </c>
      <c r="O1125">
        <v>51.966621235206603</v>
      </c>
      <c r="P1125">
        <v>-8.5522864700703194E-2</v>
      </c>
      <c r="Q1125">
        <v>0.119114189945127</v>
      </c>
      <c r="R1125">
        <v>0.97623178250118303</v>
      </c>
      <c r="S1125" t="s">
        <v>6676</v>
      </c>
      <c r="T1125" t="s">
        <v>11100</v>
      </c>
      <c r="U1125" t="s">
        <v>11100</v>
      </c>
      <c r="V1125" t="s">
        <v>11100</v>
      </c>
      <c r="W1125" t="s">
        <v>12198</v>
      </c>
      <c r="X1125">
        <v>3</v>
      </c>
      <c r="Y1125" t="s">
        <v>17694</v>
      </c>
      <c r="Z1125" t="s">
        <v>23130</v>
      </c>
      <c r="AA1125">
        <v>0.58457572183605844</v>
      </c>
      <c r="AB1125" t="str">
        <f>HYPERLINK("Melting_Curves/meltCurve_K7ES84_FAM86A.pdf", "Melting_Curves/meltCurve_K7ES84_FAM86A.pdf")</f>
        <v>Melting_Curves/meltCurve_K7ES84_FAM86A.pdf</v>
      </c>
    </row>
    <row r="1126" spans="1:28" x14ac:dyDescent="0.25">
      <c r="A1126" t="s">
        <v>1130</v>
      </c>
      <c r="B1126">
        <v>0.99299721793515405</v>
      </c>
      <c r="C1126">
        <v>0.97468187605924805</v>
      </c>
      <c r="D1126">
        <v>1.0227268805593901</v>
      </c>
      <c r="E1126">
        <v>0.73281351372224302</v>
      </c>
      <c r="F1126">
        <v>0.63157851227312301</v>
      </c>
      <c r="G1126">
        <v>0.57360831900410802</v>
      </c>
      <c r="H1126">
        <v>0.34790442193598897</v>
      </c>
      <c r="I1126">
        <v>0.370122325122898</v>
      </c>
      <c r="J1126">
        <v>0.25601606834967899</v>
      </c>
      <c r="K1126">
        <v>0.263677535950887</v>
      </c>
      <c r="L1126">
        <v>585.26669026971194</v>
      </c>
      <c r="M1126">
        <v>11.4109495849836</v>
      </c>
      <c r="N1126">
        <v>53.928782177240599</v>
      </c>
      <c r="O1126">
        <v>49.790504913951999</v>
      </c>
      <c r="P1126">
        <v>-4.5051059230625599E-2</v>
      </c>
      <c r="Q1126">
        <v>0.213927573862561</v>
      </c>
      <c r="R1126">
        <v>0.96797799961877895</v>
      </c>
      <c r="S1126" t="s">
        <v>6677</v>
      </c>
      <c r="T1126" t="s">
        <v>11100</v>
      </c>
      <c r="U1126" t="s">
        <v>11100</v>
      </c>
      <c r="V1126" t="s">
        <v>11100</v>
      </c>
      <c r="W1126" t="s">
        <v>12199</v>
      </c>
      <c r="X1126">
        <v>1</v>
      </c>
      <c r="Y1126" t="s">
        <v>17695</v>
      </c>
      <c r="Z1126" t="s">
        <v>23131</v>
      </c>
      <c r="AA1126">
        <v>0.60925609578401885</v>
      </c>
      <c r="AB1126" t="str">
        <f>HYPERLINK("Melting_Curves/meltCurve_K7ESA4_ATF7.pdf", "Melting_Curves/meltCurve_K7ESA4_ATF7.pdf")</f>
        <v>Melting_Curves/meltCurve_K7ESA4_ATF7.pdf</v>
      </c>
    </row>
    <row r="1127" spans="1:28" x14ac:dyDescent="0.25">
      <c r="A1127" t="s">
        <v>1131</v>
      </c>
      <c r="B1127">
        <v>0.99299721793515405</v>
      </c>
      <c r="C1127">
        <v>1.05141403762621</v>
      </c>
      <c r="D1127">
        <v>1.00924963239854</v>
      </c>
      <c r="E1127">
        <v>0.86976843640814805</v>
      </c>
      <c r="F1127">
        <v>0.77166129413166795</v>
      </c>
      <c r="G1127">
        <v>0.68546416250022102</v>
      </c>
      <c r="H1127">
        <v>0.67343191900223898</v>
      </c>
      <c r="I1127">
        <v>0.58855929438208598</v>
      </c>
      <c r="J1127">
        <v>0.700199609225719</v>
      </c>
      <c r="K1127">
        <v>0.57162966488790201</v>
      </c>
      <c r="L1127">
        <v>936.50252271761099</v>
      </c>
      <c r="M1127">
        <v>19.139879798342001</v>
      </c>
      <c r="O1127">
        <v>48.404651595627001</v>
      </c>
      <c r="P1127">
        <v>-3.7092723927569501E-2</v>
      </c>
      <c r="Q1127">
        <v>0.62478536781376104</v>
      </c>
      <c r="R1127">
        <v>0.94389139742684602</v>
      </c>
      <c r="S1127" t="s">
        <v>6678</v>
      </c>
      <c r="T1127" t="s">
        <v>11100</v>
      </c>
      <c r="U1127" t="s">
        <v>11100</v>
      </c>
      <c r="V1127" t="s">
        <v>11100</v>
      </c>
      <c r="W1127" t="s">
        <v>12200</v>
      </c>
      <c r="X1127">
        <v>6</v>
      </c>
      <c r="Y1127" t="s">
        <v>17696</v>
      </c>
      <c r="Z1127" t="s">
        <v>23132</v>
      </c>
      <c r="AA1127">
        <v>0.77934079667278744</v>
      </c>
      <c r="AB1127" t="str">
        <f>HYPERLINK("Melting_Curves/meltCurve_K7ESE3_RAD23A.pdf", "Melting_Curves/meltCurve_K7ESE3_RAD23A.pdf")</f>
        <v>Melting_Curves/meltCurve_K7ESE3_RAD23A.pdf</v>
      </c>
    </row>
    <row r="1128" spans="1:28" x14ac:dyDescent="0.25">
      <c r="A1128" t="s">
        <v>1132</v>
      </c>
      <c r="B1128">
        <v>0.99299721793515405</v>
      </c>
      <c r="C1128">
        <v>0.85778567610918799</v>
      </c>
      <c r="D1128">
        <v>0.96724044550885602</v>
      </c>
      <c r="E1128">
        <v>0.72197920158682405</v>
      </c>
      <c r="F1128">
        <v>0.57206176033992895</v>
      </c>
      <c r="G1128">
        <v>0.57973585719686005</v>
      </c>
      <c r="H1128">
        <v>0.51621365421867704</v>
      </c>
      <c r="I1128">
        <v>0.59701712783337502</v>
      </c>
      <c r="J1128">
        <v>0.55872947992170896</v>
      </c>
      <c r="K1128">
        <v>0.29419371011465401</v>
      </c>
      <c r="L1128">
        <v>494.75284531399501</v>
      </c>
      <c r="M1128">
        <v>10.390545811871499</v>
      </c>
      <c r="N1128">
        <v>59.062690426806697</v>
      </c>
      <c r="O1128">
        <v>45.953265805995102</v>
      </c>
      <c r="P1128">
        <v>-3.2050010362015401E-2</v>
      </c>
      <c r="Q1128">
        <v>0.43326007707164299</v>
      </c>
      <c r="R1128">
        <v>0.83475505786005999</v>
      </c>
      <c r="S1128" t="s">
        <v>6679</v>
      </c>
      <c r="T1128" t="s">
        <v>11100</v>
      </c>
      <c r="U1128" t="s">
        <v>11100</v>
      </c>
      <c r="V1128" t="s">
        <v>11100</v>
      </c>
      <c r="W1128" t="s">
        <v>12201</v>
      </c>
      <c r="X1128">
        <v>2</v>
      </c>
      <c r="Y1128" t="s">
        <v>17697</v>
      </c>
      <c r="Z1128" t="s">
        <v>23133</v>
      </c>
      <c r="AA1128">
        <v>0.65604434424041291</v>
      </c>
      <c r="AB1128" t="str">
        <f>HYPERLINK("Melting_Curves/meltCurve_K7ESE6_G6PC3.pdf", "Melting_Curves/meltCurve_K7ESE6_G6PC3.pdf")</f>
        <v>Melting_Curves/meltCurve_K7ESE6_G6PC3.pdf</v>
      </c>
    </row>
    <row r="1129" spans="1:28" x14ac:dyDescent="0.25">
      <c r="A1129" t="s">
        <v>1133</v>
      </c>
      <c r="B1129">
        <v>0.99299721793515405</v>
      </c>
      <c r="C1129">
        <v>1.0052813925470701</v>
      </c>
      <c r="D1129">
        <v>1.08906687348026</v>
      </c>
      <c r="E1129">
        <v>0.825453116835411</v>
      </c>
      <c r="F1129">
        <v>0.74739732984551099</v>
      </c>
      <c r="G1129">
        <v>0.65732751286765101</v>
      </c>
      <c r="H1129">
        <v>0.211342224731602</v>
      </c>
      <c r="I1129">
        <v>0.166582125279715</v>
      </c>
      <c r="J1129">
        <v>0.15611227117135501</v>
      </c>
      <c r="K1129">
        <v>0.114860806722986</v>
      </c>
      <c r="L1129">
        <v>868.70979471436794</v>
      </c>
      <c r="M1129">
        <v>16.129984552202401</v>
      </c>
      <c r="N1129">
        <v>54.2921085994181</v>
      </c>
      <c r="O1129">
        <v>53.049430569032502</v>
      </c>
      <c r="P1129">
        <v>-7.1408825963102995E-2</v>
      </c>
      <c r="Q1129">
        <v>6.0653817014912501E-2</v>
      </c>
      <c r="R1129">
        <v>0.96442065294187396</v>
      </c>
      <c r="S1129" t="s">
        <v>6680</v>
      </c>
      <c r="T1129" t="s">
        <v>11100</v>
      </c>
      <c r="U1129" t="s">
        <v>11100</v>
      </c>
      <c r="V1129" t="s">
        <v>11100</v>
      </c>
      <c r="W1129" t="s">
        <v>12202</v>
      </c>
      <c r="X1129">
        <v>11</v>
      </c>
      <c r="Y1129" t="s">
        <v>17698</v>
      </c>
      <c r="Z1129" t="s">
        <v>23134</v>
      </c>
      <c r="AA1129">
        <v>0.60301757364225661</v>
      </c>
      <c r="AB1129" t="str">
        <f>HYPERLINK("Melting_Curves/meltCurve_K7ESI9_DNM2.pdf", "Melting_Curves/meltCurve_K7ESI9_DNM2.pdf")</f>
        <v>Melting_Curves/meltCurve_K7ESI9_DNM2.pdf</v>
      </c>
    </row>
    <row r="1130" spans="1:28" x14ac:dyDescent="0.25">
      <c r="A1130" t="s">
        <v>1134</v>
      </c>
      <c r="B1130">
        <v>0.99299721793515405</v>
      </c>
      <c r="C1130">
        <v>0.828145865849098</v>
      </c>
      <c r="D1130">
        <v>0.82800124600148695</v>
      </c>
      <c r="E1130">
        <v>0.83571330660791898</v>
      </c>
      <c r="F1130">
        <v>0.84677541726547201</v>
      </c>
      <c r="G1130">
        <v>0.93011895486310403</v>
      </c>
      <c r="H1130">
        <v>0.73742096953773395</v>
      </c>
      <c r="I1130">
        <v>0.44159300548208902</v>
      </c>
      <c r="J1130">
        <v>0.24932532442965499</v>
      </c>
      <c r="K1130">
        <v>0.20100019600813299</v>
      </c>
      <c r="L1130">
        <v>940.783449824326</v>
      </c>
      <c r="M1130">
        <v>15.575583550109499</v>
      </c>
      <c r="N1130">
        <v>60.401168907573002</v>
      </c>
      <c r="O1130">
        <v>59.4317961422149</v>
      </c>
      <c r="P1130">
        <v>-6.5524442222716903E-2</v>
      </c>
      <c r="Q1130">
        <v>0</v>
      </c>
      <c r="R1130">
        <v>0.85902720992821202</v>
      </c>
      <c r="S1130" t="s">
        <v>6681</v>
      </c>
      <c r="T1130" t="s">
        <v>11100</v>
      </c>
      <c r="U1130" t="s">
        <v>11100</v>
      </c>
      <c r="V1130" t="s">
        <v>11100</v>
      </c>
      <c r="W1130" t="s">
        <v>12203</v>
      </c>
      <c r="X1130">
        <v>2</v>
      </c>
      <c r="Y1130" t="s">
        <v>17699</v>
      </c>
      <c r="Z1130" t="s">
        <v>23135</v>
      </c>
      <c r="AA1130">
        <v>0.7719517938003726</v>
      </c>
      <c r="AB1130" t="str">
        <f>HYPERLINK("Melting_Curves/meltCurve_K7ESL1_TXNL4A.pdf", "Melting_Curves/meltCurve_K7ESL1_TXNL4A.pdf")</f>
        <v>Melting_Curves/meltCurve_K7ESL1_TXNL4A.pdf</v>
      </c>
    </row>
    <row r="1131" spans="1:28" x14ac:dyDescent="0.25">
      <c r="A1131" t="s">
        <v>1135</v>
      </c>
      <c r="B1131">
        <v>0.99299721793515405</v>
      </c>
      <c r="C1131">
        <v>0.864745852777553</v>
      </c>
      <c r="D1131">
        <v>0.87072689011274795</v>
      </c>
      <c r="E1131">
        <v>0.81827516345690499</v>
      </c>
      <c r="F1131">
        <v>0.55786625557312297</v>
      </c>
      <c r="G1131">
        <v>0.240185973572594</v>
      </c>
      <c r="H1131">
        <v>0.14244918696564701</v>
      </c>
      <c r="I1131">
        <v>0.14704655524847099</v>
      </c>
      <c r="J1131">
        <v>0.13025758660687201</v>
      </c>
      <c r="K1131">
        <v>0.106187750815909</v>
      </c>
      <c r="L1131">
        <v>842.79909780881599</v>
      </c>
      <c r="M1131">
        <v>16.911640947055702</v>
      </c>
      <c r="N1131">
        <v>50.410917050263599</v>
      </c>
      <c r="O1131">
        <v>49.1542739542015</v>
      </c>
      <c r="P1131">
        <v>-7.8467549404007603E-2</v>
      </c>
      <c r="Q1131">
        <v>8.7782872237851306E-2</v>
      </c>
      <c r="R1131">
        <v>0.97757173022128696</v>
      </c>
      <c r="S1131" t="s">
        <v>6682</v>
      </c>
      <c r="T1131" t="s">
        <v>11100</v>
      </c>
      <c r="U1131" t="s">
        <v>11100</v>
      </c>
      <c r="V1131" t="s">
        <v>11100</v>
      </c>
      <c r="W1131" t="s">
        <v>12204</v>
      </c>
      <c r="X1131">
        <v>9</v>
      </c>
      <c r="Y1131" t="s">
        <v>17700</v>
      </c>
      <c r="Z1131" t="s">
        <v>23136</v>
      </c>
      <c r="AA1131">
        <v>0.4940167839498234</v>
      </c>
      <c r="AB1131" t="str">
        <f>HYPERLINK("Melting_Curves/meltCurve_K7ESP4_DCAKD.pdf", "Melting_Curves/meltCurve_K7ESP4_DCAKD.pdf")</f>
        <v>Melting_Curves/meltCurve_K7ESP4_DCAKD.pdf</v>
      </c>
    </row>
    <row r="1132" spans="1:28" x14ac:dyDescent="0.25">
      <c r="A1132" t="s">
        <v>1136</v>
      </c>
      <c r="B1132">
        <v>0.99299721793515405</v>
      </c>
      <c r="C1132">
        <v>0.95400896897505405</v>
      </c>
      <c r="D1132">
        <v>0.89541470527574896</v>
      </c>
      <c r="E1132">
        <v>0.86155471129521399</v>
      </c>
      <c r="F1132">
        <v>0.74293641684703704</v>
      </c>
      <c r="G1132">
        <v>0.40818230983627701</v>
      </c>
      <c r="H1132">
        <v>0.23131213749905499</v>
      </c>
      <c r="I1132">
        <v>0.19397024140133001</v>
      </c>
      <c r="J1132">
        <v>0.16589711152363701</v>
      </c>
      <c r="K1132">
        <v>0.14471369617938001</v>
      </c>
      <c r="L1132">
        <v>883.41321074509699</v>
      </c>
      <c r="M1132">
        <v>17.0262718463715</v>
      </c>
      <c r="N1132">
        <v>52.739595674446001</v>
      </c>
      <c r="O1132">
        <v>51.185430494920801</v>
      </c>
      <c r="P1132">
        <v>-7.3141919733123895E-2</v>
      </c>
      <c r="Q1132">
        <v>0.120519202980404</v>
      </c>
      <c r="R1132">
        <v>0.98788501786983496</v>
      </c>
      <c r="S1132" t="s">
        <v>6683</v>
      </c>
      <c r="T1132" t="s">
        <v>11100</v>
      </c>
      <c r="U1132" t="s">
        <v>11100</v>
      </c>
      <c r="V1132" t="s">
        <v>11100</v>
      </c>
      <c r="W1132" t="s">
        <v>12205</v>
      </c>
      <c r="X1132">
        <v>14</v>
      </c>
      <c r="Y1132" t="s">
        <v>17701</v>
      </c>
      <c r="Z1132" t="s">
        <v>23137</v>
      </c>
      <c r="AA1132">
        <v>0.57132429896154913</v>
      </c>
      <c r="AB1132" t="str">
        <f>HYPERLINK("Melting_Curves/meltCurve_M0QWZ7_SARS2.pdf", "Melting_Curves/meltCurve_M0QWZ7_SARS2.pdf")</f>
        <v>Melting_Curves/meltCurve_M0QWZ7_SARS2.pdf</v>
      </c>
    </row>
    <row r="1133" spans="1:28" x14ac:dyDescent="0.25">
      <c r="A1133" t="s">
        <v>1137</v>
      </c>
      <c r="B1133">
        <v>0.99299721793515405</v>
      </c>
      <c r="C1133">
        <v>0.92003007783148305</v>
      </c>
      <c r="D1133">
        <v>0.95912237254917299</v>
      </c>
      <c r="E1133">
        <v>0.805089116747147</v>
      </c>
      <c r="F1133">
        <v>0.71004640659601204</v>
      </c>
      <c r="G1133">
        <v>0.59961600532366399</v>
      </c>
      <c r="H1133">
        <v>0.77111246537953304</v>
      </c>
      <c r="I1133">
        <v>0.93094012966634898</v>
      </c>
      <c r="J1133">
        <v>0.83528079928326004</v>
      </c>
      <c r="K1133">
        <v>0.48024801806880102</v>
      </c>
      <c r="L1133">
        <v>1467.25414977731</v>
      </c>
      <c r="M1133">
        <v>32.474798784050698</v>
      </c>
      <c r="O1133">
        <v>45.0110112612535</v>
      </c>
      <c r="P1133">
        <v>-5.0433370485401301E-2</v>
      </c>
      <c r="Q1133">
        <v>0.72039279672648304</v>
      </c>
      <c r="R1133">
        <v>0.436336509410441</v>
      </c>
      <c r="S1133" t="s">
        <v>6684</v>
      </c>
      <c r="T1133" t="s">
        <v>11100</v>
      </c>
      <c r="U1133" t="s">
        <v>11100</v>
      </c>
      <c r="V1133" t="s">
        <v>11100</v>
      </c>
      <c r="W1133" t="s">
        <v>12206</v>
      </c>
      <c r="X1133">
        <v>7</v>
      </c>
      <c r="Y1133" t="s">
        <v>17702</v>
      </c>
      <c r="Z1133" t="s">
        <v>23138</v>
      </c>
      <c r="AA1133">
        <v>0.79798150291245828</v>
      </c>
      <c r="AB1133" t="str">
        <f>HYPERLINK("Melting_Curves/meltCurve_M0QX07_BABAM1.pdf", "Melting_Curves/meltCurve_M0QX07_BABAM1.pdf")</f>
        <v>Melting_Curves/meltCurve_M0QX07_BABAM1.pdf</v>
      </c>
    </row>
    <row r="1134" spans="1:28" x14ac:dyDescent="0.25">
      <c r="A1134" t="s">
        <v>1138</v>
      </c>
      <c r="B1134">
        <v>0.99299721793515405</v>
      </c>
      <c r="C1134">
        <v>0.97068521259226803</v>
      </c>
      <c r="D1134">
        <v>0.99661060853280303</v>
      </c>
      <c r="E1134">
        <v>0.93073420133598095</v>
      </c>
      <c r="F1134">
        <v>0.79376059074444505</v>
      </c>
      <c r="G1134">
        <v>0.73318228448106504</v>
      </c>
      <c r="H1134">
        <v>0.36462105894618801</v>
      </c>
      <c r="I1134">
        <v>0.44587143455844003</v>
      </c>
      <c r="J1134">
        <v>0.40589007866316201</v>
      </c>
      <c r="K1134">
        <v>0.336491079059489</v>
      </c>
      <c r="L1134">
        <v>928.58739580310896</v>
      </c>
      <c r="M1134">
        <v>17.448673487387399</v>
      </c>
      <c r="N1134">
        <v>56.912565197976299</v>
      </c>
      <c r="O1134">
        <v>52.533966458358996</v>
      </c>
      <c r="P1134">
        <v>-5.4896888781671399E-2</v>
      </c>
      <c r="Q1134">
        <v>0.338908949284081</v>
      </c>
      <c r="R1134">
        <v>0.95897298282542098</v>
      </c>
      <c r="S1134" t="s">
        <v>6685</v>
      </c>
      <c r="T1134" t="s">
        <v>11100</v>
      </c>
      <c r="U1134" t="s">
        <v>11100</v>
      </c>
      <c r="V1134" t="s">
        <v>11100</v>
      </c>
      <c r="W1134" t="s">
        <v>12207</v>
      </c>
      <c r="X1134">
        <v>3</v>
      </c>
      <c r="Y1134" t="s">
        <v>17703</v>
      </c>
      <c r="Z1134" t="s">
        <v>23139</v>
      </c>
      <c r="AA1134">
        <v>0.70617566623167749</v>
      </c>
      <c r="AB1134" t="str">
        <f>HYPERLINK("Melting_Curves/meltCurve_M0QXA7_WIZ.pdf", "Melting_Curves/meltCurve_M0QXA7_WIZ.pdf")</f>
        <v>Melting_Curves/meltCurve_M0QXA7_WIZ.pdf</v>
      </c>
    </row>
    <row r="1135" spans="1:28" x14ac:dyDescent="0.25">
      <c r="A1135" t="s">
        <v>1139</v>
      </c>
      <c r="B1135">
        <v>0.99299721793515405</v>
      </c>
      <c r="C1135">
        <v>1.0289303086177499</v>
      </c>
      <c r="D1135">
        <v>0.89887033491928903</v>
      </c>
      <c r="E1135">
        <v>0.84710351085624302</v>
      </c>
      <c r="F1135">
        <v>0.55782841613997403</v>
      </c>
      <c r="G1135">
        <v>0.42868039078230602</v>
      </c>
      <c r="H1135">
        <v>0.318801348230352</v>
      </c>
      <c r="I1135">
        <v>0.20187602592357801</v>
      </c>
      <c r="J1135">
        <v>0.14553247068649</v>
      </c>
      <c r="K1135">
        <v>0.147400954810294</v>
      </c>
      <c r="L1135">
        <v>657.31554457856998</v>
      </c>
      <c r="M1135">
        <v>12.831919233044401</v>
      </c>
      <c r="N1135">
        <v>52.167638777024798</v>
      </c>
      <c r="O1135">
        <v>50.0287849257085</v>
      </c>
      <c r="P1135">
        <v>-5.7498485589743902E-2</v>
      </c>
      <c r="Q1135">
        <v>0.103471640614768</v>
      </c>
      <c r="R1135">
        <v>0.99130065726498195</v>
      </c>
      <c r="S1135" t="s">
        <v>6686</v>
      </c>
      <c r="T1135" t="s">
        <v>11100</v>
      </c>
      <c r="U1135" t="s">
        <v>11100</v>
      </c>
      <c r="V1135" t="s">
        <v>11100</v>
      </c>
      <c r="W1135" t="s">
        <v>12208</v>
      </c>
      <c r="X1135">
        <v>8</v>
      </c>
      <c r="Y1135" t="s">
        <v>17704</v>
      </c>
      <c r="Z1135" t="s">
        <v>23140</v>
      </c>
      <c r="AA1135">
        <v>0.55000071257110905</v>
      </c>
      <c r="AB1135" t="str">
        <f>HYPERLINK("Melting_Curves/meltCurve_M0QXB4_COPE.pdf", "Melting_Curves/meltCurve_M0QXB4_COPE.pdf")</f>
        <v>Melting_Curves/meltCurve_M0QXB4_COPE.pdf</v>
      </c>
    </row>
    <row r="1136" spans="1:28" x14ac:dyDescent="0.25">
      <c r="A1136" t="s">
        <v>1140</v>
      </c>
      <c r="B1136">
        <v>0.99299721793515405</v>
      </c>
      <c r="C1136">
        <v>0.92191302026189703</v>
      </c>
      <c r="D1136">
        <v>0.93958951048531503</v>
      </c>
      <c r="E1136">
        <v>0.98678960546938799</v>
      </c>
      <c r="F1136">
        <v>0.79931070130492099</v>
      </c>
      <c r="G1136">
        <v>0.63578904247204804</v>
      </c>
      <c r="H1136">
        <v>0.55824169113556199</v>
      </c>
      <c r="I1136">
        <v>0.57918449713896003</v>
      </c>
      <c r="J1136">
        <v>0.52034151655767702</v>
      </c>
      <c r="K1136">
        <v>0.23645602260670401</v>
      </c>
      <c r="L1136">
        <v>416.76098292146702</v>
      </c>
      <c r="M1136">
        <v>6.8431538118902502</v>
      </c>
      <c r="N1136">
        <v>60.901887084390602</v>
      </c>
      <c r="O1136">
        <v>56.336959983675598</v>
      </c>
      <c r="P1136">
        <v>-3.04282459292455E-2</v>
      </c>
      <c r="Q1136">
        <v>0</v>
      </c>
      <c r="R1136">
        <v>0.91156225931186097</v>
      </c>
      <c r="S1136" t="s">
        <v>6687</v>
      </c>
      <c r="T1136" t="s">
        <v>11100</v>
      </c>
      <c r="U1136" t="s">
        <v>11100</v>
      </c>
      <c r="V1136" t="s">
        <v>11100</v>
      </c>
      <c r="W1136" t="s">
        <v>12209</v>
      </c>
      <c r="X1136">
        <v>7</v>
      </c>
      <c r="Y1136" t="s">
        <v>17705</v>
      </c>
      <c r="Z1136" t="s">
        <v>23141</v>
      </c>
      <c r="AA1136">
        <v>0.72724464168539915</v>
      </c>
      <c r="AB1136" t="str">
        <f>HYPERLINK("Melting_Curves/meltCurve_M0QXB5_ETHE1.pdf", "Melting_Curves/meltCurve_M0QXB5_ETHE1.pdf")</f>
        <v>Melting_Curves/meltCurve_M0QXB5_ETHE1.pdf</v>
      </c>
    </row>
    <row r="1137" spans="1:28" x14ac:dyDescent="0.25">
      <c r="A1137" t="s">
        <v>1141</v>
      </c>
      <c r="B1137">
        <v>0.99299721793515405</v>
      </c>
      <c r="C1137">
        <v>0.88359618317894795</v>
      </c>
      <c r="D1137">
        <v>0.79165049902143902</v>
      </c>
      <c r="E1137">
        <v>0.97146932739410996</v>
      </c>
      <c r="F1137">
        <v>0.77039708076515601</v>
      </c>
      <c r="G1137">
        <v>0.425455359228192</v>
      </c>
      <c r="H1137">
        <v>0.56708508726139195</v>
      </c>
      <c r="I1137">
        <v>0.46343194154234901</v>
      </c>
      <c r="J1137">
        <v>0.40145464711490902</v>
      </c>
      <c r="K1137">
        <v>0.20043977946573099</v>
      </c>
      <c r="L1137">
        <v>367.61208268866602</v>
      </c>
      <c r="M1137">
        <v>6.3848844719286699</v>
      </c>
      <c r="N1137">
        <v>57.5753695810062</v>
      </c>
      <c r="O1137">
        <v>52.704895699400602</v>
      </c>
      <c r="P1137">
        <v>-3.03644608477345E-2</v>
      </c>
      <c r="Q1137">
        <v>0</v>
      </c>
      <c r="R1137">
        <v>0.85971485724664898</v>
      </c>
      <c r="S1137" t="s">
        <v>6688</v>
      </c>
      <c r="T1137" t="s">
        <v>11100</v>
      </c>
      <c r="U1137" t="s">
        <v>11100</v>
      </c>
      <c r="V1137" t="s">
        <v>11100</v>
      </c>
      <c r="W1137" t="s">
        <v>12210</v>
      </c>
      <c r="X1137">
        <v>1</v>
      </c>
      <c r="Y1137" t="s">
        <v>17706</v>
      </c>
      <c r="Z1137" t="s">
        <v>23142</v>
      </c>
      <c r="AA1137">
        <v>0.6543206319344933</v>
      </c>
      <c r="AB1137" t="str">
        <f>HYPERLINK("Melting_Curves/meltCurve_M0QXD0_MCOLN1.pdf", "Melting_Curves/meltCurve_M0QXD0_MCOLN1.pdf")</f>
        <v>Melting_Curves/meltCurve_M0QXD0_MCOLN1.pdf</v>
      </c>
    </row>
    <row r="1138" spans="1:28" x14ac:dyDescent="0.25">
      <c r="A1138" t="s">
        <v>1142</v>
      </c>
      <c r="B1138">
        <v>0.99299721793515405</v>
      </c>
      <c r="C1138">
        <v>0.86138762678311098</v>
      </c>
      <c r="D1138">
        <v>0.98786029369102002</v>
      </c>
      <c r="E1138">
        <v>0.92636582535867995</v>
      </c>
      <c r="F1138">
        <v>0.73619641544962899</v>
      </c>
      <c r="G1138">
        <v>0.44511631232598697</v>
      </c>
      <c r="H1138">
        <v>0.33789587139560001</v>
      </c>
      <c r="I1138">
        <v>0.39002725402240301</v>
      </c>
      <c r="J1138">
        <v>0.43369697833478599</v>
      </c>
      <c r="K1138">
        <v>0.43666696600928101</v>
      </c>
      <c r="L1138">
        <v>1776.7508020243099</v>
      </c>
      <c r="M1138">
        <v>35.245214894737202</v>
      </c>
      <c r="N1138">
        <v>52.765653926221503</v>
      </c>
      <c r="O1138">
        <v>50.249665014972599</v>
      </c>
      <c r="P1138">
        <v>-0.10586658742293401</v>
      </c>
      <c r="Q1138">
        <v>0.39625938002517902</v>
      </c>
      <c r="R1138">
        <v>0.95611933537074201</v>
      </c>
      <c r="S1138" t="s">
        <v>6689</v>
      </c>
      <c r="T1138" t="s">
        <v>11100</v>
      </c>
      <c r="U1138" t="s">
        <v>11100</v>
      </c>
      <c r="V1138" t="s">
        <v>11100</v>
      </c>
      <c r="W1138" t="s">
        <v>12211</v>
      </c>
      <c r="X1138">
        <v>7</v>
      </c>
      <c r="Y1138" t="s">
        <v>17707</v>
      </c>
      <c r="Z1138" t="s">
        <v>23143</v>
      </c>
      <c r="AA1138">
        <v>0.66886255446554754</v>
      </c>
      <c r="AB1138" t="str">
        <f>HYPERLINK("Melting_Curves/meltCurve_M0QXN5_NUP62.pdf", "Melting_Curves/meltCurve_M0QXN5_NUP62.pdf")</f>
        <v>Melting_Curves/meltCurve_M0QXN5_NUP62.pdf</v>
      </c>
    </row>
    <row r="1139" spans="1:28" x14ac:dyDescent="0.25">
      <c r="A1139" t="s">
        <v>1143</v>
      </c>
      <c r="B1139">
        <v>0.99299721793515405</v>
      </c>
      <c r="C1139">
        <v>0.92030188653301803</v>
      </c>
      <c r="D1139">
        <v>0.807767620192826</v>
      </c>
      <c r="E1139">
        <v>0.73121785238092996</v>
      </c>
      <c r="F1139">
        <v>0.73343202199222202</v>
      </c>
      <c r="G1139">
        <v>0.42366360642012901</v>
      </c>
      <c r="H1139">
        <v>0.58150149359905501</v>
      </c>
      <c r="I1139">
        <v>0.76068705007497195</v>
      </c>
      <c r="J1139">
        <v>1.2455505591099101</v>
      </c>
      <c r="K1139">
        <v>1.3354902794302801</v>
      </c>
      <c r="L1139">
        <v>15000</v>
      </c>
      <c r="M1139">
        <v>235.01318767147799</v>
      </c>
      <c r="O1139">
        <v>63.821583543390901</v>
      </c>
      <c r="P1139">
        <v>0.30886361014083202</v>
      </c>
      <c r="Q1139">
        <v>1.33550737907225</v>
      </c>
      <c r="R1139">
        <v>-5.9932600060698102E-2</v>
      </c>
      <c r="S1139" t="s">
        <v>6690</v>
      </c>
      <c r="T1139" t="s">
        <v>11100</v>
      </c>
      <c r="U1139" t="s">
        <v>11100</v>
      </c>
      <c r="V1139" t="s">
        <v>11100</v>
      </c>
      <c r="W1139" t="s">
        <v>12212</v>
      </c>
      <c r="X1139">
        <v>2</v>
      </c>
      <c r="Y1139" t="s">
        <v>17708</v>
      </c>
      <c r="Z1139" t="s">
        <v>23144</v>
      </c>
      <c r="AA1139">
        <v>1.035451903683922</v>
      </c>
      <c r="AB1139" t="str">
        <f>HYPERLINK("Melting_Curves/meltCurve_M0QXT0_USF2.pdf", "Melting_Curves/meltCurve_M0QXT0_USF2.pdf")</f>
        <v>Melting_Curves/meltCurve_M0QXT0_USF2.pdf</v>
      </c>
    </row>
    <row r="1140" spans="1:28" x14ac:dyDescent="0.25">
      <c r="A1140" t="s">
        <v>1144</v>
      </c>
      <c r="B1140">
        <v>0.99299721793515405</v>
      </c>
      <c r="C1140">
        <v>0.91310986029784402</v>
      </c>
      <c r="D1140">
        <v>0.80747887455707501</v>
      </c>
      <c r="E1140">
        <v>0.83351050146626804</v>
      </c>
      <c r="F1140">
        <v>0.78004483179280504</v>
      </c>
      <c r="G1140">
        <v>0.440226213722473</v>
      </c>
      <c r="H1140">
        <v>0.68554448844569305</v>
      </c>
      <c r="I1140">
        <v>1.0079801982249501</v>
      </c>
      <c r="J1140">
        <v>1.31299405695086</v>
      </c>
      <c r="K1140">
        <v>1.0561901380721801</v>
      </c>
      <c r="L1140">
        <v>15000</v>
      </c>
      <c r="M1140">
        <v>242.85889637237699</v>
      </c>
      <c r="O1140">
        <v>61.760071605038</v>
      </c>
      <c r="P1140">
        <v>0.18146216216768299</v>
      </c>
      <c r="Q1140">
        <v>1.1845864619886901</v>
      </c>
      <c r="R1140">
        <v>-0.13807798811291799</v>
      </c>
      <c r="S1140" t="s">
        <v>6691</v>
      </c>
      <c r="T1140" t="s">
        <v>11100</v>
      </c>
      <c r="U1140" t="s">
        <v>11100</v>
      </c>
      <c r="V1140" t="s">
        <v>11100</v>
      </c>
      <c r="W1140" t="s">
        <v>12213</v>
      </c>
      <c r="X1140">
        <v>7</v>
      </c>
      <c r="Y1140" t="s">
        <v>17709</v>
      </c>
      <c r="Z1140" t="s">
        <v>23145</v>
      </c>
      <c r="AA1140">
        <v>1.0321936886891949</v>
      </c>
      <c r="AB1140" t="str">
        <f>HYPERLINK("Melting_Curves/meltCurve_M0QXZ5_ZNF428.pdf", "Melting_Curves/meltCurve_M0QXZ5_ZNF428.pdf")</f>
        <v>Melting_Curves/meltCurve_M0QXZ5_ZNF428.pdf</v>
      </c>
    </row>
    <row r="1141" spans="1:28" x14ac:dyDescent="0.25">
      <c r="A1141" t="s">
        <v>1145</v>
      </c>
      <c r="B1141">
        <v>0.99299721793515405</v>
      </c>
      <c r="C1141">
        <v>0.91270337448434302</v>
      </c>
      <c r="D1141">
        <v>1.05434465920398</v>
      </c>
      <c r="E1141">
        <v>0.94574834693616106</v>
      </c>
      <c r="F1141">
        <v>0.60947298430520103</v>
      </c>
      <c r="G1141">
        <v>0.672746107048387</v>
      </c>
      <c r="H1141">
        <v>0.47857597435682098</v>
      </c>
      <c r="I1141">
        <v>0.49267346949847401</v>
      </c>
      <c r="J1141">
        <v>0.33537605316705799</v>
      </c>
      <c r="K1141">
        <v>0.22247402346262399</v>
      </c>
      <c r="L1141">
        <v>472.839698770366</v>
      </c>
      <c r="M1141">
        <v>8.3435156748005799</v>
      </c>
      <c r="N1141">
        <v>57.731816889490503</v>
      </c>
      <c r="O1141">
        <v>53.696257299716599</v>
      </c>
      <c r="P1141">
        <v>-3.61212782002472E-2</v>
      </c>
      <c r="Q1141">
        <v>7.1036593784365595E-2</v>
      </c>
      <c r="R1141">
        <v>0.92241504827226595</v>
      </c>
      <c r="S1141" t="s">
        <v>6692</v>
      </c>
      <c r="T1141" t="s">
        <v>11100</v>
      </c>
      <c r="U1141" t="s">
        <v>11100</v>
      </c>
      <c r="V1141" t="s">
        <v>11100</v>
      </c>
      <c r="W1141" t="s">
        <v>12214</v>
      </c>
      <c r="X1141">
        <v>3</v>
      </c>
      <c r="Y1141" t="s">
        <v>17710</v>
      </c>
      <c r="Z1141" t="s">
        <v>23146</v>
      </c>
      <c r="AA1141">
        <v>0.67479945580950562</v>
      </c>
      <c r="AB1141" t="str">
        <f>HYPERLINK("Melting_Curves/meltCurve_M0QY77_KXD1.pdf", "Melting_Curves/meltCurve_M0QY77_KXD1.pdf")</f>
        <v>Melting_Curves/meltCurve_M0QY77_KXD1.pdf</v>
      </c>
    </row>
    <row r="1142" spans="1:28" x14ac:dyDescent="0.25">
      <c r="A1142" t="s">
        <v>1146</v>
      </c>
      <c r="B1142">
        <v>0.99299721793515405</v>
      </c>
      <c r="C1142">
        <v>0.94225683980296804</v>
      </c>
      <c r="D1142">
        <v>0.82918811482696597</v>
      </c>
      <c r="E1142">
        <v>1.05476307945003</v>
      </c>
      <c r="F1142">
        <v>0.74292215077848101</v>
      </c>
      <c r="G1142">
        <v>0.55556198743125895</v>
      </c>
      <c r="H1142">
        <v>0.36323395172058698</v>
      </c>
      <c r="I1142">
        <v>0.342769821482657</v>
      </c>
      <c r="J1142">
        <v>0.28759656098291903</v>
      </c>
      <c r="K1142">
        <v>0.26411979070687402</v>
      </c>
      <c r="L1142">
        <v>1067.62501720164</v>
      </c>
      <c r="M1142">
        <v>20.396553216826401</v>
      </c>
      <c r="N1142">
        <v>54.463247986708602</v>
      </c>
      <c r="O1142">
        <v>51.848043915526901</v>
      </c>
      <c r="P1142">
        <v>-7.1406810568571399E-2</v>
      </c>
      <c r="Q1142">
        <v>0.27395733710887799</v>
      </c>
      <c r="R1142">
        <v>0.94831028178167098</v>
      </c>
      <c r="S1142" t="s">
        <v>6693</v>
      </c>
      <c r="T1142" t="s">
        <v>11100</v>
      </c>
      <c r="U1142" t="s">
        <v>11100</v>
      </c>
      <c r="V1142" t="s">
        <v>11100</v>
      </c>
      <c r="W1142" t="s">
        <v>12215</v>
      </c>
      <c r="X1142">
        <v>2</v>
      </c>
      <c r="Y1142" t="s">
        <v>17711</v>
      </c>
      <c r="Z1142" t="s">
        <v>23147</v>
      </c>
      <c r="AA1142">
        <v>0.65432248257585479</v>
      </c>
      <c r="AB1142" t="str">
        <f>HYPERLINK("Melting_Curves/meltCurve_M0QYA2_PIH1D1.pdf", "Melting_Curves/meltCurve_M0QYA2_PIH1D1.pdf")</f>
        <v>Melting_Curves/meltCurve_M0QYA2_PIH1D1.pdf</v>
      </c>
    </row>
    <row r="1143" spans="1:28" x14ac:dyDescent="0.25">
      <c r="A1143" t="s">
        <v>1147</v>
      </c>
      <c r="B1143">
        <v>0.99299721793515405</v>
      </c>
      <c r="C1143">
        <v>1.1627692833233501</v>
      </c>
      <c r="D1143">
        <v>1.0675945310695001</v>
      </c>
      <c r="E1143">
        <v>1.1841145708302501</v>
      </c>
      <c r="F1143">
        <v>0.71207841784056403</v>
      </c>
      <c r="G1143">
        <v>0.285204317297029</v>
      </c>
      <c r="H1143">
        <v>0.28308828483251702</v>
      </c>
      <c r="I1143">
        <v>0.22904758683261101</v>
      </c>
      <c r="J1143">
        <v>0.12505577356445399</v>
      </c>
      <c r="K1143">
        <v>7.8808656258664803E-2</v>
      </c>
      <c r="L1143">
        <v>2196.1236300863602</v>
      </c>
      <c r="M1143">
        <v>42.985900000843898</v>
      </c>
      <c r="N1143">
        <v>51.625578383622198</v>
      </c>
      <c r="O1143">
        <v>50.979196694847097</v>
      </c>
      <c r="P1143">
        <v>-0.172846637320105</v>
      </c>
      <c r="Q1143">
        <v>0.18005029311340501</v>
      </c>
      <c r="R1143">
        <v>0.94889179800490997</v>
      </c>
      <c r="S1143" t="s">
        <v>6694</v>
      </c>
      <c r="T1143" t="s">
        <v>11100</v>
      </c>
      <c r="U1143" t="s">
        <v>11100</v>
      </c>
      <c r="V1143" t="s">
        <v>11100</v>
      </c>
      <c r="W1143" t="s">
        <v>12216</v>
      </c>
      <c r="X1143">
        <v>3</v>
      </c>
      <c r="Y1143" t="s">
        <v>17712</v>
      </c>
      <c r="Z1143" t="s">
        <v>23148</v>
      </c>
      <c r="AA1143">
        <v>0.56763965011654594</v>
      </c>
      <c r="AB1143" t="str">
        <f>HYPERLINK("Melting_Curves/meltCurve_M0QYH2_PNKP.pdf", "Melting_Curves/meltCurve_M0QYH2_PNKP.pdf")</f>
        <v>Melting_Curves/meltCurve_M0QYH2_PNKP.pdf</v>
      </c>
    </row>
    <row r="1144" spans="1:28" x14ac:dyDescent="0.25">
      <c r="A1144" t="s">
        <v>1148</v>
      </c>
      <c r="B1144">
        <v>0.99299721793515405</v>
      </c>
      <c r="C1144">
        <v>0.89354714134329405</v>
      </c>
      <c r="D1144">
        <v>0.82974729239062095</v>
      </c>
      <c r="E1144">
        <v>0.77731023888805495</v>
      </c>
      <c r="F1144">
        <v>0.65544420656278402</v>
      </c>
      <c r="G1144">
        <v>0.64981225771485096</v>
      </c>
      <c r="H1144">
        <v>0.72876973644785403</v>
      </c>
      <c r="I1144">
        <v>0.59181505148715996</v>
      </c>
      <c r="J1144">
        <v>0.32516090713742901</v>
      </c>
      <c r="K1144">
        <v>0.205390246757512</v>
      </c>
      <c r="L1144">
        <v>313.12001833366497</v>
      </c>
      <c r="M1144">
        <v>5.2663062196266397</v>
      </c>
      <c r="N1144">
        <v>59.457237603369002</v>
      </c>
      <c r="O1144">
        <v>52.501807104519202</v>
      </c>
      <c r="P1144">
        <v>-2.52052924224773E-2</v>
      </c>
      <c r="Q1144">
        <v>0</v>
      </c>
      <c r="R1144">
        <v>0.83366184677889199</v>
      </c>
      <c r="S1144" t="s">
        <v>6695</v>
      </c>
      <c r="T1144" t="s">
        <v>11100</v>
      </c>
      <c r="U1144" t="s">
        <v>11100</v>
      </c>
      <c r="V1144" t="s">
        <v>11100</v>
      </c>
      <c r="W1144" t="s">
        <v>12217</v>
      </c>
      <c r="X1144">
        <v>9</v>
      </c>
      <c r="Y1144" t="s">
        <v>17713</v>
      </c>
      <c r="Z1144" t="s">
        <v>23149</v>
      </c>
      <c r="AA1144">
        <v>0.6742051977986051</v>
      </c>
      <c r="AB1144" t="str">
        <f>HYPERLINK("Melting_Curves/meltCurve_M0QYM7_TUBB4A.pdf", "Melting_Curves/meltCurve_M0QYM7_TUBB4A.pdf")</f>
        <v>Melting_Curves/meltCurve_M0QYM7_TUBB4A.pdf</v>
      </c>
    </row>
    <row r="1145" spans="1:28" x14ac:dyDescent="0.25">
      <c r="A1145" t="s">
        <v>1149</v>
      </c>
      <c r="B1145">
        <v>0.99299721793515405</v>
      </c>
      <c r="C1145">
        <v>1.1409765223957899</v>
      </c>
      <c r="D1145">
        <v>1.0912654369236301</v>
      </c>
      <c r="E1145">
        <v>1.16298041072043</v>
      </c>
      <c r="F1145">
        <v>0.93875041097087497</v>
      </c>
      <c r="G1145">
        <v>0.48453127368471099</v>
      </c>
      <c r="H1145">
        <v>0.59483058453278403</v>
      </c>
      <c r="I1145">
        <v>0.42200632496659801</v>
      </c>
      <c r="J1145">
        <v>0.33953572076865002</v>
      </c>
      <c r="K1145">
        <v>0.282704728879351</v>
      </c>
      <c r="L1145">
        <v>2783.9357555964498</v>
      </c>
      <c r="M1145">
        <v>53.393384662996503</v>
      </c>
      <c r="N1145">
        <v>53.814012760540599</v>
      </c>
      <c r="O1145">
        <v>52.067081008247598</v>
      </c>
      <c r="P1145">
        <v>-0.152536472258328</v>
      </c>
      <c r="Q1145">
        <v>0.40501043129372</v>
      </c>
      <c r="R1145">
        <v>0.90263860613684499</v>
      </c>
      <c r="S1145" t="s">
        <v>6696</v>
      </c>
      <c r="T1145" t="s">
        <v>11100</v>
      </c>
      <c r="U1145" t="s">
        <v>11100</v>
      </c>
      <c r="V1145" t="s">
        <v>11100</v>
      </c>
      <c r="W1145" t="s">
        <v>12218</v>
      </c>
      <c r="X1145">
        <v>2</v>
      </c>
      <c r="Y1145" t="s">
        <v>17714</v>
      </c>
      <c r="Z1145" t="s">
        <v>23150</v>
      </c>
      <c r="AA1145">
        <v>0.70648251608718737</v>
      </c>
      <c r="AB1145" t="str">
        <f>HYPERLINK("Melting_Curves/meltCurve_M0QYS1_RPL13A.pdf", "Melting_Curves/meltCurve_M0QYS1_RPL13A.pdf")</f>
        <v>Melting_Curves/meltCurve_M0QYS1_RPL13A.pdf</v>
      </c>
    </row>
    <row r="1146" spans="1:28" x14ac:dyDescent="0.25">
      <c r="A1146" t="s">
        <v>1150</v>
      </c>
      <c r="B1146">
        <v>0.99299721793515405</v>
      </c>
      <c r="C1146">
        <v>1.1998002057577499</v>
      </c>
      <c r="D1146">
        <v>1.1110561860272501</v>
      </c>
      <c r="E1146">
        <v>1.0215970859404899</v>
      </c>
      <c r="F1146">
        <v>1.0948831977368101</v>
      </c>
      <c r="G1146">
        <v>0.58070567444802101</v>
      </c>
      <c r="H1146">
        <v>0.53704616899528002</v>
      </c>
      <c r="I1146">
        <v>0.466878531306477</v>
      </c>
      <c r="J1146">
        <v>0.65191260799904305</v>
      </c>
      <c r="K1146">
        <v>0.476242561293101</v>
      </c>
      <c r="L1146">
        <v>13333.0422330417</v>
      </c>
      <c r="M1146">
        <v>250</v>
      </c>
      <c r="O1146">
        <v>53.328757104114302</v>
      </c>
      <c r="P1146">
        <v>-0.54728924453508498</v>
      </c>
      <c r="Q1146">
        <v>0.53301992697537004</v>
      </c>
      <c r="R1146">
        <v>0.89334267163053105</v>
      </c>
      <c r="S1146" t="s">
        <v>6697</v>
      </c>
      <c r="T1146" t="s">
        <v>11100</v>
      </c>
      <c r="U1146" t="s">
        <v>11100</v>
      </c>
      <c r="V1146" t="s">
        <v>11100</v>
      </c>
      <c r="W1146" t="s">
        <v>12219</v>
      </c>
      <c r="X1146">
        <v>2</v>
      </c>
      <c r="Y1146" t="s">
        <v>17715</v>
      </c>
      <c r="Z1146" t="s">
        <v>23151</v>
      </c>
      <c r="AA1146">
        <v>0.78729021632144003</v>
      </c>
      <c r="AB1146" t="str">
        <f>HYPERLINK("Melting_Curves/meltCurve_M0QYT5_USE1.pdf", "Melting_Curves/meltCurve_M0QYT5_USE1.pdf")</f>
        <v>Melting_Curves/meltCurve_M0QYT5_USE1.pdf</v>
      </c>
    </row>
    <row r="1147" spans="1:28" x14ac:dyDescent="0.25">
      <c r="A1147" t="s">
        <v>1151</v>
      </c>
      <c r="B1147">
        <v>0.99299721793515405</v>
      </c>
      <c r="C1147">
        <v>0.80962265991738003</v>
      </c>
      <c r="D1147">
        <v>1.2220096222741801</v>
      </c>
      <c r="E1147">
        <v>0.82751536866687103</v>
      </c>
      <c r="F1147">
        <v>0.66276564106283498</v>
      </c>
      <c r="G1147">
        <v>0.33868435513711498</v>
      </c>
      <c r="H1147">
        <v>0.21204656234805899</v>
      </c>
      <c r="I1147">
        <v>0.17326613641904501</v>
      </c>
      <c r="J1147">
        <v>0.12172985318156</v>
      </c>
      <c r="K1147">
        <v>7.4424786855531597E-2</v>
      </c>
      <c r="L1147">
        <v>1035.45237668039</v>
      </c>
      <c r="M1147">
        <v>20.197266343267099</v>
      </c>
      <c r="N1147">
        <v>51.872276225627097</v>
      </c>
      <c r="O1147">
        <v>50.772334395828601</v>
      </c>
      <c r="P1147">
        <v>-8.9011704945101605E-2</v>
      </c>
      <c r="Q1147">
        <v>0.104989977802615</v>
      </c>
      <c r="R1147">
        <v>0.93347311220764095</v>
      </c>
      <c r="S1147" t="s">
        <v>6698</v>
      </c>
      <c r="T1147" t="s">
        <v>11100</v>
      </c>
      <c r="U1147" t="s">
        <v>11100</v>
      </c>
      <c r="V1147" t="s">
        <v>11100</v>
      </c>
      <c r="W1147" t="s">
        <v>12220</v>
      </c>
      <c r="X1147">
        <v>4</v>
      </c>
      <c r="Y1147" t="s">
        <v>17716</v>
      </c>
      <c r="Z1147" t="s">
        <v>23152</v>
      </c>
      <c r="AA1147">
        <v>0.54212397202864693</v>
      </c>
      <c r="AB1147" t="str">
        <f>HYPERLINK("Melting_Curves/meltCurve_M0QZ12_GRAMD1A.pdf", "Melting_Curves/meltCurve_M0QZ12_GRAMD1A.pdf")</f>
        <v>Melting_Curves/meltCurve_M0QZ12_GRAMD1A.pdf</v>
      </c>
    </row>
    <row r="1148" spans="1:28" x14ac:dyDescent="0.25">
      <c r="A1148" t="s">
        <v>1152</v>
      </c>
      <c r="B1148">
        <v>0.99299721793515405</v>
      </c>
      <c r="C1148">
        <v>0.94577324606719304</v>
      </c>
      <c r="D1148">
        <v>1.14760696251925</v>
      </c>
      <c r="E1148">
        <v>0.87227241085171403</v>
      </c>
      <c r="F1148">
        <v>0.72718848118420798</v>
      </c>
      <c r="G1148">
        <v>0.397177171905365</v>
      </c>
      <c r="H1148">
        <v>0.46839305526743602</v>
      </c>
      <c r="I1148">
        <v>0.48261673264974903</v>
      </c>
      <c r="J1148">
        <v>0.31894846185765602</v>
      </c>
      <c r="K1148">
        <v>0.23069857903063101</v>
      </c>
      <c r="L1148">
        <v>1185.19328587327</v>
      </c>
      <c r="M1148">
        <v>23.483554129185698</v>
      </c>
      <c r="N1148">
        <v>53.166975516991201</v>
      </c>
      <c r="O1148">
        <v>50.107385624051197</v>
      </c>
      <c r="P1148">
        <v>-7.6377287487240597E-2</v>
      </c>
      <c r="Q1148">
        <v>0.34813963833170802</v>
      </c>
      <c r="R1148">
        <v>0.91892215980694003</v>
      </c>
      <c r="S1148" t="s">
        <v>6699</v>
      </c>
      <c r="T1148" t="s">
        <v>11100</v>
      </c>
      <c r="U1148" t="s">
        <v>11100</v>
      </c>
      <c r="V1148" t="s">
        <v>11100</v>
      </c>
      <c r="W1148" t="s">
        <v>12221</v>
      </c>
      <c r="X1148">
        <v>1</v>
      </c>
      <c r="Y1148" t="s">
        <v>17717</v>
      </c>
      <c r="Z1148" t="s">
        <v>23153</v>
      </c>
      <c r="AA1148">
        <v>0.64724084025980966</v>
      </c>
      <c r="AB1148" t="str">
        <f>HYPERLINK("Melting_Curves/meltCurve_M0QZ21_AP2S1.pdf", "Melting_Curves/meltCurve_M0QZ21_AP2S1.pdf")</f>
        <v>Melting_Curves/meltCurve_M0QZ21_AP2S1.pdf</v>
      </c>
    </row>
    <row r="1149" spans="1:28" x14ac:dyDescent="0.25">
      <c r="A1149" t="s">
        <v>1153</v>
      </c>
      <c r="B1149">
        <v>0.99299721793515405</v>
      </c>
      <c r="C1149">
        <v>0.70138170511668296</v>
      </c>
      <c r="D1149">
        <v>0.62954055807321796</v>
      </c>
      <c r="E1149">
        <v>0.49462807046898399</v>
      </c>
      <c r="F1149">
        <v>0.32950126739763802</v>
      </c>
      <c r="G1149">
        <v>0.15171361153396501</v>
      </c>
      <c r="H1149">
        <v>0.12386479333321</v>
      </c>
      <c r="I1149">
        <v>0.179343256116337</v>
      </c>
      <c r="J1149">
        <v>0.184365982938097</v>
      </c>
      <c r="K1149">
        <v>0.14328864315804099</v>
      </c>
      <c r="L1149">
        <v>490.53588610768702</v>
      </c>
      <c r="M1149">
        <v>11.087757545433901</v>
      </c>
      <c r="N1149">
        <v>45.315415233505803</v>
      </c>
      <c r="O1149">
        <v>42.875259644597797</v>
      </c>
      <c r="P1149">
        <v>-5.71985319553725E-2</v>
      </c>
      <c r="Q1149">
        <v>0.115565507610199</v>
      </c>
      <c r="R1149">
        <v>0.96193409999303003</v>
      </c>
      <c r="S1149" t="s">
        <v>6700</v>
      </c>
      <c r="T1149" t="s">
        <v>11100</v>
      </c>
      <c r="U1149" t="s">
        <v>11100</v>
      </c>
      <c r="V1149" t="s">
        <v>11100</v>
      </c>
      <c r="W1149" t="s">
        <v>12222</v>
      </c>
      <c r="X1149">
        <v>1</v>
      </c>
      <c r="Y1149" t="s">
        <v>17718</v>
      </c>
      <c r="Z1149" t="s">
        <v>23154</v>
      </c>
      <c r="AA1149">
        <v>0.36788665990403929</v>
      </c>
      <c r="AB1149" t="str">
        <f>HYPERLINK("Melting_Curves/meltCurve_M0QZ23_C19orf44.pdf", "Melting_Curves/meltCurve_M0QZ23_C19orf44.pdf")</f>
        <v>Melting_Curves/meltCurve_M0QZ23_C19orf44.pdf</v>
      </c>
    </row>
    <row r="1150" spans="1:28" x14ac:dyDescent="0.25">
      <c r="A1150" t="s">
        <v>1154</v>
      </c>
      <c r="B1150">
        <v>0.99299721793515405</v>
      </c>
      <c r="C1150">
        <v>0.94146118582432503</v>
      </c>
      <c r="D1150">
        <v>0.93311181551102096</v>
      </c>
      <c r="E1150">
        <v>0.78769665062906802</v>
      </c>
      <c r="F1150">
        <v>0.700030328898406</v>
      </c>
      <c r="G1150">
        <v>0.26996047445558402</v>
      </c>
      <c r="H1150">
        <v>0.34025453397002198</v>
      </c>
      <c r="I1150">
        <v>0.34217044645341199</v>
      </c>
      <c r="J1150">
        <v>0.312083517854645</v>
      </c>
      <c r="K1150">
        <v>0.31422502893829801</v>
      </c>
      <c r="L1150">
        <v>995.84355203419898</v>
      </c>
      <c r="M1150">
        <v>20.1865687766585</v>
      </c>
      <c r="N1150">
        <v>51.618688752927</v>
      </c>
      <c r="O1150">
        <v>48.855519759257298</v>
      </c>
      <c r="P1150">
        <v>-7.2770610687052706E-2</v>
      </c>
      <c r="Q1150">
        <v>0.29554457785131499</v>
      </c>
      <c r="R1150">
        <v>0.95332636929691095</v>
      </c>
      <c r="S1150" t="s">
        <v>6701</v>
      </c>
      <c r="T1150" t="s">
        <v>11100</v>
      </c>
      <c r="U1150" t="s">
        <v>11100</v>
      </c>
      <c r="V1150" t="s">
        <v>11100</v>
      </c>
      <c r="W1150" t="s">
        <v>12223</v>
      </c>
      <c r="X1150">
        <v>4</v>
      </c>
      <c r="Y1150" t="s">
        <v>17719</v>
      </c>
      <c r="Z1150" t="s">
        <v>23155</v>
      </c>
      <c r="AA1150">
        <v>0.59425212332385269</v>
      </c>
      <c r="AB1150" t="str">
        <f>HYPERLINK("Melting_Curves/meltCurve_M0QZC7_SMG9.pdf", "Melting_Curves/meltCurve_M0QZC7_SMG9.pdf")</f>
        <v>Melting_Curves/meltCurve_M0QZC7_SMG9.pdf</v>
      </c>
    </row>
    <row r="1151" spans="1:28" x14ac:dyDescent="0.25">
      <c r="A1151" t="s">
        <v>1155</v>
      </c>
      <c r="B1151">
        <v>0.99299721793515405</v>
      </c>
      <c r="C1151">
        <v>0.952441451523519</v>
      </c>
      <c r="D1151">
        <v>1.1902476396700901</v>
      </c>
      <c r="E1151">
        <v>0.85315111404219102</v>
      </c>
      <c r="F1151">
        <v>0.577258014036651</v>
      </c>
      <c r="G1151">
        <v>0.272835776129356</v>
      </c>
      <c r="H1151">
        <v>0.18919020511548701</v>
      </c>
      <c r="I1151">
        <v>0.17453697539336599</v>
      </c>
      <c r="J1151">
        <v>0.16766064962664901</v>
      </c>
      <c r="K1151">
        <v>0.16448760832272399</v>
      </c>
      <c r="L1151">
        <v>1358.8020674786601</v>
      </c>
      <c r="M1151">
        <v>27.152447184579501</v>
      </c>
      <c r="N1151">
        <v>50.796724066731301</v>
      </c>
      <c r="O1151">
        <v>49.774366615992101</v>
      </c>
      <c r="P1151">
        <v>-0.113777308390184</v>
      </c>
      <c r="Q1151">
        <v>0.16572699018763101</v>
      </c>
      <c r="R1151">
        <v>0.97029913913444099</v>
      </c>
      <c r="S1151" t="s">
        <v>6702</v>
      </c>
      <c r="T1151" t="s">
        <v>11100</v>
      </c>
      <c r="U1151" t="s">
        <v>11100</v>
      </c>
      <c r="V1151" t="s">
        <v>11100</v>
      </c>
      <c r="W1151" t="s">
        <v>12224</v>
      </c>
      <c r="X1151">
        <v>14</v>
      </c>
      <c r="Y1151" t="s">
        <v>17720</v>
      </c>
      <c r="Z1151" t="s">
        <v>23156</v>
      </c>
      <c r="AA1151">
        <v>0.53468084641196378</v>
      </c>
      <c r="AB1151" t="str">
        <f>HYPERLINK("Melting_Curves/meltCurve_M0QZM1_HNRNPM.pdf", "Melting_Curves/meltCurve_M0QZM1_HNRNPM.pdf")</f>
        <v>Melting_Curves/meltCurve_M0QZM1_HNRNPM.pdf</v>
      </c>
    </row>
    <row r="1152" spans="1:28" x14ac:dyDescent="0.25">
      <c r="A1152" t="s">
        <v>1156</v>
      </c>
      <c r="B1152">
        <v>0.99299721793515405</v>
      </c>
      <c r="C1152">
        <v>1.0985742804362599</v>
      </c>
      <c r="D1152">
        <v>0.84777590443025297</v>
      </c>
      <c r="E1152">
        <v>0.90129080418117602</v>
      </c>
      <c r="F1152">
        <v>0.62233509849921698</v>
      </c>
      <c r="G1152">
        <v>0.25576047617325498</v>
      </c>
      <c r="H1152">
        <v>0.184806838005317</v>
      </c>
      <c r="I1152">
        <v>0.192853070744685</v>
      </c>
      <c r="J1152">
        <v>0.101843709068056</v>
      </c>
      <c r="K1152">
        <v>8.2816581007956205E-2</v>
      </c>
      <c r="L1152">
        <v>1119.14434528574</v>
      </c>
      <c r="M1152">
        <v>22.103586464990801</v>
      </c>
      <c r="N1152">
        <v>51.210395742792798</v>
      </c>
      <c r="O1152">
        <v>50.222838220067501</v>
      </c>
      <c r="P1152">
        <v>-9.7872062894425793E-2</v>
      </c>
      <c r="Q1152">
        <v>0.110496412151704</v>
      </c>
      <c r="R1152">
        <v>0.97516829760483703</v>
      </c>
      <c r="S1152" t="s">
        <v>6703</v>
      </c>
      <c r="T1152" t="s">
        <v>11100</v>
      </c>
      <c r="U1152" t="s">
        <v>11100</v>
      </c>
      <c r="V1152" t="s">
        <v>11100</v>
      </c>
      <c r="W1152" t="s">
        <v>12225</v>
      </c>
      <c r="X1152">
        <v>4</v>
      </c>
      <c r="Y1152" t="s">
        <v>17721</v>
      </c>
      <c r="Z1152" t="s">
        <v>23157</v>
      </c>
      <c r="AA1152">
        <v>0.52449057614364203</v>
      </c>
      <c r="AB1152" t="str">
        <f>HYPERLINK("Melting_Curves/meltCurve_M0QZW1_PRKD2.pdf", "Melting_Curves/meltCurve_M0QZW1_PRKD2.pdf")</f>
        <v>Melting_Curves/meltCurve_M0QZW1_PRKD2.pdf</v>
      </c>
    </row>
    <row r="1153" spans="1:28" x14ac:dyDescent="0.25">
      <c r="A1153" t="s">
        <v>1157</v>
      </c>
      <c r="B1153">
        <v>0.99299721793515405</v>
      </c>
      <c r="C1153">
        <v>0.975265090469281</v>
      </c>
      <c r="D1153">
        <v>0.83723175943732397</v>
      </c>
      <c r="E1153">
        <v>0.83324698209333203</v>
      </c>
      <c r="F1153">
        <v>0.80483949799254695</v>
      </c>
      <c r="G1153">
        <v>0.631734089972252</v>
      </c>
      <c r="H1153">
        <v>1.1556751487025101</v>
      </c>
      <c r="I1153">
        <v>0.78154319844577302</v>
      </c>
      <c r="J1153">
        <v>0.38299832334739797</v>
      </c>
      <c r="K1153">
        <v>0.24077667038643899</v>
      </c>
      <c r="L1153">
        <v>3345.6707632072998</v>
      </c>
      <c r="M1153">
        <v>53.794797198661897</v>
      </c>
      <c r="N1153">
        <v>62.943434469863597</v>
      </c>
      <c r="O1153">
        <v>62.107440108735403</v>
      </c>
      <c r="P1153">
        <v>-0.16529176857893799</v>
      </c>
      <c r="Q1153">
        <v>0.236666598466027</v>
      </c>
      <c r="R1153">
        <v>0.633236809697176</v>
      </c>
      <c r="S1153" t="s">
        <v>6704</v>
      </c>
      <c r="T1153" t="s">
        <v>11100</v>
      </c>
      <c r="U1153" t="s">
        <v>11100</v>
      </c>
      <c r="V1153" t="s">
        <v>11100</v>
      </c>
      <c r="W1153" t="s">
        <v>12217</v>
      </c>
      <c r="X1153">
        <v>8</v>
      </c>
      <c r="Y1153" t="s">
        <v>17713</v>
      </c>
      <c r="Z1153" t="s">
        <v>23158</v>
      </c>
      <c r="AA1153">
        <v>0.87875866313856887</v>
      </c>
      <c r="AB1153" t="str">
        <f>HYPERLINK("Melting_Curves/meltCurve_M0R042_TUBB4A.pdf", "Melting_Curves/meltCurve_M0R042_TUBB4A.pdf")</f>
        <v>Melting_Curves/meltCurve_M0R042_TUBB4A.pdf</v>
      </c>
    </row>
    <row r="1154" spans="1:28" x14ac:dyDescent="0.25">
      <c r="A1154" t="s">
        <v>1158</v>
      </c>
      <c r="B1154">
        <v>0.99299721793515405</v>
      </c>
      <c r="C1154">
        <v>0.82567136885445502</v>
      </c>
      <c r="D1154">
        <v>1.0123435698796499</v>
      </c>
      <c r="E1154">
        <v>0.87784462487428605</v>
      </c>
      <c r="F1154">
        <v>0.67431817903666402</v>
      </c>
      <c r="G1154">
        <v>0.61600495455101101</v>
      </c>
      <c r="H1154">
        <v>0.35834469818793002</v>
      </c>
      <c r="I1154">
        <v>0.21651216269467</v>
      </c>
      <c r="J1154">
        <v>0.228311485929655</v>
      </c>
      <c r="K1154">
        <v>0.17450671542503199</v>
      </c>
      <c r="L1154">
        <v>602.01396334845799</v>
      </c>
      <c r="M1154">
        <v>11.1382244289374</v>
      </c>
      <c r="N1154">
        <v>54.7147029762233</v>
      </c>
      <c r="O1154">
        <v>52.394881345153202</v>
      </c>
      <c r="P1154">
        <v>-4.9795589181408598E-2</v>
      </c>
      <c r="Q1154">
        <v>6.3335152677496301E-2</v>
      </c>
      <c r="R1154">
        <v>0.95901138154506305</v>
      </c>
      <c r="S1154" t="s">
        <v>6705</v>
      </c>
      <c r="T1154" t="s">
        <v>11100</v>
      </c>
      <c r="U1154" t="s">
        <v>11100</v>
      </c>
      <c r="V1154" t="s">
        <v>11100</v>
      </c>
      <c r="W1154" t="s">
        <v>12226</v>
      </c>
      <c r="X1154">
        <v>2</v>
      </c>
      <c r="Y1154" t="s">
        <v>17722</v>
      </c>
      <c r="Z1154" t="s">
        <v>23159</v>
      </c>
      <c r="AA1154">
        <v>0.61232338462957381</v>
      </c>
      <c r="AB1154" t="str">
        <f>HYPERLINK("Melting_Curves/meltCurve_M0R0E9_SPHK2.pdf", "Melting_Curves/meltCurve_M0R0E9_SPHK2.pdf")</f>
        <v>Melting_Curves/meltCurve_M0R0E9_SPHK2.pdf</v>
      </c>
    </row>
    <row r="1155" spans="1:28" x14ac:dyDescent="0.25">
      <c r="A1155" t="s">
        <v>1159</v>
      </c>
      <c r="B1155">
        <v>0.99299721793515405</v>
      </c>
      <c r="C1155">
        <v>0.99722561229598705</v>
      </c>
      <c r="D1155">
        <v>1.56858056449048</v>
      </c>
      <c r="E1155">
        <v>1.0517753127539999</v>
      </c>
      <c r="F1155">
        <v>0.75514450939019795</v>
      </c>
      <c r="G1155">
        <v>0.49496997062082099</v>
      </c>
      <c r="H1155">
        <v>0.43499699037985901</v>
      </c>
      <c r="I1155">
        <v>0.33412652779628599</v>
      </c>
      <c r="J1155">
        <v>0.26775901826788001</v>
      </c>
      <c r="K1155">
        <v>0.25045695109967903</v>
      </c>
      <c r="L1155">
        <v>1388.77937144014</v>
      </c>
      <c r="M1155">
        <v>26.712864740641599</v>
      </c>
      <c r="N1155">
        <v>53.826088800462998</v>
      </c>
      <c r="O1155">
        <v>51.700424295197003</v>
      </c>
      <c r="P1155">
        <v>-9.05416654150345E-2</v>
      </c>
      <c r="Q1155">
        <v>0.299065197677926</v>
      </c>
      <c r="R1155">
        <v>0.79452100268634696</v>
      </c>
      <c r="S1155" t="s">
        <v>6706</v>
      </c>
      <c r="T1155" t="s">
        <v>11100</v>
      </c>
      <c r="U1155" t="s">
        <v>11100</v>
      </c>
      <c r="V1155" t="s">
        <v>11100</v>
      </c>
      <c r="W1155" t="s">
        <v>12227</v>
      </c>
      <c r="X1155">
        <v>8</v>
      </c>
      <c r="Y1155" t="s">
        <v>17723</v>
      </c>
      <c r="Z1155" t="s">
        <v>23160</v>
      </c>
      <c r="AA1155">
        <v>0.65478210465665754</v>
      </c>
      <c r="AB1155" t="str">
        <f>HYPERLINK("Melting_Curves/meltCurve_M0R0F0_RPS5.pdf", "Melting_Curves/meltCurve_M0R0F0_RPS5.pdf")</f>
        <v>Melting_Curves/meltCurve_M0R0F0_RPS5.pdf</v>
      </c>
    </row>
    <row r="1156" spans="1:28" x14ac:dyDescent="0.25">
      <c r="A1156" t="s">
        <v>1160</v>
      </c>
      <c r="B1156">
        <v>0.99299721793515405</v>
      </c>
      <c r="C1156">
        <v>0.83067226265788896</v>
      </c>
      <c r="D1156">
        <v>1.00468902173352</v>
      </c>
      <c r="E1156">
        <v>0.66648499584194398</v>
      </c>
      <c r="F1156">
        <v>0.77485982823734501</v>
      </c>
      <c r="G1156">
        <v>0.63029232711049399</v>
      </c>
      <c r="H1156">
        <v>0.44866634866428001</v>
      </c>
      <c r="I1156">
        <v>0.27375757619037</v>
      </c>
      <c r="J1156">
        <v>0.30764742232224401</v>
      </c>
      <c r="K1156">
        <v>0.22468646221083599</v>
      </c>
      <c r="L1156">
        <v>405.45193640859702</v>
      </c>
      <c r="M1156">
        <v>7.2572661966599803</v>
      </c>
      <c r="N1156">
        <v>55.8684125571992</v>
      </c>
      <c r="O1156">
        <v>52.094622314308403</v>
      </c>
      <c r="P1156">
        <v>-3.4883876283488102E-2</v>
      </c>
      <c r="Q1156">
        <v>0</v>
      </c>
      <c r="R1156">
        <v>0.91736659351666305</v>
      </c>
      <c r="S1156" t="s">
        <v>6707</v>
      </c>
      <c r="T1156" t="s">
        <v>11100</v>
      </c>
      <c r="U1156" t="s">
        <v>11100</v>
      </c>
      <c r="V1156" t="s">
        <v>11100</v>
      </c>
      <c r="W1156" t="s">
        <v>12228</v>
      </c>
      <c r="X1156">
        <v>25</v>
      </c>
      <c r="Y1156" t="s">
        <v>17724</v>
      </c>
      <c r="Z1156" t="s">
        <v>23161</v>
      </c>
      <c r="AA1156">
        <v>0.6240875670277316</v>
      </c>
      <c r="AB1156" t="str">
        <f>HYPERLINK("Melting_Curves/meltCurve_M0R116_ATP1A3.pdf", "Melting_Curves/meltCurve_M0R116_ATP1A3.pdf")</f>
        <v>Melting_Curves/meltCurve_M0R116_ATP1A3.pdf</v>
      </c>
    </row>
    <row r="1157" spans="1:28" x14ac:dyDescent="0.25">
      <c r="A1157" t="s">
        <v>1161</v>
      </c>
      <c r="B1157">
        <v>0.99299721793515405</v>
      </c>
      <c r="C1157">
        <v>1.2648192624649499</v>
      </c>
      <c r="D1157">
        <v>1.0487153482810201</v>
      </c>
      <c r="E1157">
        <v>0.95627269545561899</v>
      </c>
      <c r="F1157">
        <v>0.66686649907558504</v>
      </c>
      <c r="G1157">
        <v>0.35889516317877301</v>
      </c>
      <c r="H1157">
        <v>1.21812829904213</v>
      </c>
      <c r="I1157">
        <v>0.81506863404673002</v>
      </c>
      <c r="J1157">
        <v>1.1612691391574199</v>
      </c>
      <c r="K1157">
        <v>1.25218400556022</v>
      </c>
      <c r="L1157">
        <v>15000</v>
      </c>
      <c r="M1157">
        <v>234.582237875723</v>
      </c>
      <c r="O1157">
        <v>63.938793931425401</v>
      </c>
      <c r="P1157">
        <v>0.231315498551071</v>
      </c>
      <c r="Q1157">
        <v>1.25219366113831</v>
      </c>
      <c r="R1157">
        <v>0.1085555807146</v>
      </c>
      <c r="S1157" t="s">
        <v>6708</v>
      </c>
      <c r="T1157" t="s">
        <v>11100</v>
      </c>
      <c r="U1157" t="s">
        <v>11100</v>
      </c>
      <c r="V1157" t="s">
        <v>11100</v>
      </c>
      <c r="W1157" t="s">
        <v>12229</v>
      </c>
      <c r="X1157">
        <v>3</v>
      </c>
      <c r="Y1157" t="s">
        <v>17725</v>
      </c>
      <c r="Z1157" t="s">
        <v>23162</v>
      </c>
      <c r="AA1157">
        <v>1.025662577763671</v>
      </c>
      <c r="AB1157" t="str">
        <f>HYPERLINK("Melting_Curves/meltCurve_M0R117_RPL18A.pdf", "Melting_Curves/meltCurve_M0R117_RPL18A.pdf")</f>
        <v>Melting_Curves/meltCurve_M0R117_RPL18A.pdf</v>
      </c>
    </row>
    <row r="1158" spans="1:28" x14ac:dyDescent="0.25">
      <c r="A1158" t="s">
        <v>1162</v>
      </c>
      <c r="B1158">
        <v>0.99299721793515405</v>
      </c>
      <c r="C1158">
        <v>1.1242057474377001</v>
      </c>
      <c r="D1158">
        <v>1.0933133661227501</v>
      </c>
      <c r="E1158">
        <v>0.981623525396219</v>
      </c>
      <c r="F1158">
        <v>0.65873929313482404</v>
      </c>
      <c r="G1158">
        <v>0.34412563392565998</v>
      </c>
      <c r="H1158">
        <v>0.274145435890843</v>
      </c>
      <c r="I1158">
        <v>0.19665767516900801</v>
      </c>
      <c r="J1158">
        <v>0.163913824283031</v>
      </c>
      <c r="K1158">
        <v>0.119808993915285</v>
      </c>
      <c r="L1158">
        <v>1346.6832226931101</v>
      </c>
      <c r="M1158">
        <v>26.338563720945601</v>
      </c>
      <c r="N1158">
        <v>51.951656787729299</v>
      </c>
      <c r="O1158">
        <v>50.837701891662697</v>
      </c>
      <c r="P1158">
        <v>-0.107454160780051</v>
      </c>
      <c r="Q1158">
        <v>0.17039321345073399</v>
      </c>
      <c r="R1158">
        <v>0.97820907665670898</v>
      </c>
      <c r="S1158" t="s">
        <v>6709</v>
      </c>
      <c r="T1158" t="s">
        <v>11100</v>
      </c>
      <c r="U1158" t="s">
        <v>11100</v>
      </c>
      <c r="V1158" t="s">
        <v>11100</v>
      </c>
      <c r="W1158" t="s">
        <v>11939</v>
      </c>
      <c r="X1158">
        <v>9</v>
      </c>
      <c r="Z1158" t="s">
        <v>23163</v>
      </c>
      <c r="AA1158">
        <v>0.56777560939150551</v>
      </c>
      <c r="AB1158" t="str">
        <f>HYPERLINK("Melting_Curves/meltCurve_M0R150_.pdf", "Melting_Curves/meltCurve_M0R150_.pdf")</f>
        <v>Melting_Curves/meltCurve_M0R150_.pdf</v>
      </c>
    </row>
    <row r="1159" spans="1:28" x14ac:dyDescent="0.25">
      <c r="A1159" t="s">
        <v>1163</v>
      </c>
      <c r="B1159">
        <v>0.99299721793515405</v>
      </c>
      <c r="C1159">
        <v>1.01624476390205</v>
      </c>
      <c r="D1159">
        <v>0.99559536453527497</v>
      </c>
      <c r="E1159">
        <v>0.91250277777023603</v>
      </c>
      <c r="F1159">
        <v>0.65701293848391795</v>
      </c>
      <c r="G1159">
        <v>0.384472537354346</v>
      </c>
      <c r="H1159">
        <v>0.68138451360604801</v>
      </c>
      <c r="I1159">
        <v>0.56157018828956495</v>
      </c>
      <c r="J1159">
        <v>0.61765154220654395</v>
      </c>
      <c r="K1159">
        <v>0.20241810827833101</v>
      </c>
      <c r="L1159">
        <v>1807.6599109952001</v>
      </c>
      <c r="M1159">
        <v>36.961896336954197</v>
      </c>
      <c r="N1159">
        <v>54.601861868328399</v>
      </c>
      <c r="O1159">
        <v>48.763544798835397</v>
      </c>
      <c r="P1159">
        <v>-9.6752780453032497E-2</v>
      </c>
      <c r="Q1159">
        <v>0.48942068414560203</v>
      </c>
      <c r="R1159">
        <v>0.77488743172768004</v>
      </c>
      <c r="S1159" t="s">
        <v>6710</v>
      </c>
      <c r="T1159" t="s">
        <v>11100</v>
      </c>
      <c r="U1159" t="s">
        <v>11100</v>
      </c>
      <c r="V1159" t="s">
        <v>11100</v>
      </c>
      <c r="W1159" t="s">
        <v>12230</v>
      </c>
      <c r="X1159">
        <v>2</v>
      </c>
      <c r="Y1159" t="s">
        <v>17726</v>
      </c>
      <c r="Z1159" t="s">
        <v>23164</v>
      </c>
      <c r="AA1159">
        <v>0.69407632072857028</v>
      </c>
      <c r="AB1159" t="str">
        <f>HYPERLINK("Melting_Curves/meltCurve_M0R1E0_RAB4B.pdf", "Melting_Curves/meltCurve_M0R1E0_RAB4B.pdf")</f>
        <v>Melting_Curves/meltCurve_M0R1E0_RAB4B.pdf</v>
      </c>
    </row>
    <row r="1160" spans="1:28" x14ac:dyDescent="0.25">
      <c r="A1160" t="s">
        <v>1164</v>
      </c>
      <c r="B1160">
        <v>0.99299721793515405</v>
      </c>
      <c r="C1160">
        <v>0.85032409618785698</v>
      </c>
      <c r="D1160">
        <v>1.2838454629736999</v>
      </c>
      <c r="E1160">
        <v>1.03914200446907</v>
      </c>
      <c r="F1160">
        <v>0.83277757037421496</v>
      </c>
      <c r="G1160">
        <v>1.0295433334378401</v>
      </c>
      <c r="H1160">
        <v>1.3445778968045401</v>
      </c>
      <c r="I1160">
        <v>1.24337566056825</v>
      </c>
      <c r="J1160">
        <v>0.91087279366242202</v>
      </c>
      <c r="K1160">
        <v>1.3520061578225699</v>
      </c>
      <c r="L1160">
        <v>13548.1577437298</v>
      </c>
      <c r="M1160">
        <v>250</v>
      </c>
      <c r="O1160">
        <v>54.189151270884402</v>
      </c>
      <c r="P1160">
        <v>0.24533054915601199</v>
      </c>
      <c r="Q1160">
        <v>1.21270811380386</v>
      </c>
      <c r="R1160">
        <v>0.28564528629321501</v>
      </c>
      <c r="S1160" t="s">
        <v>6711</v>
      </c>
      <c r="T1160" t="s">
        <v>11100</v>
      </c>
      <c r="U1160" t="s">
        <v>11100</v>
      </c>
      <c r="V1160" t="s">
        <v>11100</v>
      </c>
      <c r="W1160" t="s">
        <v>12231</v>
      </c>
      <c r="X1160">
        <v>1</v>
      </c>
      <c r="Y1160" t="s">
        <v>17727</v>
      </c>
      <c r="Z1160" t="s">
        <v>23165</v>
      </c>
      <c r="AA1160">
        <v>1.0907874801922841</v>
      </c>
      <c r="AB1160" t="str">
        <f>HYPERLINK("Melting_Curves/meltCurve_M0R226_MRPL34.pdf", "Melting_Curves/meltCurve_M0R226_MRPL34.pdf")</f>
        <v>Melting_Curves/meltCurve_M0R226_MRPL34.pdf</v>
      </c>
    </row>
    <row r="1161" spans="1:28" x14ac:dyDescent="0.25">
      <c r="A1161" t="s">
        <v>1165</v>
      </c>
      <c r="B1161">
        <v>0.99299721793515405</v>
      </c>
      <c r="C1161">
        <v>0.97709304034192901</v>
      </c>
      <c r="D1161">
        <v>0.87498804222186399</v>
      </c>
      <c r="E1161">
        <v>0.778223739971593</v>
      </c>
      <c r="F1161">
        <v>0.58587846473587801</v>
      </c>
      <c r="G1161">
        <v>0.44250953533424903</v>
      </c>
      <c r="H1161">
        <v>0.29992094204309799</v>
      </c>
      <c r="I1161">
        <v>0.26615956905955301</v>
      </c>
      <c r="J1161">
        <v>0.18015922389598099</v>
      </c>
      <c r="K1161">
        <v>0.21761914433902599</v>
      </c>
      <c r="L1161">
        <v>583.52739209267099</v>
      </c>
      <c r="M1161">
        <v>11.5446765585537</v>
      </c>
      <c r="N1161">
        <v>52.100725503254701</v>
      </c>
      <c r="O1161">
        <v>49.099942055180797</v>
      </c>
      <c r="P1161">
        <v>-5.0226398082688598E-2</v>
      </c>
      <c r="Q1161">
        <v>0.14578016141135</v>
      </c>
      <c r="R1161">
        <v>0.99620353768947401</v>
      </c>
      <c r="S1161" t="s">
        <v>6712</v>
      </c>
      <c r="T1161" t="s">
        <v>11100</v>
      </c>
      <c r="U1161" t="s">
        <v>11100</v>
      </c>
      <c r="V1161" t="s">
        <v>11100</v>
      </c>
      <c r="W1161" t="s">
        <v>12232</v>
      </c>
      <c r="X1161">
        <v>7</v>
      </c>
      <c r="Y1161" t="s">
        <v>17728</v>
      </c>
      <c r="Z1161" t="s">
        <v>23166</v>
      </c>
      <c r="AA1161">
        <v>0.55544804289868521</v>
      </c>
      <c r="AB1161" t="str">
        <f>HYPERLINK("Melting_Curves/meltCurve_M0R299_FBL.pdf", "Melting_Curves/meltCurve_M0R299_FBL.pdf")</f>
        <v>Melting_Curves/meltCurve_M0R299_FBL.pdf</v>
      </c>
    </row>
    <row r="1162" spans="1:28" x14ac:dyDescent="0.25">
      <c r="A1162" t="s">
        <v>1166</v>
      </c>
      <c r="B1162">
        <v>0.99299721793515405</v>
      </c>
      <c r="C1162">
        <v>1.12091090608477</v>
      </c>
      <c r="D1162">
        <v>0.97852519086024903</v>
      </c>
      <c r="E1162">
        <v>1.0289794757066599</v>
      </c>
      <c r="F1162">
        <v>0.868226683208696</v>
      </c>
      <c r="G1162">
        <v>0.72366662314797703</v>
      </c>
      <c r="H1162">
        <v>0.97437876854703398</v>
      </c>
      <c r="I1162">
        <v>0.94723163241608999</v>
      </c>
      <c r="J1162">
        <v>0.70137844668771698</v>
      </c>
      <c r="K1162">
        <v>0.64191614266600105</v>
      </c>
      <c r="L1162">
        <v>431.41474173448597</v>
      </c>
      <c r="M1162">
        <v>5.6532795021600801</v>
      </c>
      <c r="Q1162">
        <v>0</v>
      </c>
      <c r="R1162">
        <v>0.56583951558116097</v>
      </c>
      <c r="S1162" t="s">
        <v>6713</v>
      </c>
      <c r="T1162" t="s">
        <v>11100</v>
      </c>
      <c r="U1162" t="s">
        <v>11100</v>
      </c>
      <c r="V1162" t="s">
        <v>11100</v>
      </c>
      <c r="W1162" t="s">
        <v>12233</v>
      </c>
      <c r="X1162">
        <v>2</v>
      </c>
      <c r="Y1162" t="s">
        <v>17729</v>
      </c>
      <c r="Z1162" t="s">
        <v>23167</v>
      </c>
      <c r="AA1162">
        <v>0.90067939257714125</v>
      </c>
      <c r="AB1162" t="str">
        <f>HYPERLINK("Melting_Curves/meltCurve_M0R2A0_EMC10.pdf", "Melting_Curves/meltCurve_M0R2A0_EMC10.pdf")</f>
        <v>Melting_Curves/meltCurve_M0R2A0_EMC10.pdf</v>
      </c>
    </row>
    <row r="1163" spans="1:28" x14ac:dyDescent="0.25">
      <c r="A1163" t="s">
        <v>1167</v>
      </c>
      <c r="B1163">
        <v>0.99299721793515405</v>
      </c>
      <c r="C1163">
        <v>0.96016513702191997</v>
      </c>
      <c r="D1163">
        <v>0.90130296646239905</v>
      </c>
      <c r="E1163">
        <v>0.79236800971433496</v>
      </c>
      <c r="F1163">
        <v>0.58886661527087703</v>
      </c>
      <c r="G1163">
        <v>0.337155226009202</v>
      </c>
      <c r="H1163">
        <v>0.29353909839344999</v>
      </c>
      <c r="I1163">
        <v>0.25403828902509401</v>
      </c>
      <c r="J1163">
        <v>0.16905049344822701</v>
      </c>
      <c r="K1163">
        <v>0.14195802436475399</v>
      </c>
      <c r="L1163">
        <v>666.150827901306</v>
      </c>
      <c r="M1163">
        <v>13.2468609294882</v>
      </c>
      <c r="N1163">
        <v>51.487325577763002</v>
      </c>
      <c r="O1163">
        <v>49.182901699664498</v>
      </c>
      <c r="P1163">
        <v>-5.8402059213901299E-2</v>
      </c>
      <c r="Q1163">
        <v>0.132802731335119</v>
      </c>
      <c r="R1163">
        <v>0.99364359099640798</v>
      </c>
      <c r="S1163" t="s">
        <v>6714</v>
      </c>
      <c r="T1163" t="s">
        <v>11100</v>
      </c>
      <c r="U1163" t="s">
        <v>11100</v>
      </c>
      <c r="V1163" t="s">
        <v>11100</v>
      </c>
      <c r="W1163" t="s">
        <v>11151</v>
      </c>
      <c r="X1163">
        <v>22</v>
      </c>
      <c r="Y1163" t="s">
        <v>17730</v>
      </c>
      <c r="Z1163" t="s">
        <v>23168</v>
      </c>
      <c r="AA1163">
        <v>0.53807486791969106</v>
      </c>
      <c r="AB1163" t="str">
        <f>HYPERLINK("Melting_Curves/meltCurve_M0R2B7_POLD1.pdf", "Melting_Curves/meltCurve_M0R2B7_POLD1.pdf")</f>
        <v>Melting_Curves/meltCurve_M0R2B7_POLD1.pdf</v>
      </c>
    </row>
    <row r="1164" spans="1:28" x14ac:dyDescent="0.25">
      <c r="A1164" t="s">
        <v>1168</v>
      </c>
      <c r="B1164">
        <v>0.99299721793515405</v>
      </c>
      <c r="C1164">
        <v>0.96122551980151705</v>
      </c>
      <c r="D1164">
        <v>0.94315113884697299</v>
      </c>
      <c r="E1164">
        <v>0.929522313667282</v>
      </c>
      <c r="F1164">
        <v>0.67114634755954605</v>
      </c>
      <c r="G1164">
        <v>0.56928385133821102</v>
      </c>
      <c r="H1164">
        <v>0.55070266816171198</v>
      </c>
      <c r="I1164">
        <v>0.45660077085265099</v>
      </c>
      <c r="J1164">
        <v>0.30743642231566398</v>
      </c>
      <c r="K1164">
        <v>8.2275200492519004E-2</v>
      </c>
      <c r="L1164">
        <v>482.16683027003103</v>
      </c>
      <c r="M1164">
        <v>8.4685491227157002</v>
      </c>
      <c r="N1164">
        <v>56.9361771497937</v>
      </c>
      <c r="O1164">
        <v>54.027363027558103</v>
      </c>
      <c r="P1164">
        <v>-3.9222187811768797E-2</v>
      </c>
      <c r="Q1164">
        <v>0</v>
      </c>
      <c r="R1164">
        <v>0.94616420458709405</v>
      </c>
      <c r="S1164" t="s">
        <v>6715</v>
      </c>
      <c r="T1164" t="s">
        <v>11100</v>
      </c>
      <c r="U1164" t="s">
        <v>11100</v>
      </c>
      <c r="V1164" t="s">
        <v>11100</v>
      </c>
      <c r="W1164" t="s">
        <v>12217</v>
      </c>
      <c r="X1164">
        <v>10</v>
      </c>
      <c r="Y1164" t="s">
        <v>17713</v>
      </c>
      <c r="Z1164" t="s">
        <v>23169</v>
      </c>
      <c r="AA1164">
        <v>0.6571045395132149</v>
      </c>
      <c r="AB1164" t="str">
        <f>HYPERLINK("Melting_Curves/meltCurve_M0R2D3_TUBB4A.pdf", "Melting_Curves/meltCurve_M0R2D3_TUBB4A.pdf")</f>
        <v>Melting_Curves/meltCurve_M0R2D3_TUBB4A.pdf</v>
      </c>
    </row>
    <row r="1165" spans="1:28" x14ac:dyDescent="0.25">
      <c r="A1165" t="s">
        <v>1169</v>
      </c>
      <c r="B1165">
        <v>0.99299721793515405</v>
      </c>
      <c r="C1165">
        <v>1.2079415453593301</v>
      </c>
      <c r="D1165">
        <v>0.96182737296257603</v>
      </c>
      <c r="E1165">
        <v>1.004424810145</v>
      </c>
      <c r="F1165">
        <v>0.91448654229571003</v>
      </c>
      <c r="G1165">
        <v>0.62123839348637899</v>
      </c>
      <c r="H1165">
        <v>0.81071451363944702</v>
      </c>
      <c r="I1165">
        <v>0.91890306304659997</v>
      </c>
      <c r="J1165">
        <v>0.96567441496485895</v>
      </c>
      <c r="K1165">
        <v>0.69673797842591201</v>
      </c>
      <c r="L1165">
        <v>12563.470202710299</v>
      </c>
      <c r="M1165">
        <v>250</v>
      </c>
      <c r="O1165">
        <v>50.250664913370798</v>
      </c>
      <c r="P1165">
        <v>-0.24545237878472601</v>
      </c>
      <c r="Q1165">
        <v>0.80265367648432195</v>
      </c>
      <c r="R1165">
        <v>0.48209783431893899</v>
      </c>
      <c r="S1165" t="s">
        <v>6716</v>
      </c>
      <c r="T1165" t="s">
        <v>11100</v>
      </c>
      <c r="U1165" t="s">
        <v>11100</v>
      </c>
      <c r="V1165" t="s">
        <v>11100</v>
      </c>
      <c r="W1165" t="s">
        <v>12234</v>
      </c>
      <c r="X1165">
        <v>4</v>
      </c>
      <c r="Y1165" t="s">
        <v>17731</v>
      </c>
      <c r="Z1165" t="s">
        <v>23170</v>
      </c>
      <c r="AA1165">
        <v>0.88985790307746859</v>
      </c>
      <c r="AB1165" t="str">
        <f>HYPERLINK("Melting_Curves/meltCurve_M0R3D4_RABAC1.pdf", "Melting_Curves/meltCurve_M0R3D4_RABAC1.pdf")</f>
        <v>Melting_Curves/meltCurve_M0R3D4_RABAC1.pdf</v>
      </c>
    </row>
    <row r="1166" spans="1:28" x14ac:dyDescent="0.25">
      <c r="A1166" t="s">
        <v>1170</v>
      </c>
      <c r="B1166">
        <v>0.99299721793515405</v>
      </c>
      <c r="C1166">
        <v>1.0289393262991799</v>
      </c>
      <c r="D1166">
        <v>0.94782728261384697</v>
      </c>
      <c r="E1166">
        <v>0.913267585749862</v>
      </c>
      <c r="F1166">
        <v>0.79263894162863702</v>
      </c>
      <c r="G1166">
        <v>0.57322513656052299</v>
      </c>
      <c r="H1166">
        <v>0.29784442843341702</v>
      </c>
      <c r="I1166">
        <v>0.205969058977853</v>
      </c>
      <c r="J1166">
        <v>0.180255633217766</v>
      </c>
      <c r="K1166">
        <v>0.127755837745722</v>
      </c>
      <c r="L1166">
        <v>895.87863792430005</v>
      </c>
      <c r="M1166">
        <v>16.672111579027</v>
      </c>
      <c r="N1166">
        <v>54.473964910936502</v>
      </c>
      <c r="O1166">
        <v>52.9799311225484</v>
      </c>
      <c r="P1166">
        <v>-7.0716071020681295E-2</v>
      </c>
      <c r="Q1166">
        <v>0.10118580962095</v>
      </c>
      <c r="R1166">
        <v>0.995614874136176</v>
      </c>
      <c r="S1166" t="s">
        <v>6717</v>
      </c>
      <c r="T1166" t="s">
        <v>11100</v>
      </c>
      <c r="U1166" t="s">
        <v>11100</v>
      </c>
      <c r="V1166" t="s">
        <v>11100</v>
      </c>
      <c r="W1166" t="s">
        <v>12235</v>
      </c>
      <c r="X1166">
        <v>19</v>
      </c>
      <c r="Y1166" t="s">
        <v>17732</v>
      </c>
      <c r="Z1166" t="s">
        <v>23171</v>
      </c>
      <c r="AA1166">
        <v>0.61620811722647451</v>
      </c>
      <c r="AB1166" t="str">
        <f>HYPERLINK("Melting_Curves/meltCurve_O00116_AGPS.pdf", "Melting_Curves/meltCurve_O00116_AGPS.pdf")</f>
        <v>Melting_Curves/meltCurve_O00116_AGPS.pdf</v>
      </c>
    </row>
    <row r="1167" spans="1:28" x14ac:dyDescent="0.25">
      <c r="A1167" t="s">
        <v>1171</v>
      </c>
      <c r="B1167">
        <v>0.99299721793515405</v>
      </c>
      <c r="C1167">
        <v>1.0864100425529499</v>
      </c>
      <c r="D1167">
        <v>1.0365985476279</v>
      </c>
      <c r="E1167">
        <v>1.1110718620014799</v>
      </c>
      <c r="F1167">
        <v>0.66826384728106403</v>
      </c>
      <c r="G1167">
        <v>0.316347146465917</v>
      </c>
      <c r="H1167">
        <v>0.23398847923643001</v>
      </c>
      <c r="I1167">
        <v>6.17626767090899E-2</v>
      </c>
      <c r="J1167">
        <v>8.9433529795078806E-2</v>
      </c>
      <c r="K1167">
        <v>0</v>
      </c>
      <c r="L1167">
        <v>1365.3419840148399</v>
      </c>
      <c r="M1167">
        <v>26.331238416408599</v>
      </c>
      <c r="N1167">
        <v>52.137901051273403</v>
      </c>
      <c r="O1167">
        <v>51.556250904539901</v>
      </c>
      <c r="P1167">
        <v>-0.119115524544921</v>
      </c>
      <c r="Q1167">
        <v>6.7103103270188105E-2</v>
      </c>
      <c r="R1167">
        <v>0.97320335090313703</v>
      </c>
      <c r="S1167" t="s">
        <v>6718</v>
      </c>
      <c r="T1167" t="s">
        <v>11100</v>
      </c>
      <c r="U1167" t="s">
        <v>11100</v>
      </c>
      <c r="V1167" t="s">
        <v>11100</v>
      </c>
      <c r="W1167" t="s">
        <v>12236</v>
      </c>
      <c r="X1167">
        <v>3</v>
      </c>
      <c r="Y1167" t="s">
        <v>17733</v>
      </c>
      <c r="Z1167" t="s">
        <v>23172</v>
      </c>
      <c r="AA1167">
        <v>0.53648208218121984</v>
      </c>
      <c r="AB1167" t="str">
        <f>HYPERLINK("Melting_Curves/meltCurve_O00124_3_UBXN8.pdf", "Melting_Curves/meltCurve_O00124_3_UBXN8.pdf")</f>
        <v>Melting_Curves/meltCurve_O00124_3_UBXN8.pdf</v>
      </c>
    </row>
    <row r="1168" spans="1:28" x14ac:dyDescent="0.25">
      <c r="A1168" t="s">
        <v>1172</v>
      </c>
      <c r="B1168">
        <v>0.99299721793515405</v>
      </c>
      <c r="C1168">
        <v>0.83314809534864898</v>
      </c>
      <c r="D1168">
        <v>0.91645774467499297</v>
      </c>
      <c r="E1168">
        <v>0.70324612355280802</v>
      </c>
      <c r="F1168">
        <v>0.55496187178280298</v>
      </c>
      <c r="G1168">
        <v>0.22888026217044199</v>
      </c>
      <c r="H1168">
        <v>0.163944411370436</v>
      </c>
      <c r="I1168">
        <v>0.15063178309310901</v>
      </c>
      <c r="J1168">
        <v>0.16872662605314401</v>
      </c>
      <c r="K1168">
        <v>0.15524422277098299</v>
      </c>
      <c r="L1168">
        <v>713.55935952729305</v>
      </c>
      <c r="M1168">
        <v>14.571817413257699</v>
      </c>
      <c r="N1168">
        <v>49.819532669813398</v>
      </c>
      <c r="O1168">
        <v>48.073944416564302</v>
      </c>
      <c r="P1168">
        <v>-6.7436269685624606E-2</v>
      </c>
      <c r="Q1168">
        <v>0.110183573132736</v>
      </c>
      <c r="R1168">
        <v>0.96982921344796702</v>
      </c>
      <c r="S1168" t="s">
        <v>6719</v>
      </c>
      <c r="T1168" t="s">
        <v>11100</v>
      </c>
      <c r="U1168" t="s">
        <v>11100</v>
      </c>
      <c r="V1168" t="s">
        <v>11100</v>
      </c>
      <c r="W1168" t="s">
        <v>12237</v>
      </c>
      <c r="X1168">
        <v>5</v>
      </c>
      <c r="Y1168" t="s">
        <v>17734</v>
      </c>
      <c r="Z1168" t="s">
        <v>23173</v>
      </c>
      <c r="AA1168">
        <v>0.48521587089075241</v>
      </c>
      <c r="AB1168" t="str">
        <f>HYPERLINK("Melting_Curves/meltCurve_O00139_2_KIF2A.pdf", "Melting_Curves/meltCurve_O00139_2_KIF2A.pdf")</f>
        <v>Melting_Curves/meltCurve_O00139_2_KIF2A.pdf</v>
      </c>
    </row>
    <row r="1169" spans="1:28" x14ac:dyDescent="0.25">
      <c r="A1169" t="s">
        <v>1173</v>
      </c>
      <c r="B1169">
        <v>0.99299721793515405</v>
      </c>
      <c r="C1169">
        <v>0.88248724241103604</v>
      </c>
      <c r="D1169">
        <v>0.964131000607787</v>
      </c>
      <c r="E1169">
        <v>0.82749266584925496</v>
      </c>
      <c r="F1169">
        <v>0.56217668200091098</v>
      </c>
      <c r="G1169">
        <v>0.29803372410662299</v>
      </c>
      <c r="H1169">
        <v>0.205838653688031</v>
      </c>
      <c r="I1169">
        <v>0.193964036794956</v>
      </c>
      <c r="J1169">
        <v>0.17786021073987501</v>
      </c>
      <c r="K1169">
        <v>0.14572469278727401</v>
      </c>
      <c r="L1169">
        <v>961.760491783524</v>
      </c>
      <c r="M1169">
        <v>19.293835256148299</v>
      </c>
      <c r="N1169">
        <v>50.808225468838899</v>
      </c>
      <c r="O1169">
        <v>49.321833345852902</v>
      </c>
      <c r="P1169">
        <v>-8.2858945854218394E-2</v>
      </c>
      <c r="Q1169">
        <v>0.152765275150409</v>
      </c>
      <c r="R1169">
        <v>0.98825110290035501</v>
      </c>
      <c r="S1169" t="s">
        <v>6720</v>
      </c>
      <c r="T1169" t="s">
        <v>11100</v>
      </c>
      <c r="U1169" t="s">
        <v>11100</v>
      </c>
      <c r="V1169" t="s">
        <v>11100</v>
      </c>
      <c r="W1169" t="s">
        <v>12238</v>
      </c>
      <c r="X1169">
        <v>27</v>
      </c>
      <c r="Y1169" t="s">
        <v>17735</v>
      </c>
      <c r="Z1169" t="s">
        <v>23174</v>
      </c>
      <c r="AA1169">
        <v>0.527494028421304</v>
      </c>
      <c r="AB1169" t="str">
        <f>HYPERLINK("Melting_Curves/meltCurve_O00148_DDX39A.pdf", "Melting_Curves/meltCurve_O00148_DDX39A.pdf")</f>
        <v>Melting_Curves/meltCurve_O00148_DDX39A.pdf</v>
      </c>
    </row>
    <row r="1170" spans="1:28" x14ac:dyDescent="0.25">
      <c r="A1170" t="s">
        <v>1174</v>
      </c>
      <c r="B1170">
        <v>0.99299721793515405</v>
      </c>
      <c r="C1170">
        <v>0.96733179811540604</v>
      </c>
      <c r="D1170">
        <v>0.97688597870734195</v>
      </c>
      <c r="E1170">
        <v>0.89321897064232303</v>
      </c>
      <c r="F1170">
        <v>0.77995077438983595</v>
      </c>
      <c r="G1170">
        <v>0.53521552746206102</v>
      </c>
      <c r="H1170">
        <v>0.60367024223457999</v>
      </c>
      <c r="I1170">
        <v>0.67890362309794305</v>
      </c>
      <c r="J1170">
        <v>0.90033904589303704</v>
      </c>
      <c r="K1170">
        <v>0.81015414109886796</v>
      </c>
      <c r="L1170">
        <v>1771.21323934766</v>
      </c>
      <c r="M1170">
        <v>37.408648588910403</v>
      </c>
      <c r="O1170">
        <v>47.212998615382404</v>
      </c>
      <c r="P1170">
        <v>-5.7118482567854602E-2</v>
      </c>
      <c r="Q1170">
        <v>0.71164662250935495</v>
      </c>
      <c r="R1170">
        <v>0.60705206002008205</v>
      </c>
      <c r="S1170" t="s">
        <v>6721</v>
      </c>
      <c r="T1170" t="s">
        <v>11100</v>
      </c>
      <c r="U1170" t="s">
        <v>11100</v>
      </c>
      <c r="V1170" t="s">
        <v>11100</v>
      </c>
      <c r="W1170" t="s">
        <v>12239</v>
      </c>
      <c r="X1170">
        <v>28</v>
      </c>
      <c r="Y1170" t="s">
        <v>17736</v>
      </c>
      <c r="Z1170" t="s">
        <v>23175</v>
      </c>
      <c r="AA1170">
        <v>0.81218681590426656</v>
      </c>
      <c r="AB1170" t="str">
        <f>HYPERLINK("Melting_Curves/meltCurve_O00151_PDLIM1.pdf", "Melting_Curves/meltCurve_O00151_PDLIM1.pdf")</f>
        <v>Melting_Curves/meltCurve_O00151_PDLIM1.pdf</v>
      </c>
    </row>
    <row r="1171" spans="1:28" x14ac:dyDescent="0.25">
      <c r="A1171" t="s">
        <v>1175</v>
      </c>
      <c r="B1171">
        <v>0.99299721793515405</v>
      </c>
      <c r="C1171">
        <v>0.99468912639556395</v>
      </c>
      <c r="D1171">
        <v>0.96678431696161304</v>
      </c>
      <c r="E1171">
        <v>0.89134905412367205</v>
      </c>
      <c r="F1171">
        <v>0.77337806846734103</v>
      </c>
      <c r="G1171">
        <v>0.70799246870824994</v>
      </c>
      <c r="H1171">
        <v>0.73162742360755095</v>
      </c>
      <c r="I1171">
        <v>0.83303174596641505</v>
      </c>
      <c r="J1171">
        <v>0.87319042743402997</v>
      </c>
      <c r="K1171">
        <v>0.43612302145574999</v>
      </c>
      <c r="L1171">
        <v>240.71169034933001</v>
      </c>
      <c r="M1171">
        <v>3.0504152547179002</v>
      </c>
      <c r="O1171">
        <v>58.527599500188799</v>
      </c>
      <c r="P1171">
        <v>-1.3413387361092301E-2</v>
      </c>
      <c r="Q1171">
        <v>0</v>
      </c>
      <c r="R1171">
        <v>0.55559098194174505</v>
      </c>
      <c r="S1171" t="s">
        <v>6722</v>
      </c>
      <c r="T1171" t="s">
        <v>11100</v>
      </c>
      <c r="U1171" t="s">
        <v>11100</v>
      </c>
      <c r="V1171" t="s">
        <v>11100</v>
      </c>
      <c r="W1171" t="s">
        <v>12240</v>
      </c>
      <c r="X1171">
        <v>22</v>
      </c>
      <c r="Y1171" t="s">
        <v>17737</v>
      </c>
      <c r="Z1171" t="s">
        <v>23176</v>
      </c>
      <c r="AA1171">
        <v>0.81954233486632178</v>
      </c>
      <c r="AB1171" t="str">
        <f>HYPERLINK("Melting_Curves/meltCurve_O00154_4_ACOT7.pdf", "Melting_Curves/meltCurve_O00154_4_ACOT7.pdf")</f>
        <v>Melting_Curves/meltCurve_O00154_4_ACOT7.pdf</v>
      </c>
    </row>
    <row r="1172" spans="1:28" x14ac:dyDescent="0.25">
      <c r="A1172" t="s">
        <v>1176</v>
      </c>
      <c r="B1172">
        <v>0.99299721793515405</v>
      </c>
      <c r="C1172">
        <v>0.945410455774637</v>
      </c>
      <c r="D1172">
        <v>0.92513793870362704</v>
      </c>
      <c r="E1172">
        <v>0.77483994332476303</v>
      </c>
      <c r="F1172">
        <v>0.63222867385742998</v>
      </c>
      <c r="G1172">
        <v>0.26006643965215998</v>
      </c>
      <c r="H1172">
        <v>0.151278695903802</v>
      </c>
      <c r="I1172">
        <v>0.14245295507814401</v>
      </c>
      <c r="J1172">
        <v>0.13028929157086899</v>
      </c>
      <c r="K1172">
        <v>0.10480056236436</v>
      </c>
      <c r="L1172">
        <v>855.88590655690496</v>
      </c>
      <c r="M1172">
        <v>17.009072665270502</v>
      </c>
      <c r="N1172">
        <v>50.877538194868201</v>
      </c>
      <c r="O1172">
        <v>49.639277238658202</v>
      </c>
      <c r="P1172">
        <v>-7.8377060398167206E-2</v>
      </c>
      <c r="Q1172">
        <v>8.5114039584997594E-2</v>
      </c>
      <c r="R1172">
        <v>0.98836710456372001</v>
      </c>
      <c r="S1172" t="s">
        <v>6723</v>
      </c>
      <c r="T1172" t="s">
        <v>11100</v>
      </c>
      <c r="U1172" t="s">
        <v>11100</v>
      </c>
      <c r="V1172" t="s">
        <v>11100</v>
      </c>
      <c r="W1172" t="s">
        <v>12241</v>
      </c>
      <c r="X1172">
        <v>31</v>
      </c>
      <c r="Y1172" t="s">
        <v>17738</v>
      </c>
      <c r="Z1172" t="s">
        <v>23177</v>
      </c>
      <c r="AA1172">
        <v>0.50700809925004009</v>
      </c>
      <c r="AB1172" t="str">
        <f>HYPERLINK("Melting_Curves/meltCurve_O00159_MYO1C.pdf", "Melting_Curves/meltCurve_O00159_MYO1C.pdf")</f>
        <v>Melting_Curves/meltCurve_O00159_MYO1C.pdf</v>
      </c>
    </row>
    <row r="1173" spans="1:28" x14ac:dyDescent="0.25">
      <c r="A1173" t="s">
        <v>1177</v>
      </c>
      <c r="B1173">
        <v>0.99299721793515405</v>
      </c>
      <c r="C1173">
        <v>0.98963326677734098</v>
      </c>
      <c r="D1173">
        <v>0.91436550505146696</v>
      </c>
      <c r="E1173">
        <v>0.837785077563867</v>
      </c>
      <c r="F1173">
        <v>0.75155671672671098</v>
      </c>
      <c r="G1173">
        <v>0.45991549092916201</v>
      </c>
      <c r="H1173">
        <v>0.49507367658075402</v>
      </c>
      <c r="I1173">
        <v>0.56989156315405698</v>
      </c>
      <c r="J1173">
        <v>0.56326274438133295</v>
      </c>
      <c r="K1173">
        <v>0.42273683897087</v>
      </c>
      <c r="L1173">
        <v>897.76462775840901</v>
      </c>
      <c r="M1173">
        <v>18.425159393332802</v>
      </c>
      <c r="N1173">
        <v>61.045282429203198</v>
      </c>
      <c r="O1173">
        <v>48.161854679739001</v>
      </c>
      <c r="P1173">
        <v>-4.8983624568784197E-2</v>
      </c>
      <c r="Q1173">
        <v>0.48786634573625498</v>
      </c>
      <c r="R1173">
        <v>0.92526178483391197</v>
      </c>
      <c r="S1173" t="s">
        <v>6724</v>
      </c>
      <c r="T1173" t="s">
        <v>11100</v>
      </c>
      <c r="U1173" t="s">
        <v>11100</v>
      </c>
      <c r="V1173" t="s">
        <v>11100</v>
      </c>
      <c r="W1173" t="s">
        <v>12242</v>
      </c>
      <c r="X1173">
        <v>15</v>
      </c>
      <c r="Y1173" t="s">
        <v>17739</v>
      </c>
      <c r="Z1173" t="s">
        <v>23178</v>
      </c>
      <c r="AA1173">
        <v>0.69584956560389577</v>
      </c>
      <c r="AB1173" t="str">
        <f>HYPERLINK("Melting_Curves/meltCurve_O00161_SNAP23.pdf", "Melting_Curves/meltCurve_O00161_SNAP23.pdf")</f>
        <v>Melting_Curves/meltCurve_O00161_SNAP23.pdf</v>
      </c>
    </row>
    <row r="1174" spans="1:28" x14ac:dyDescent="0.25">
      <c r="A1174" t="s">
        <v>1178</v>
      </c>
      <c r="B1174">
        <v>0.99299721793515405</v>
      </c>
      <c r="C1174">
        <v>0.97734094584213105</v>
      </c>
      <c r="D1174">
        <v>0.74823410621824404</v>
      </c>
      <c r="E1174">
        <v>0.71406985883514795</v>
      </c>
      <c r="F1174">
        <v>0.46962340419845899</v>
      </c>
      <c r="G1174">
        <v>0.22601018376193199</v>
      </c>
      <c r="H1174">
        <v>0.207906111730322</v>
      </c>
      <c r="I1174">
        <v>0.16156624582920101</v>
      </c>
      <c r="J1174">
        <v>0.154022934174188</v>
      </c>
      <c r="K1174">
        <v>0.15177434324126399</v>
      </c>
      <c r="L1174">
        <v>624.80105635820496</v>
      </c>
      <c r="M1174">
        <v>12.972356520756501</v>
      </c>
      <c r="N1174">
        <v>49.107930528479599</v>
      </c>
      <c r="O1174">
        <v>47.062576240774099</v>
      </c>
      <c r="P1174">
        <v>-6.13174238798216E-2</v>
      </c>
      <c r="Q1174">
        <v>0.11034145102889401</v>
      </c>
      <c r="R1174">
        <v>0.98131444896393405</v>
      </c>
      <c r="S1174" t="s">
        <v>6725</v>
      </c>
      <c r="T1174" t="s">
        <v>11100</v>
      </c>
      <c r="U1174" t="s">
        <v>11100</v>
      </c>
      <c r="V1174" t="s">
        <v>11100</v>
      </c>
      <c r="W1174" t="s">
        <v>12243</v>
      </c>
      <c r="X1174">
        <v>5</v>
      </c>
      <c r="Y1174" t="s">
        <v>17740</v>
      </c>
      <c r="Z1174" t="s">
        <v>23179</v>
      </c>
      <c r="AA1174">
        <v>0.46602668566371031</v>
      </c>
      <c r="AB1174" t="str">
        <f>HYPERLINK("Melting_Curves/meltCurve_O00165_5_HAX1.pdf", "Melting_Curves/meltCurve_O00165_5_HAX1.pdf")</f>
        <v>Melting_Curves/meltCurve_O00165_5_HAX1.pdf</v>
      </c>
    </row>
    <row r="1175" spans="1:28" x14ac:dyDescent="0.25">
      <c r="A1175" t="s">
        <v>1179</v>
      </c>
      <c r="B1175">
        <v>0.99299721793515405</v>
      </c>
      <c r="C1175">
        <v>1.0271416357876</v>
      </c>
      <c r="D1175">
        <v>0.99202031802516599</v>
      </c>
      <c r="E1175">
        <v>0.93437125285339995</v>
      </c>
      <c r="F1175">
        <v>0.70677478653108805</v>
      </c>
      <c r="G1175">
        <v>0.37284325441757699</v>
      </c>
      <c r="H1175">
        <v>0.18531441927218301</v>
      </c>
      <c r="I1175">
        <v>0.162708339036123</v>
      </c>
      <c r="J1175">
        <v>0.133662378480948</v>
      </c>
      <c r="K1175">
        <v>9.7214093020569894E-2</v>
      </c>
      <c r="L1175">
        <v>1194.34723752168</v>
      </c>
      <c r="M1175">
        <v>23.091677180030199</v>
      </c>
      <c r="N1175">
        <v>52.310995841429303</v>
      </c>
      <c r="O1175">
        <v>51.338783567040899</v>
      </c>
      <c r="P1175">
        <v>-9.9576647468116494E-2</v>
      </c>
      <c r="Q1175">
        <v>0.114477803476811</v>
      </c>
      <c r="R1175">
        <v>0.99863299228563296</v>
      </c>
      <c r="S1175" t="s">
        <v>6726</v>
      </c>
      <c r="T1175" t="s">
        <v>11100</v>
      </c>
      <c r="U1175" t="s">
        <v>11100</v>
      </c>
      <c r="V1175" t="s">
        <v>11100</v>
      </c>
      <c r="W1175" t="s">
        <v>12244</v>
      </c>
      <c r="X1175">
        <v>18</v>
      </c>
      <c r="Y1175" t="s">
        <v>17741</v>
      </c>
      <c r="Z1175" t="s">
        <v>23180</v>
      </c>
      <c r="AA1175">
        <v>0.55806505618173363</v>
      </c>
      <c r="AB1175" t="str">
        <f>HYPERLINK("Melting_Curves/meltCurve_O00170_AIP.pdf", "Melting_Curves/meltCurve_O00170_AIP.pdf")</f>
        <v>Melting_Curves/meltCurve_O00170_AIP.pdf</v>
      </c>
    </row>
    <row r="1176" spans="1:28" x14ac:dyDescent="0.25">
      <c r="A1176" t="s">
        <v>1180</v>
      </c>
      <c r="B1176">
        <v>0.99299721793515405</v>
      </c>
      <c r="C1176">
        <v>0.96976729338651702</v>
      </c>
      <c r="D1176">
        <v>0.98915007255151299</v>
      </c>
      <c r="E1176">
        <v>0.82288741002024002</v>
      </c>
      <c r="F1176">
        <v>0.66044716850378005</v>
      </c>
      <c r="G1176">
        <v>0.34750259222436097</v>
      </c>
      <c r="H1176">
        <v>0.15409161897083101</v>
      </c>
      <c r="I1176">
        <v>0.12058646352205001</v>
      </c>
      <c r="J1176">
        <v>0.10979830858103801</v>
      </c>
      <c r="K1176">
        <v>9.9096786022263697E-2</v>
      </c>
      <c r="L1176">
        <v>932.45508656831703</v>
      </c>
      <c r="M1176">
        <v>18.197930982220299</v>
      </c>
      <c r="N1176">
        <v>51.696278916244601</v>
      </c>
      <c r="O1176">
        <v>50.632896021362399</v>
      </c>
      <c r="P1176">
        <v>-8.3185110715804395E-2</v>
      </c>
      <c r="Q1176">
        <v>7.4245519712483499E-2</v>
      </c>
      <c r="R1176">
        <v>0.99574059946165905</v>
      </c>
      <c r="S1176" t="s">
        <v>6727</v>
      </c>
      <c r="T1176" t="s">
        <v>11100</v>
      </c>
      <c r="U1176" t="s">
        <v>11100</v>
      </c>
      <c r="V1176" t="s">
        <v>11100</v>
      </c>
      <c r="W1176" t="s">
        <v>12245</v>
      </c>
      <c r="X1176">
        <v>17</v>
      </c>
      <c r="Y1176" t="s">
        <v>17742</v>
      </c>
      <c r="Z1176" t="s">
        <v>23181</v>
      </c>
      <c r="AA1176">
        <v>0.52770721627862693</v>
      </c>
      <c r="AB1176" t="str">
        <f>HYPERLINK("Melting_Curves/meltCurve_O00178_GTPBP1.pdf", "Melting_Curves/meltCurve_O00178_GTPBP1.pdf")</f>
        <v>Melting_Curves/meltCurve_O00178_GTPBP1.pdf</v>
      </c>
    </row>
    <row r="1177" spans="1:28" x14ac:dyDescent="0.25">
      <c r="A1177" t="s">
        <v>1181</v>
      </c>
      <c r="B1177">
        <v>0.99299721793515405</v>
      </c>
      <c r="C1177">
        <v>0.96549813038489796</v>
      </c>
      <c r="D1177">
        <v>0.95078479510622205</v>
      </c>
      <c r="E1177">
        <v>0.81816839406888198</v>
      </c>
      <c r="F1177">
        <v>0.667431461102589</v>
      </c>
      <c r="G1177">
        <v>0.28260462437663803</v>
      </c>
      <c r="H1177">
        <v>0.17108019962705601</v>
      </c>
      <c r="I1177">
        <v>0.153537041753846</v>
      </c>
      <c r="J1177">
        <v>0.14337927007972601</v>
      </c>
      <c r="K1177">
        <v>0.111161253863723</v>
      </c>
      <c r="L1177">
        <v>993.58270402669598</v>
      </c>
      <c r="M1177">
        <v>19.5791463129998</v>
      </c>
      <c r="N1177">
        <v>51.380743273570999</v>
      </c>
      <c r="O1177">
        <v>50.226470873864599</v>
      </c>
      <c r="P1177">
        <v>-8.7002941665366498E-2</v>
      </c>
      <c r="Q1177">
        <v>0.10727503600489</v>
      </c>
      <c r="R1177">
        <v>0.99144710266603797</v>
      </c>
      <c r="S1177" t="s">
        <v>6728</v>
      </c>
      <c r="T1177" t="s">
        <v>11100</v>
      </c>
      <c r="U1177" t="s">
        <v>11100</v>
      </c>
      <c r="V1177" t="s">
        <v>11100</v>
      </c>
      <c r="W1177" t="s">
        <v>12246</v>
      </c>
      <c r="X1177">
        <v>13</v>
      </c>
      <c r="Y1177" t="s">
        <v>17743</v>
      </c>
      <c r="Z1177" t="s">
        <v>23182</v>
      </c>
      <c r="AA1177">
        <v>0.52848928868157652</v>
      </c>
      <c r="AB1177" t="str">
        <f>HYPERLINK("Melting_Curves/meltCurve_O00186_STXBP3.pdf", "Melting_Curves/meltCurve_O00186_STXBP3.pdf")</f>
        <v>Melting_Curves/meltCurve_O00186_STXBP3.pdf</v>
      </c>
    </row>
    <row r="1178" spans="1:28" x14ac:dyDescent="0.25">
      <c r="A1178" t="s">
        <v>1182</v>
      </c>
      <c r="B1178">
        <v>0.99299721793515405</v>
      </c>
      <c r="C1178">
        <v>1.0080779263874999</v>
      </c>
      <c r="D1178">
        <v>1.3576007749572301</v>
      </c>
      <c r="E1178">
        <v>1.00682586467213</v>
      </c>
      <c r="F1178">
        <v>0.76223757772356004</v>
      </c>
      <c r="G1178">
        <v>0.79110949285307097</v>
      </c>
      <c r="H1178">
        <v>0.67857902684264804</v>
      </c>
      <c r="I1178">
        <v>0.79068566524290496</v>
      </c>
      <c r="J1178">
        <v>1.01672848337959</v>
      </c>
      <c r="K1178">
        <v>0.86287748225623395</v>
      </c>
      <c r="L1178">
        <v>12035.693805073201</v>
      </c>
      <c r="M1178">
        <v>250</v>
      </c>
      <c r="O1178">
        <v>48.139694471755597</v>
      </c>
      <c r="P1178">
        <v>-0.237543287130349</v>
      </c>
      <c r="Q1178">
        <v>0.81703582021922005</v>
      </c>
      <c r="R1178">
        <v>0.43202626978818898</v>
      </c>
      <c r="S1178" t="s">
        <v>6729</v>
      </c>
      <c r="T1178" t="s">
        <v>11100</v>
      </c>
      <c r="U1178" t="s">
        <v>11100</v>
      </c>
      <c r="V1178" t="s">
        <v>11100</v>
      </c>
      <c r="W1178" t="s">
        <v>12247</v>
      </c>
      <c r="X1178">
        <v>10</v>
      </c>
      <c r="Y1178" t="s">
        <v>17744</v>
      </c>
      <c r="Z1178" t="s">
        <v>23183</v>
      </c>
      <c r="AA1178">
        <v>0.88500890311881242</v>
      </c>
      <c r="AB1178" t="str">
        <f>HYPERLINK("Melting_Curves/meltCurve_O00193_SMAP.pdf", "Melting_Curves/meltCurve_O00193_SMAP.pdf")</f>
        <v>Melting_Curves/meltCurve_O00193_SMAP.pdf</v>
      </c>
    </row>
    <row r="1179" spans="1:28" x14ac:dyDescent="0.25">
      <c r="A1179" t="s">
        <v>1183</v>
      </c>
      <c r="B1179">
        <v>0.99299721793515405</v>
      </c>
      <c r="C1179">
        <v>1.0648260009211401</v>
      </c>
      <c r="D1179">
        <v>0.82423791301762095</v>
      </c>
      <c r="E1179">
        <v>0.81394313904987203</v>
      </c>
      <c r="F1179">
        <v>0.69866851135549701</v>
      </c>
      <c r="G1179">
        <v>0.18716103022983199</v>
      </c>
      <c r="H1179">
        <v>0.20525129942255499</v>
      </c>
      <c r="I1179">
        <v>0.23427123471391501</v>
      </c>
      <c r="J1179">
        <v>0.20457219443105401</v>
      </c>
      <c r="K1179">
        <v>4.9179903789232399E-2</v>
      </c>
      <c r="L1179">
        <v>962.55216500751999</v>
      </c>
      <c r="M1179">
        <v>19.1106932192404</v>
      </c>
      <c r="N1179">
        <v>51.142853423834303</v>
      </c>
      <c r="O1179">
        <v>49.825420350250198</v>
      </c>
      <c r="P1179">
        <v>-8.3828016680404002E-2</v>
      </c>
      <c r="Q1179">
        <v>0.12580796106998601</v>
      </c>
      <c r="R1179">
        <v>0.94191634718258099</v>
      </c>
      <c r="S1179" t="s">
        <v>6730</v>
      </c>
      <c r="T1179" t="s">
        <v>11100</v>
      </c>
      <c r="U1179" t="s">
        <v>11100</v>
      </c>
      <c r="V1179" t="s">
        <v>11100</v>
      </c>
      <c r="W1179" t="s">
        <v>12248</v>
      </c>
      <c r="X1179">
        <v>5</v>
      </c>
      <c r="Y1179" t="s">
        <v>17745</v>
      </c>
      <c r="Z1179" t="s">
        <v>23184</v>
      </c>
      <c r="AA1179">
        <v>0.52774454580631669</v>
      </c>
      <c r="AB1179" t="str">
        <f>HYPERLINK("Melting_Curves/meltCurve_O00213_2_APBB1.pdf", "Melting_Curves/meltCurve_O00213_2_APBB1.pdf")</f>
        <v>Melting_Curves/meltCurve_O00213_2_APBB1.pdf</v>
      </c>
    </row>
    <row r="1180" spans="1:28" x14ac:dyDescent="0.25">
      <c r="A1180" t="s">
        <v>1184</v>
      </c>
      <c r="B1180">
        <v>0.99299721793515405</v>
      </c>
      <c r="C1180">
        <v>0.93719668625611197</v>
      </c>
      <c r="D1180">
        <v>0.91886173750321498</v>
      </c>
      <c r="E1180">
        <v>0.86833333782826505</v>
      </c>
      <c r="F1180">
        <v>0.68590445633630004</v>
      </c>
      <c r="G1180">
        <v>0.62874201029989496</v>
      </c>
      <c r="H1180">
        <v>0.51044034833179897</v>
      </c>
      <c r="I1180">
        <v>0.31789293575372701</v>
      </c>
      <c r="J1180">
        <v>0.290471813818863</v>
      </c>
      <c r="K1180">
        <v>0.227445384382188</v>
      </c>
      <c r="L1180">
        <v>444.40721334408499</v>
      </c>
      <c r="M1180">
        <v>7.8513052457319796</v>
      </c>
      <c r="N1180">
        <v>56.602972228584797</v>
      </c>
      <c r="O1180">
        <v>53.283550425336799</v>
      </c>
      <c r="P1180">
        <v>-3.6882061731495497E-2</v>
      </c>
      <c r="Q1180">
        <v>0</v>
      </c>
      <c r="R1180">
        <v>0.98988836523373802</v>
      </c>
      <c r="S1180" t="s">
        <v>6731</v>
      </c>
      <c r="T1180" t="s">
        <v>11100</v>
      </c>
      <c r="U1180" t="s">
        <v>11100</v>
      </c>
      <c r="V1180" t="s">
        <v>11100</v>
      </c>
      <c r="W1180" t="s">
        <v>12249</v>
      </c>
      <c r="X1180">
        <v>12</v>
      </c>
      <c r="Y1180" t="s">
        <v>17746</v>
      </c>
      <c r="Z1180" t="s">
        <v>23185</v>
      </c>
      <c r="AA1180">
        <v>0.64532214246373154</v>
      </c>
      <c r="AB1180" t="str">
        <f>HYPERLINK("Melting_Curves/meltCurve_O00217_NDUFS8.pdf", "Melting_Curves/meltCurve_O00217_NDUFS8.pdf")</f>
        <v>Melting_Curves/meltCurve_O00217_NDUFS8.pdf</v>
      </c>
    </row>
    <row r="1181" spans="1:28" x14ac:dyDescent="0.25">
      <c r="A1181" t="s">
        <v>1185</v>
      </c>
      <c r="B1181">
        <v>0.99299721793515405</v>
      </c>
      <c r="C1181">
        <v>0.87351588178770001</v>
      </c>
      <c r="D1181">
        <v>1.15925149203047</v>
      </c>
      <c r="E1181">
        <v>0.97513703114790395</v>
      </c>
      <c r="F1181">
        <v>0.72285000697234802</v>
      </c>
      <c r="G1181">
        <v>0.48675659302473501</v>
      </c>
      <c r="H1181">
        <v>0.202008089177904</v>
      </c>
      <c r="I1181">
        <v>0.187232574368416</v>
      </c>
      <c r="J1181">
        <v>0.30943153213770702</v>
      </c>
      <c r="K1181">
        <v>0.219188618008827</v>
      </c>
      <c r="L1181">
        <v>1374.25324117934</v>
      </c>
      <c r="M1181">
        <v>26.561833945966502</v>
      </c>
      <c r="N1181">
        <v>52.898681581551401</v>
      </c>
      <c r="O1181">
        <v>51.447304765556602</v>
      </c>
      <c r="P1181">
        <v>-0.100568100784792</v>
      </c>
      <c r="Q1181">
        <v>0.22085153944973601</v>
      </c>
      <c r="R1181">
        <v>0.95104239353122499</v>
      </c>
      <c r="S1181" t="s">
        <v>6732</v>
      </c>
      <c r="T1181" t="s">
        <v>11100</v>
      </c>
      <c r="U1181" t="s">
        <v>11100</v>
      </c>
      <c r="V1181" t="s">
        <v>11100</v>
      </c>
      <c r="W1181" t="s">
        <v>12250</v>
      </c>
      <c r="X1181">
        <v>5</v>
      </c>
      <c r="Y1181" t="s">
        <v>17747</v>
      </c>
      <c r="Z1181" t="s">
        <v>23186</v>
      </c>
      <c r="AA1181">
        <v>0.60979056023597766</v>
      </c>
      <c r="AB1181" t="str">
        <f>HYPERLINK("Melting_Curves/meltCurve_O00221_NFKBIE.pdf", "Melting_Curves/meltCurve_O00221_NFKBIE.pdf")</f>
        <v>Melting_Curves/meltCurve_O00221_NFKBIE.pdf</v>
      </c>
    </row>
    <row r="1182" spans="1:28" x14ac:dyDescent="0.25">
      <c r="A1182" t="s">
        <v>1186</v>
      </c>
      <c r="B1182">
        <v>0.99299721793515405</v>
      </c>
      <c r="C1182">
        <v>0.94967116952082598</v>
      </c>
      <c r="D1182">
        <v>0.87074534013510596</v>
      </c>
      <c r="E1182">
        <v>0.77539516390500696</v>
      </c>
      <c r="F1182">
        <v>0.609464363680429</v>
      </c>
      <c r="G1182">
        <v>0.58395904823394895</v>
      </c>
      <c r="H1182">
        <v>0.492071082952943</v>
      </c>
      <c r="I1182">
        <v>0.19932485624728399</v>
      </c>
      <c r="J1182">
        <v>0.122233232050887</v>
      </c>
      <c r="K1182">
        <v>0.121722580923131</v>
      </c>
      <c r="L1182">
        <v>480.40867886898701</v>
      </c>
      <c r="M1182">
        <v>8.8997925012465497</v>
      </c>
      <c r="N1182">
        <v>53.979768727624403</v>
      </c>
      <c r="O1182">
        <v>51.4630088333899</v>
      </c>
      <c r="P1182">
        <v>-4.32666861067669E-2</v>
      </c>
      <c r="Q1182">
        <v>0</v>
      </c>
      <c r="R1182">
        <v>0.96383611315274698</v>
      </c>
      <c r="S1182" t="s">
        <v>6733</v>
      </c>
      <c r="T1182" t="s">
        <v>11100</v>
      </c>
      <c r="U1182" t="s">
        <v>11100</v>
      </c>
      <c r="V1182" t="s">
        <v>11100</v>
      </c>
      <c r="W1182" t="s">
        <v>12251</v>
      </c>
      <c r="X1182">
        <v>9</v>
      </c>
      <c r="Y1182" t="s">
        <v>17748</v>
      </c>
      <c r="Z1182" t="s">
        <v>23187</v>
      </c>
      <c r="AA1182">
        <v>0.58251229249714598</v>
      </c>
      <c r="AB1182" t="str">
        <f>HYPERLINK("Melting_Curves/meltCurve_O00231_PSMD11.pdf", "Melting_Curves/meltCurve_O00231_PSMD11.pdf")</f>
        <v>Melting_Curves/meltCurve_O00231_PSMD11.pdf</v>
      </c>
    </row>
    <row r="1183" spans="1:28" x14ac:dyDescent="0.25">
      <c r="A1183" t="s">
        <v>1187</v>
      </c>
      <c r="B1183">
        <v>0.99299721793515405</v>
      </c>
      <c r="C1183">
        <v>0.96338132104932095</v>
      </c>
      <c r="D1183">
        <v>0.89926003073206995</v>
      </c>
      <c r="E1183">
        <v>0.85210581550192099</v>
      </c>
      <c r="F1183">
        <v>0.72757205089360499</v>
      </c>
      <c r="G1183">
        <v>0.62619962031820198</v>
      </c>
      <c r="H1183">
        <v>0.55331089887675899</v>
      </c>
      <c r="I1183">
        <v>0.27539744201519001</v>
      </c>
      <c r="J1183">
        <v>0.20400378263854399</v>
      </c>
      <c r="K1183">
        <v>0.18324950425884501</v>
      </c>
      <c r="L1183">
        <v>514.21680051652697</v>
      </c>
      <c r="M1183">
        <v>9.1381503672741893</v>
      </c>
      <c r="N1183">
        <v>56.271427220895603</v>
      </c>
      <c r="O1183">
        <v>53.773165040481999</v>
      </c>
      <c r="P1183">
        <v>-4.25138531268235E-2</v>
      </c>
      <c r="Q1183">
        <v>0</v>
      </c>
      <c r="R1183">
        <v>0.97970356555237603</v>
      </c>
      <c r="S1183" t="s">
        <v>6734</v>
      </c>
      <c r="T1183" t="s">
        <v>11100</v>
      </c>
      <c r="U1183" t="s">
        <v>11100</v>
      </c>
      <c r="V1183" t="s">
        <v>11100</v>
      </c>
      <c r="W1183" t="s">
        <v>12252</v>
      </c>
      <c r="X1183">
        <v>4</v>
      </c>
      <c r="Y1183" t="s">
        <v>17749</v>
      </c>
      <c r="Z1183" t="s">
        <v>23188</v>
      </c>
      <c r="AA1183">
        <v>0.64367713403609295</v>
      </c>
      <c r="AB1183" t="str">
        <f>HYPERLINK("Melting_Curves/meltCurve_O00232_PSMD12.pdf", "Melting_Curves/meltCurve_O00232_PSMD12.pdf")</f>
        <v>Melting_Curves/meltCurve_O00232_PSMD12.pdf</v>
      </c>
    </row>
    <row r="1184" spans="1:28" x14ac:dyDescent="0.25">
      <c r="A1184" t="s">
        <v>1188</v>
      </c>
      <c r="B1184">
        <v>0.99299721793515405</v>
      </c>
      <c r="C1184">
        <v>0.97194620257999398</v>
      </c>
      <c r="D1184">
        <v>0.97529722174585798</v>
      </c>
      <c r="E1184">
        <v>0.98127665778941897</v>
      </c>
      <c r="F1184">
        <v>0.75785810025827205</v>
      </c>
      <c r="G1184">
        <v>0.67121748174701501</v>
      </c>
      <c r="H1184">
        <v>0.52402678635528099</v>
      </c>
      <c r="I1184">
        <v>0.65727713847617997</v>
      </c>
      <c r="J1184">
        <v>0.61698469861709604</v>
      </c>
      <c r="K1184">
        <v>0.62492994727127704</v>
      </c>
      <c r="L1184">
        <v>1841.0296395171799</v>
      </c>
      <c r="M1184">
        <v>37.085130435577</v>
      </c>
      <c r="O1184">
        <v>49.4996509377766</v>
      </c>
      <c r="P1184">
        <v>-7.2507852568974601E-2</v>
      </c>
      <c r="Q1184">
        <v>0.61287954193597804</v>
      </c>
      <c r="R1184">
        <v>0.955660635388767</v>
      </c>
      <c r="S1184" t="s">
        <v>6735</v>
      </c>
      <c r="T1184" t="s">
        <v>11100</v>
      </c>
      <c r="U1184" t="s">
        <v>11100</v>
      </c>
      <c r="V1184" t="s">
        <v>11100</v>
      </c>
      <c r="W1184" t="s">
        <v>12253</v>
      </c>
      <c r="X1184">
        <v>8</v>
      </c>
      <c r="Y1184" t="s">
        <v>17750</v>
      </c>
      <c r="Z1184" t="s">
        <v>23189</v>
      </c>
      <c r="AA1184">
        <v>0.77757523300430664</v>
      </c>
      <c r="AB1184" t="str">
        <f>HYPERLINK("Melting_Curves/meltCurve_O00244_ATOX1.pdf", "Melting_Curves/meltCurve_O00244_ATOX1.pdf")</f>
        <v>Melting_Curves/meltCurve_O00244_ATOX1.pdf</v>
      </c>
    </row>
    <row r="1185" spans="1:28" x14ac:dyDescent="0.25">
      <c r="A1185" t="s">
        <v>1189</v>
      </c>
      <c r="B1185">
        <v>0.99299721793515405</v>
      </c>
      <c r="C1185">
        <v>0.97845251092275798</v>
      </c>
      <c r="D1185">
        <v>0.90318746659011395</v>
      </c>
      <c r="E1185">
        <v>0.88492543999790796</v>
      </c>
      <c r="F1185">
        <v>0.758079985843501</v>
      </c>
      <c r="G1185">
        <v>0.65080436489133497</v>
      </c>
      <c r="H1185">
        <v>0.53986487998407695</v>
      </c>
      <c r="I1185">
        <v>0.54140693104570303</v>
      </c>
      <c r="J1185">
        <v>0.68505866457306896</v>
      </c>
      <c r="K1185">
        <v>0.58105345297423805</v>
      </c>
      <c r="L1185">
        <v>794.81808138007898</v>
      </c>
      <c r="M1185">
        <v>16.328325337877502</v>
      </c>
      <c r="O1185">
        <v>47.9647048307272</v>
      </c>
      <c r="P1185">
        <v>-3.6026907191470899E-2</v>
      </c>
      <c r="Q1185">
        <v>0.576712294411731</v>
      </c>
      <c r="R1185">
        <v>0.92482002950953701</v>
      </c>
      <c r="S1185" t="s">
        <v>6736</v>
      </c>
      <c r="T1185" t="s">
        <v>11100</v>
      </c>
      <c r="U1185" t="s">
        <v>11100</v>
      </c>
      <c r="V1185" t="s">
        <v>11100</v>
      </c>
      <c r="W1185" t="s">
        <v>12254</v>
      </c>
      <c r="X1185">
        <v>15</v>
      </c>
      <c r="Y1185" t="s">
        <v>17751</v>
      </c>
      <c r="Z1185" t="s">
        <v>23190</v>
      </c>
      <c r="AA1185">
        <v>0.74945518973009484</v>
      </c>
      <c r="AB1185" t="str">
        <f>HYPERLINK("Melting_Curves/meltCurve_O00264_PGRMC1.pdf", "Melting_Curves/meltCurve_O00264_PGRMC1.pdf")</f>
        <v>Melting_Curves/meltCurve_O00264_PGRMC1.pdf</v>
      </c>
    </row>
    <row r="1186" spans="1:28" x14ac:dyDescent="0.25">
      <c r="A1186" t="s">
        <v>1190</v>
      </c>
      <c r="B1186">
        <v>0.99299721793515405</v>
      </c>
      <c r="C1186">
        <v>1.0064562127915</v>
      </c>
      <c r="D1186">
        <v>1.00401108958645</v>
      </c>
      <c r="E1186">
        <v>0.91321008351724298</v>
      </c>
      <c r="F1186">
        <v>0.77875187160349102</v>
      </c>
      <c r="G1186">
        <v>0.51377139819314599</v>
      </c>
      <c r="H1186">
        <v>0.24806502433106101</v>
      </c>
      <c r="I1186">
        <v>0.23211034047764301</v>
      </c>
      <c r="J1186">
        <v>0.20948850167067601</v>
      </c>
      <c r="K1186">
        <v>0.168479749641711</v>
      </c>
      <c r="L1186">
        <v>1088.91036976284</v>
      </c>
      <c r="M1186">
        <v>20.705329653541899</v>
      </c>
      <c r="N1186">
        <v>53.665011194648997</v>
      </c>
      <c r="O1186">
        <v>52.107636715362403</v>
      </c>
      <c r="P1186">
        <v>-8.2488905942892696E-2</v>
      </c>
      <c r="Q1186">
        <v>0.169647674473376</v>
      </c>
      <c r="R1186">
        <v>0.99601965766533396</v>
      </c>
      <c r="S1186" t="s">
        <v>6737</v>
      </c>
      <c r="T1186" t="s">
        <v>11100</v>
      </c>
      <c r="U1186" t="s">
        <v>11100</v>
      </c>
      <c r="V1186" t="s">
        <v>11100</v>
      </c>
      <c r="W1186" t="s">
        <v>12255</v>
      </c>
      <c r="X1186">
        <v>26</v>
      </c>
      <c r="Y1186" t="s">
        <v>17752</v>
      </c>
      <c r="Z1186" t="s">
        <v>23191</v>
      </c>
      <c r="AA1186">
        <v>0.61121787542215411</v>
      </c>
      <c r="AB1186" t="str">
        <f>HYPERLINK("Melting_Curves/meltCurve_O00267_2_SUPT5H.pdf", "Melting_Curves/meltCurve_O00267_2_SUPT5H.pdf")</f>
        <v>Melting_Curves/meltCurve_O00267_2_SUPT5H.pdf</v>
      </c>
    </row>
    <row r="1187" spans="1:28" x14ac:dyDescent="0.25">
      <c r="A1187" t="s">
        <v>1191</v>
      </c>
      <c r="B1187">
        <v>0.99299721793515405</v>
      </c>
      <c r="C1187">
        <v>0.98278442086242102</v>
      </c>
      <c r="D1187">
        <v>1.01277607566439</v>
      </c>
      <c r="E1187">
        <v>0.86748703972975605</v>
      </c>
      <c r="F1187">
        <v>0.79748312598159599</v>
      </c>
      <c r="G1187">
        <v>0.57468188405579901</v>
      </c>
      <c r="H1187">
        <v>0.61336529224255198</v>
      </c>
      <c r="I1187">
        <v>0.71743738552865199</v>
      </c>
      <c r="J1187">
        <v>0.78123220154621598</v>
      </c>
      <c r="K1187">
        <v>0.71349859126861104</v>
      </c>
      <c r="L1187">
        <v>1439.9164655781501</v>
      </c>
      <c r="M1187">
        <v>30.276368387927601</v>
      </c>
      <c r="O1187">
        <v>47.353052004518702</v>
      </c>
      <c r="P1187">
        <v>-5.0077261057373201E-2</v>
      </c>
      <c r="Q1187">
        <v>0.68671324960997304</v>
      </c>
      <c r="R1187">
        <v>0.83822784028761899</v>
      </c>
      <c r="S1187" t="s">
        <v>6738</v>
      </c>
      <c r="T1187" t="s">
        <v>11100</v>
      </c>
      <c r="U1187" t="s">
        <v>11100</v>
      </c>
      <c r="V1187" t="s">
        <v>11100</v>
      </c>
      <c r="W1187" t="s">
        <v>12256</v>
      </c>
      <c r="X1187">
        <v>25</v>
      </c>
      <c r="Y1187" t="s">
        <v>17753</v>
      </c>
      <c r="Z1187" t="s">
        <v>23192</v>
      </c>
      <c r="AA1187">
        <v>0.79878713662490597</v>
      </c>
      <c r="AB1187" t="str">
        <f>HYPERLINK("Melting_Curves/meltCurve_O00273_DFFA.pdf", "Melting_Curves/meltCurve_O00273_DFFA.pdf")</f>
        <v>Melting_Curves/meltCurve_O00273_DFFA.pdf</v>
      </c>
    </row>
    <row r="1188" spans="1:28" x14ac:dyDescent="0.25">
      <c r="A1188" t="s">
        <v>1192</v>
      </c>
      <c r="B1188">
        <v>0.99299721793515405</v>
      </c>
      <c r="C1188">
        <v>0.90145983899780102</v>
      </c>
      <c r="D1188">
        <v>0.87747212127039298</v>
      </c>
      <c r="E1188">
        <v>1.02036882569065</v>
      </c>
      <c r="F1188">
        <v>0.82116572073209704</v>
      </c>
      <c r="G1188">
        <v>0.50878684379268502</v>
      </c>
      <c r="H1188">
        <v>0.38164697463098701</v>
      </c>
      <c r="I1188">
        <v>0.44956227229214402</v>
      </c>
      <c r="J1188">
        <v>0.483399984278641</v>
      </c>
      <c r="K1188">
        <v>0.39466668463938398</v>
      </c>
      <c r="L1188">
        <v>2140.7185282995201</v>
      </c>
      <c r="M1188">
        <v>41.807364781314902</v>
      </c>
      <c r="N1188">
        <v>53.698676013235101</v>
      </c>
      <c r="O1188">
        <v>51.087603162819498</v>
      </c>
      <c r="P1188">
        <v>-0.116964438231801</v>
      </c>
      <c r="Q1188">
        <v>0.42828997191036999</v>
      </c>
      <c r="R1188">
        <v>0.94589689430040202</v>
      </c>
      <c r="S1188" t="s">
        <v>6739</v>
      </c>
      <c r="T1188" t="s">
        <v>11100</v>
      </c>
      <c r="U1188" t="s">
        <v>11100</v>
      </c>
      <c r="V1188" t="s">
        <v>11100</v>
      </c>
      <c r="W1188" t="s">
        <v>12257</v>
      </c>
      <c r="X1188">
        <v>20</v>
      </c>
      <c r="Y1188" t="s">
        <v>17753</v>
      </c>
      <c r="Z1188" t="s">
        <v>23193</v>
      </c>
      <c r="AA1188">
        <v>0.70083132852701679</v>
      </c>
      <c r="AB1188" t="str">
        <f>HYPERLINK("Melting_Curves/meltCurve_O00273_2_DFFA.pdf", "Melting_Curves/meltCurve_O00273_2_DFFA.pdf")</f>
        <v>Melting_Curves/meltCurve_O00273_2_DFFA.pdf</v>
      </c>
    </row>
    <row r="1189" spans="1:28" x14ac:dyDescent="0.25">
      <c r="A1189" t="s">
        <v>1193</v>
      </c>
      <c r="B1189">
        <v>0.99299721793515405</v>
      </c>
      <c r="C1189">
        <v>0.86791956424765904</v>
      </c>
      <c r="D1189">
        <v>0.86262152172499795</v>
      </c>
      <c r="E1189">
        <v>0.81341995554383695</v>
      </c>
      <c r="F1189">
        <v>0.49669343443321701</v>
      </c>
      <c r="G1189">
        <v>0.34515697841023202</v>
      </c>
      <c r="H1189">
        <v>0.639377420243744</v>
      </c>
      <c r="I1189">
        <v>0.90789364586435695</v>
      </c>
      <c r="J1189">
        <v>1.0845465144279101</v>
      </c>
      <c r="K1189">
        <v>0.84933356614830402</v>
      </c>
      <c r="L1189">
        <v>929.55301958521602</v>
      </c>
      <c r="M1189">
        <v>22.586296311384</v>
      </c>
      <c r="O1189">
        <v>40.837078001011697</v>
      </c>
      <c r="P1189">
        <v>-3.6736053655347101E-2</v>
      </c>
      <c r="Q1189">
        <v>0.73432336985518498</v>
      </c>
      <c r="R1189">
        <v>0.14815060505727901</v>
      </c>
      <c r="S1189" t="s">
        <v>6740</v>
      </c>
      <c r="T1189" t="s">
        <v>11100</v>
      </c>
      <c r="U1189" t="s">
        <v>11100</v>
      </c>
      <c r="V1189" t="s">
        <v>11100</v>
      </c>
      <c r="W1189" t="s">
        <v>12258</v>
      </c>
      <c r="X1189">
        <v>3</v>
      </c>
      <c r="Y1189" t="s">
        <v>17754</v>
      </c>
      <c r="Z1189" t="s">
        <v>23194</v>
      </c>
      <c r="AA1189">
        <v>0.7744562309013957</v>
      </c>
      <c r="AB1189" t="str">
        <f>HYPERLINK("Melting_Curves/meltCurve_O00287_RFXAP.pdf", "Melting_Curves/meltCurve_O00287_RFXAP.pdf")</f>
        <v>Melting_Curves/meltCurve_O00287_RFXAP.pdf</v>
      </c>
    </row>
    <row r="1190" spans="1:28" x14ac:dyDescent="0.25">
      <c r="A1190" t="s">
        <v>1194</v>
      </c>
      <c r="B1190">
        <v>0.99299721793515405</v>
      </c>
      <c r="C1190">
        <v>0.96693045731063298</v>
      </c>
      <c r="D1190">
        <v>0.90079083344787103</v>
      </c>
      <c r="E1190">
        <v>0.86066253637705603</v>
      </c>
      <c r="F1190">
        <v>0.70296924060660904</v>
      </c>
      <c r="G1190">
        <v>0.458847108908079</v>
      </c>
      <c r="H1190">
        <v>0.217706361028071</v>
      </c>
      <c r="I1190">
        <v>0.15682591114352501</v>
      </c>
      <c r="J1190">
        <v>0.13167598927840701</v>
      </c>
      <c r="K1190">
        <v>0.11837804537497899</v>
      </c>
      <c r="L1190">
        <v>771.92819705455202</v>
      </c>
      <c r="M1190">
        <v>14.7471942807424</v>
      </c>
      <c r="N1190">
        <v>52.830135279792998</v>
      </c>
      <c r="O1190">
        <v>51.409857707060198</v>
      </c>
      <c r="P1190">
        <v>-6.7171619049946299E-2</v>
      </c>
      <c r="Q1190">
        <v>6.34396524926438E-2</v>
      </c>
      <c r="R1190">
        <v>0.99320155976662705</v>
      </c>
      <c r="S1190" t="s">
        <v>6741</v>
      </c>
      <c r="T1190" t="s">
        <v>11100</v>
      </c>
      <c r="U1190" t="s">
        <v>11100</v>
      </c>
      <c r="V1190" t="s">
        <v>11100</v>
      </c>
      <c r="W1190" t="s">
        <v>12259</v>
      </c>
      <c r="X1190">
        <v>22</v>
      </c>
      <c r="Y1190" t="s">
        <v>17755</v>
      </c>
      <c r="Z1190" t="s">
        <v>23195</v>
      </c>
      <c r="AA1190">
        <v>0.5603258007526013</v>
      </c>
      <c r="AB1190" t="str">
        <f>HYPERLINK("Melting_Curves/meltCurve_O00291_HIP1.pdf", "Melting_Curves/meltCurve_O00291_HIP1.pdf")</f>
        <v>Melting_Curves/meltCurve_O00291_HIP1.pdf</v>
      </c>
    </row>
    <row r="1191" spans="1:28" x14ac:dyDescent="0.25">
      <c r="A1191" t="s">
        <v>1195</v>
      </c>
      <c r="B1191">
        <v>0.99299721793515405</v>
      </c>
      <c r="C1191">
        <v>1.0369800015507</v>
      </c>
      <c r="D1191">
        <v>0.90509063072021101</v>
      </c>
      <c r="E1191">
        <v>0.90622890759971497</v>
      </c>
      <c r="F1191">
        <v>0.757528248668773</v>
      </c>
      <c r="G1191">
        <v>0.48577274834654999</v>
      </c>
      <c r="H1191">
        <v>0.22595815352071399</v>
      </c>
      <c r="I1191">
        <v>0.100283280725836</v>
      </c>
      <c r="J1191">
        <v>6.4183573151079004E-2</v>
      </c>
      <c r="K1191">
        <v>5.7430621151590498E-2</v>
      </c>
      <c r="L1191">
        <v>891.23146491002205</v>
      </c>
      <c r="M1191">
        <v>16.694600548522502</v>
      </c>
      <c r="N1191">
        <v>53.426955660301502</v>
      </c>
      <c r="O1191">
        <v>52.636069976608702</v>
      </c>
      <c r="P1191">
        <v>-7.8774251256066796E-2</v>
      </c>
      <c r="Q1191">
        <v>6.6026499705638996E-3</v>
      </c>
      <c r="R1191">
        <v>0.99398461999060805</v>
      </c>
      <c r="S1191" t="s">
        <v>6742</v>
      </c>
      <c r="T1191" t="s">
        <v>11100</v>
      </c>
      <c r="U1191" t="s">
        <v>11100</v>
      </c>
      <c r="V1191" t="s">
        <v>11100</v>
      </c>
      <c r="W1191" t="s">
        <v>12260</v>
      </c>
      <c r="X1191">
        <v>25</v>
      </c>
      <c r="Y1191" t="s">
        <v>17756</v>
      </c>
      <c r="Z1191" t="s">
        <v>23196</v>
      </c>
      <c r="AA1191">
        <v>0.56458423931336477</v>
      </c>
      <c r="AB1191" t="str">
        <f>HYPERLINK("Melting_Curves/meltCurve_O00299_CLIC1.pdf", "Melting_Curves/meltCurve_O00299_CLIC1.pdf")</f>
        <v>Melting_Curves/meltCurve_O00299_CLIC1.pdf</v>
      </c>
    </row>
    <row r="1192" spans="1:28" x14ac:dyDescent="0.25">
      <c r="A1192" t="s">
        <v>1196</v>
      </c>
      <c r="B1192">
        <v>0.99299721793515405</v>
      </c>
      <c r="C1192">
        <v>0.880893306728467</v>
      </c>
      <c r="D1192">
        <v>0.86543533300325004</v>
      </c>
      <c r="E1192">
        <v>0.79228691225037196</v>
      </c>
      <c r="F1192">
        <v>0.69660354291750803</v>
      </c>
      <c r="G1192">
        <v>0.54727038957862295</v>
      </c>
      <c r="H1192">
        <v>0.55173384046631102</v>
      </c>
      <c r="I1192">
        <v>0.45464185170365101</v>
      </c>
      <c r="J1192">
        <v>0.26185723890219398</v>
      </c>
      <c r="K1192">
        <v>0.201426372357697</v>
      </c>
      <c r="L1192">
        <v>363.42668443270497</v>
      </c>
      <c r="M1192">
        <v>6.4352631094298101</v>
      </c>
      <c r="N1192">
        <v>56.474257303643697</v>
      </c>
      <c r="O1192">
        <v>51.761529815245098</v>
      </c>
      <c r="P1192">
        <v>-3.1159573545049599E-2</v>
      </c>
      <c r="Q1192">
        <v>0</v>
      </c>
      <c r="R1192">
        <v>0.96341216042822198</v>
      </c>
      <c r="S1192" t="s">
        <v>6743</v>
      </c>
      <c r="T1192" t="s">
        <v>11100</v>
      </c>
      <c r="U1192" t="s">
        <v>11100</v>
      </c>
      <c r="V1192" t="s">
        <v>11100</v>
      </c>
      <c r="W1192" t="s">
        <v>12261</v>
      </c>
      <c r="X1192">
        <v>12</v>
      </c>
      <c r="Y1192" t="s">
        <v>17757</v>
      </c>
      <c r="Z1192" t="s">
        <v>23197</v>
      </c>
      <c r="AA1192">
        <v>0.63132415721149149</v>
      </c>
      <c r="AB1192" t="str">
        <f>HYPERLINK("Melting_Curves/meltCurve_O00330_PDHX.pdf", "Melting_Curves/meltCurve_O00330_PDHX.pdf")</f>
        <v>Melting_Curves/meltCurve_O00330_PDHX.pdf</v>
      </c>
    </row>
    <row r="1193" spans="1:28" x14ac:dyDescent="0.25">
      <c r="A1193" t="s">
        <v>1197</v>
      </c>
      <c r="B1193">
        <v>0.99299721793515405</v>
      </c>
      <c r="C1193">
        <v>0.83859847152746203</v>
      </c>
      <c r="D1193">
        <v>0.880413849754214</v>
      </c>
      <c r="E1193">
        <v>0.77288001320894095</v>
      </c>
      <c r="F1193">
        <v>0.77572596704209096</v>
      </c>
      <c r="G1193">
        <v>0.57344677370802899</v>
      </c>
      <c r="H1193">
        <v>0.52060531595262605</v>
      </c>
      <c r="I1193">
        <v>0.53516459021586305</v>
      </c>
      <c r="J1193">
        <v>0.62364035284886998</v>
      </c>
      <c r="K1193">
        <v>0.648376795977745</v>
      </c>
      <c r="L1193">
        <v>472.76895728130103</v>
      </c>
      <c r="M1193">
        <v>10.292470676901999</v>
      </c>
      <c r="O1193">
        <v>44.300876745156501</v>
      </c>
      <c r="P1193">
        <v>-2.5758790438239001E-2</v>
      </c>
      <c r="Q1193">
        <v>0.55670889588985095</v>
      </c>
      <c r="R1193">
        <v>0.832406663282375</v>
      </c>
      <c r="S1193" t="s">
        <v>6744</v>
      </c>
      <c r="T1193" t="s">
        <v>11100</v>
      </c>
      <c r="U1193" t="s">
        <v>11100</v>
      </c>
      <c r="V1193" t="s">
        <v>11100</v>
      </c>
      <c r="W1193" t="s">
        <v>12262</v>
      </c>
      <c r="X1193">
        <v>4</v>
      </c>
      <c r="Y1193" t="s">
        <v>17758</v>
      </c>
      <c r="Z1193" t="s">
        <v>23198</v>
      </c>
      <c r="AA1193">
        <v>0.70841758167396518</v>
      </c>
      <c r="AB1193" t="str">
        <f>HYPERLINK("Melting_Curves/meltCurve_O00399_DCTN6.pdf", "Melting_Curves/meltCurve_O00399_DCTN6.pdf")</f>
        <v>Melting_Curves/meltCurve_O00399_DCTN6.pdf</v>
      </c>
    </row>
    <row r="1194" spans="1:28" x14ac:dyDescent="0.25">
      <c r="A1194" t="s">
        <v>1198</v>
      </c>
      <c r="B1194">
        <v>0.99299721793515405</v>
      </c>
      <c r="C1194">
        <v>0.92077074281682503</v>
      </c>
      <c r="D1194">
        <v>1.00015481140706</v>
      </c>
      <c r="E1194">
        <v>0.78820688430915897</v>
      </c>
      <c r="F1194">
        <v>0.68149497530078695</v>
      </c>
      <c r="G1194">
        <v>0.56761885112337596</v>
      </c>
      <c r="H1194">
        <v>0.56772847220243206</v>
      </c>
      <c r="I1194">
        <v>0.64596622554762395</v>
      </c>
      <c r="J1194">
        <v>0.59111011929967305</v>
      </c>
      <c r="K1194">
        <v>0.29691326155582998</v>
      </c>
      <c r="L1194">
        <v>475.59253237276999</v>
      </c>
      <c r="M1194">
        <v>9.4469652652258205</v>
      </c>
      <c r="N1194">
        <v>62.5653884866271</v>
      </c>
      <c r="O1194">
        <v>48.242277546184098</v>
      </c>
      <c r="P1194">
        <v>-2.8361486587298399E-2</v>
      </c>
      <c r="Q1194">
        <v>0.42102190470969297</v>
      </c>
      <c r="R1194">
        <v>0.83323297622512305</v>
      </c>
      <c r="S1194" t="s">
        <v>6745</v>
      </c>
      <c r="T1194" t="s">
        <v>11100</v>
      </c>
      <c r="U1194" t="s">
        <v>11100</v>
      </c>
      <c r="V1194" t="s">
        <v>11100</v>
      </c>
      <c r="W1194" t="s">
        <v>12263</v>
      </c>
      <c r="X1194">
        <v>5</v>
      </c>
      <c r="Y1194" t="s">
        <v>17759</v>
      </c>
      <c r="Z1194" t="s">
        <v>23199</v>
      </c>
      <c r="AA1194">
        <v>0.69845549527328488</v>
      </c>
      <c r="AB1194" t="str">
        <f>HYPERLINK("Melting_Curves/meltCurve_O00400_SLC33A1.pdf", "Melting_Curves/meltCurve_O00400_SLC33A1.pdf")</f>
        <v>Melting_Curves/meltCurve_O00400_SLC33A1.pdf</v>
      </c>
    </row>
    <row r="1195" spans="1:28" x14ac:dyDescent="0.25">
      <c r="A1195" t="s">
        <v>1199</v>
      </c>
      <c r="B1195">
        <v>0.99299721793515405</v>
      </c>
      <c r="C1195">
        <v>0.90822955266911598</v>
      </c>
      <c r="D1195">
        <v>0.94848257287887305</v>
      </c>
      <c r="E1195">
        <v>0.77797708675070698</v>
      </c>
      <c r="F1195">
        <v>0.733152542259766</v>
      </c>
      <c r="G1195">
        <v>0.468670228921374</v>
      </c>
      <c r="H1195">
        <v>0.22956566798787101</v>
      </c>
      <c r="I1195">
        <v>0.16325501037984699</v>
      </c>
      <c r="J1195">
        <v>0.14252199873500501</v>
      </c>
      <c r="K1195">
        <v>0.12983956951033901</v>
      </c>
      <c r="L1195">
        <v>660.87682807068097</v>
      </c>
      <c r="M1195">
        <v>12.5705855854945</v>
      </c>
      <c r="N1195">
        <v>52.931999289961098</v>
      </c>
      <c r="O1195">
        <v>51.296020539544699</v>
      </c>
      <c r="P1195">
        <v>-5.87751670382754E-2</v>
      </c>
      <c r="Q1195">
        <v>4.0832168639451299E-2</v>
      </c>
      <c r="R1195">
        <v>0.98283668729615903</v>
      </c>
      <c r="S1195" t="s">
        <v>6746</v>
      </c>
      <c r="T1195" t="s">
        <v>11100</v>
      </c>
      <c r="U1195" t="s">
        <v>11100</v>
      </c>
      <c r="V1195" t="s">
        <v>11100</v>
      </c>
      <c r="W1195" t="s">
        <v>12264</v>
      </c>
      <c r="X1195">
        <v>12</v>
      </c>
      <c r="Y1195" t="s">
        <v>17760</v>
      </c>
      <c r="Z1195" t="s">
        <v>23200</v>
      </c>
      <c r="AA1195">
        <v>0.55944055135333848</v>
      </c>
      <c r="AB1195" t="str">
        <f>HYPERLINK("Melting_Curves/meltCurve_O00401_WASL.pdf", "Melting_Curves/meltCurve_O00401_WASL.pdf")</f>
        <v>Melting_Curves/meltCurve_O00401_WASL.pdf</v>
      </c>
    </row>
    <row r="1196" spans="1:28" x14ac:dyDescent="0.25">
      <c r="A1196" t="s">
        <v>1200</v>
      </c>
      <c r="B1196">
        <v>0.99299721793515405</v>
      </c>
      <c r="C1196">
        <v>1.02293984389663</v>
      </c>
      <c r="D1196">
        <v>0.93815840013823404</v>
      </c>
      <c r="E1196">
        <v>0.88472090175687701</v>
      </c>
      <c r="F1196">
        <v>0.73429949065361499</v>
      </c>
      <c r="G1196">
        <v>0.736271393909123</v>
      </c>
      <c r="H1196">
        <v>0.59618620927866195</v>
      </c>
      <c r="I1196">
        <v>0.257114568711518</v>
      </c>
      <c r="J1196">
        <v>0.123752254027808</v>
      </c>
      <c r="K1196">
        <v>9.8579826613982804E-2</v>
      </c>
      <c r="L1196">
        <v>727.18292335472597</v>
      </c>
      <c r="M1196">
        <v>12.7635944049789</v>
      </c>
      <c r="N1196">
        <v>56.973208532252002</v>
      </c>
      <c r="O1196">
        <v>55.629007025019497</v>
      </c>
      <c r="P1196">
        <v>-5.7371236672274201E-2</v>
      </c>
      <c r="Q1196">
        <v>0</v>
      </c>
      <c r="R1196">
        <v>0.96073213777372901</v>
      </c>
      <c r="S1196" t="s">
        <v>6747</v>
      </c>
      <c r="T1196" t="s">
        <v>11100</v>
      </c>
      <c r="U1196" t="s">
        <v>11100</v>
      </c>
      <c r="V1196" t="s">
        <v>11100</v>
      </c>
      <c r="W1196" t="s">
        <v>12265</v>
      </c>
      <c r="X1196">
        <v>38</v>
      </c>
      <c r="Y1196" t="s">
        <v>17761</v>
      </c>
      <c r="Z1196" t="s">
        <v>23201</v>
      </c>
      <c r="AA1196">
        <v>0.67186374010641103</v>
      </c>
      <c r="AB1196" t="str">
        <f>HYPERLINK("Melting_Curves/meltCurve_O00410_IPO5.pdf", "Melting_Curves/meltCurve_O00410_IPO5.pdf")</f>
        <v>Melting_Curves/meltCurve_O00410_IPO5.pdf</v>
      </c>
    </row>
    <row r="1197" spans="1:28" x14ac:dyDescent="0.25">
      <c r="A1197" t="s">
        <v>1201</v>
      </c>
      <c r="B1197">
        <v>0.99299721793515405</v>
      </c>
      <c r="C1197">
        <v>1.0100008589827401</v>
      </c>
      <c r="D1197">
        <v>0.905583722210199</v>
      </c>
      <c r="E1197">
        <v>0.89153788009319901</v>
      </c>
      <c r="F1197">
        <v>0.54702354932469399</v>
      </c>
      <c r="G1197">
        <v>0.37074327528975398</v>
      </c>
      <c r="H1197">
        <v>0.32049315443327497</v>
      </c>
      <c r="I1197">
        <v>0.29759492881119598</v>
      </c>
      <c r="J1197">
        <v>0.273911396359099</v>
      </c>
      <c r="K1197">
        <v>0.24668764486776701</v>
      </c>
      <c r="L1197">
        <v>1134.9528815011299</v>
      </c>
      <c r="M1197">
        <v>22.983855377991802</v>
      </c>
      <c r="N1197">
        <v>51.132627925135203</v>
      </c>
      <c r="O1197">
        <v>49.0111784069192</v>
      </c>
      <c r="P1197">
        <v>-8.5288369087116095E-2</v>
      </c>
      <c r="Q1197">
        <v>0.27253195865262297</v>
      </c>
      <c r="R1197">
        <v>0.99091300126528703</v>
      </c>
      <c r="S1197" t="s">
        <v>6748</v>
      </c>
      <c r="T1197" t="s">
        <v>11100</v>
      </c>
      <c r="U1197" t="s">
        <v>11100</v>
      </c>
      <c r="V1197" t="s">
        <v>11100</v>
      </c>
      <c r="W1197" t="s">
        <v>12266</v>
      </c>
      <c r="X1197">
        <v>4</v>
      </c>
      <c r="Y1197" t="s">
        <v>17762</v>
      </c>
      <c r="Z1197" t="s">
        <v>23202</v>
      </c>
      <c r="AA1197">
        <v>0.58016195479266497</v>
      </c>
      <c r="AB1197" t="str">
        <f>HYPERLINK("Melting_Curves/meltCurve_O00418_EEF2K.pdf", "Melting_Curves/meltCurve_O00418_EEF2K.pdf")</f>
        <v>Melting_Curves/meltCurve_O00418_EEF2K.pdf</v>
      </c>
    </row>
    <row r="1198" spans="1:28" x14ac:dyDescent="0.25">
      <c r="A1198" t="s">
        <v>1202</v>
      </c>
      <c r="B1198">
        <v>0.99299721793515405</v>
      </c>
      <c r="C1198">
        <v>1.0873318230889799</v>
      </c>
      <c r="D1198">
        <v>1.0415994942672699</v>
      </c>
      <c r="E1198">
        <v>0.85532339239016297</v>
      </c>
      <c r="F1198">
        <v>0.68436235909488397</v>
      </c>
      <c r="G1198">
        <v>0.36076661448307601</v>
      </c>
      <c r="H1198">
        <v>0.11163102320509199</v>
      </c>
      <c r="I1198">
        <v>0.29353169358465497</v>
      </c>
      <c r="J1198">
        <v>0.108066820055258</v>
      </c>
      <c r="K1198">
        <v>0.28941141989505598</v>
      </c>
      <c r="L1198">
        <v>1314.3708682413001</v>
      </c>
      <c r="M1198">
        <v>25.8970440398816</v>
      </c>
      <c r="N1198">
        <v>51.731047438868401</v>
      </c>
      <c r="O1198">
        <v>50.453967124101602</v>
      </c>
      <c r="P1198">
        <v>-0.103496228328263</v>
      </c>
      <c r="Q1198">
        <v>0.19346250453160199</v>
      </c>
      <c r="R1198">
        <v>0.95963181518949103</v>
      </c>
      <c r="S1198" t="s">
        <v>6749</v>
      </c>
      <c r="T1198" t="s">
        <v>11100</v>
      </c>
      <c r="U1198" t="s">
        <v>11100</v>
      </c>
      <c r="V1198" t="s">
        <v>11100</v>
      </c>
      <c r="W1198" t="s">
        <v>12267</v>
      </c>
      <c r="X1198">
        <v>1</v>
      </c>
      <c r="Y1198" t="s">
        <v>17763</v>
      </c>
      <c r="Z1198" t="s">
        <v>23203</v>
      </c>
      <c r="AA1198">
        <v>0.56987230564588975</v>
      </c>
      <c r="AB1198" t="str">
        <f>HYPERLINK("Melting_Curves/meltCurve_O00425_IGF2BP3.pdf", "Melting_Curves/meltCurve_O00425_IGF2BP3.pdf")</f>
        <v>Melting_Curves/meltCurve_O00425_IGF2BP3.pdf</v>
      </c>
    </row>
    <row r="1199" spans="1:28" x14ac:dyDescent="0.25">
      <c r="A1199" t="s">
        <v>1203</v>
      </c>
      <c r="B1199">
        <v>0.99299721793515405</v>
      </c>
      <c r="C1199">
        <v>1.05215861101533</v>
      </c>
      <c r="D1199">
        <v>0.99677173901135496</v>
      </c>
      <c r="E1199">
        <v>0.89413545402709604</v>
      </c>
      <c r="F1199">
        <v>0.69088401267768196</v>
      </c>
      <c r="G1199">
        <v>0.44969793948460202</v>
      </c>
      <c r="H1199">
        <v>7.7743005726298497E-2</v>
      </c>
      <c r="I1199">
        <v>6.5026864714140195E-2</v>
      </c>
      <c r="J1199">
        <v>5.9613282255253398E-2</v>
      </c>
      <c r="K1199">
        <v>3.66910168470371E-2</v>
      </c>
      <c r="L1199">
        <v>1040.49679574314</v>
      </c>
      <c r="M1199">
        <v>19.844652417278901</v>
      </c>
      <c r="N1199">
        <v>52.482710727761898</v>
      </c>
      <c r="O1199">
        <v>51.908381002839199</v>
      </c>
      <c r="P1199">
        <v>-9.4672779629930107E-2</v>
      </c>
      <c r="Q1199">
        <v>9.4770832280267892E-3</v>
      </c>
      <c r="R1199">
        <v>0.99064266099423204</v>
      </c>
      <c r="S1199" t="s">
        <v>6750</v>
      </c>
      <c r="T1199" t="s">
        <v>11100</v>
      </c>
      <c r="U1199" t="s">
        <v>11100</v>
      </c>
      <c r="V1199" t="s">
        <v>11100</v>
      </c>
      <c r="W1199" t="s">
        <v>12268</v>
      </c>
      <c r="X1199">
        <v>37</v>
      </c>
      <c r="Y1199" t="s">
        <v>17764</v>
      </c>
      <c r="Z1199" t="s">
        <v>23204</v>
      </c>
      <c r="AA1199">
        <v>0.53183074057420576</v>
      </c>
      <c r="AB1199" t="str">
        <f>HYPERLINK("Melting_Curves/meltCurve_O00429_3_DNM1L.pdf", "Melting_Curves/meltCurve_O00429_3_DNM1L.pdf")</f>
        <v>Melting_Curves/meltCurve_O00429_3_DNM1L.pdf</v>
      </c>
    </row>
    <row r="1200" spans="1:28" x14ac:dyDescent="0.25">
      <c r="A1200" t="s">
        <v>1204</v>
      </c>
      <c r="B1200">
        <v>0.99299721793515405</v>
      </c>
      <c r="C1200">
        <v>1.0514710198847399</v>
      </c>
      <c r="D1200">
        <v>1.0178258999434799</v>
      </c>
      <c r="E1200">
        <v>0.91796171130027404</v>
      </c>
      <c r="F1200">
        <v>0.82751676435380495</v>
      </c>
      <c r="G1200">
        <v>0.62581571144105397</v>
      </c>
      <c r="H1200">
        <v>0.20704732911347701</v>
      </c>
      <c r="I1200">
        <v>0.193103370869073</v>
      </c>
      <c r="J1200">
        <v>0.162111642222311</v>
      </c>
      <c r="K1200">
        <v>0.13639836229879901</v>
      </c>
      <c r="L1200">
        <v>1274.8591932663301</v>
      </c>
      <c r="M1200">
        <v>23.707897348403002</v>
      </c>
      <c r="N1200">
        <v>54.435777261980398</v>
      </c>
      <c r="O1200">
        <v>53.395400105292303</v>
      </c>
      <c r="P1200">
        <v>-9.7098824142445098E-2</v>
      </c>
      <c r="Q1200">
        <v>0.125262872112925</v>
      </c>
      <c r="R1200">
        <v>0.98647787166052703</v>
      </c>
      <c r="S1200" t="s">
        <v>6751</v>
      </c>
      <c r="T1200" t="s">
        <v>11100</v>
      </c>
      <c r="U1200" t="s">
        <v>11100</v>
      </c>
      <c r="V1200" t="s">
        <v>11100</v>
      </c>
      <c r="W1200" t="s">
        <v>12269</v>
      </c>
      <c r="X1200">
        <v>37</v>
      </c>
      <c r="Y1200" t="s">
        <v>17764</v>
      </c>
      <c r="Z1200" t="s">
        <v>23205</v>
      </c>
      <c r="AA1200">
        <v>0.62269537351165316</v>
      </c>
      <c r="AB1200" t="str">
        <f>HYPERLINK("Melting_Curves/meltCurve_O00429_4_DNM1L.pdf", "Melting_Curves/meltCurve_O00429_4_DNM1L.pdf")</f>
        <v>Melting_Curves/meltCurve_O00429_4_DNM1L.pdf</v>
      </c>
    </row>
    <row r="1201" spans="1:28" x14ac:dyDescent="0.25">
      <c r="A1201" t="s">
        <v>1205</v>
      </c>
      <c r="B1201">
        <v>0.99299721793515405</v>
      </c>
      <c r="C1201">
        <v>1.05437906274532</v>
      </c>
      <c r="D1201">
        <v>1.1913495292504299</v>
      </c>
      <c r="E1201">
        <v>0.98497272601686903</v>
      </c>
      <c r="F1201">
        <v>0.81173494129638302</v>
      </c>
      <c r="G1201">
        <v>0.56735476950368002</v>
      </c>
      <c r="H1201">
        <v>0.31456541138858901</v>
      </c>
      <c r="I1201">
        <v>0.20019916888832101</v>
      </c>
      <c r="J1201">
        <v>0.15105768220326099</v>
      </c>
      <c r="K1201">
        <v>0.10245228294275199</v>
      </c>
      <c r="L1201">
        <v>1089.90909641282</v>
      </c>
      <c r="M1201">
        <v>20.2038669146324</v>
      </c>
      <c r="N1201">
        <v>54.598907231685502</v>
      </c>
      <c r="O1201">
        <v>53.425419208993503</v>
      </c>
      <c r="P1201">
        <v>-8.4393196800120696E-2</v>
      </c>
      <c r="Q1201">
        <v>0.10737861053567101</v>
      </c>
      <c r="R1201">
        <v>0.972429578223591</v>
      </c>
      <c r="S1201" t="s">
        <v>6752</v>
      </c>
      <c r="T1201" t="s">
        <v>11100</v>
      </c>
      <c r="U1201" t="s">
        <v>11100</v>
      </c>
      <c r="V1201" t="s">
        <v>11100</v>
      </c>
      <c r="W1201" t="s">
        <v>12270</v>
      </c>
      <c r="X1201">
        <v>14</v>
      </c>
      <c r="Y1201" t="s">
        <v>17765</v>
      </c>
      <c r="Z1201" t="s">
        <v>23206</v>
      </c>
      <c r="AA1201">
        <v>0.62225963729664946</v>
      </c>
      <c r="AB1201" t="str">
        <f>HYPERLINK("Melting_Curves/meltCurve_O00442_RTCA.pdf", "Melting_Curves/meltCurve_O00442_RTCA.pdf")</f>
        <v>Melting_Curves/meltCurve_O00442_RTCA.pdf</v>
      </c>
    </row>
    <row r="1202" spans="1:28" x14ac:dyDescent="0.25">
      <c r="A1202" t="s">
        <v>1206</v>
      </c>
      <c r="B1202">
        <v>0.99299721793515405</v>
      </c>
      <c r="C1202">
        <v>0.84394422698340399</v>
      </c>
      <c r="D1202">
        <v>0.82526806399271802</v>
      </c>
      <c r="E1202">
        <v>0.57573239429742396</v>
      </c>
      <c r="F1202">
        <v>0.36907147690161202</v>
      </c>
      <c r="G1202">
        <v>0.193871298099628</v>
      </c>
      <c r="H1202">
        <v>0.171701133646189</v>
      </c>
      <c r="I1202">
        <v>0.252816929604949</v>
      </c>
      <c r="J1202">
        <v>0.26378397011788901</v>
      </c>
      <c r="K1202">
        <v>0.23257821628443101</v>
      </c>
      <c r="L1202">
        <v>759.93878474817404</v>
      </c>
      <c r="M1202">
        <v>16.5831050216519</v>
      </c>
      <c r="N1202">
        <v>47.345593116796898</v>
      </c>
      <c r="O1202">
        <v>45.175240392866797</v>
      </c>
      <c r="P1202">
        <v>-7.2839073092415399E-2</v>
      </c>
      <c r="Q1202">
        <v>0.20634919649212699</v>
      </c>
      <c r="R1202">
        <v>0.97254085984030203</v>
      </c>
      <c r="S1202" t="s">
        <v>6753</v>
      </c>
      <c r="T1202" t="s">
        <v>11100</v>
      </c>
      <c r="U1202" t="s">
        <v>11100</v>
      </c>
      <c r="V1202" t="s">
        <v>11100</v>
      </c>
      <c r="W1202" t="s">
        <v>12271</v>
      </c>
      <c r="X1202">
        <v>1</v>
      </c>
      <c r="Y1202" t="s">
        <v>17766</v>
      </c>
      <c r="Z1202" t="s">
        <v>23207</v>
      </c>
      <c r="AA1202">
        <v>0.45497416765691939</v>
      </c>
      <c r="AB1202" t="str">
        <f>HYPERLINK("Melting_Curves/meltCurve_O00443_PIK3C2A.pdf", "Melting_Curves/meltCurve_O00443_PIK3C2A.pdf")</f>
        <v>Melting_Curves/meltCurve_O00443_PIK3C2A.pdf</v>
      </c>
    </row>
    <row r="1203" spans="1:28" x14ac:dyDescent="0.25">
      <c r="A1203" t="s">
        <v>1207</v>
      </c>
      <c r="B1203">
        <v>0.99299721793515405</v>
      </c>
      <c r="C1203">
        <v>0.80659620053706904</v>
      </c>
      <c r="D1203">
        <v>0.92255496515441704</v>
      </c>
      <c r="E1203">
        <v>0.83565323524156299</v>
      </c>
      <c r="F1203">
        <v>0.71108940441913704</v>
      </c>
      <c r="G1203">
        <v>0.58232929411622603</v>
      </c>
      <c r="H1203">
        <v>0.696984781531786</v>
      </c>
      <c r="I1203">
        <v>0.81888492510048605</v>
      </c>
      <c r="J1203">
        <v>0.81954696848362896</v>
      </c>
      <c r="K1203">
        <v>0.48670983009957902</v>
      </c>
      <c r="L1203">
        <v>416.93531890895599</v>
      </c>
      <c r="M1203">
        <v>9.4237461640792706</v>
      </c>
      <c r="O1203">
        <v>42.3880316503069</v>
      </c>
      <c r="P1203">
        <v>-1.9075227876960001E-2</v>
      </c>
      <c r="Q1203">
        <v>0.65700751926220002</v>
      </c>
      <c r="R1203">
        <v>0.466747587230813</v>
      </c>
      <c r="S1203" t="s">
        <v>6754</v>
      </c>
      <c r="T1203" t="s">
        <v>11100</v>
      </c>
      <c r="U1203" t="s">
        <v>11100</v>
      </c>
      <c r="V1203" t="s">
        <v>11100</v>
      </c>
      <c r="W1203" t="s">
        <v>12272</v>
      </c>
      <c r="X1203">
        <v>5</v>
      </c>
      <c r="Y1203" t="s">
        <v>17767</v>
      </c>
      <c r="Z1203" t="s">
        <v>23208</v>
      </c>
      <c r="AA1203">
        <v>0.75958504938175464</v>
      </c>
      <c r="AB1203" t="str">
        <f>HYPERLINK("Melting_Curves/meltCurve_O00451_GFRA2.pdf", "Melting_Curves/meltCurve_O00451_GFRA2.pdf")</f>
        <v>Melting_Curves/meltCurve_O00451_GFRA2.pdf</v>
      </c>
    </row>
    <row r="1204" spans="1:28" x14ac:dyDescent="0.25">
      <c r="A1204" t="s">
        <v>1208</v>
      </c>
      <c r="B1204">
        <v>0.99299721793515405</v>
      </c>
      <c r="C1204">
        <v>0.70650522093447798</v>
      </c>
      <c r="D1204">
        <v>0.68433362673095999</v>
      </c>
      <c r="E1204">
        <v>0.880983391297535</v>
      </c>
      <c r="F1204">
        <v>0.59866438256509302</v>
      </c>
      <c r="G1204">
        <v>0.45502236847331501</v>
      </c>
      <c r="H1204">
        <v>0.45670640601877399</v>
      </c>
      <c r="I1204">
        <v>0.23728534380562399</v>
      </c>
      <c r="J1204">
        <v>0.199889441005588</v>
      </c>
      <c r="K1204">
        <v>0.29168999831638098</v>
      </c>
      <c r="L1204">
        <v>300.252868754448</v>
      </c>
      <c r="M1204">
        <v>5.6574599901781104</v>
      </c>
      <c r="N1204">
        <v>53.072026887098502</v>
      </c>
      <c r="O1204">
        <v>47.556654482550698</v>
      </c>
      <c r="P1204">
        <v>-2.9859262232120098E-2</v>
      </c>
      <c r="Q1204">
        <v>0</v>
      </c>
      <c r="R1204">
        <v>0.84667836291056497</v>
      </c>
      <c r="S1204" t="s">
        <v>6755</v>
      </c>
      <c r="T1204" t="s">
        <v>11100</v>
      </c>
      <c r="U1204" t="s">
        <v>11100</v>
      </c>
      <c r="V1204" t="s">
        <v>11100</v>
      </c>
      <c r="W1204" t="s">
        <v>12273</v>
      </c>
      <c r="X1204">
        <v>1</v>
      </c>
      <c r="Y1204" t="s">
        <v>17768</v>
      </c>
      <c r="Z1204" t="s">
        <v>23209</v>
      </c>
      <c r="AA1204">
        <v>0.55131233061079987</v>
      </c>
      <c r="AB1204" t="str">
        <f>HYPERLINK("Melting_Curves/meltCurve_O00459_PIK3R2.pdf", "Melting_Curves/meltCurve_O00459_PIK3R2.pdf")</f>
        <v>Melting_Curves/meltCurve_O00459_PIK3R2.pdf</v>
      </c>
    </row>
    <row r="1205" spans="1:28" x14ac:dyDescent="0.25">
      <c r="A1205" t="s">
        <v>1209</v>
      </c>
      <c r="B1205">
        <v>0.99299721793515405</v>
      </c>
      <c r="C1205">
        <v>1.0409717488296999</v>
      </c>
      <c r="D1205">
        <v>1.0071043166562901</v>
      </c>
      <c r="E1205">
        <v>0.87399782054876796</v>
      </c>
      <c r="F1205">
        <v>0.74403474310552897</v>
      </c>
      <c r="G1205">
        <v>0.58251724586935505</v>
      </c>
      <c r="H1205">
        <v>0.375901018990136</v>
      </c>
      <c r="I1205">
        <v>0.393281431237887</v>
      </c>
      <c r="J1205">
        <v>0.40041452306970499</v>
      </c>
      <c r="K1205">
        <v>0.36212845343906302</v>
      </c>
      <c r="L1205">
        <v>932.12210524540103</v>
      </c>
      <c r="M1205">
        <v>18.191575836078599</v>
      </c>
      <c r="N1205">
        <v>55.001114954466303</v>
      </c>
      <c r="O1205">
        <v>50.632081345299099</v>
      </c>
      <c r="P1205">
        <v>-5.7855511085007E-2</v>
      </c>
      <c r="Q1205">
        <v>0.35592026627319201</v>
      </c>
      <c r="R1205">
        <v>0.98685569315029897</v>
      </c>
      <c r="S1205" t="s">
        <v>6756</v>
      </c>
      <c r="T1205" t="s">
        <v>11100</v>
      </c>
      <c r="U1205" t="s">
        <v>11100</v>
      </c>
      <c r="V1205" t="s">
        <v>11100</v>
      </c>
      <c r="W1205" t="s">
        <v>12274</v>
      </c>
      <c r="X1205">
        <v>14</v>
      </c>
      <c r="Y1205" t="s">
        <v>17769</v>
      </c>
      <c r="Z1205" t="s">
        <v>23210</v>
      </c>
      <c r="AA1205">
        <v>0.67140605940107589</v>
      </c>
      <c r="AB1205" t="str">
        <f>HYPERLINK("Melting_Curves/meltCurve_O00461_GOLIM4.pdf", "Melting_Curves/meltCurve_O00461_GOLIM4.pdf")</f>
        <v>Melting_Curves/meltCurve_O00461_GOLIM4.pdf</v>
      </c>
    </row>
    <row r="1206" spans="1:28" x14ac:dyDescent="0.25">
      <c r="A1206" t="s">
        <v>1210</v>
      </c>
      <c r="B1206">
        <v>0.99299721793515405</v>
      </c>
      <c r="C1206">
        <v>0.65253641869104295</v>
      </c>
      <c r="D1206">
        <v>0.93226517041085799</v>
      </c>
      <c r="E1206">
        <v>0.68843120441113304</v>
      </c>
      <c r="F1206">
        <v>0.61968975116747804</v>
      </c>
      <c r="G1206">
        <v>0.366676443981786</v>
      </c>
      <c r="H1206">
        <v>0.32271530587353803</v>
      </c>
      <c r="I1206">
        <v>0.40055858859598698</v>
      </c>
      <c r="J1206">
        <v>0.38617819106595103</v>
      </c>
      <c r="K1206">
        <v>0.258814317176709</v>
      </c>
      <c r="L1206">
        <v>364.30477073858202</v>
      </c>
      <c r="M1206">
        <v>7.4615603099150798</v>
      </c>
      <c r="N1206">
        <v>52.410796674458297</v>
      </c>
      <c r="O1206">
        <v>45.685905409207301</v>
      </c>
      <c r="P1206">
        <v>-3.2715106891509201E-2</v>
      </c>
      <c r="Q1206">
        <v>0.1999355689658</v>
      </c>
      <c r="R1206">
        <v>0.828019042063453</v>
      </c>
      <c r="S1206" t="s">
        <v>6757</v>
      </c>
      <c r="T1206" t="s">
        <v>11100</v>
      </c>
      <c r="U1206" t="s">
        <v>11100</v>
      </c>
      <c r="V1206" t="s">
        <v>11100</v>
      </c>
      <c r="W1206" t="s">
        <v>12275</v>
      </c>
      <c r="X1206">
        <v>3</v>
      </c>
      <c r="Y1206" t="s">
        <v>17770</v>
      </c>
      <c r="Z1206" t="s">
        <v>23211</v>
      </c>
      <c r="AA1206">
        <v>0.55557329418756041</v>
      </c>
      <c r="AB1206" t="str">
        <f>HYPERLINK("Melting_Curves/meltCurve_O00479_HMGN4.pdf", "Melting_Curves/meltCurve_O00479_HMGN4.pdf")</f>
        <v>Melting_Curves/meltCurve_O00479_HMGN4.pdf</v>
      </c>
    </row>
    <row r="1207" spans="1:28" x14ac:dyDescent="0.25">
      <c r="A1207" t="s">
        <v>1211</v>
      </c>
      <c r="B1207">
        <v>0.99299721793515405</v>
      </c>
      <c r="C1207">
        <v>1.13309369002824</v>
      </c>
      <c r="D1207">
        <v>1.07043423511972</v>
      </c>
      <c r="E1207">
        <v>0.99680324636120798</v>
      </c>
      <c r="F1207">
        <v>0.75851771534919998</v>
      </c>
      <c r="G1207">
        <v>0.51591832807593796</v>
      </c>
      <c r="H1207">
        <v>0.42731511337637001</v>
      </c>
      <c r="I1207">
        <v>0.45470030154685198</v>
      </c>
      <c r="J1207">
        <v>0.46380513855232403</v>
      </c>
      <c r="K1207">
        <v>0.36995982555927998</v>
      </c>
      <c r="L1207">
        <v>1737.63027091247</v>
      </c>
      <c r="M1207">
        <v>34.221354382338497</v>
      </c>
      <c r="N1207">
        <v>53.826440558823499</v>
      </c>
      <c r="O1207">
        <v>50.603751968373899</v>
      </c>
      <c r="P1207">
        <v>-9.6689707324975199E-2</v>
      </c>
      <c r="Q1207">
        <v>0.428094786344068</v>
      </c>
      <c r="R1207">
        <v>0.96498650404461705</v>
      </c>
      <c r="S1207" t="s">
        <v>6758</v>
      </c>
      <c r="T1207" t="s">
        <v>11100</v>
      </c>
      <c r="U1207" t="s">
        <v>11100</v>
      </c>
      <c r="V1207" t="s">
        <v>11100</v>
      </c>
      <c r="W1207" t="s">
        <v>12276</v>
      </c>
      <c r="X1207">
        <v>6</v>
      </c>
      <c r="Y1207" t="s">
        <v>17771</v>
      </c>
      <c r="Z1207" t="s">
        <v>23212</v>
      </c>
      <c r="AA1207">
        <v>0.6934562091954426</v>
      </c>
      <c r="AB1207" t="str">
        <f>HYPERLINK("Melting_Curves/meltCurve_O00483_NDUFA4.pdf", "Melting_Curves/meltCurve_O00483_NDUFA4.pdf")</f>
        <v>Melting_Curves/meltCurve_O00483_NDUFA4.pdf</v>
      </c>
    </row>
    <row r="1208" spans="1:28" x14ac:dyDescent="0.25">
      <c r="A1208" t="s">
        <v>1212</v>
      </c>
      <c r="B1208">
        <v>0.99299721793515405</v>
      </c>
      <c r="C1208">
        <v>1.0196514419129801</v>
      </c>
      <c r="D1208">
        <v>0.80993523009557</v>
      </c>
      <c r="E1208">
        <v>0.743525769835234</v>
      </c>
      <c r="F1208">
        <v>0.60924180569715902</v>
      </c>
      <c r="G1208">
        <v>0.82217577497382399</v>
      </c>
      <c r="H1208">
        <v>0.58000229159737804</v>
      </c>
      <c r="I1208">
        <v>0.26571955574226702</v>
      </c>
      <c r="J1208">
        <v>0.17825165355288999</v>
      </c>
      <c r="K1208">
        <v>0.19751250786387201</v>
      </c>
      <c r="L1208">
        <v>437.62718344864601</v>
      </c>
      <c r="M1208">
        <v>7.77499064305995</v>
      </c>
      <c r="N1208">
        <v>56.286522195678202</v>
      </c>
      <c r="O1208">
        <v>52.926826511436701</v>
      </c>
      <c r="P1208">
        <v>-3.6771384389176001E-2</v>
      </c>
      <c r="Q1208">
        <v>0</v>
      </c>
      <c r="R1208">
        <v>0.86267436437117995</v>
      </c>
      <c r="S1208" t="s">
        <v>6759</v>
      </c>
      <c r="T1208" t="s">
        <v>11100</v>
      </c>
      <c r="U1208" t="s">
        <v>11100</v>
      </c>
      <c r="V1208" t="s">
        <v>11100</v>
      </c>
      <c r="W1208" t="s">
        <v>12277</v>
      </c>
      <c r="X1208">
        <v>3</v>
      </c>
      <c r="Y1208" t="s">
        <v>17772</v>
      </c>
      <c r="Z1208" t="s">
        <v>23213</v>
      </c>
      <c r="AA1208">
        <v>0.63727698610414008</v>
      </c>
      <c r="AB1208" t="str">
        <f>HYPERLINK("Melting_Curves/meltCurve_O00487_PSMD14.pdf", "Melting_Curves/meltCurve_O00487_PSMD14.pdf")</f>
        <v>Melting_Curves/meltCurve_O00487_PSMD14.pdf</v>
      </c>
    </row>
    <row r="1209" spans="1:28" x14ac:dyDescent="0.25">
      <c r="A1209" t="s">
        <v>1213</v>
      </c>
      <c r="B1209">
        <v>0.99299721793515405</v>
      </c>
      <c r="C1209">
        <v>0.90143469240512697</v>
      </c>
      <c r="D1209">
        <v>0.67040374733489705</v>
      </c>
      <c r="E1209">
        <v>0.51941408819836898</v>
      </c>
      <c r="F1209">
        <v>0.49310585216769498</v>
      </c>
      <c r="G1209">
        <v>0.23772706111153399</v>
      </c>
      <c r="H1209">
        <v>0.246118014994057</v>
      </c>
      <c r="I1209">
        <v>0.121076902778521</v>
      </c>
      <c r="J1209">
        <v>0.16427166800679799</v>
      </c>
      <c r="K1209">
        <v>0.100588941489775</v>
      </c>
      <c r="L1209">
        <v>452.03649338388402</v>
      </c>
      <c r="M1209">
        <v>9.5852483244696298</v>
      </c>
      <c r="N1209">
        <v>47.870732352920399</v>
      </c>
      <c r="O1209">
        <v>45.243984900618202</v>
      </c>
      <c r="P1209">
        <v>-4.9477835547386703E-2</v>
      </c>
      <c r="Q1209">
        <v>6.6358969928032696E-2</v>
      </c>
      <c r="R1209">
        <v>0.97329970117371001</v>
      </c>
      <c r="S1209" t="s">
        <v>6760</v>
      </c>
      <c r="T1209" t="s">
        <v>11100</v>
      </c>
      <c r="U1209" t="s">
        <v>11100</v>
      </c>
      <c r="V1209" t="s">
        <v>11100</v>
      </c>
      <c r="W1209" t="s">
        <v>12278</v>
      </c>
      <c r="X1209">
        <v>4</v>
      </c>
      <c r="Y1209" t="s">
        <v>17773</v>
      </c>
      <c r="Z1209" t="s">
        <v>23214</v>
      </c>
      <c r="AA1209">
        <v>0.42473656041986702</v>
      </c>
      <c r="AB1209" t="str">
        <f>HYPERLINK("Melting_Curves/meltCurve_O00488_ZNF593.pdf", "Melting_Curves/meltCurve_O00488_ZNF593.pdf")</f>
        <v>Melting_Curves/meltCurve_O00488_ZNF593.pdf</v>
      </c>
    </row>
    <row r="1210" spans="1:28" x14ac:dyDescent="0.25">
      <c r="A1210" t="s">
        <v>1214</v>
      </c>
      <c r="B1210">
        <v>0.99299721793515405</v>
      </c>
      <c r="C1210">
        <v>1.0403309663720599</v>
      </c>
      <c r="D1210">
        <v>0.90905224790310701</v>
      </c>
      <c r="E1210">
        <v>0.92249122456466903</v>
      </c>
      <c r="F1210">
        <v>0.66281153192535402</v>
      </c>
      <c r="G1210">
        <v>0.30972844655289</v>
      </c>
      <c r="H1210">
        <v>0.144046222907075</v>
      </c>
      <c r="I1210">
        <v>0.118481263308545</v>
      </c>
      <c r="J1210">
        <v>0.100372871441559</v>
      </c>
      <c r="K1210">
        <v>8.1713056199146303E-2</v>
      </c>
      <c r="L1210">
        <v>1190.50789356526</v>
      </c>
      <c r="M1210">
        <v>23.217150384920402</v>
      </c>
      <c r="N1210">
        <v>51.689581673771301</v>
      </c>
      <c r="O1210">
        <v>50.901219015471</v>
      </c>
      <c r="P1210">
        <v>-0.10438902698046799</v>
      </c>
      <c r="Q1210">
        <v>8.45675898242816E-2</v>
      </c>
      <c r="R1210">
        <v>0.99432420129337495</v>
      </c>
      <c r="S1210" t="s">
        <v>6761</v>
      </c>
      <c r="T1210" t="s">
        <v>11100</v>
      </c>
      <c r="U1210" t="s">
        <v>11100</v>
      </c>
      <c r="V1210" t="s">
        <v>11100</v>
      </c>
      <c r="W1210" t="s">
        <v>12279</v>
      </c>
      <c r="X1210">
        <v>7</v>
      </c>
      <c r="Y1210" t="s">
        <v>17774</v>
      </c>
      <c r="Z1210" t="s">
        <v>23215</v>
      </c>
      <c r="AA1210">
        <v>0.52947712468369734</v>
      </c>
      <c r="AB1210" t="str">
        <f>HYPERLINK("Melting_Curves/meltCurve_O00506_STK25.pdf", "Melting_Curves/meltCurve_O00506_STK25.pdf")</f>
        <v>Melting_Curves/meltCurve_O00506_STK25.pdf</v>
      </c>
    </row>
    <row r="1211" spans="1:28" x14ac:dyDescent="0.25">
      <c r="A1211" t="s">
        <v>1215</v>
      </c>
      <c r="B1211">
        <v>0.99299721793515405</v>
      </c>
      <c r="C1211">
        <v>0.88630590916413399</v>
      </c>
      <c r="D1211">
        <v>0.88422247541969501</v>
      </c>
      <c r="E1211">
        <v>0.88024514837475298</v>
      </c>
      <c r="F1211">
        <v>0.72367847589438705</v>
      </c>
      <c r="G1211">
        <v>0.57775220608359401</v>
      </c>
      <c r="H1211">
        <v>0.53436543438262796</v>
      </c>
      <c r="I1211">
        <v>0.54654237774457604</v>
      </c>
      <c r="J1211">
        <v>0.54776345985275099</v>
      </c>
      <c r="K1211">
        <v>0.42297630042484802</v>
      </c>
      <c r="L1211">
        <v>443.58518384070499</v>
      </c>
      <c r="M1211">
        <v>8.7473755565520506</v>
      </c>
      <c r="N1211">
        <v>62.642664093012201</v>
      </c>
      <c r="O1211">
        <v>48.269746652383901</v>
      </c>
      <c r="P1211">
        <v>-2.6954688653913501E-2</v>
      </c>
      <c r="Q1211">
        <v>0.40551588144200301</v>
      </c>
      <c r="R1211">
        <v>0.945655840904008</v>
      </c>
      <c r="S1211" t="s">
        <v>6762</v>
      </c>
      <c r="T1211" t="s">
        <v>11100</v>
      </c>
      <c r="U1211" t="s">
        <v>11100</v>
      </c>
      <c r="V1211" t="s">
        <v>11100</v>
      </c>
      <c r="W1211" t="s">
        <v>12280</v>
      </c>
      <c r="X1211">
        <v>6</v>
      </c>
      <c r="Y1211" t="s">
        <v>17775</v>
      </c>
      <c r="Z1211" t="s">
        <v>23216</v>
      </c>
      <c r="AA1211">
        <v>0.69783643219436564</v>
      </c>
      <c r="AB1211" t="str">
        <f>HYPERLINK("Melting_Curves/meltCurve_O00512_BCL9.pdf", "Melting_Curves/meltCurve_O00512_BCL9.pdf")</f>
        <v>Melting_Curves/meltCurve_O00512_BCL9.pdf</v>
      </c>
    </row>
    <row r="1212" spans="1:28" x14ac:dyDescent="0.25">
      <c r="A1212" t="s">
        <v>1216</v>
      </c>
      <c r="B1212">
        <v>0.99299721793515405</v>
      </c>
      <c r="C1212">
        <v>0.98350685161126905</v>
      </c>
      <c r="D1212">
        <v>0.89591963452017698</v>
      </c>
      <c r="E1212">
        <v>0.91318879519433904</v>
      </c>
      <c r="F1212">
        <v>0.74272652265807104</v>
      </c>
      <c r="G1212">
        <v>0.57425679263673401</v>
      </c>
      <c r="H1212">
        <v>0.41942094816681502</v>
      </c>
      <c r="I1212">
        <v>0.38844370772944098</v>
      </c>
      <c r="J1212">
        <v>0.35677769271443099</v>
      </c>
      <c r="K1212">
        <v>0.24025545056640599</v>
      </c>
      <c r="L1212">
        <v>604.17483893270196</v>
      </c>
      <c r="M1212">
        <v>11.3373874548298</v>
      </c>
      <c r="N1212">
        <v>55.984262885942101</v>
      </c>
      <c r="O1212">
        <v>51.713285339207097</v>
      </c>
      <c r="P1212">
        <v>-4.3299429649417298E-2</v>
      </c>
      <c r="Q1212">
        <v>0.21022948835834601</v>
      </c>
      <c r="R1212">
        <v>0.98602926308357297</v>
      </c>
      <c r="S1212" t="s">
        <v>6763</v>
      </c>
      <c r="T1212" t="s">
        <v>11100</v>
      </c>
      <c r="U1212" t="s">
        <v>11100</v>
      </c>
      <c r="V1212" t="s">
        <v>11100</v>
      </c>
      <c r="W1212" t="s">
        <v>12281</v>
      </c>
      <c r="X1212">
        <v>3</v>
      </c>
      <c r="Y1212" t="s">
        <v>17776</v>
      </c>
      <c r="Z1212" t="s">
        <v>23217</v>
      </c>
      <c r="AA1212">
        <v>0.6553892469926732</v>
      </c>
      <c r="AB1212" t="str">
        <f>HYPERLINK("Melting_Curves/meltCurve_O00560_3_SDCBP.pdf", "Melting_Curves/meltCurve_O00560_3_SDCBP.pdf")</f>
        <v>Melting_Curves/meltCurve_O00560_3_SDCBP.pdf</v>
      </c>
    </row>
    <row r="1213" spans="1:28" x14ac:dyDescent="0.25">
      <c r="A1213" t="s">
        <v>1217</v>
      </c>
      <c r="B1213">
        <v>0.99299721793515405</v>
      </c>
      <c r="C1213">
        <v>0.95803634504336799</v>
      </c>
      <c r="D1213">
        <v>1.1260546820238799</v>
      </c>
      <c r="E1213">
        <v>0.76388074095830805</v>
      </c>
      <c r="F1213">
        <v>0.42007976842012801</v>
      </c>
      <c r="G1213">
        <v>0.22546823174420699</v>
      </c>
      <c r="H1213">
        <v>0.133384303780791</v>
      </c>
      <c r="I1213">
        <v>0.129378475017491</v>
      </c>
      <c r="J1213">
        <v>0.112981300279167</v>
      </c>
      <c r="K1213">
        <v>0.13002349786787701</v>
      </c>
      <c r="L1213">
        <v>1275.1469545463201</v>
      </c>
      <c r="M1213">
        <v>26.113588143291501</v>
      </c>
      <c r="N1213">
        <v>49.381696063892903</v>
      </c>
      <c r="O1213">
        <v>48.547123754153503</v>
      </c>
      <c r="P1213">
        <v>-0.117483790541908</v>
      </c>
      <c r="Q1213">
        <v>0.12636513697732599</v>
      </c>
      <c r="R1213">
        <v>0.98253138093047598</v>
      </c>
      <c r="S1213" t="s">
        <v>6764</v>
      </c>
      <c r="T1213" t="s">
        <v>11100</v>
      </c>
      <c r="U1213" t="s">
        <v>11100</v>
      </c>
      <c r="V1213" t="s">
        <v>11100</v>
      </c>
      <c r="W1213" t="s">
        <v>12282</v>
      </c>
      <c r="X1213">
        <v>23</v>
      </c>
      <c r="Y1213" t="s">
        <v>17777</v>
      </c>
      <c r="Z1213" t="s">
        <v>23218</v>
      </c>
      <c r="AA1213">
        <v>0.47780761742420919</v>
      </c>
      <c r="AB1213" t="str">
        <f>HYPERLINK("Melting_Curves/meltCurve_O00571_DDX3X.pdf", "Melting_Curves/meltCurve_O00571_DDX3X.pdf")</f>
        <v>Melting_Curves/meltCurve_O00571_DDX3X.pdf</v>
      </c>
    </row>
    <row r="1214" spans="1:28" x14ac:dyDescent="0.25">
      <c r="A1214" t="s">
        <v>1218</v>
      </c>
      <c r="B1214">
        <v>0.99299721793515405</v>
      </c>
      <c r="C1214">
        <v>0.91222816590804501</v>
      </c>
      <c r="D1214">
        <v>1.18651511945898</v>
      </c>
      <c r="E1214">
        <v>0.78125031085931596</v>
      </c>
      <c r="F1214">
        <v>0.77837690421563999</v>
      </c>
      <c r="G1214">
        <v>0.458311442395686</v>
      </c>
      <c r="H1214">
        <v>0.27917042717354101</v>
      </c>
      <c r="I1214">
        <v>0.26253267043592099</v>
      </c>
      <c r="J1214">
        <v>0.162582798602217</v>
      </c>
      <c r="K1214">
        <v>0.13062765356874101</v>
      </c>
      <c r="L1214">
        <v>866.73832400077004</v>
      </c>
      <c r="M1214">
        <v>16.5057919542684</v>
      </c>
      <c r="N1214">
        <v>53.475128445496402</v>
      </c>
      <c r="O1214">
        <v>51.758540062324499</v>
      </c>
      <c r="P1214">
        <v>-6.9470917751171202E-2</v>
      </c>
      <c r="Q1214">
        <v>0.12867829336044301</v>
      </c>
      <c r="R1214">
        <v>0.94413344653880804</v>
      </c>
      <c r="S1214" t="s">
        <v>6765</v>
      </c>
      <c r="T1214" t="s">
        <v>11100</v>
      </c>
      <c r="U1214" t="s">
        <v>11100</v>
      </c>
      <c r="V1214" t="s">
        <v>11100</v>
      </c>
      <c r="W1214" t="s">
        <v>12283</v>
      </c>
      <c r="X1214">
        <v>4</v>
      </c>
      <c r="Y1214" t="s">
        <v>17778</v>
      </c>
      <c r="Z1214" t="s">
        <v>23219</v>
      </c>
      <c r="AA1214">
        <v>0.59365378692030357</v>
      </c>
      <c r="AB1214" t="str">
        <f>HYPERLINK("Melting_Curves/meltCurve_O00625_PIR.pdf", "Melting_Curves/meltCurve_O00625_PIR.pdf")</f>
        <v>Melting_Curves/meltCurve_O00625_PIR.pdf</v>
      </c>
    </row>
    <row r="1215" spans="1:28" x14ac:dyDescent="0.25">
      <c r="A1215" t="s">
        <v>1219</v>
      </c>
      <c r="B1215">
        <v>0.99299721793515405</v>
      </c>
      <c r="C1215">
        <v>0.99013049551532495</v>
      </c>
      <c r="D1215">
        <v>1.02825814066777</v>
      </c>
      <c r="E1215">
        <v>0.95836845113529501</v>
      </c>
      <c r="F1215">
        <v>0.81502494742713205</v>
      </c>
      <c r="G1215">
        <v>0.70700108315089705</v>
      </c>
      <c r="H1215">
        <v>0.60548719323948796</v>
      </c>
      <c r="I1215">
        <v>0.33840133632256603</v>
      </c>
      <c r="J1215">
        <v>0.140045865104451</v>
      </c>
      <c r="K1215">
        <v>0.119852468361513</v>
      </c>
      <c r="L1215">
        <v>781.05706242943199</v>
      </c>
      <c r="M1215">
        <v>13.5270291615237</v>
      </c>
      <c r="N1215">
        <v>57.7404731654903</v>
      </c>
      <c r="O1215">
        <v>56.522391794174801</v>
      </c>
      <c r="P1215">
        <v>-5.9839453548141797E-2</v>
      </c>
      <c r="Q1215">
        <v>0</v>
      </c>
      <c r="R1215">
        <v>0.98336043724520705</v>
      </c>
      <c r="S1215" t="s">
        <v>6766</v>
      </c>
      <c r="T1215" t="s">
        <v>11100</v>
      </c>
      <c r="U1215" t="s">
        <v>11100</v>
      </c>
      <c r="V1215" t="s">
        <v>11100</v>
      </c>
      <c r="W1215" t="s">
        <v>12284</v>
      </c>
      <c r="X1215">
        <v>10</v>
      </c>
      <c r="Y1215" t="s">
        <v>17779</v>
      </c>
      <c r="Z1215" t="s">
        <v>23220</v>
      </c>
      <c r="AA1215">
        <v>0.69474766754786488</v>
      </c>
      <c r="AB1215" t="str">
        <f>HYPERLINK("Melting_Curves/meltCurve_O00629_KPNA4.pdf", "Melting_Curves/meltCurve_O00629_KPNA4.pdf")</f>
        <v>Melting_Curves/meltCurve_O00629_KPNA4.pdf</v>
      </c>
    </row>
    <row r="1216" spans="1:28" x14ac:dyDescent="0.25">
      <c r="A1216" t="s">
        <v>1220</v>
      </c>
      <c r="B1216">
        <v>0.99299721793515405</v>
      </c>
      <c r="C1216">
        <v>0.88201346493591704</v>
      </c>
      <c r="D1216">
        <v>0.721971690665418</v>
      </c>
      <c r="E1216">
        <v>0.85599040303254303</v>
      </c>
      <c r="F1216">
        <v>0.55148860988564197</v>
      </c>
      <c r="G1216">
        <v>0.33115024712340302</v>
      </c>
      <c r="H1216">
        <v>0.29630994875639799</v>
      </c>
      <c r="I1216">
        <v>0.39272680826524697</v>
      </c>
      <c r="J1216">
        <v>0.24479721019133799</v>
      </c>
      <c r="K1216">
        <v>0.13364063964737499</v>
      </c>
      <c r="L1216">
        <v>415.88181140470698</v>
      </c>
      <c r="M1216">
        <v>8.2147434927637395</v>
      </c>
      <c r="N1216">
        <v>51.809840609557803</v>
      </c>
      <c r="O1216">
        <v>47.891761085709803</v>
      </c>
      <c r="P1216">
        <v>-3.9253322662927498E-2</v>
      </c>
      <c r="Q1216">
        <v>8.5552852878615401E-2</v>
      </c>
      <c r="R1216">
        <v>0.91578524772995695</v>
      </c>
      <c r="S1216" t="s">
        <v>6767</v>
      </c>
      <c r="T1216" t="s">
        <v>11100</v>
      </c>
      <c r="U1216" t="s">
        <v>11100</v>
      </c>
      <c r="V1216" t="s">
        <v>11100</v>
      </c>
      <c r="W1216" t="s">
        <v>12285</v>
      </c>
      <c r="X1216">
        <v>1</v>
      </c>
      <c r="Y1216" t="s">
        <v>17780</v>
      </c>
      <c r="Z1216" t="s">
        <v>23221</v>
      </c>
      <c r="AA1216">
        <v>0.53429519826459426</v>
      </c>
      <c r="AB1216" t="str">
        <f>HYPERLINK("Melting_Curves/meltCurve_O00635_TRIM38.pdf", "Melting_Curves/meltCurve_O00635_TRIM38.pdf")</f>
        <v>Melting_Curves/meltCurve_O00635_TRIM38.pdf</v>
      </c>
    </row>
    <row r="1217" spans="1:28" x14ac:dyDescent="0.25">
      <c r="A1217" t="s">
        <v>1221</v>
      </c>
      <c r="B1217">
        <v>0.99299721793515405</v>
      </c>
      <c r="C1217">
        <v>0.94763791865531999</v>
      </c>
      <c r="D1217">
        <v>0.99921872662941702</v>
      </c>
      <c r="E1217">
        <v>0.75881024188542201</v>
      </c>
      <c r="F1217">
        <v>0.67107625742196797</v>
      </c>
      <c r="G1217">
        <v>0.55530502264904202</v>
      </c>
      <c r="H1217">
        <v>0.39680858040530298</v>
      </c>
      <c r="I1217">
        <v>0.44439620908683902</v>
      </c>
      <c r="J1217">
        <v>0.38709824835795498</v>
      </c>
      <c r="K1217">
        <v>0.42239588170837</v>
      </c>
      <c r="L1217">
        <v>727.72726386517695</v>
      </c>
      <c r="M1217">
        <v>14.794525018965899</v>
      </c>
      <c r="N1217">
        <v>54.737847884762402</v>
      </c>
      <c r="O1217">
        <v>48.316482692105403</v>
      </c>
      <c r="P1217">
        <v>-4.68224760911891E-2</v>
      </c>
      <c r="Q1217">
        <v>0.38840723583117498</v>
      </c>
      <c r="R1217">
        <v>0.97485734801670398</v>
      </c>
      <c r="S1217" t="s">
        <v>6768</v>
      </c>
      <c r="T1217" t="s">
        <v>11100</v>
      </c>
      <c r="U1217" t="s">
        <v>11100</v>
      </c>
      <c r="V1217" t="s">
        <v>11100</v>
      </c>
      <c r="W1217" t="s">
        <v>12286</v>
      </c>
      <c r="X1217">
        <v>2</v>
      </c>
      <c r="Y1217" t="s">
        <v>17781</v>
      </c>
      <c r="Z1217" t="s">
        <v>23222</v>
      </c>
      <c r="AA1217">
        <v>0.65026958775894483</v>
      </c>
      <c r="AB1217" t="str">
        <f>HYPERLINK("Melting_Curves/meltCurve_O00716_E2F3.pdf", "Melting_Curves/meltCurve_O00716_E2F3.pdf")</f>
        <v>Melting_Curves/meltCurve_O00716_E2F3.pdf</v>
      </c>
    </row>
    <row r="1218" spans="1:28" x14ac:dyDescent="0.25">
      <c r="A1218" t="s">
        <v>1222</v>
      </c>
      <c r="B1218">
        <v>0.99299721793515405</v>
      </c>
      <c r="C1218">
        <v>0.95921657074973699</v>
      </c>
      <c r="D1218">
        <v>0.93911337145927798</v>
      </c>
      <c r="E1218">
        <v>0.92341072479447694</v>
      </c>
      <c r="F1218">
        <v>0.803732601229868</v>
      </c>
      <c r="G1218">
        <v>1.12619915913646</v>
      </c>
      <c r="H1218">
        <v>1.49821967443142</v>
      </c>
      <c r="I1218">
        <v>1.5575858722078499</v>
      </c>
      <c r="J1218">
        <v>1.49069976251979</v>
      </c>
      <c r="K1218">
        <v>0.687309543502861</v>
      </c>
      <c r="L1218">
        <v>13469.7737051732</v>
      </c>
      <c r="M1218">
        <v>250</v>
      </c>
      <c r="O1218">
        <v>53.8756478259929</v>
      </c>
      <c r="P1218">
        <v>0.35783062680247602</v>
      </c>
      <c r="Q1218">
        <v>1.30845370372523</v>
      </c>
      <c r="R1218">
        <v>0.34662461330964001</v>
      </c>
      <c r="S1218" t="s">
        <v>6769</v>
      </c>
      <c r="T1218" t="s">
        <v>11100</v>
      </c>
      <c r="U1218" t="s">
        <v>11100</v>
      </c>
      <c r="V1218" t="s">
        <v>11100</v>
      </c>
      <c r="W1218" t="s">
        <v>12287</v>
      </c>
      <c r="X1218">
        <v>10</v>
      </c>
      <c r="Y1218" t="s">
        <v>17782</v>
      </c>
      <c r="Z1218" t="s">
        <v>23223</v>
      </c>
      <c r="AA1218">
        <v>1.134877226844335</v>
      </c>
      <c r="AB1218" t="str">
        <f>HYPERLINK("Melting_Curves/meltCurve_O00743_PPP6C.pdf", "Melting_Curves/meltCurve_O00743_PPP6C.pdf")</f>
        <v>Melting_Curves/meltCurve_O00743_PPP6C.pdf</v>
      </c>
    </row>
    <row r="1219" spans="1:28" x14ac:dyDescent="0.25">
      <c r="A1219" t="s">
        <v>1223</v>
      </c>
      <c r="B1219">
        <v>0.99299721793515405</v>
      </c>
      <c r="C1219">
        <v>1.2944058662465101</v>
      </c>
      <c r="D1219">
        <v>0.68454893262604799</v>
      </c>
      <c r="E1219">
        <v>0.87727948950770795</v>
      </c>
      <c r="F1219">
        <v>0.47445486938108899</v>
      </c>
      <c r="G1219">
        <v>0.59152679200569402</v>
      </c>
      <c r="H1219">
        <v>0.53700420635003598</v>
      </c>
      <c r="I1219">
        <v>0.56980553103432696</v>
      </c>
      <c r="J1219">
        <v>0.61496972887436796</v>
      </c>
      <c r="K1219">
        <v>0.70058151706022598</v>
      </c>
      <c r="L1219">
        <v>1062.2539269208</v>
      </c>
      <c r="M1219">
        <v>23.731926816319099</v>
      </c>
      <c r="O1219">
        <v>44.446357167533797</v>
      </c>
      <c r="P1219">
        <v>-5.4660197634347499E-2</v>
      </c>
      <c r="Q1219">
        <v>0.59052520835185396</v>
      </c>
      <c r="R1219">
        <v>0.63724834176930401</v>
      </c>
      <c r="S1219" t="s">
        <v>6770</v>
      </c>
      <c r="T1219" t="s">
        <v>11100</v>
      </c>
      <c r="U1219" t="s">
        <v>11100</v>
      </c>
      <c r="V1219" t="s">
        <v>11100</v>
      </c>
      <c r="W1219" t="s">
        <v>12288</v>
      </c>
      <c r="X1219">
        <v>1</v>
      </c>
      <c r="Y1219" t="s">
        <v>17783</v>
      </c>
      <c r="Z1219" t="s">
        <v>23224</v>
      </c>
      <c r="AA1219">
        <v>0.70019961127743169</v>
      </c>
      <c r="AB1219" t="str">
        <f>HYPERLINK("Melting_Curves/meltCurve_O00748_CES2.pdf", "Melting_Curves/meltCurve_O00748_CES2.pdf")</f>
        <v>Melting_Curves/meltCurve_O00748_CES2.pdf</v>
      </c>
    </row>
    <row r="1220" spans="1:28" x14ac:dyDescent="0.25">
      <c r="A1220" t="s">
        <v>1224</v>
      </c>
      <c r="B1220">
        <v>0.99299721793515405</v>
      </c>
      <c r="C1220">
        <v>0.88108932100111303</v>
      </c>
      <c r="D1220">
        <v>0.79912617083245396</v>
      </c>
      <c r="E1220">
        <v>0.67505374492765802</v>
      </c>
      <c r="F1220">
        <v>0.63338822393790895</v>
      </c>
      <c r="G1220">
        <v>0.586857920532185</v>
      </c>
      <c r="H1220">
        <v>0.74651257800013504</v>
      </c>
      <c r="I1220">
        <v>0.95787483161140896</v>
      </c>
      <c r="J1220">
        <v>1.12088587370506</v>
      </c>
      <c r="K1220">
        <v>1.3833800455444001</v>
      </c>
      <c r="L1220">
        <v>15000</v>
      </c>
      <c r="M1220">
        <v>233.23384414712001</v>
      </c>
      <c r="O1220">
        <v>64.308407776871306</v>
      </c>
      <c r="P1220">
        <v>0.34764104053739298</v>
      </c>
      <c r="Q1220">
        <v>1.3834133392108701</v>
      </c>
      <c r="R1220">
        <v>2.2199485975256401E-2</v>
      </c>
      <c r="S1220" t="s">
        <v>6771</v>
      </c>
      <c r="T1220" t="s">
        <v>11100</v>
      </c>
      <c r="U1220" t="s">
        <v>11100</v>
      </c>
      <c r="V1220" t="s">
        <v>11100</v>
      </c>
      <c r="W1220" t="s">
        <v>12289</v>
      </c>
      <c r="X1220">
        <v>5</v>
      </c>
      <c r="Y1220" t="s">
        <v>17784</v>
      </c>
      <c r="Z1220" t="s">
        <v>23225</v>
      </c>
      <c r="AA1220">
        <v>1.0342899254483069</v>
      </c>
      <c r="AB1220" t="str">
        <f>HYPERLINK("Melting_Curves/meltCurve_O00754_2_MAN2B1.pdf", "Melting_Curves/meltCurve_O00754_2_MAN2B1.pdf")</f>
        <v>Melting_Curves/meltCurve_O00754_2_MAN2B1.pdf</v>
      </c>
    </row>
    <row r="1221" spans="1:28" x14ac:dyDescent="0.25">
      <c r="A1221" t="s">
        <v>1225</v>
      </c>
      <c r="B1221">
        <v>0.99299721793515405</v>
      </c>
      <c r="C1221">
        <v>0.93086644350704295</v>
      </c>
      <c r="D1221">
        <v>0.93593402265062897</v>
      </c>
      <c r="E1221">
        <v>0.80900239120675999</v>
      </c>
      <c r="F1221">
        <v>0.63876833800062205</v>
      </c>
      <c r="G1221">
        <v>0.39228095769054899</v>
      </c>
      <c r="H1221">
        <v>0.29359466159785802</v>
      </c>
      <c r="I1221">
        <v>0.24483563581912199</v>
      </c>
      <c r="J1221">
        <v>0.203853665295712</v>
      </c>
      <c r="K1221">
        <v>0.14439118415218399</v>
      </c>
      <c r="L1221">
        <v>665.52294186440304</v>
      </c>
      <c r="M1221">
        <v>13.0305388992353</v>
      </c>
      <c r="N1221">
        <v>52.2756875796765</v>
      </c>
      <c r="O1221">
        <v>49.9161014662388</v>
      </c>
      <c r="P1221">
        <v>-5.6826451269955898E-2</v>
      </c>
      <c r="Q1221">
        <v>0.12941180257346799</v>
      </c>
      <c r="R1221">
        <v>0.99486051544104803</v>
      </c>
      <c r="S1221" t="s">
        <v>6772</v>
      </c>
      <c r="T1221" t="s">
        <v>11100</v>
      </c>
      <c r="U1221" t="s">
        <v>11100</v>
      </c>
      <c r="V1221" t="s">
        <v>11100</v>
      </c>
      <c r="W1221" t="s">
        <v>12290</v>
      </c>
      <c r="X1221">
        <v>8</v>
      </c>
      <c r="Y1221" t="s">
        <v>17785</v>
      </c>
      <c r="Z1221" t="s">
        <v>23226</v>
      </c>
      <c r="AA1221">
        <v>0.5585170707583702</v>
      </c>
      <c r="AB1221" t="str">
        <f>HYPERLINK("Melting_Curves/meltCurve_O00762_UBE2C.pdf", "Melting_Curves/meltCurve_O00762_UBE2C.pdf")</f>
        <v>Melting_Curves/meltCurve_O00762_UBE2C.pdf</v>
      </c>
    </row>
    <row r="1222" spans="1:28" x14ac:dyDescent="0.25">
      <c r="A1222" t="s">
        <v>1226</v>
      </c>
      <c r="B1222">
        <v>0.99299721793515405</v>
      </c>
      <c r="C1222">
        <v>1.0061648619963399</v>
      </c>
      <c r="D1222">
        <v>0.94599227463218105</v>
      </c>
      <c r="E1222">
        <v>0.88639185116633801</v>
      </c>
      <c r="F1222">
        <v>0.78056468281431601</v>
      </c>
      <c r="G1222">
        <v>0.56714651176857001</v>
      </c>
      <c r="H1222">
        <v>0.48757807269433001</v>
      </c>
      <c r="I1222">
        <v>0.30953348001512798</v>
      </c>
      <c r="J1222">
        <v>0.16841959738332299</v>
      </c>
      <c r="K1222">
        <v>0.12978342557415001</v>
      </c>
      <c r="L1222">
        <v>598.18106940993505</v>
      </c>
      <c r="M1222">
        <v>10.6904931463697</v>
      </c>
      <c r="N1222">
        <v>55.954496489143402</v>
      </c>
      <c r="O1222">
        <v>54.103172768568399</v>
      </c>
      <c r="P1222">
        <v>-4.9417244112012301E-2</v>
      </c>
      <c r="Q1222">
        <v>0</v>
      </c>
      <c r="R1222">
        <v>0.99326842824669204</v>
      </c>
      <c r="S1222" t="s">
        <v>6773</v>
      </c>
      <c r="T1222" t="s">
        <v>11100</v>
      </c>
      <c r="U1222" t="s">
        <v>11100</v>
      </c>
      <c r="V1222" t="s">
        <v>11100</v>
      </c>
      <c r="W1222" t="s">
        <v>12291</v>
      </c>
      <c r="X1222">
        <v>13</v>
      </c>
      <c r="Y1222" t="s">
        <v>17786</v>
      </c>
      <c r="Z1222" t="s">
        <v>23227</v>
      </c>
      <c r="AA1222">
        <v>0.63977348573622606</v>
      </c>
      <c r="AB1222" t="str">
        <f>HYPERLINK("Melting_Curves/meltCurve_O00764_PDXK.pdf", "Melting_Curves/meltCurve_O00764_PDXK.pdf")</f>
        <v>Melting_Curves/meltCurve_O00764_PDXK.pdf</v>
      </c>
    </row>
    <row r="1223" spans="1:28" x14ac:dyDescent="0.25">
      <c r="A1223" t="s">
        <v>1227</v>
      </c>
      <c r="B1223">
        <v>0.99299721793515405</v>
      </c>
      <c r="C1223">
        <v>0.99376432951392402</v>
      </c>
      <c r="D1223">
        <v>1.0173401462296101</v>
      </c>
      <c r="E1223">
        <v>0.93336831491191496</v>
      </c>
      <c r="F1223">
        <v>0.84831122486631005</v>
      </c>
      <c r="G1223">
        <v>0.69643597061422902</v>
      </c>
      <c r="H1223">
        <v>0.53145597043762804</v>
      </c>
      <c r="I1223">
        <v>0.47199037128745103</v>
      </c>
      <c r="J1223">
        <v>0.32449196333194302</v>
      </c>
      <c r="K1223">
        <v>0.20786408539889001</v>
      </c>
      <c r="L1223">
        <v>572.47411905050103</v>
      </c>
      <c r="M1223">
        <v>9.7143235420963698</v>
      </c>
      <c r="N1223">
        <v>58.930936793996601</v>
      </c>
      <c r="O1223">
        <v>56.596262990968903</v>
      </c>
      <c r="P1223">
        <v>-4.2933936016143398E-2</v>
      </c>
      <c r="Q1223">
        <v>0</v>
      </c>
      <c r="R1223">
        <v>0.99100141615813697</v>
      </c>
      <c r="S1223" t="s">
        <v>6774</v>
      </c>
      <c r="T1223" t="s">
        <v>11100</v>
      </c>
      <c r="U1223" t="s">
        <v>11100</v>
      </c>
      <c r="V1223" t="s">
        <v>11100</v>
      </c>
      <c r="W1223" t="s">
        <v>12292</v>
      </c>
      <c r="X1223">
        <v>2</v>
      </c>
      <c r="Y1223" t="s">
        <v>17787</v>
      </c>
      <c r="Z1223" t="s">
        <v>23228</v>
      </c>
      <c r="AA1223">
        <v>0.71277469517134051</v>
      </c>
      <c r="AB1223" t="str">
        <f>HYPERLINK("Melting_Curves/meltCurve_O00767_SCD.pdf", "Melting_Curves/meltCurve_O00767_SCD.pdf")</f>
        <v>Melting_Curves/meltCurve_O00767_SCD.pdf</v>
      </c>
    </row>
    <row r="1224" spans="1:28" x14ac:dyDescent="0.25">
      <c r="A1224" t="s">
        <v>1228</v>
      </c>
      <c r="B1224">
        <v>0.99299721793515405</v>
      </c>
      <c r="C1224">
        <v>0.93019910931734495</v>
      </c>
      <c r="D1224">
        <v>0.96144485336291696</v>
      </c>
      <c r="E1224">
        <v>0.80777180886587496</v>
      </c>
      <c r="F1224">
        <v>0.72875787668154701</v>
      </c>
      <c r="G1224">
        <v>0.327580077952141</v>
      </c>
      <c r="H1224">
        <v>0.32486751391299201</v>
      </c>
      <c r="I1224">
        <v>0.32958735192648497</v>
      </c>
      <c r="J1224">
        <v>0.35330958003416502</v>
      </c>
      <c r="K1224">
        <v>0.27846268639758298</v>
      </c>
      <c r="L1224">
        <v>1042.45429734814</v>
      </c>
      <c r="M1224">
        <v>20.866040451295099</v>
      </c>
      <c r="N1224">
        <v>52.1787461573632</v>
      </c>
      <c r="O1224">
        <v>49.507284356379998</v>
      </c>
      <c r="P1224">
        <v>-7.43751837510577E-2</v>
      </c>
      <c r="Q1224">
        <v>0.29416165287284401</v>
      </c>
      <c r="R1224">
        <v>0.96247862982032695</v>
      </c>
      <c r="S1224" t="s">
        <v>6775</v>
      </c>
      <c r="T1224" t="s">
        <v>11100</v>
      </c>
      <c r="U1224" t="s">
        <v>11100</v>
      </c>
      <c r="V1224" t="s">
        <v>11100</v>
      </c>
      <c r="W1224" t="s">
        <v>12293</v>
      </c>
      <c r="X1224">
        <v>4</v>
      </c>
      <c r="Y1224" t="s">
        <v>17788</v>
      </c>
      <c r="Z1224" t="s">
        <v>23229</v>
      </c>
      <c r="AA1224">
        <v>0.60769284147421965</v>
      </c>
      <c r="AB1224" t="str">
        <f>HYPERLINK("Melting_Curves/meltCurve_O14497_2_ARID1A.pdf", "Melting_Curves/meltCurve_O14497_2_ARID1A.pdf")</f>
        <v>Melting_Curves/meltCurve_O14497_2_ARID1A.pdf</v>
      </c>
    </row>
    <row r="1225" spans="1:28" x14ac:dyDescent="0.25">
      <c r="A1225" t="s">
        <v>1229</v>
      </c>
      <c r="B1225">
        <v>0.99299721793515405</v>
      </c>
      <c r="C1225">
        <v>0.77870004040700502</v>
      </c>
      <c r="D1225">
        <v>1.19667939113724</v>
      </c>
      <c r="E1225">
        <v>0.82165180795897796</v>
      </c>
      <c r="F1225">
        <v>0.80584237888390697</v>
      </c>
      <c r="G1225">
        <v>1.4631198560848599</v>
      </c>
      <c r="H1225">
        <v>0.92671853630465595</v>
      </c>
      <c r="I1225">
        <v>1.27354716184974</v>
      </c>
      <c r="J1225">
        <v>1.11015457115894</v>
      </c>
      <c r="K1225">
        <v>1.85476140225627</v>
      </c>
      <c r="L1225">
        <v>2304.7375214819799</v>
      </c>
      <c r="M1225">
        <v>36.937299333184797</v>
      </c>
      <c r="O1225">
        <v>62.213896613200802</v>
      </c>
      <c r="P1225">
        <v>7.4214534949290104E-2</v>
      </c>
      <c r="Q1225">
        <v>1.5</v>
      </c>
      <c r="R1225">
        <v>0.41449877672449997</v>
      </c>
      <c r="S1225" t="s">
        <v>6776</v>
      </c>
      <c r="T1225" t="s">
        <v>11100</v>
      </c>
      <c r="U1225" t="s">
        <v>11100</v>
      </c>
      <c r="V1225" t="s">
        <v>11100</v>
      </c>
      <c r="W1225" t="s">
        <v>12294</v>
      </c>
      <c r="X1225">
        <v>5</v>
      </c>
      <c r="Y1225" t="s">
        <v>17789</v>
      </c>
      <c r="Z1225" t="s">
        <v>23230</v>
      </c>
      <c r="AA1225">
        <v>1.076830102876781</v>
      </c>
      <c r="AB1225" t="str">
        <f>HYPERLINK("Melting_Curves/meltCurve_O14519_2_CDK2AP1.pdf", "Melting_Curves/meltCurve_O14519_2_CDK2AP1.pdf")</f>
        <v>Melting_Curves/meltCurve_O14519_2_CDK2AP1.pdf</v>
      </c>
    </row>
    <row r="1226" spans="1:28" x14ac:dyDescent="0.25">
      <c r="A1226" t="s">
        <v>1230</v>
      </c>
      <c r="B1226">
        <v>0.99299721793515405</v>
      </c>
      <c r="C1226">
        <v>0.79270284536831603</v>
      </c>
      <c r="D1226">
        <v>1.30957104681513</v>
      </c>
      <c r="E1226">
        <v>0.87771671586361899</v>
      </c>
      <c r="F1226">
        <v>0.86837121565855402</v>
      </c>
      <c r="G1226">
        <v>0.66907605266510295</v>
      </c>
      <c r="H1226">
        <v>0.46327948369587502</v>
      </c>
      <c r="I1226">
        <v>0.41822647897883097</v>
      </c>
      <c r="J1226">
        <v>0.33994973808644702</v>
      </c>
      <c r="K1226">
        <v>0.21592441204646501</v>
      </c>
      <c r="L1226">
        <v>834.81508498816299</v>
      </c>
      <c r="M1226">
        <v>15.1613920113319</v>
      </c>
      <c r="N1226">
        <v>57.278586012412802</v>
      </c>
      <c r="O1226">
        <v>54.130644776531199</v>
      </c>
      <c r="P1226">
        <v>-5.4487247486316899E-2</v>
      </c>
      <c r="Q1226">
        <v>0.22193314468080999</v>
      </c>
      <c r="R1226">
        <v>0.84533772381273597</v>
      </c>
      <c r="S1226" t="s">
        <v>6777</v>
      </c>
      <c r="T1226" t="s">
        <v>11100</v>
      </c>
      <c r="U1226" t="s">
        <v>11100</v>
      </c>
      <c r="V1226" t="s">
        <v>11100</v>
      </c>
      <c r="W1226" t="s">
        <v>12295</v>
      </c>
      <c r="X1226">
        <v>5</v>
      </c>
      <c r="Y1226" t="s">
        <v>17790</v>
      </c>
      <c r="Z1226" t="s">
        <v>23231</v>
      </c>
      <c r="AA1226">
        <v>0.70119277884122155</v>
      </c>
      <c r="AB1226" t="str">
        <f>HYPERLINK("Melting_Curves/meltCurve_O14523_C2CD2L.pdf", "Melting_Curves/meltCurve_O14523_C2CD2L.pdf")</f>
        <v>Melting_Curves/meltCurve_O14523_C2CD2L.pdf</v>
      </c>
    </row>
    <row r="1227" spans="1:28" x14ac:dyDescent="0.25">
      <c r="A1227" t="s">
        <v>1231</v>
      </c>
      <c r="B1227">
        <v>0.99299721793515405</v>
      </c>
      <c r="C1227">
        <v>1.05300020012508</v>
      </c>
      <c r="D1227">
        <v>1.0185240527091399</v>
      </c>
      <c r="E1227">
        <v>0.98080080926160895</v>
      </c>
      <c r="F1227">
        <v>0.80935101865859804</v>
      </c>
      <c r="G1227">
        <v>0.61563590091697196</v>
      </c>
      <c r="H1227">
        <v>0.53278343738678202</v>
      </c>
      <c r="I1227">
        <v>0.29779798110612699</v>
      </c>
      <c r="J1227">
        <v>0.25931510654776502</v>
      </c>
      <c r="K1227">
        <v>0.19980008575323799</v>
      </c>
      <c r="L1227">
        <v>752.73165459755398</v>
      </c>
      <c r="M1227">
        <v>13.550650542964799</v>
      </c>
      <c r="N1227">
        <v>56.781285059184</v>
      </c>
      <c r="O1227">
        <v>54.381564551141302</v>
      </c>
      <c r="P1227">
        <v>-5.43693957701454E-2</v>
      </c>
      <c r="Q1227">
        <v>0.12734861759893201</v>
      </c>
      <c r="R1227">
        <v>0.98691742686842199</v>
      </c>
      <c r="S1227" t="s">
        <v>6778</v>
      </c>
      <c r="T1227" t="s">
        <v>11100</v>
      </c>
      <c r="U1227" t="s">
        <v>11100</v>
      </c>
      <c r="V1227" t="s">
        <v>11100</v>
      </c>
      <c r="W1227" t="s">
        <v>12296</v>
      </c>
      <c r="X1227">
        <v>5</v>
      </c>
      <c r="Y1227" t="s">
        <v>17791</v>
      </c>
      <c r="Z1227" t="s">
        <v>23232</v>
      </c>
      <c r="AA1227">
        <v>0.67797412304186655</v>
      </c>
      <c r="AB1227" t="str">
        <f>HYPERLINK("Melting_Curves/meltCurve_O14524_2_TMEM194A.pdf", "Melting_Curves/meltCurve_O14524_2_TMEM194A.pdf")</f>
        <v>Melting_Curves/meltCurve_O14524_2_TMEM194A.pdf</v>
      </c>
    </row>
    <row r="1228" spans="1:28" x14ac:dyDescent="0.25">
      <c r="A1228" t="s">
        <v>1232</v>
      </c>
      <c r="B1228">
        <v>0.99299721793515405</v>
      </c>
      <c r="C1228">
        <v>0.96225698448310804</v>
      </c>
      <c r="D1228">
        <v>1.09830285443631</v>
      </c>
      <c r="E1228">
        <v>0.83849607959128103</v>
      </c>
      <c r="F1228">
        <v>0.70065041847322296</v>
      </c>
      <c r="G1228">
        <v>0.60525802342926305</v>
      </c>
      <c r="H1228">
        <v>0.54333377338463695</v>
      </c>
      <c r="I1228">
        <v>0.65357042469003501</v>
      </c>
      <c r="J1228">
        <v>0.65548645437366204</v>
      </c>
      <c r="K1228">
        <v>0.539604656081214</v>
      </c>
      <c r="L1228">
        <v>1507.84150183458</v>
      </c>
      <c r="M1228">
        <v>31.606851574084398</v>
      </c>
      <c r="O1228">
        <v>47.5164125989292</v>
      </c>
      <c r="P1228">
        <v>-6.6424234316878203E-2</v>
      </c>
      <c r="Q1228">
        <v>0.60056454563947503</v>
      </c>
      <c r="R1228">
        <v>0.92039787768085501</v>
      </c>
      <c r="S1228" t="s">
        <v>6779</v>
      </c>
      <c r="T1228" t="s">
        <v>11100</v>
      </c>
      <c r="U1228" t="s">
        <v>11100</v>
      </c>
      <c r="V1228" t="s">
        <v>11100</v>
      </c>
      <c r="W1228" t="s">
        <v>12297</v>
      </c>
      <c r="X1228">
        <v>21</v>
      </c>
      <c r="Y1228" t="s">
        <v>17792</v>
      </c>
      <c r="Z1228" t="s">
        <v>23233</v>
      </c>
      <c r="AA1228">
        <v>0.74522989538556295</v>
      </c>
      <c r="AB1228" t="str">
        <f>HYPERLINK("Melting_Curves/meltCurve_O14545_TRAFD1.pdf", "Melting_Curves/meltCurve_O14545_TRAFD1.pdf")</f>
        <v>Melting_Curves/meltCurve_O14545_TRAFD1.pdf</v>
      </c>
    </row>
    <row r="1229" spans="1:28" x14ac:dyDescent="0.25">
      <c r="A1229" t="s">
        <v>1233</v>
      </c>
      <c r="B1229">
        <v>0.99299721793515405</v>
      </c>
      <c r="C1229">
        <v>0.97632864921179796</v>
      </c>
      <c r="D1229">
        <v>0.99189046405304204</v>
      </c>
      <c r="E1229">
        <v>0.87812704627217597</v>
      </c>
      <c r="F1229">
        <v>0.56490468497002699</v>
      </c>
      <c r="G1229">
        <v>0.26171612227989299</v>
      </c>
      <c r="H1229">
        <v>0.25519495864504399</v>
      </c>
      <c r="I1229">
        <v>0.26487655083724498</v>
      </c>
      <c r="J1229">
        <v>0.25297036297853598</v>
      </c>
      <c r="K1229">
        <v>0.19386188927835299</v>
      </c>
      <c r="L1229">
        <v>1449.30958400128</v>
      </c>
      <c r="M1229">
        <v>29.244307950041001</v>
      </c>
      <c r="N1229">
        <v>50.629758283139203</v>
      </c>
      <c r="O1229">
        <v>49.328698792831503</v>
      </c>
      <c r="P1229">
        <v>-0.11402473576955</v>
      </c>
      <c r="Q1229">
        <v>0.23066735503685701</v>
      </c>
      <c r="R1229">
        <v>0.99499382641678602</v>
      </c>
      <c r="S1229" t="s">
        <v>6780</v>
      </c>
      <c r="T1229" t="s">
        <v>11100</v>
      </c>
      <c r="U1229" t="s">
        <v>11100</v>
      </c>
      <c r="V1229" t="s">
        <v>11100</v>
      </c>
      <c r="W1229" t="s">
        <v>12298</v>
      </c>
      <c r="X1229">
        <v>3</v>
      </c>
      <c r="Y1229" t="s">
        <v>17793</v>
      </c>
      <c r="Z1229" t="s">
        <v>23234</v>
      </c>
      <c r="AA1229">
        <v>0.55765628158308111</v>
      </c>
      <c r="AB1229" t="str">
        <f>HYPERLINK("Melting_Curves/meltCurve_O14613_CDC42EP2.pdf", "Melting_Curves/meltCurve_O14613_CDC42EP2.pdf")</f>
        <v>Melting_Curves/meltCurve_O14613_CDC42EP2.pdf</v>
      </c>
    </row>
    <row r="1230" spans="1:28" x14ac:dyDescent="0.25">
      <c r="A1230" t="s">
        <v>1234</v>
      </c>
      <c r="B1230">
        <v>0.99299721793515405</v>
      </c>
      <c r="C1230">
        <v>1.06483444415716</v>
      </c>
      <c r="D1230">
        <v>0.976986419493869</v>
      </c>
      <c r="E1230">
        <v>0.89300377137766396</v>
      </c>
      <c r="F1230">
        <v>0.73822310181649098</v>
      </c>
      <c r="G1230">
        <v>0.84925557620970205</v>
      </c>
      <c r="H1230">
        <v>0.40259974713165497</v>
      </c>
      <c r="I1230">
        <v>0.38874149042762302</v>
      </c>
      <c r="J1230">
        <v>0.29966883325480997</v>
      </c>
      <c r="K1230">
        <v>0.226769315765176</v>
      </c>
      <c r="L1230">
        <v>621.26184722881999</v>
      </c>
      <c r="M1230">
        <v>10.9139492287902</v>
      </c>
      <c r="N1230">
        <v>57.795669885922599</v>
      </c>
      <c r="O1230">
        <v>55.112620673934401</v>
      </c>
      <c r="P1230">
        <v>-4.57651415217342E-2</v>
      </c>
      <c r="Q1230">
        <v>7.5912828669499E-2</v>
      </c>
      <c r="R1230">
        <v>0.93898735146176504</v>
      </c>
      <c r="S1230" t="s">
        <v>6781</v>
      </c>
      <c r="T1230" t="s">
        <v>11100</v>
      </c>
      <c r="U1230" t="s">
        <v>11100</v>
      </c>
      <c r="V1230" t="s">
        <v>11100</v>
      </c>
      <c r="W1230" t="s">
        <v>12299</v>
      </c>
      <c r="X1230">
        <v>4</v>
      </c>
      <c r="Y1230" t="s">
        <v>17794</v>
      </c>
      <c r="Z1230" t="s">
        <v>23235</v>
      </c>
      <c r="AA1230">
        <v>0.69201576349723937</v>
      </c>
      <c r="AB1230" t="str">
        <f>HYPERLINK("Melting_Curves/meltCurve_O14617_4_AP3D1.pdf", "Melting_Curves/meltCurve_O14617_4_AP3D1.pdf")</f>
        <v>Melting_Curves/meltCurve_O14617_4_AP3D1.pdf</v>
      </c>
    </row>
    <row r="1231" spans="1:28" x14ac:dyDescent="0.25">
      <c r="A1231" t="s">
        <v>1235</v>
      </c>
      <c r="B1231">
        <v>0.99299721793515405</v>
      </c>
      <c r="C1231">
        <v>0.96570687284560697</v>
      </c>
      <c r="D1231">
        <v>0.93660605481083303</v>
      </c>
      <c r="E1231">
        <v>0.897102833554562</v>
      </c>
      <c r="F1231">
        <v>0.53407398759934299</v>
      </c>
      <c r="G1231">
        <v>0.33452463266148502</v>
      </c>
      <c r="H1231">
        <v>0.28953735362836702</v>
      </c>
      <c r="I1231">
        <v>0.24708759254415599</v>
      </c>
      <c r="J1231">
        <v>0.23610084781062901</v>
      </c>
      <c r="K1231">
        <v>0.27644717639246402</v>
      </c>
      <c r="L1231">
        <v>1343.2148168567001</v>
      </c>
      <c r="M1231">
        <v>27.2114396949754</v>
      </c>
      <c r="N1231">
        <v>50.7065585822413</v>
      </c>
      <c r="O1231">
        <v>49.097857979735103</v>
      </c>
      <c r="P1231">
        <v>-0.10295138402545501</v>
      </c>
      <c r="Q1231">
        <v>0.25698251822270102</v>
      </c>
      <c r="R1231">
        <v>0.99447947845150797</v>
      </c>
      <c r="S1231" t="s">
        <v>6782</v>
      </c>
      <c r="T1231" t="s">
        <v>11100</v>
      </c>
      <c r="U1231" t="s">
        <v>11100</v>
      </c>
      <c r="V1231" t="s">
        <v>11100</v>
      </c>
      <c r="W1231" t="s">
        <v>12300</v>
      </c>
      <c r="X1231">
        <v>3</v>
      </c>
      <c r="Y1231" t="s">
        <v>17795</v>
      </c>
      <c r="Z1231" t="s">
        <v>23236</v>
      </c>
      <c r="AA1231">
        <v>0.56862751920472243</v>
      </c>
      <c r="AB1231" t="str">
        <f>HYPERLINK("Melting_Curves/meltCurve_O14640_2_DVL1.pdf", "Melting_Curves/meltCurve_O14640_2_DVL1.pdf")</f>
        <v>Melting_Curves/meltCurve_O14640_2_DVL1.pdf</v>
      </c>
    </row>
    <row r="1232" spans="1:28" x14ac:dyDescent="0.25">
      <c r="A1232" t="s">
        <v>1236</v>
      </c>
      <c r="B1232">
        <v>0.99299721793515405</v>
      </c>
      <c r="C1232">
        <v>0.952575743518708</v>
      </c>
      <c r="D1232">
        <v>0.83352379525621301</v>
      </c>
      <c r="E1232">
        <v>0.927210756496328</v>
      </c>
      <c r="F1232">
        <v>0.76119593043762501</v>
      </c>
      <c r="G1232">
        <v>0.37732086529327702</v>
      </c>
      <c r="H1232">
        <v>0.31371327729403597</v>
      </c>
      <c r="I1232">
        <v>0.273770157272337</v>
      </c>
      <c r="J1232">
        <v>0.27999286115099897</v>
      </c>
      <c r="K1232">
        <v>0.22284111977530999</v>
      </c>
      <c r="L1232">
        <v>1376.92903115677</v>
      </c>
      <c r="M1232">
        <v>26.874764134245702</v>
      </c>
      <c r="N1232">
        <v>52.620772428800997</v>
      </c>
      <c r="O1232">
        <v>50.953858763707203</v>
      </c>
      <c r="P1232">
        <v>-9.8417210835122101E-2</v>
      </c>
      <c r="Q1232">
        <v>0.25362157048498601</v>
      </c>
      <c r="R1232">
        <v>0.96429906716752001</v>
      </c>
      <c r="S1232" t="s">
        <v>6783</v>
      </c>
      <c r="T1232" t="s">
        <v>11100</v>
      </c>
      <c r="U1232" t="s">
        <v>11100</v>
      </c>
      <c r="V1232" t="s">
        <v>11100</v>
      </c>
      <c r="W1232" t="s">
        <v>12301</v>
      </c>
      <c r="X1232">
        <v>6</v>
      </c>
      <c r="Y1232" t="s">
        <v>17796</v>
      </c>
      <c r="Z1232" t="s">
        <v>23237</v>
      </c>
      <c r="AA1232">
        <v>0.61353978706758028</v>
      </c>
      <c r="AB1232" t="str">
        <f>HYPERLINK("Melting_Curves/meltCurve_O14657_TOR1B.pdf", "Melting_Curves/meltCurve_O14657_TOR1B.pdf")</f>
        <v>Melting_Curves/meltCurve_O14657_TOR1B.pdf</v>
      </c>
    </row>
    <row r="1233" spans="1:28" x14ac:dyDescent="0.25">
      <c r="A1233" t="s">
        <v>1237</v>
      </c>
      <c r="B1233">
        <v>0.99299721793515405</v>
      </c>
      <c r="C1233">
        <v>0.95992021401128802</v>
      </c>
      <c r="D1233">
        <v>0.97579151874890002</v>
      </c>
      <c r="E1233">
        <v>0.87796219034800405</v>
      </c>
      <c r="F1233">
        <v>0.813952000204475</v>
      </c>
      <c r="G1233">
        <v>0.59575485589453503</v>
      </c>
      <c r="H1233">
        <v>0.62634322551733101</v>
      </c>
      <c r="I1233">
        <v>0.52991836163552997</v>
      </c>
      <c r="J1233">
        <v>0.286538466693051</v>
      </c>
      <c r="K1233">
        <v>0.212546177523013</v>
      </c>
      <c r="L1233">
        <v>484.599884757322</v>
      </c>
      <c r="M1233">
        <v>8.2274436282925407</v>
      </c>
      <c r="N1233">
        <v>58.900414423264699</v>
      </c>
      <c r="O1233">
        <v>55.727954373865302</v>
      </c>
      <c r="P1233">
        <v>-3.6946548855155699E-2</v>
      </c>
      <c r="Q1233">
        <v>0</v>
      </c>
      <c r="R1233">
        <v>0.95756034491208097</v>
      </c>
      <c r="S1233" t="s">
        <v>6784</v>
      </c>
      <c r="T1233" t="s">
        <v>11100</v>
      </c>
      <c r="U1233" t="s">
        <v>11100</v>
      </c>
      <c r="V1233" t="s">
        <v>11100</v>
      </c>
      <c r="W1233" t="s">
        <v>12302</v>
      </c>
      <c r="X1233">
        <v>10</v>
      </c>
      <c r="Y1233" t="s">
        <v>17797</v>
      </c>
      <c r="Z1233" t="s">
        <v>23238</v>
      </c>
      <c r="AA1233">
        <v>0.70141285643115947</v>
      </c>
      <c r="AB1233" t="str">
        <f>HYPERLINK("Melting_Curves/meltCurve_O14672_ADAM10.pdf", "Melting_Curves/meltCurve_O14672_ADAM10.pdf")</f>
        <v>Melting_Curves/meltCurve_O14672_ADAM10.pdf</v>
      </c>
    </row>
    <row r="1234" spans="1:28" x14ac:dyDescent="0.25">
      <c r="A1234" t="s">
        <v>1238</v>
      </c>
      <c r="B1234">
        <v>0.99299721793515405</v>
      </c>
      <c r="C1234">
        <v>0.86480412111282501</v>
      </c>
      <c r="D1234">
        <v>1.2625377467229599</v>
      </c>
      <c r="E1234">
        <v>0.74321915041045805</v>
      </c>
      <c r="F1234">
        <v>0.47899605180735699</v>
      </c>
      <c r="G1234">
        <v>1.04334651787175</v>
      </c>
      <c r="H1234">
        <v>0.36395910778642898</v>
      </c>
      <c r="I1234">
        <v>0.20624154597768901</v>
      </c>
      <c r="J1234">
        <v>0.22117838148628299</v>
      </c>
      <c r="K1234">
        <v>0.258894861685045</v>
      </c>
      <c r="L1234">
        <v>543.91744267365095</v>
      </c>
      <c r="M1234">
        <v>9.6197444500436706</v>
      </c>
      <c r="N1234">
        <v>56.541761448505703</v>
      </c>
      <c r="O1234">
        <v>54.260414531548903</v>
      </c>
      <c r="P1234">
        <v>-4.4347106038050199E-2</v>
      </c>
      <c r="Q1234">
        <v>0</v>
      </c>
      <c r="R1234">
        <v>0.68371818356123504</v>
      </c>
      <c r="S1234" t="s">
        <v>6785</v>
      </c>
      <c r="T1234" t="s">
        <v>11100</v>
      </c>
      <c r="U1234" t="s">
        <v>11100</v>
      </c>
      <c r="V1234" t="s">
        <v>11100</v>
      </c>
      <c r="W1234" t="s">
        <v>12303</v>
      </c>
      <c r="X1234">
        <v>4</v>
      </c>
      <c r="Y1234" t="s">
        <v>17798</v>
      </c>
      <c r="Z1234" t="s">
        <v>23239</v>
      </c>
      <c r="AA1234">
        <v>0.65250482305745627</v>
      </c>
      <c r="AB1234" t="str">
        <f>HYPERLINK("Melting_Curves/meltCurve_O14686_MLL2.pdf", "Melting_Curves/meltCurve_O14686_MLL2.pdf")</f>
        <v>Melting_Curves/meltCurve_O14686_MLL2.pdf</v>
      </c>
    </row>
    <row r="1235" spans="1:28" x14ac:dyDescent="0.25">
      <c r="A1235" t="s">
        <v>1239</v>
      </c>
      <c r="B1235">
        <v>0.99299721793515405</v>
      </c>
      <c r="C1235">
        <v>1.0130399418234399</v>
      </c>
      <c r="D1235">
        <v>0.92736981341446001</v>
      </c>
      <c r="E1235">
        <v>0.96865544239525103</v>
      </c>
      <c r="F1235">
        <v>0.83100445087608898</v>
      </c>
      <c r="G1235">
        <v>0.51401172384973004</v>
      </c>
      <c r="H1235">
        <v>0.56105954369400701</v>
      </c>
      <c r="I1235">
        <v>0.64236861022192404</v>
      </c>
      <c r="J1235">
        <v>0.48669823192232797</v>
      </c>
      <c r="K1235">
        <v>0.16235881113940201</v>
      </c>
      <c r="L1235">
        <v>432.22327214462803</v>
      </c>
      <c r="M1235">
        <v>7.1995853504559202</v>
      </c>
      <c r="N1235">
        <v>60.034466671154597</v>
      </c>
      <c r="O1235">
        <v>55.921214712785897</v>
      </c>
      <c r="P1235">
        <v>-3.2240098442790299E-2</v>
      </c>
      <c r="Q1235">
        <v>0</v>
      </c>
      <c r="R1235">
        <v>0.85020062528465701</v>
      </c>
      <c r="S1235" t="s">
        <v>6786</v>
      </c>
      <c r="T1235" t="s">
        <v>11100</v>
      </c>
      <c r="U1235" t="s">
        <v>11100</v>
      </c>
      <c r="V1235" t="s">
        <v>11100</v>
      </c>
      <c r="W1235" t="s">
        <v>12304</v>
      </c>
      <c r="X1235">
        <v>2</v>
      </c>
      <c r="Y1235" t="s">
        <v>17799</v>
      </c>
      <c r="Z1235" t="s">
        <v>23240</v>
      </c>
      <c r="AA1235">
        <v>0.71495134500687851</v>
      </c>
      <c r="AB1235" t="str">
        <f>HYPERLINK("Melting_Curves/meltCurve_O14732_2_IMPA2.pdf", "Melting_Curves/meltCurve_O14732_2_IMPA2.pdf")</f>
        <v>Melting_Curves/meltCurve_O14732_2_IMPA2.pdf</v>
      </c>
    </row>
    <row r="1236" spans="1:28" x14ac:dyDescent="0.25">
      <c r="A1236" t="s">
        <v>1240</v>
      </c>
      <c r="B1236">
        <v>0.99299721793515405</v>
      </c>
      <c r="C1236">
        <v>1.1050033883080901</v>
      </c>
      <c r="D1236">
        <v>0.92456529781708796</v>
      </c>
      <c r="E1236">
        <v>0.92183867451426804</v>
      </c>
      <c r="F1236">
        <v>0.68909669960755704</v>
      </c>
      <c r="G1236">
        <v>0.33656428687901901</v>
      </c>
      <c r="H1236">
        <v>0.174604098444954</v>
      </c>
      <c r="I1236">
        <v>0.19366576574838901</v>
      </c>
      <c r="J1236">
        <v>0.146673791819046</v>
      </c>
      <c r="K1236">
        <v>0.108978397353877</v>
      </c>
      <c r="L1236">
        <v>1237.10512638257</v>
      </c>
      <c r="M1236">
        <v>24.126804432634898</v>
      </c>
      <c r="N1236">
        <v>51.942115187000702</v>
      </c>
      <c r="O1236">
        <v>50.926776667477</v>
      </c>
      <c r="P1236">
        <v>-0.10266349982452901</v>
      </c>
      <c r="Q1236">
        <v>0.133206430493086</v>
      </c>
      <c r="R1236">
        <v>0.98706838937879005</v>
      </c>
      <c r="S1236" t="s">
        <v>6787</v>
      </c>
      <c r="T1236" t="s">
        <v>11100</v>
      </c>
      <c r="U1236" t="s">
        <v>11100</v>
      </c>
      <c r="V1236" t="s">
        <v>11100</v>
      </c>
      <c r="W1236" t="s">
        <v>12305</v>
      </c>
      <c r="X1236">
        <v>8</v>
      </c>
      <c r="Y1236" t="s">
        <v>17800</v>
      </c>
      <c r="Z1236" t="s">
        <v>23241</v>
      </c>
      <c r="AA1236">
        <v>0.55383460334697932</v>
      </c>
      <c r="AB1236" t="str">
        <f>HYPERLINK("Melting_Curves/meltCurve_O14733_MAP2K7.pdf", "Melting_Curves/meltCurve_O14733_MAP2K7.pdf")</f>
        <v>Melting_Curves/meltCurve_O14733_MAP2K7.pdf</v>
      </c>
    </row>
    <row r="1237" spans="1:28" x14ac:dyDescent="0.25">
      <c r="A1237" t="s">
        <v>1241</v>
      </c>
      <c r="B1237">
        <v>0.99299721793515405</v>
      </c>
      <c r="C1237">
        <v>1.00149849064918</v>
      </c>
      <c r="D1237">
        <v>1.0281130014701301</v>
      </c>
      <c r="E1237">
        <v>1.0061662242371701</v>
      </c>
      <c r="F1237">
        <v>0.781667445004395</v>
      </c>
      <c r="G1237">
        <v>0.56694861358438098</v>
      </c>
      <c r="H1237">
        <v>0.73031461646737195</v>
      </c>
      <c r="I1237">
        <v>0.61047369520504802</v>
      </c>
      <c r="J1237">
        <v>0.44319080043513298</v>
      </c>
      <c r="K1237">
        <v>0.31578408096275401</v>
      </c>
      <c r="L1237">
        <v>439.060444395491</v>
      </c>
      <c r="M1237">
        <v>7.0891219720388596</v>
      </c>
      <c r="N1237">
        <v>61.934389442099899</v>
      </c>
      <c r="O1237">
        <v>57.5728028778978</v>
      </c>
      <c r="P1237">
        <v>-3.0837775276203499E-2</v>
      </c>
      <c r="Q1237">
        <v>0</v>
      </c>
      <c r="R1237">
        <v>0.88705330213640998</v>
      </c>
      <c r="S1237" t="s">
        <v>6788</v>
      </c>
      <c r="T1237" t="s">
        <v>11100</v>
      </c>
      <c r="U1237" t="s">
        <v>11100</v>
      </c>
      <c r="V1237" t="s">
        <v>11100</v>
      </c>
      <c r="W1237" t="s">
        <v>12306</v>
      </c>
      <c r="X1237">
        <v>2</v>
      </c>
      <c r="Y1237" t="s">
        <v>17801</v>
      </c>
      <c r="Z1237" t="s">
        <v>23242</v>
      </c>
      <c r="AA1237">
        <v>0.75033316830862151</v>
      </c>
      <c r="AB1237" t="str">
        <f>HYPERLINK("Melting_Curves/meltCurve_O14734_ACOT8.pdf", "Melting_Curves/meltCurve_O14734_ACOT8.pdf")</f>
        <v>Melting_Curves/meltCurve_O14734_ACOT8.pdf</v>
      </c>
    </row>
    <row r="1238" spans="1:28" x14ac:dyDescent="0.25">
      <c r="A1238" t="s">
        <v>1242</v>
      </c>
      <c r="B1238">
        <v>0.99299721793515405</v>
      </c>
      <c r="C1238">
        <v>1.0401551818039101</v>
      </c>
      <c r="D1238">
        <v>1.3211212837332</v>
      </c>
      <c r="E1238">
        <v>1.0449170369244201</v>
      </c>
      <c r="F1238">
        <v>0.81124499857944599</v>
      </c>
      <c r="G1238">
        <v>0.80995759197891404</v>
      </c>
      <c r="H1238">
        <v>0.75469766073136701</v>
      </c>
      <c r="I1238">
        <v>0.89241231690561995</v>
      </c>
      <c r="J1238">
        <v>1.2879770511979001</v>
      </c>
      <c r="K1238">
        <v>1.58994693553473</v>
      </c>
      <c r="L1238">
        <v>15000</v>
      </c>
      <c r="M1238">
        <v>234.31560175259099</v>
      </c>
      <c r="O1238">
        <v>64.011560571640103</v>
      </c>
      <c r="P1238">
        <v>0.45756500939621803</v>
      </c>
      <c r="Q1238">
        <v>1.5</v>
      </c>
      <c r="R1238">
        <v>0.60340601071010402</v>
      </c>
      <c r="S1238" t="s">
        <v>6789</v>
      </c>
      <c r="T1238" t="s">
        <v>11100</v>
      </c>
      <c r="U1238" t="s">
        <v>11100</v>
      </c>
      <c r="V1238" t="s">
        <v>11100</v>
      </c>
      <c r="W1238" t="s">
        <v>12307</v>
      </c>
      <c r="X1238">
        <v>23</v>
      </c>
      <c r="Y1238" t="s">
        <v>17802</v>
      </c>
      <c r="Z1238" t="s">
        <v>23243</v>
      </c>
      <c r="AA1238">
        <v>1.0496658037466751</v>
      </c>
      <c r="AB1238" t="str">
        <f>HYPERLINK("Melting_Curves/meltCurve_O14737_PDCD5.pdf", "Melting_Curves/meltCurve_O14737_PDCD5.pdf")</f>
        <v>Melting_Curves/meltCurve_O14737_PDCD5.pdf</v>
      </c>
    </row>
    <row r="1239" spans="1:28" x14ac:dyDescent="0.25">
      <c r="A1239" t="s">
        <v>1243</v>
      </c>
      <c r="B1239">
        <v>0.99299721793515405</v>
      </c>
      <c r="C1239">
        <v>0.86163154529050801</v>
      </c>
      <c r="D1239">
        <v>0.80129268167464696</v>
      </c>
      <c r="E1239">
        <v>0.67414236223525403</v>
      </c>
      <c r="F1239">
        <v>0.65617208685728101</v>
      </c>
      <c r="G1239">
        <v>1.1038547263555401</v>
      </c>
      <c r="H1239">
        <v>1.6405838239553601</v>
      </c>
      <c r="I1239">
        <v>0.39798605645482099</v>
      </c>
      <c r="J1239">
        <v>0.26534276746728702</v>
      </c>
      <c r="K1239">
        <v>0.21077294670843</v>
      </c>
      <c r="L1239">
        <v>15000</v>
      </c>
      <c r="M1239">
        <v>247.22715863213801</v>
      </c>
      <c r="N1239">
        <v>60.832017148662601</v>
      </c>
      <c r="O1239">
        <v>60.668982759174398</v>
      </c>
      <c r="P1239">
        <v>-0.77623373909058002</v>
      </c>
      <c r="Q1239">
        <v>0.23805611047331901</v>
      </c>
      <c r="R1239">
        <v>0.57372848221985095</v>
      </c>
      <c r="S1239" t="s">
        <v>6790</v>
      </c>
      <c r="T1239" t="s">
        <v>11100</v>
      </c>
      <c r="U1239" t="s">
        <v>11100</v>
      </c>
      <c r="V1239" t="s">
        <v>11100</v>
      </c>
      <c r="W1239" t="s">
        <v>12308</v>
      </c>
      <c r="X1239">
        <v>7</v>
      </c>
      <c r="Y1239" t="s">
        <v>17803</v>
      </c>
      <c r="Z1239" t="s">
        <v>23244</v>
      </c>
      <c r="AA1239">
        <v>0.83938761990708743</v>
      </c>
      <c r="AB1239" t="str">
        <f>HYPERLINK("Melting_Curves/meltCurve_O14744_PRMT5.pdf", "Melting_Curves/meltCurve_O14744_PRMT5.pdf")</f>
        <v>Melting_Curves/meltCurve_O14744_PRMT5.pdf</v>
      </c>
    </row>
    <row r="1240" spans="1:28" x14ac:dyDescent="0.25">
      <c r="A1240" t="s">
        <v>1244</v>
      </c>
      <c r="B1240">
        <v>0.99299721793515405</v>
      </c>
      <c r="C1240">
        <v>0.97707265656075004</v>
      </c>
      <c r="D1240">
        <v>0.91566041837596901</v>
      </c>
      <c r="E1240">
        <v>0.90188492233437501</v>
      </c>
      <c r="F1240">
        <v>0.77767248552025903</v>
      </c>
      <c r="G1240">
        <v>0.53546021127638199</v>
      </c>
      <c r="H1240">
        <v>0.55868268558604495</v>
      </c>
      <c r="I1240">
        <v>0.617784828724396</v>
      </c>
      <c r="J1240">
        <v>0.61564160321346895</v>
      </c>
      <c r="K1240">
        <v>0.48429773754299399</v>
      </c>
      <c r="L1240">
        <v>1123.52304263574</v>
      </c>
      <c r="M1240">
        <v>22.7833657510979</v>
      </c>
      <c r="O1240">
        <v>48.938109538540701</v>
      </c>
      <c r="P1240">
        <v>-5.2126286553878597E-2</v>
      </c>
      <c r="Q1240">
        <v>0.55214477753222801</v>
      </c>
      <c r="R1240">
        <v>0.92775050361294698</v>
      </c>
      <c r="S1240" t="s">
        <v>6791</v>
      </c>
      <c r="T1240" t="s">
        <v>11100</v>
      </c>
      <c r="U1240" t="s">
        <v>11100</v>
      </c>
      <c r="V1240" t="s">
        <v>11100</v>
      </c>
      <c r="W1240" t="s">
        <v>12309</v>
      </c>
      <c r="X1240">
        <v>24</v>
      </c>
      <c r="Y1240" t="s">
        <v>17804</v>
      </c>
      <c r="Z1240" t="s">
        <v>23245</v>
      </c>
      <c r="AA1240">
        <v>0.74060403388306739</v>
      </c>
      <c r="AB1240" t="str">
        <f>HYPERLINK("Melting_Curves/meltCurve_O14745_SLC9A3R1.pdf", "Melting_Curves/meltCurve_O14745_SLC9A3R1.pdf")</f>
        <v>Melting_Curves/meltCurve_O14745_SLC9A3R1.pdf</v>
      </c>
    </row>
    <row r="1241" spans="1:28" x14ac:dyDescent="0.25">
      <c r="A1241" t="s">
        <v>1245</v>
      </c>
      <c r="B1241">
        <v>0.99299721793515405</v>
      </c>
      <c r="C1241">
        <v>0.98160096051713397</v>
      </c>
      <c r="D1241">
        <v>1.02863149551251</v>
      </c>
      <c r="E1241">
        <v>0.810012081016518</v>
      </c>
      <c r="F1241">
        <v>0.75726863054529003</v>
      </c>
      <c r="G1241">
        <v>0.46172619000744802</v>
      </c>
      <c r="H1241">
        <v>0.23333384456294301</v>
      </c>
      <c r="I1241">
        <v>0.13323674577426101</v>
      </c>
      <c r="J1241">
        <v>0.11325696604567601</v>
      </c>
      <c r="K1241">
        <v>0.117313327473121</v>
      </c>
      <c r="L1241">
        <v>858.32458328880102</v>
      </c>
      <c r="M1241">
        <v>16.29622069182</v>
      </c>
      <c r="N1241">
        <v>53.1117358198155</v>
      </c>
      <c r="O1241">
        <v>51.8962084525607</v>
      </c>
      <c r="P1241">
        <v>-7.3535582536808294E-2</v>
      </c>
      <c r="Q1241">
        <v>6.3356234246814899E-2</v>
      </c>
      <c r="R1241">
        <v>0.98910664544585303</v>
      </c>
      <c r="S1241" t="s">
        <v>6792</v>
      </c>
      <c r="T1241" t="s">
        <v>11100</v>
      </c>
      <c r="U1241" t="s">
        <v>11100</v>
      </c>
      <c r="V1241" t="s">
        <v>11100</v>
      </c>
      <c r="W1241" t="s">
        <v>12310</v>
      </c>
      <c r="X1241">
        <v>7</v>
      </c>
      <c r="Y1241" t="s">
        <v>17805</v>
      </c>
      <c r="Z1241" t="s">
        <v>23246</v>
      </c>
      <c r="AA1241">
        <v>0.56825609721350756</v>
      </c>
      <c r="AB1241" t="str">
        <f>HYPERLINK("Melting_Curves/meltCurve_O14757_CHEK1.pdf", "Melting_Curves/meltCurve_O14757_CHEK1.pdf")</f>
        <v>Melting_Curves/meltCurve_O14757_CHEK1.pdf</v>
      </c>
    </row>
    <row r="1242" spans="1:28" x14ac:dyDescent="0.25">
      <c r="A1242" t="s">
        <v>1246</v>
      </c>
      <c r="B1242">
        <v>0.99299721793515405</v>
      </c>
      <c r="C1242">
        <v>0.85547901149943995</v>
      </c>
      <c r="D1242">
        <v>0.82005705707955301</v>
      </c>
      <c r="E1242">
        <v>0.79253789098885596</v>
      </c>
      <c r="F1242">
        <v>0.73326791443191397</v>
      </c>
      <c r="G1242">
        <v>0.49935853491550902</v>
      </c>
      <c r="H1242">
        <v>0.49369065720391098</v>
      </c>
      <c r="I1242">
        <v>0.50259434582895202</v>
      </c>
      <c r="J1242">
        <v>0.57527173088392103</v>
      </c>
      <c r="K1242">
        <v>0.45571510221787997</v>
      </c>
      <c r="L1242">
        <v>417.73440732189101</v>
      </c>
      <c r="M1242">
        <v>8.7629343869498904</v>
      </c>
      <c r="N1242">
        <v>62.412086878886697</v>
      </c>
      <c r="O1242">
        <v>45.383509402761902</v>
      </c>
      <c r="P1242">
        <v>-2.7203922008814298E-2</v>
      </c>
      <c r="Q1242">
        <v>0.43689254368729602</v>
      </c>
      <c r="R1242">
        <v>0.90457658003919095</v>
      </c>
      <c r="S1242" t="s">
        <v>6793</v>
      </c>
      <c r="T1242" t="s">
        <v>11100</v>
      </c>
      <c r="U1242" t="s">
        <v>11100</v>
      </c>
      <c r="V1242" t="s">
        <v>11100</v>
      </c>
      <c r="W1242" t="s">
        <v>12311</v>
      </c>
      <c r="X1242">
        <v>8</v>
      </c>
      <c r="Y1242" t="s">
        <v>17806</v>
      </c>
      <c r="Z1242" t="s">
        <v>23247</v>
      </c>
      <c r="AA1242">
        <v>0.66448088922693893</v>
      </c>
      <c r="AB1242" t="str">
        <f>HYPERLINK("Melting_Curves/meltCurve_O14763_2_TNFRSF10B.pdf", "Melting_Curves/meltCurve_O14763_2_TNFRSF10B.pdf")</f>
        <v>Melting_Curves/meltCurve_O14763_2_TNFRSF10B.pdf</v>
      </c>
    </row>
    <row r="1243" spans="1:28" x14ac:dyDescent="0.25">
      <c r="A1243" t="s">
        <v>1247</v>
      </c>
      <c r="B1243">
        <v>0.99299721793515405</v>
      </c>
      <c r="C1243">
        <v>1.2826896037567701</v>
      </c>
      <c r="D1243">
        <v>1.11243943281365</v>
      </c>
      <c r="E1243">
        <v>1.1215272219046999</v>
      </c>
      <c r="F1243">
        <v>0.83928047548848494</v>
      </c>
      <c r="G1243">
        <v>0.45586219255239302</v>
      </c>
      <c r="H1243">
        <v>0.31718345395997599</v>
      </c>
      <c r="I1243">
        <v>8.8234537608660402E-2</v>
      </c>
      <c r="J1243">
        <v>0.106661331726005</v>
      </c>
      <c r="K1243">
        <v>6.5133398259056702E-2</v>
      </c>
      <c r="L1243">
        <v>1323.15008479421</v>
      </c>
      <c r="M1243">
        <v>24.740476857139299</v>
      </c>
      <c r="N1243">
        <v>53.878678584841303</v>
      </c>
      <c r="O1243">
        <v>53.135460417864302</v>
      </c>
      <c r="P1243">
        <v>-0.106694348277661</v>
      </c>
      <c r="Q1243">
        <v>8.3417401839919594E-2</v>
      </c>
      <c r="R1243">
        <v>0.93911979938468504</v>
      </c>
      <c r="S1243" t="s">
        <v>6794</v>
      </c>
      <c r="T1243" t="s">
        <v>11100</v>
      </c>
      <c r="U1243" t="s">
        <v>11100</v>
      </c>
      <c r="V1243" t="s">
        <v>11100</v>
      </c>
      <c r="W1243" t="s">
        <v>12312</v>
      </c>
      <c r="X1243">
        <v>3</v>
      </c>
      <c r="Y1243" t="s">
        <v>17807</v>
      </c>
      <c r="Z1243" t="s">
        <v>23248</v>
      </c>
      <c r="AA1243">
        <v>0.59516874379932216</v>
      </c>
      <c r="AB1243" t="str">
        <f>HYPERLINK("Melting_Curves/meltCurve_O14772_FPGT.pdf", "Melting_Curves/meltCurve_O14772_FPGT.pdf")</f>
        <v>Melting_Curves/meltCurve_O14772_FPGT.pdf</v>
      </c>
    </row>
    <row r="1244" spans="1:28" x14ac:dyDescent="0.25">
      <c r="A1244" t="s">
        <v>1248</v>
      </c>
      <c r="B1244">
        <v>0.99299721793515405</v>
      </c>
      <c r="C1244">
        <v>0.72525021511000898</v>
      </c>
      <c r="D1244">
        <v>0.95740686432743305</v>
      </c>
      <c r="E1244">
        <v>0.62812522118215797</v>
      </c>
      <c r="F1244">
        <v>0.64104185116090096</v>
      </c>
      <c r="G1244">
        <v>0.62965978920996302</v>
      </c>
      <c r="H1244">
        <v>0.44832167277002599</v>
      </c>
      <c r="I1244">
        <v>0.38343549550792999</v>
      </c>
      <c r="J1244">
        <v>0.30351039967541199</v>
      </c>
      <c r="K1244">
        <v>0.38191291787347398</v>
      </c>
      <c r="L1244">
        <v>281.18987351831601</v>
      </c>
      <c r="M1244">
        <v>5.1679277848540401</v>
      </c>
      <c r="N1244">
        <v>56.038334690084298</v>
      </c>
      <c r="O1244">
        <v>47.847169445558798</v>
      </c>
      <c r="P1244">
        <v>-2.5257740888130299E-2</v>
      </c>
      <c r="Q1244">
        <v>6.9695489983744002E-2</v>
      </c>
      <c r="R1244">
        <v>0.85644940361252297</v>
      </c>
      <c r="S1244" t="s">
        <v>6795</v>
      </c>
      <c r="T1244" t="s">
        <v>11100</v>
      </c>
      <c r="U1244" t="s">
        <v>11100</v>
      </c>
      <c r="V1244" t="s">
        <v>11100</v>
      </c>
      <c r="W1244" t="s">
        <v>12313</v>
      </c>
      <c r="X1244">
        <v>3</v>
      </c>
      <c r="Y1244" t="s">
        <v>17808</v>
      </c>
      <c r="Z1244" t="s">
        <v>23249</v>
      </c>
      <c r="AA1244">
        <v>0.60595411909208208</v>
      </c>
      <c r="AB1244" t="str">
        <f>HYPERLINK("Melting_Curves/meltCurve_O14773_2_TPP1.pdf", "Melting_Curves/meltCurve_O14773_2_TPP1.pdf")</f>
        <v>Melting_Curves/meltCurve_O14773_2_TPP1.pdf</v>
      </c>
    </row>
    <row r="1245" spans="1:28" x14ac:dyDescent="0.25">
      <c r="A1245" t="s">
        <v>1249</v>
      </c>
      <c r="B1245">
        <v>0.99299721793515405</v>
      </c>
      <c r="C1245">
        <v>0.97118728085338502</v>
      </c>
      <c r="D1245">
        <v>0.97213464277480699</v>
      </c>
      <c r="E1245">
        <v>0.83999060620065902</v>
      </c>
      <c r="F1245">
        <v>0.63849690052408903</v>
      </c>
      <c r="G1245">
        <v>0.25269238848748599</v>
      </c>
      <c r="H1245">
        <v>0.19693072323132399</v>
      </c>
      <c r="I1245">
        <v>0.19286552432356199</v>
      </c>
      <c r="J1245">
        <v>0.165846392136659</v>
      </c>
      <c r="K1245">
        <v>0.12946231335487299</v>
      </c>
      <c r="L1245">
        <v>1146.16602807766</v>
      </c>
      <c r="M1245">
        <v>22.7671494800855</v>
      </c>
      <c r="N1245">
        <v>51.120343789567499</v>
      </c>
      <c r="O1245">
        <v>49.959396988116097</v>
      </c>
      <c r="P1245">
        <v>-9.7260580985751105E-2</v>
      </c>
      <c r="Q1245">
        <v>0.14631627681346601</v>
      </c>
      <c r="R1245">
        <v>0.99255761817745303</v>
      </c>
      <c r="S1245" t="s">
        <v>6796</v>
      </c>
      <c r="T1245" t="s">
        <v>11100</v>
      </c>
      <c r="U1245" t="s">
        <v>11100</v>
      </c>
      <c r="V1245" t="s">
        <v>11100</v>
      </c>
      <c r="W1245" t="s">
        <v>12314</v>
      </c>
      <c r="X1245">
        <v>36</v>
      </c>
      <c r="Y1245" t="s">
        <v>17809</v>
      </c>
      <c r="Z1245" t="s">
        <v>23250</v>
      </c>
      <c r="AA1245">
        <v>0.53492219986987377</v>
      </c>
      <c r="AB1245" t="str">
        <f>HYPERLINK("Melting_Curves/meltCurve_O14776_2_TCERG1.pdf", "Melting_Curves/meltCurve_O14776_2_TCERG1.pdf")</f>
        <v>Melting_Curves/meltCurve_O14776_2_TCERG1.pdf</v>
      </c>
    </row>
    <row r="1246" spans="1:28" x14ac:dyDescent="0.25">
      <c r="A1246" t="s">
        <v>1250</v>
      </c>
      <c r="B1246">
        <v>0.99299721793515405</v>
      </c>
      <c r="C1246">
        <v>0.98897749824731396</v>
      </c>
      <c r="D1246">
        <v>1.06578328990158</v>
      </c>
      <c r="E1246">
        <v>0.88274570089359905</v>
      </c>
      <c r="F1246">
        <v>0.39480016458205702</v>
      </c>
      <c r="G1246">
        <v>0.208184304686202</v>
      </c>
      <c r="H1246">
        <v>0.125859903950269</v>
      </c>
      <c r="I1246">
        <v>0.121283633029384</v>
      </c>
      <c r="J1246">
        <v>0.116234951487433</v>
      </c>
      <c r="K1246">
        <v>9.0403952443779606E-2</v>
      </c>
      <c r="L1246">
        <v>1650.42256637836</v>
      </c>
      <c r="M1246">
        <v>33.587640406892</v>
      </c>
      <c r="N1246">
        <v>49.540211941077601</v>
      </c>
      <c r="O1246">
        <v>48.964590566046098</v>
      </c>
      <c r="P1246">
        <v>-0.15101583706282101</v>
      </c>
      <c r="Q1246">
        <v>0.119390626750644</v>
      </c>
      <c r="R1246">
        <v>0.99484781306163395</v>
      </c>
      <c r="S1246" t="s">
        <v>6797</v>
      </c>
      <c r="T1246" t="s">
        <v>11100</v>
      </c>
      <c r="U1246" t="s">
        <v>11100</v>
      </c>
      <c r="V1246" t="s">
        <v>11100</v>
      </c>
      <c r="W1246" t="s">
        <v>12315</v>
      </c>
      <c r="X1246">
        <v>12</v>
      </c>
      <c r="Y1246" t="s">
        <v>17810</v>
      </c>
      <c r="Z1246" t="s">
        <v>23251</v>
      </c>
      <c r="AA1246">
        <v>0.4799275461904608</v>
      </c>
      <c r="AB1246" t="str">
        <f>HYPERLINK("Melting_Curves/meltCurve_O14777_NDC80.pdf", "Melting_Curves/meltCurve_O14777_NDC80.pdf")</f>
        <v>Melting_Curves/meltCurve_O14777_NDC80.pdf</v>
      </c>
    </row>
    <row r="1247" spans="1:28" x14ac:dyDescent="0.25">
      <c r="A1247" t="s">
        <v>1251</v>
      </c>
      <c r="B1247">
        <v>0.99299721793515405</v>
      </c>
      <c r="C1247">
        <v>1.0464310296636099</v>
      </c>
      <c r="D1247">
        <v>0.90619591822356504</v>
      </c>
      <c r="E1247">
        <v>0.87742262114583403</v>
      </c>
      <c r="F1247">
        <v>0.77049510580157099</v>
      </c>
      <c r="G1247">
        <v>0.28055140621959901</v>
      </c>
      <c r="H1247">
        <v>0.27735467726493801</v>
      </c>
      <c r="I1247">
        <v>0.20530367601389399</v>
      </c>
      <c r="J1247">
        <v>0.21369506227437499</v>
      </c>
      <c r="K1247">
        <v>8.3820500938258796E-2</v>
      </c>
      <c r="L1247">
        <v>1420.3568372674499</v>
      </c>
      <c r="M1247">
        <v>27.662847488436501</v>
      </c>
      <c r="N1247">
        <v>52.126008478725701</v>
      </c>
      <c r="O1247">
        <v>51.079212406139597</v>
      </c>
      <c r="P1247">
        <v>-0.112429624655262</v>
      </c>
      <c r="Q1247">
        <v>0.16960610517687</v>
      </c>
      <c r="R1247">
        <v>0.97053077560682099</v>
      </c>
      <c r="S1247" t="s">
        <v>6798</v>
      </c>
      <c r="T1247" t="s">
        <v>11100</v>
      </c>
      <c r="U1247" t="s">
        <v>11100</v>
      </c>
      <c r="V1247" t="s">
        <v>11100</v>
      </c>
      <c r="W1247" t="s">
        <v>12316</v>
      </c>
      <c r="X1247">
        <v>9</v>
      </c>
      <c r="Y1247" t="s">
        <v>17811</v>
      </c>
      <c r="Z1247" t="s">
        <v>23252</v>
      </c>
      <c r="AA1247">
        <v>0.57275513711699022</v>
      </c>
      <c r="AB1247" t="str">
        <f>HYPERLINK("Melting_Curves/meltCurve_O14787_2_TNPO2.pdf", "Melting_Curves/meltCurve_O14787_2_TNPO2.pdf")</f>
        <v>Melting_Curves/meltCurve_O14787_2_TNPO2.pdf</v>
      </c>
    </row>
    <row r="1248" spans="1:28" x14ac:dyDescent="0.25">
      <c r="A1248" t="s">
        <v>1252</v>
      </c>
      <c r="B1248">
        <v>0.99299721793515405</v>
      </c>
      <c r="C1248">
        <v>0.89390902923257198</v>
      </c>
      <c r="D1248">
        <v>1.02963893688599</v>
      </c>
      <c r="E1248">
        <v>0.80554869773629101</v>
      </c>
      <c r="F1248">
        <v>0.69541495946224696</v>
      </c>
      <c r="G1248">
        <v>0.46398713051895402</v>
      </c>
      <c r="H1248">
        <v>0.462629402916092</v>
      </c>
      <c r="I1248">
        <v>0.58159359495109997</v>
      </c>
      <c r="J1248">
        <v>0.69256984985413195</v>
      </c>
      <c r="K1248">
        <v>0.68122523484435604</v>
      </c>
      <c r="L1248">
        <v>1532.41664135361</v>
      </c>
      <c r="M1248">
        <v>32.529866719811103</v>
      </c>
      <c r="O1248">
        <v>46.931026406932503</v>
      </c>
      <c r="P1248">
        <v>-7.2007865535894694E-2</v>
      </c>
      <c r="Q1248">
        <v>0.58445723969635299</v>
      </c>
      <c r="R1248">
        <v>0.80569737839522204</v>
      </c>
      <c r="S1248" t="s">
        <v>6799</v>
      </c>
      <c r="T1248" t="s">
        <v>11100</v>
      </c>
      <c r="U1248" t="s">
        <v>11100</v>
      </c>
      <c r="V1248" t="s">
        <v>11100</v>
      </c>
      <c r="W1248" t="s">
        <v>12317</v>
      </c>
      <c r="X1248">
        <v>4</v>
      </c>
      <c r="Y1248" t="s">
        <v>17812</v>
      </c>
      <c r="Z1248" t="s">
        <v>23253</v>
      </c>
      <c r="AA1248">
        <v>0.72652203415593075</v>
      </c>
      <c r="AB1248" t="str">
        <f>HYPERLINK("Melting_Curves/meltCurve_O14810_CPLX1.pdf", "Melting_Curves/meltCurve_O14810_CPLX1.pdf")</f>
        <v>Melting_Curves/meltCurve_O14810_CPLX1.pdf</v>
      </c>
    </row>
    <row r="1249" spans="1:28" x14ac:dyDescent="0.25">
      <c r="A1249" t="s">
        <v>1253</v>
      </c>
      <c r="B1249">
        <v>0.99299721793515405</v>
      </c>
      <c r="C1249">
        <v>0.996939436310323</v>
      </c>
      <c r="D1249">
        <v>0.98336595190072695</v>
      </c>
      <c r="E1249">
        <v>0.93698618217267404</v>
      </c>
      <c r="F1249">
        <v>0.70700169814383895</v>
      </c>
      <c r="G1249">
        <v>0.40109654014700602</v>
      </c>
      <c r="H1249">
        <v>0.49753756554916301</v>
      </c>
      <c r="I1249">
        <v>0.51054355752124403</v>
      </c>
      <c r="J1249">
        <v>0.59226335930603402</v>
      </c>
      <c r="K1249">
        <v>0.61557347727897405</v>
      </c>
      <c r="L1249">
        <v>12526.535814929701</v>
      </c>
      <c r="M1249">
        <v>250</v>
      </c>
      <c r="O1249">
        <v>50.102938042173498</v>
      </c>
      <c r="P1249">
        <v>-0.59452241170269005</v>
      </c>
      <c r="Q1249">
        <v>0.52340289944904195</v>
      </c>
      <c r="R1249">
        <v>0.93196703306045803</v>
      </c>
      <c r="S1249" t="s">
        <v>6800</v>
      </c>
      <c r="T1249" t="s">
        <v>11100</v>
      </c>
      <c r="U1249" t="s">
        <v>11100</v>
      </c>
      <c r="V1249" t="s">
        <v>11100</v>
      </c>
      <c r="W1249" t="s">
        <v>12318</v>
      </c>
      <c r="X1249">
        <v>13</v>
      </c>
      <c r="Y1249" t="s">
        <v>17813</v>
      </c>
      <c r="Z1249" t="s">
        <v>23254</v>
      </c>
      <c r="AA1249">
        <v>0.7316564718203874</v>
      </c>
      <c r="AB1249" t="str">
        <f>HYPERLINK("Melting_Curves/meltCurve_O14818_PSMA7.pdf", "Melting_Curves/meltCurve_O14818_PSMA7.pdf")</f>
        <v>Melting_Curves/meltCurve_O14818_PSMA7.pdf</v>
      </c>
    </row>
    <row r="1250" spans="1:28" x14ac:dyDescent="0.25">
      <c r="A1250" t="s">
        <v>1254</v>
      </c>
      <c r="B1250">
        <v>0.99299721793515405</v>
      </c>
      <c r="C1250">
        <v>1.04831555390992</v>
      </c>
      <c r="D1250">
        <v>1.1123365274377801</v>
      </c>
      <c r="E1250">
        <v>0.94374123402187404</v>
      </c>
      <c r="F1250">
        <v>0.78238435059754896</v>
      </c>
      <c r="G1250">
        <v>0.64181795323028401</v>
      </c>
      <c r="H1250">
        <v>0.54893751299411297</v>
      </c>
      <c r="I1250">
        <v>0.61594645258074798</v>
      </c>
      <c r="J1250">
        <v>0.67196212104714204</v>
      </c>
      <c r="K1250">
        <v>0.55037434654334705</v>
      </c>
      <c r="L1250">
        <v>1633.17643948203</v>
      </c>
      <c r="M1250">
        <v>32.734206025055897</v>
      </c>
      <c r="O1250">
        <v>49.706948717764298</v>
      </c>
      <c r="P1250">
        <v>-6.62293156996525E-2</v>
      </c>
      <c r="Q1250">
        <v>0.59772453422358895</v>
      </c>
      <c r="R1250">
        <v>0.93537245871461805</v>
      </c>
      <c r="S1250" t="s">
        <v>6801</v>
      </c>
      <c r="T1250" t="s">
        <v>11100</v>
      </c>
      <c r="U1250" t="s">
        <v>11100</v>
      </c>
      <c r="V1250" t="s">
        <v>11100</v>
      </c>
      <c r="W1250" t="s">
        <v>12319</v>
      </c>
      <c r="X1250">
        <v>11</v>
      </c>
      <c r="Y1250" t="s">
        <v>17814</v>
      </c>
      <c r="Z1250" t="s">
        <v>23255</v>
      </c>
      <c r="AA1250">
        <v>0.77266830601846914</v>
      </c>
      <c r="AB1250" t="str">
        <f>HYPERLINK("Melting_Curves/meltCurve_O14828_SCAMP3.pdf", "Melting_Curves/meltCurve_O14828_SCAMP3.pdf")</f>
        <v>Melting_Curves/meltCurve_O14828_SCAMP3.pdf</v>
      </c>
    </row>
    <row r="1251" spans="1:28" x14ac:dyDescent="0.25">
      <c r="A1251" t="s">
        <v>1255</v>
      </c>
      <c r="B1251">
        <v>0.99299721793515405</v>
      </c>
      <c r="C1251">
        <v>0.97009325927943202</v>
      </c>
      <c r="D1251">
        <v>0.85977762408012104</v>
      </c>
      <c r="E1251">
        <v>0.85755169858255997</v>
      </c>
      <c r="F1251">
        <v>0.77145590850442403</v>
      </c>
      <c r="G1251">
        <v>0.50277865767864904</v>
      </c>
      <c r="H1251">
        <v>0.69225954069292694</v>
      </c>
      <c r="I1251">
        <v>0.74660248829050302</v>
      </c>
      <c r="J1251">
        <v>0.75279723179959401</v>
      </c>
      <c r="K1251">
        <v>0.54456915999101096</v>
      </c>
      <c r="L1251">
        <v>700.60084629442804</v>
      </c>
      <c r="M1251">
        <v>15.2591346093169</v>
      </c>
      <c r="O1251">
        <v>45.146648183022599</v>
      </c>
      <c r="P1251">
        <v>-2.9707219938838798E-2</v>
      </c>
      <c r="Q1251">
        <v>0.64845851152775003</v>
      </c>
      <c r="R1251">
        <v>0.70184579626740096</v>
      </c>
      <c r="S1251" t="s">
        <v>6802</v>
      </c>
      <c r="T1251" t="s">
        <v>11100</v>
      </c>
      <c r="U1251" t="s">
        <v>11100</v>
      </c>
      <c r="V1251" t="s">
        <v>11100</v>
      </c>
      <c r="W1251" t="s">
        <v>12320</v>
      </c>
      <c r="X1251">
        <v>8</v>
      </c>
      <c r="Y1251" t="s">
        <v>17815</v>
      </c>
      <c r="Z1251" t="s">
        <v>23256</v>
      </c>
      <c r="AA1251">
        <v>0.76077245210684652</v>
      </c>
      <c r="AB1251" t="str">
        <f>HYPERLINK("Melting_Curves/meltCurve_O14867_BACH1.pdf", "Melting_Curves/meltCurve_O14867_BACH1.pdf")</f>
        <v>Melting_Curves/meltCurve_O14867_BACH1.pdf</v>
      </c>
    </row>
    <row r="1252" spans="1:28" x14ac:dyDescent="0.25">
      <c r="A1252" t="s">
        <v>1256</v>
      </c>
      <c r="B1252">
        <v>0.99299721793515405</v>
      </c>
      <c r="C1252">
        <v>0.98981692378049102</v>
      </c>
      <c r="D1252">
        <v>0.84492143392413099</v>
      </c>
      <c r="E1252">
        <v>0.96040611931203101</v>
      </c>
      <c r="F1252">
        <v>0.91286820825636406</v>
      </c>
      <c r="G1252">
        <v>0.71869990323004096</v>
      </c>
      <c r="H1252">
        <v>0.73313951851194004</v>
      </c>
      <c r="I1252">
        <v>0.54757599962123704</v>
      </c>
      <c r="J1252">
        <v>0.58880974029023803</v>
      </c>
      <c r="K1252">
        <v>0.25692091866237898</v>
      </c>
      <c r="L1252">
        <v>495.26702012867401</v>
      </c>
      <c r="M1252">
        <v>7.8761439786031904</v>
      </c>
      <c r="N1252">
        <v>62.881914513780103</v>
      </c>
      <c r="O1252">
        <v>59.215322788227603</v>
      </c>
      <c r="P1252">
        <v>-3.3292009863978303E-2</v>
      </c>
      <c r="Q1252">
        <v>0</v>
      </c>
      <c r="R1252">
        <v>0.88589967626857202</v>
      </c>
      <c r="S1252" t="s">
        <v>6803</v>
      </c>
      <c r="T1252" t="s">
        <v>11100</v>
      </c>
      <c r="U1252" t="s">
        <v>11100</v>
      </c>
      <c r="V1252" t="s">
        <v>11100</v>
      </c>
      <c r="W1252" t="s">
        <v>12321</v>
      </c>
      <c r="X1252">
        <v>4</v>
      </c>
      <c r="Y1252" t="s">
        <v>17816</v>
      </c>
      <c r="Z1252" t="s">
        <v>23257</v>
      </c>
      <c r="AA1252">
        <v>0.77889926473344684</v>
      </c>
      <c r="AB1252" t="str">
        <f>HYPERLINK("Melting_Curves/meltCurve_O14893_2_GEMIN2.pdf", "Melting_Curves/meltCurve_O14893_2_GEMIN2.pdf")</f>
        <v>Melting_Curves/meltCurve_O14893_2_GEMIN2.pdf</v>
      </c>
    </row>
    <row r="1253" spans="1:28" x14ac:dyDescent="0.25">
      <c r="A1253" t="s">
        <v>1257</v>
      </c>
      <c r="B1253">
        <v>0.99299721793515405</v>
      </c>
      <c r="C1253">
        <v>1.06727801995308</v>
      </c>
      <c r="D1253">
        <v>0.95474635369772298</v>
      </c>
      <c r="E1253">
        <v>0.99637042796419695</v>
      </c>
      <c r="F1253">
        <v>0.637959313079553</v>
      </c>
      <c r="G1253">
        <v>0.55234657871727599</v>
      </c>
      <c r="H1253">
        <v>0.691632163969923</v>
      </c>
      <c r="I1253">
        <v>0.35681087203349998</v>
      </c>
      <c r="J1253">
        <v>0.153562330190815</v>
      </c>
      <c r="K1253">
        <v>4.5224779592898598E-2</v>
      </c>
      <c r="L1253">
        <v>603.12764363206702</v>
      </c>
      <c r="M1253">
        <v>10.651932101351999</v>
      </c>
      <c r="N1253">
        <v>56.621431502664997</v>
      </c>
      <c r="O1253">
        <v>54.735202503566597</v>
      </c>
      <c r="P1253">
        <v>-4.8670684676008297E-2</v>
      </c>
      <c r="Q1253">
        <v>0</v>
      </c>
      <c r="R1253">
        <v>0.90283560184504497</v>
      </c>
      <c r="S1253" t="s">
        <v>6804</v>
      </c>
      <c r="T1253" t="s">
        <v>11100</v>
      </c>
      <c r="U1253" t="s">
        <v>11100</v>
      </c>
      <c r="V1253" t="s">
        <v>11100</v>
      </c>
      <c r="W1253" t="s">
        <v>12322</v>
      </c>
      <c r="X1253">
        <v>3</v>
      </c>
      <c r="Y1253" t="s">
        <v>17817</v>
      </c>
      <c r="Z1253" t="s">
        <v>23258</v>
      </c>
      <c r="AA1253">
        <v>0.65786129325860065</v>
      </c>
      <c r="AB1253" t="str">
        <f>HYPERLINK("Melting_Curves/meltCurve_O14907_TAX1BP3.pdf", "Melting_Curves/meltCurve_O14907_TAX1BP3.pdf")</f>
        <v>Melting_Curves/meltCurve_O14907_TAX1BP3.pdf</v>
      </c>
    </row>
    <row r="1254" spans="1:28" x14ac:dyDescent="0.25">
      <c r="A1254" t="s">
        <v>1258</v>
      </c>
      <c r="B1254">
        <v>0.99299721793515405</v>
      </c>
      <c r="C1254">
        <v>0.90717860882782997</v>
      </c>
      <c r="D1254">
        <v>0.95193157888648605</v>
      </c>
      <c r="E1254">
        <v>0.801521570306297</v>
      </c>
      <c r="F1254">
        <v>0.58883852227873001</v>
      </c>
      <c r="G1254">
        <v>0.26151327115742001</v>
      </c>
      <c r="H1254">
        <v>8.8068237722764495E-2</v>
      </c>
      <c r="I1254">
        <v>8.2842169748646097E-2</v>
      </c>
      <c r="J1254">
        <v>6.37455964777498E-2</v>
      </c>
      <c r="K1254">
        <v>4.2174479688963797E-2</v>
      </c>
      <c r="L1254">
        <v>896.67039040753798</v>
      </c>
      <c r="M1254">
        <v>17.7193347966553</v>
      </c>
      <c r="N1254">
        <v>50.744923766294697</v>
      </c>
      <c r="O1254">
        <v>49.972730605197697</v>
      </c>
      <c r="P1254">
        <v>-8.6522325181243406E-2</v>
      </c>
      <c r="Q1254">
        <v>2.3997079135172499E-2</v>
      </c>
      <c r="R1254">
        <v>0.99197947404904696</v>
      </c>
      <c r="S1254" t="s">
        <v>6805</v>
      </c>
      <c r="T1254" t="s">
        <v>11100</v>
      </c>
      <c r="U1254" t="s">
        <v>11100</v>
      </c>
      <c r="V1254" t="s">
        <v>11100</v>
      </c>
      <c r="W1254" t="s">
        <v>12323</v>
      </c>
      <c r="X1254">
        <v>9</v>
      </c>
      <c r="Y1254" t="s">
        <v>17818</v>
      </c>
      <c r="Z1254" t="s">
        <v>23259</v>
      </c>
      <c r="AA1254">
        <v>0.4822135768330813</v>
      </c>
      <c r="AB1254" t="str">
        <f>HYPERLINK("Melting_Curves/meltCurve_O14908_GIPC1.pdf", "Melting_Curves/meltCurve_O14908_GIPC1.pdf")</f>
        <v>Melting_Curves/meltCurve_O14908_GIPC1.pdf</v>
      </c>
    </row>
    <row r="1255" spans="1:28" x14ac:dyDescent="0.25">
      <c r="A1255" t="s">
        <v>1259</v>
      </c>
      <c r="B1255">
        <v>0.99299721793515405</v>
      </c>
      <c r="C1255">
        <v>0.91816512153212104</v>
      </c>
      <c r="D1255">
        <v>0.87889252616517599</v>
      </c>
      <c r="E1255">
        <v>0.89402445038551204</v>
      </c>
      <c r="F1255">
        <v>0.70179040806124904</v>
      </c>
      <c r="G1255">
        <v>0.57543669652112495</v>
      </c>
      <c r="H1255">
        <v>0.25311562160300399</v>
      </c>
      <c r="I1255">
        <v>0.22602893109626901</v>
      </c>
      <c r="J1255">
        <v>0.20579975821793201</v>
      </c>
      <c r="K1255">
        <v>0.13917809190452399</v>
      </c>
      <c r="L1255">
        <v>648.56140917390906</v>
      </c>
      <c r="M1255">
        <v>12.156164869614299</v>
      </c>
      <c r="N1255">
        <v>53.959647949469897</v>
      </c>
      <c r="O1255">
        <v>51.9702335132569</v>
      </c>
      <c r="P1255">
        <v>-5.4751295860663199E-2</v>
      </c>
      <c r="Q1255">
        <v>6.3920103374902795E-2</v>
      </c>
      <c r="R1255">
        <v>0.97670496790418804</v>
      </c>
      <c r="S1255" t="s">
        <v>6806</v>
      </c>
      <c r="T1255" t="s">
        <v>11100</v>
      </c>
      <c r="U1255" t="s">
        <v>11100</v>
      </c>
      <c r="V1255" t="s">
        <v>11100</v>
      </c>
      <c r="W1255" t="s">
        <v>12324</v>
      </c>
      <c r="X1255">
        <v>5</v>
      </c>
      <c r="Y1255" t="s">
        <v>17819</v>
      </c>
      <c r="Z1255" t="s">
        <v>23260</v>
      </c>
      <c r="AA1255">
        <v>0.59280119940799425</v>
      </c>
      <c r="AB1255" t="str">
        <f>HYPERLINK("Melting_Curves/meltCurve_O14910_LIN7A.pdf", "Melting_Curves/meltCurve_O14910_LIN7A.pdf")</f>
        <v>Melting_Curves/meltCurve_O14910_LIN7A.pdf</v>
      </c>
    </row>
    <row r="1256" spans="1:28" x14ac:dyDescent="0.25">
      <c r="A1256" t="s">
        <v>1260</v>
      </c>
      <c r="B1256">
        <v>0.99299721793515405</v>
      </c>
      <c r="C1256">
        <v>0.95047850434319103</v>
      </c>
      <c r="D1256">
        <v>0.90020340779445096</v>
      </c>
      <c r="E1256">
        <v>0.83444522688969303</v>
      </c>
      <c r="F1256">
        <v>0.69028061834825305</v>
      </c>
      <c r="G1256">
        <v>0.41359191367609099</v>
      </c>
      <c r="H1256">
        <v>0.413331491813201</v>
      </c>
      <c r="I1256">
        <v>0.41287198405905401</v>
      </c>
      <c r="J1256">
        <v>0.51679840606634897</v>
      </c>
      <c r="K1256">
        <v>0.37501592024706998</v>
      </c>
      <c r="L1256">
        <v>922.07481580170202</v>
      </c>
      <c r="M1256">
        <v>18.881563565003798</v>
      </c>
      <c r="N1256">
        <v>53.606532541290001</v>
      </c>
      <c r="O1256">
        <v>48.296760571023803</v>
      </c>
      <c r="P1256">
        <v>-5.7971716935312598E-2</v>
      </c>
      <c r="Q1256">
        <v>0.40688537264190799</v>
      </c>
      <c r="R1256">
        <v>0.95035872657774001</v>
      </c>
      <c r="S1256" t="s">
        <v>6807</v>
      </c>
      <c r="T1256" t="s">
        <v>11100</v>
      </c>
      <c r="U1256" t="s">
        <v>11100</v>
      </c>
      <c r="V1256" t="s">
        <v>11100</v>
      </c>
      <c r="W1256" t="s">
        <v>12325</v>
      </c>
      <c r="X1256">
        <v>8</v>
      </c>
      <c r="Y1256" t="s">
        <v>17820</v>
      </c>
      <c r="Z1256" t="s">
        <v>23261</v>
      </c>
      <c r="AA1256">
        <v>0.64953426741498954</v>
      </c>
      <c r="AB1256" t="str">
        <f>HYPERLINK("Melting_Curves/meltCurve_O14920_IKBKB.pdf", "Melting_Curves/meltCurve_O14920_IKBKB.pdf")</f>
        <v>Melting_Curves/meltCurve_O14920_IKBKB.pdf</v>
      </c>
    </row>
    <row r="1257" spans="1:28" x14ac:dyDescent="0.25">
      <c r="A1257" t="s">
        <v>1261</v>
      </c>
      <c r="B1257">
        <v>0.99299721793515405</v>
      </c>
      <c r="C1257">
        <v>1.0547329606348199</v>
      </c>
      <c r="D1257">
        <v>0.96691348431395596</v>
      </c>
      <c r="E1257">
        <v>0.94065065860731401</v>
      </c>
      <c r="F1257">
        <v>0.75738596975870198</v>
      </c>
      <c r="G1257">
        <v>0.62232995590714302</v>
      </c>
      <c r="H1257">
        <v>0.64476649943582798</v>
      </c>
      <c r="I1257">
        <v>0.66889666047948804</v>
      </c>
      <c r="J1257">
        <v>0.80218313704688105</v>
      </c>
      <c r="K1257">
        <v>0.64606858071795403</v>
      </c>
      <c r="L1257">
        <v>1918.33987287428</v>
      </c>
      <c r="M1257">
        <v>39.562824967061303</v>
      </c>
      <c r="O1257">
        <v>48.365055661310699</v>
      </c>
      <c r="P1257">
        <v>-6.5935853682861395E-2</v>
      </c>
      <c r="Q1257">
        <v>0.67757769290890602</v>
      </c>
      <c r="R1257">
        <v>0.89591140888759802</v>
      </c>
      <c r="S1257" t="s">
        <v>6808</v>
      </c>
      <c r="T1257" t="s">
        <v>11100</v>
      </c>
      <c r="U1257" t="s">
        <v>11100</v>
      </c>
      <c r="V1257" t="s">
        <v>11100</v>
      </c>
      <c r="W1257" t="s">
        <v>12326</v>
      </c>
      <c r="X1257">
        <v>5</v>
      </c>
      <c r="Y1257" t="s">
        <v>17821</v>
      </c>
      <c r="Z1257" t="s">
        <v>23262</v>
      </c>
      <c r="AA1257">
        <v>0.80215347812382076</v>
      </c>
      <c r="AB1257" t="str">
        <f>HYPERLINK("Melting_Curves/meltCurve_O14925_TIMM23.pdf", "Melting_Curves/meltCurve_O14925_TIMM23.pdf")</f>
        <v>Melting_Curves/meltCurve_O14925_TIMM23.pdf</v>
      </c>
    </row>
    <row r="1258" spans="1:28" x14ac:dyDescent="0.25">
      <c r="A1258" t="s">
        <v>1262</v>
      </c>
      <c r="B1258">
        <v>0.99299721793515405</v>
      </c>
      <c r="C1258">
        <v>1.0388963652071499</v>
      </c>
      <c r="D1258">
        <v>0.93599479125713403</v>
      </c>
      <c r="E1258">
        <v>0.964990417657</v>
      </c>
      <c r="F1258">
        <v>0.78176907388258798</v>
      </c>
      <c r="G1258">
        <v>0.50076730890063903</v>
      </c>
      <c r="H1258">
        <v>0.193982362703359</v>
      </c>
      <c r="I1258">
        <v>0.16037886874443799</v>
      </c>
      <c r="J1258">
        <v>0.14589978683260399</v>
      </c>
      <c r="K1258">
        <v>0.113740719770537</v>
      </c>
      <c r="L1258">
        <v>1208.1568319083001</v>
      </c>
      <c r="M1258">
        <v>22.847162316698</v>
      </c>
      <c r="N1258">
        <v>53.468008374696502</v>
      </c>
      <c r="O1258">
        <v>52.479837110061901</v>
      </c>
      <c r="P1258">
        <v>-9.6748049764318902E-2</v>
      </c>
      <c r="Q1258">
        <v>0.111097631526566</v>
      </c>
      <c r="R1258">
        <v>0.99395420076585195</v>
      </c>
      <c r="S1258" t="s">
        <v>6809</v>
      </c>
      <c r="T1258" t="s">
        <v>11100</v>
      </c>
      <c r="U1258" t="s">
        <v>11100</v>
      </c>
      <c r="V1258" t="s">
        <v>11100</v>
      </c>
      <c r="W1258" t="s">
        <v>12327</v>
      </c>
      <c r="X1258">
        <v>22</v>
      </c>
      <c r="Y1258" t="s">
        <v>17822</v>
      </c>
      <c r="Z1258" t="s">
        <v>23263</v>
      </c>
      <c r="AA1258">
        <v>0.59076825982110948</v>
      </c>
      <c r="AB1258" t="str">
        <f>HYPERLINK("Melting_Curves/meltCurve_O14929_HAT1.pdf", "Melting_Curves/meltCurve_O14929_HAT1.pdf")</f>
        <v>Melting_Curves/meltCurve_O14929_HAT1.pdf</v>
      </c>
    </row>
    <row r="1259" spans="1:28" x14ac:dyDescent="0.25">
      <c r="A1259" t="s">
        <v>1263</v>
      </c>
      <c r="B1259">
        <v>0.99299721793515405</v>
      </c>
      <c r="C1259">
        <v>0.91973653823021095</v>
      </c>
      <c r="D1259">
        <v>0.88534966598009601</v>
      </c>
      <c r="E1259">
        <v>0.82182516756610202</v>
      </c>
      <c r="F1259">
        <v>0.72064448751041299</v>
      </c>
      <c r="G1259">
        <v>0.63527132915534601</v>
      </c>
      <c r="H1259">
        <v>0.48680553147904099</v>
      </c>
      <c r="I1259">
        <v>0.28963436265083897</v>
      </c>
      <c r="J1259">
        <v>0.21796374933875701</v>
      </c>
      <c r="K1259">
        <v>0.17183656389594701</v>
      </c>
      <c r="L1259">
        <v>480.21377229192001</v>
      </c>
      <c r="M1259">
        <v>8.6021474159266305</v>
      </c>
      <c r="N1259">
        <v>55.824871080806901</v>
      </c>
      <c r="O1259">
        <v>53.053653901875499</v>
      </c>
      <c r="P1259">
        <v>-4.0570052150403102E-2</v>
      </c>
      <c r="Q1259">
        <v>0</v>
      </c>
      <c r="R1259">
        <v>0.98502391001961398</v>
      </c>
      <c r="S1259" t="s">
        <v>6810</v>
      </c>
      <c r="T1259" t="s">
        <v>11100</v>
      </c>
      <c r="U1259" t="s">
        <v>11100</v>
      </c>
      <c r="V1259" t="s">
        <v>11100</v>
      </c>
      <c r="W1259" t="s">
        <v>12328</v>
      </c>
      <c r="X1259">
        <v>10</v>
      </c>
      <c r="Y1259" t="s">
        <v>17823</v>
      </c>
      <c r="Z1259" t="s">
        <v>23264</v>
      </c>
      <c r="AA1259">
        <v>0.63008598382981706</v>
      </c>
      <c r="AB1259" t="str">
        <f>HYPERLINK("Melting_Curves/meltCurve_O14936_3_CASK.pdf", "Melting_Curves/meltCurve_O14936_3_CASK.pdf")</f>
        <v>Melting_Curves/meltCurve_O14936_3_CASK.pdf</v>
      </c>
    </row>
    <row r="1260" spans="1:28" x14ac:dyDescent="0.25">
      <c r="A1260" t="s">
        <v>1264</v>
      </c>
      <c r="B1260">
        <v>0.99299721793515405</v>
      </c>
      <c r="C1260">
        <v>0.86026035560404002</v>
      </c>
      <c r="D1260">
        <v>0.96247648723607104</v>
      </c>
      <c r="E1260">
        <v>0.80308074393874396</v>
      </c>
      <c r="F1260">
        <v>0.73358995701196805</v>
      </c>
      <c r="G1260">
        <v>0.48980308032668501</v>
      </c>
      <c r="H1260">
        <v>0.21409025338700999</v>
      </c>
      <c r="I1260">
        <v>0.16768618346561801</v>
      </c>
      <c r="J1260">
        <v>0.14172191669470099</v>
      </c>
      <c r="K1260">
        <v>0.11042849418242499</v>
      </c>
      <c r="L1260">
        <v>682.31696100401598</v>
      </c>
      <c r="M1260">
        <v>12.9154714886026</v>
      </c>
      <c r="N1260">
        <v>53.104053529065197</v>
      </c>
      <c r="O1260">
        <v>51.611001900711798</v>
      </c>
      <c r="P1260">
        <v>-6.05516443689618E-2</v>
      </c>
      <c r="Q1260">
        <v>3.2303066063333802E-2</v>
      </c>
      <c r="R1260">
        <v>0.97548152571017699</v>
      </c>
      <c r="S1260" t="s">
        <v>6811</v>
      </c>
      <c r="T1260" t="s">
        <v>11100</v>
      </c>
      <c r="U1260" t="s">
        <v>11100</v>
      </c>
      <c r="V1260" t="s">
        <v>11100</v>
      </c>
      <c r="W1260" t="s">
        <v>12329</v>
      </c>
      <c r="X1260">
        <v>18</v>
      </c>
      <c r="Y1260" t="s">
        <v>17824</v>
      </c>
      <c r="Z1260" t="s">
        <v>23265</v>
      </c>
      <c r="AA1260">
        <v>0.56281037265084632</v>
      </c>
      <c r="AB1260" t="str">
        <f>HYPERLINK("Melting_Curves/meltCurve_O14964_HGS.pdf", "Melting_Curves/meltCurve_O14964_HGS.pdf")</f>
        <v>Melting_Curves/meltCurve_O14964_HGS.pdf</v>
      </c>
    </row>
    <row r="1261" spans="1:28" x14ac:dyDescent="0.25">
      <c r="A1261" t="s">
        <v>1265</v>
      </c>
      <c r="B1261">
        <v>0.99299721793515405</v>
      </c>
      <c r="C1261">
        <v>1.10908493760067</v>
      </c>
      <c r="D1261">
        <v>0.91636720123473903</v>
      </c>
      <c r="E1261">
        <v>0.88015604136563297</v>
      </c>
      <c r="F1261">
        <v>0.70542249208110397</v>
      </c>
      <c r="G1261">
        <v>0.52733093233157102</v>
      </c>
      <c r="H1261">
        <v>0.25336903597486898</v>
      </c>
      <c r="I1261">
        <v>0.147419091974896</v>
      </c>
      <c r="J1261">
        <v>0.192356574769976</v>
      </c>
      <c r="K1261">
        <v>0.142595267182513</v>
      </c>
      <c r="L1261">
        <v>827.52997451265298</v>
      </c>
      <c r="M1261">
        <v>15.7255429835526</v>
      </c>
      <c r="N1261">
        <v>53.397165117984301</v>
      </c>
      <c r="O1261">
        <v>51.7943672269312</v>
      </c>
      <c r="P1261">
        <v>-6.8174884983749795E-2</v>
      </c>
      <c r="Q1261">
        <v>0.101899722465795</v>
      </c>
      <c r="R1261">
        <v>0.98070462996118302</v>
      </c>
      <c r="S1261" t="s">
        <v>6812</v>
      </c>
      <c r="T1261" t="s">
        <v>11100</v>
      </c>
      <c r="U1261" t="s">
        <v>11100</v>
      </c>
      <c r="V1261" t="s">
        <v>11100</v>
      </c>
      <c r="W1261" t="s">
        <v>12330</v>
      </c>
      <c r="X1261">
        <v>4</v>
      </c>
      <c r="Y1261" t="s">
        <v>17825</v>
      </c>
      <c r="Z1261" t="s">
        <v>23266</v>
      </c>
      <c r="AA1261">
        <v>0.5852895412422453</v>
      </c>
      <c r="AB1261" t="str">
        <f>HYPERLINK("Melting_Curves/meltCurve_O14965_AURKA.pdf", "Melting_Curves/meltCurve_O14965_AURKA.pdf")</f>
        <v>Melting_Curves/meltCurve_O14965_AURKA.pdf</v>
      </c>
    </row>
    <row r="1262" spans="1:28" x14ac:dyDescent="0.25">
      <c r="A1262" t="s">
        <v>1266</v>
      </c>
      <c r="B1262">
        <v>0.99299721793515405</v>
      </c>
      <c r="C1262">
        <v>0.96406443619262805</v>
      </c>
      <c r="D1262">
        <v>1.0579484428169801</v>
      </c>
      <c r="E1262">
        <v>0.84109433661046396</v>
      </c>
      <c r="F1262">
        <v>0.729250309037623</v>
      </c>
      <c r="G1262">
        <v>0.58116851910693801</v>
      </c>
      <c r="H1262">
        <v>0.30657116934262701</v>
      </c>
      <c r="I1262">
        <v>0.18830911928194199</v>
      </c>
      <c r="J1262">
        <v>0.196270990774463</v>
      </c>
      <c r="K1262">
        <v>0.19918691707195399</v>
      </c>
      <c r="L1262">
        <v>803.76348822115597</v>
      </c>
      <c r="M1262">
        <v>15.1560230457497</v>
      </c>
      <c r="N1262">
        <v>54.106765865060297</v>
      </c>
      <c r="O1262">
        <v>52.135078215994298</v>
      </c>
      <c r="P1262">
        <v>-6.3240820103081796E-2</v>
      </c>
      <c r="Q1262">
        <v>0.12991844880352699</v>
      </c>
      <c r="R1262">
        <v>0.98234514333131795</v>
      </c>
      <c r="S1262" t="s">
        <v>6813</v>
      </c>
      <c r="T1262" t="s">
        <v>11100</v>
      </c>
      <c r="U1262" t="s">
        <v>11100</v>
      </c>
      <c r="V1262" t="s">
        <v>11100</v>
      </c>
      <c r="W1262" t="s">
        <v>12331</v>
      </c>
      <c r="X1262">
        <v>2</v>
      </c>
      <c r="Y1262" t="s">
        <v>17826</v>
      </c>
      <c r="Z1262" t="s">
        <v>23267</v>
      </c>
      <c r="AA1262">
        <v>0.6102419432883267</v>
      </c>
      <c r="AB1262" t="str">
        <f>HYPERLINK("Melting_Curves/meltCurve_O14966_2_RAB7L1.pdf", "Melting_Curves/meltCurve_O14966_2_RAB7L1.pdf")</f>
        <v>Melting_Curves/meltCurve_O14966_2_RAB7L1.pdf</v>
      </c>
    </row>
    <row r="1263" spans="1:28" x14ac:dyDescent="0.25">
      <c r="A1263" t="s">
        <v>1267</v>
      </c>
      <c r="B1263">
        <v>0.99299721793515405</v>
      </c>
      <c r="C1263">
        <v>0.74442153612710704</v>
      </c>
      <c r="D1263">
        <v>0.91521682820722206</v>
      </c>
      <c r="E1263">
        <v>0.747587218893772</v>
      </c>
      <c r="F1263">
        <v>0.81485081693959904</v>
      </c>
      <c r="G1263">
        <v>0.29079105041541398</v>
      </c>
      <c r="H1263">
        <v>0.320770291876534</v>
      </c>
      <c r="I1263">
        <v>0.246120629801971</v>
      </c>
      <c r="J1263">
        <v>0.27114036542597503</v>
      </c>
      <c r="K1263">
        <v>0.20236943176233901</v>
      </c>
      <c r="L1263">
        <v>492.50747221038802</v>
      </c>
      <c r="M1263">
        <v>9.5585908296047997</v>
      </c>
      <c r="N1263">
        <v>52.760392252235299</v>
      </c>
      <c r="O1263">
        <v>49.421257427258702</v>
      </c>
      <c r="P1263">
        <v>-4.3529892877067898E-2</v>
      </c>
      <c r="Q1263">
        <v>0.10026080351743299</v>
      </c>
      <c r="R1263">
        <v>0.86615600960968897</v>
      </c>
      <c r="S1263" t="s">
        <v>6814</v>
      </c>
      <c r="T1263" t="s">
        <v>11100</v>
      </c>
      <c r="U1263" t="s">
        <v>11100</v>
      </c>
      <c r="V1263" t="s">
        <v>11100</v>
      </c>
      <c r="W1263" t="s">
        <v>12332</v>
      </c>
      <c r="X1263">
        <v>2</v>
      </c>
      <c r="Y1263" t="s">
        <v>17827</v>
      </c>
      <c r="Z1263" t="s">
        <v>23268</v>
      </c>
      <c r="AA1263">
        <v>0.56223373805707688</v>
      </c>
      <c r="AB1263" t="str">
        <f>HYPERLINK("Melting_Curves/meltCurve_O14967_CLGN.pdf", "Melting_Curves/meltCurve_O14967_CLGN.pdf")</f>
        <v>Melting_Curves/meltCurve_O14967_CLGN.pdf</v>
      </c>
    </row>
    <row r="1264" spans="1:28" x14ac:dyDescent="0.25">
      <c r="A1264" t="s">
        <v>1268</v>
      </c>
      <c r="B1264">
        <v>0.99299721793515405</v>
      </c>
      <c r="C1264">
        <v>0.954825121186343</v>
      </c>
      <c r="D1264">
        <v>1.0078167761362899</v>
      </c>
      <c r="E1264">
        <v>0.877805203029143</v>
      </c>
      <c r="F1264">
        <v>0.75684348032438198</v>
      </c>
      <c r="G1264">
        <v>0.39399183118943698</v>
      </c>
      <c r="H1264">
        <v>0.26580105568033702</v>
      </c>
      <c r="I1264">
        <v>0.25948600950459699</v>
      </c>
      <c r="J1264">
        <v>0.22812889437745601</v>
      </c>
      <c r="K1264">
        <v>0.21521923037781099</v>
      </c>
      <c r="L1264">
        <v>1223.62314028529</v>
      </c>
      <c r="M1264">
        <v>23.810443411022401</v>
      </c>
      <c r="N1264">
        <v>52.659054940096802</v>
      </c>
      <c r="O1264">
        <v>51.031819530333401</v>
      </c>
      <c r="P1264">
        <v>-9.1183983559098306E-2</v>
      </c>
      <c r="Q1264">
        <v>0.21829124235255701</v>
      </c>
      <c r="R1264">
        <v>0.99203954701877595</v>
      </c>
      <c r="S1264" t="s">
        <v>6815</v>
      </c>
      <c r="T1264" t="s">
        <v>11100</v>
      </c>
      <c r="U1264" t="s">
        <v>11100</v>
      </c>
      <c r="V1264" t="s">
        <v>11100</v>
      </c>
      <c r="W1264" t="s">
        <v>12333</v>
      </c>
      <c r="X1264">
        <v>17</v>
      </c>
      <c r="Y1264" t="s">
        <v>17828</v>
      </c>
      <c r="Z1264" t="s">
        <v>23269</v>
      </c>
      <c r="AA1264">
        <v>0.60080850698463284</v>
      </c>
      <c r="AB1264" t="str">
        <f>HYPERLINK("Melting_Curves/meltCurve_O14974_2_PPP1R12A.pdf", "Melting_Curves/meltCurve_O14974_2_PPP1R12A.pdf")</f>
        <v>Melting_Curves/meltCurve_O14974_2_PPP1R12A.pdf</v>
      </c>
    </row>
    <row r="1265" spans="1:28" x14ac:dyDescent="0.25">
      <c r="A1265" t="s">
        <v>1269</v>
      </c>
      <c r="B1265">
        <v>0.99299721793515405</v>
      </c>
      <c r="C1265">
        <v>1.0035718127456601</v>
      </c>
      <c r="D1265">
        <v>1.10120314280947</v>
      </c>
      <c r="E1265">
        <v>0.86323681149307396</v>
      </c>
      <c r="F1265">
        <v>0.49006079800434199</v>
      </c>
      <c r="G1265">
        <v>0.18708472850081101</v>
      </c>
      <c r="H1265">
        <v>0.15942902139130199</v>
      </c>
      <c r="I1265">
        <v>0.11802459387616999</v>
      </c>
      <c r="J1265">
        <v>0.11503411360772201</v>
      </c>
      <c r="K1265">
        <v>0.103110109164332</v>
      </c>
      <c r="L1265">
        <v>1464.8363975383099</v>
      </c>
      <c r="M1265">
        <v>29.526593440782602</v>
      </c>
      <c r="N1265">
        <v>50.062145256527103</v>
      </c>
      <c r="O1265">
        <v>49.384854402959803</v>
      </c>
      <c r="P1265">
        <v>-0.13200406395706801</v>
      </c>
      <c r="Q1265">
        <v>0.11686984757404301</v>
      </c>
      <c r="R1265">
        <v>0.99160139344644904</v>
      </c>
      <c r="S1265" t="s">
        <v>6816</v>
      </c>
      <c r="T1265" t="s">
        <v>11100</v>
      </c>
      <c r="U1265" t="s">
        <v>11100</v>
      </c>
      <c r="V1265" t="s">
        <v>11100</v>
      </c>
      <c r="W1265" t="s">
        <v>12334</v>
      </c>
      <c r="X1265">
        <v>14</v>
      </c>
      <c r="Y1265" t="s">
        <v>17829</v>
      </c>
      <c r="Z1265" t="s">
        <v>23270</v>
      </c>
      <c r="AA1265">
        <v>0.49365684196609949</v>
      </c>
      <c r="AB1265" t="str">
        <f>HYPERLINK("Melting_Curves/meltCurve_O14976_GAK.pdf", "Melting_Curves/meltCurve_O14976_GAK.pdf")</f>
        <v>Melting_Curves/meltCurve_O14976_GAK.pdf</v>
      </c>
    </row>
    <row r="1266" spans="1:28" x14ac:dyDescent="0.25">
      <c r="A1266" t="s">
        <v>1270</v>
      </c>
      <c r="B1266">
        <v>0.99299721793515405</v>
      </c>
      <c r="C1266">
        <v>0.99883895017101498</v>
      </c>
      <c r="D1266">
        <v>0.92663504779338202</v>
      </c>
      <c r="E1266">
        <v>0.91611851385102305</v>
      </c>
      <c r="F1266">
        <v>0.77739987692636003</v>
      </c>
      <c r="G1266">
        <v>0.72114798761531695</v>
      </c>
      <c r="H1266">
        <v>0.80294329498827199</v>
      </c>
      <c r="I1266">
        <v>0.78652995857393604</v>
      </c>
      <c r="J1266">
        <v>0.97860600958181898</v>
      </c>
      <c r="K1266">
        <v>0.97867224872083902</v>
      </c>
      <c r="L1266">
        <v>1219.3449315177099</v>
      </c>
      <c r="M1266">
        <v>27.8272258424625</v>
      </c>
      <c r="O1266">
        <v>43.593996411160198</v>
      </c>
      <c r="P1266">
        <v>-2.4592457534723399E-2</v>
      </c>
      <c r="Q1266">
        <v>0.845895656866544</v>
      </c>
      <c r="R1266">
        <v>0.355921215938661</v>
      </c>
      <c r="S1266" t="s">
        <v>6817</v>
      </c>
      <c r="T1266" t="s">
        <v>11100</v>
      </c>
      <c r="U1266" t="s">
        <v>11100</v>
      </c>
      <c r="V1266" t="s">
        <v>11100</v>
      </c>
      <c r="W1266" t="s">
        <v>12335</v>
      </c>
      <c r="X1266">
        <v>7</v>
      </c>
      <c r="Y1266" t="s">
        <v>17830</v>
      </c>
      <c r="Z1266" t="s">
        <v>23271</v>
      </c>
      <c r="AA1266">
        <v>0.88192544054024435</v>
      </c>
      <c r="AB1266" t="str">
        <f>HYPERLINK("Melting_Curves/meltCurve_O14979_3_HNRPDL.pdf", "Melting_Curves/meltCurve_O14979_3_HNRPDL.pdf")</f>
        <v>Melting_Curves/meltCurve_O14979_3_HNRPDL.pdf</v>
      </c>
    </row>
    <row r="1267" spans="1:28" x14ac:dyDescent="0.25">
      <c r="A1267" t="s">
        <v>1271</v>
      </c>
      <c r="B1267">
        <v>0.99299721793515405</v>
      </c>
      <c r="C1267">
        <v>1.0001819671132299</v>
      </c>
      <c r="D1267">
        <v>0.95659247179766804</v>
      </c>
      <c r="E1267">
        <v>0.89353727843689201</v>
      </c>
      <c r="F1267">
        <v>0.77445547700001505</v>
      </c>
      <c r="G1267">
        <v>0.48673755953203801</v>
      </c>
      <c r="H1267">
        <v>0.183134892639642</v>
      </c>
      <c r="I1267">
        <v>0.164181857297101</v>
      </c>
      <c r="J1267">
        <v>0.13048045137629699</v>
      </c>
      <c r="K1267">
        <v>9.5167179746971794E-2</v>
      </c>
      <c r="L1267">
        <v>1045.43127994722</v>
      </c>
      <c r="M1267">
        <v>19.800891457746001</v>
      </c>
      <c r="N1267">
        <v>53.303135641171799</v>
      </c>
      <c r="O1267">
        <v>52.267521710293003</v>
      </c>
      <c r="P1267">
        <v>-8.6598076714819894E-2</v>
      </c>
      <c r="Q1267">
        <v>8.5674774808519205E-2</v>
      </c>
      <c r="R1267">
        <v>0.99412009323674599</v>
      </c>
      <c r="S1267" t="s">
        <v>6818</v>
      </c>
      <c r="T1267" t="s">
        <v>11100</v>
      </c>
      <c r="U1267" t="s">
        <v>11100</v>
      </c>
      <c r="V1267" t="s">
        <v>11100</v>
      </c>
      <c r="W1267" t="s">
        <v>12336</v>
      </c>
      <c r="X1267">
        <v>36</v>
      </c>
      <c r="Y1267" t="s">
        <v>17831</v>
      </c>
      <c r="Z1267" t="s">
        <v>23272</v>
      </c>
      <c r="AA1267">
        <v>0.57889274457428352</v>
      </c>
      <c r="AB1267" t="str">
        <f>HYPERLINK("Melting_Curves/meltCurve_O14980_XPO1.pdf", "Melting_Curves/meltCurve_O14980_XPO1.pdf")</f>
        <v>Melting_Curves/meltCurve_O14980_XPO1.pdf</v>
      </c>
    </row>
    <row r="1268" spans="1:28" x14ac:dyDescent="0.25">
      <c r="A1268" t="s">
        <v>1272</v>
      </c>
      <c r="B1268">
        <v>0.99299721793515405</v>
      </c>
      <c r="C1268">
        <v>1.03381482069047</v>
      </c>
      <c r="D1268">
        <v>0.94930042516903401</v>
      </c>
      <c r="E1268">
        <v>0.87622382067346305</v>
      </c>
      <c r="F1268">
        <v>0.64764507075095101</v>
      </c>
      <c r="G1268">
        <v>0.39107330849516198</v>
      </c>
      <c r="H1268">
        <v>0.170979456432273</v>
      </c>
      <c r="I1268">
        <v>0.12995713480197901</v>
      </c>
      <c r="J1268">
        <v>8.9750104175839701E-2</v>
      </c>
      <c r="K1268">
        <v>7.1368332235668006E-2</v>
      </c>
      <c r="L1268">
        <v>894.050770675845</v>
      </c>
      <c r="M1268">
        <v>17.282919360741801</v>
      </c>
      <c r="N1268">
        <v>52.073384877359899</v>
      </c>
      <c r="O1268">
        <v>51.052643150306899</v>
      </c>
      <c r="P1268">
        <v>-8.0083317822131198E-2</v>
      </c>
      <c r="Q1268">
        <v>5.38107131694621E-2</v>
      </c>
      <c r="R1268">
        <v>0.99776061650066405</v>
      </c>
      <c r="S1268" t="s">
        <v>6819</v>
      </c>
      <c r="T1268" t="s">
        <v>11100</v>
      </c>
      <c r="U1268" t="s">
        <v>11100</v>
      </c>
      <c r="V1268" t="s">
        <v>11100</v>
      </c>
      <c r="W1268" t="s">
        <v>12337</v>
      </c>
      <c r="X1268">
        <v>8</v>
      </c>
      <c r="Y1268" t="s">
        <v>17832</v>
      </c>
      <c r="Z1268" t="s">
        <v>23273</v>
      </c>
      <c r="AA1268">
        <v>0.53368634917618452</v>
      </c>
      <c r="AB1268" t="str">
        <f>HYPERLINK("Melting_Curves/meltCurve_O14981_BTAF1.pdf", "Melting_Curves/meltCurve_O14981_BTAF1.pdf")</f>
        <v>Melting_Curves/meltCurve_O14981_BTAF1.pdf</v>
      </c>
    </row>
    <row r="1269" spans="1:28" x14ac:dyDescent="0.25">
      <c r="A1269" t="s">
        <v>1273</v>
      </c>
      <c r="B1269">
        <v>0.99299721793515405</v>
      </c>
      <c r="C1269">
        <v>0.99310572124820196</v>
      </c>
      <c r="D1269">
        <v>0.991036665776871</v>
      </c>
      <c r="E1269">
        <v>0.93286451399556602</v>
      </c>
      <c r="F1269">
        <v>0.47376800586763401</v>
      </c>
      <c r="G1269">
        <v>0.368475167742356</v>
      </c>
      <c r="H1269">
        <v>0.17345838336460701</v>
      </c>
      <c r="I1269">
        <v>0.184525068510656</v>
      </c>
      <c r="J1269">
        <v>8.6278306091096602E-2</v>
      </c>
      <c r="K1269">
        <v>0.15695373855443401</v>
      </c>
      <c r="L1269">
        <v>1162.8013326649</v>
      </c>
      <c r="M1269">
        <v>23.256060816146501</v>
      </c>
      <c r="N1269">
        <v>50.748727127315199</v>
      </c>
      <c r="O1269">
        <v>49.634629987222098</v>
      </c>
      <c r="P1269">
        <v>-0.100126103211433</v>
      </c>
      <c r="Q1269">
        <v>0.14523219809191101</v>
      </c>
      <c r="R1269">
        <v>0.98382055883735098</v>
      </c>
      <c r="S1269" t="s">
        <v>6820</v>
      </c>
      <c r="T1269" t="s">
        <v>11100</v>
      </c>
      <c r="U1269" t="s">
        <v>11100</v>
      </c>
      <c r="V1269" t="s">
        <v>11100</v>
      </c>
      <c r="W1269" t="s">
        <v>12338</v>
      </c>
      <c r="X1269">
        <v>3</v>
      </c>
      <c r="Y1269" t="s">
        <v>17833</v>
      </c>
      <c r="Z1269" t="s">
        <v>23274</v>
      </c>
      <c r="AA1269">
        <v>0.52419654396523807</v>
      </c>
      <c r="AB1269" t="str">
        <f>HYPERLINK("Melting_Curves/meltCurve_O15013_4_ARHGEF10.pdf", "Melting_Curves/meltCurve_O15013_4_ARHGEF10.pdf")</f>
        <v>Melting_Curves/meltCurve_O15013_4_ARHGEF10.pdf</v>
      </c>
    </row>
    <row r="1270" spans="1:28" x14ac:dyDescent="0.25">
      <c r="A1270" t="s">
        <v>1274</v>
      </c>
      <c r="B1270">
        <v>0.99299721793515405</v>
      </c>
      <c r="C1270">
        <v>0.98719167802205798</v>
      </c>
      <c r="D1270">
        <v>0.83827716118457396</v>
      </c>
      <c r="E1270">
        <v>0.74747374771267405</v>
      </c>
      <c r="F1270">
        <v>0.59553330331435195</v>
      </c>
      <c r="G1270">
        <v>0.44171579942296801</v>
      </c>
      <c r="H1270">
        <v>0.40537349550199198</v>
      </c>
      <c r="I1270">
        <v>0.34929668906748801</v>
      </c>
      <c r="J1270">
        <v>0.39458758205385103</v>
      </c>
      <c r="K1270">
        <v>0.25678600146339198</v>
      </c>
      <c r="L1270">
        <v>562.32622214917399</v>
      </c>
      <c r="M1270">
        <v>11.5270670908951</v>
      </c>
      <c r="N1270">
        <v>52.666292359571102</v>
      </c>
      <c r="O1270">
        <v>47.3842076857755</v>
      </c>
      <c r="P1270">
        <v>-4.3418935073185498E-2</v>
      </c>
      <c r="Q1270">
        <v>0.28627352473927797</v>
      </c>
      <c r="R1270">
        <v>0.98240611019482105</v>
      </c>
      <c r="S1270" t="s">
        <v>6821</v>
      </c>
      <c r="T1270" t="s">
        <v>11100</v>
      </c>
      <c r="U1270" t="s">
        <v>11100</v>
      </c>
      <c r="V1270" t="s">
        <v>11100</v>
      </c>
      <c r="W1270" t="s">
        <v>12339</v>
      </c>
      <c r="X1270">
        <v>1</v>
      </c>
      <c r="Y1270" t="s">
        <v>17834</v>
      </c>
      <c r="Z1270" t="s">
        <v>23275</v>
      </c>
      <c r="AA1270">
        <v>0.58924952384870688</v>
      </c>
      <c r="AB1270" t="str">
        <f>HYPERLINK("Melting_Curves/meltCurve_O15014_ZNF609.pdf", "Melting_Curves/meltCurve_O15014_ZNF609.pdf")</f>
        <v>Melting_Curves/meltCurve_O15014_ZNF609.pdf</v>
      </c>
    </row>
    <row r="1271" spans="1:28" x14ac:dyDescent="0.25">
      <c r="A1271" t="s">
        <v>1275</v>
      </c>
      <c r="B1271">
        <v>0.99299721793515405</v>
      </c>
      <c r="C1271">
        <v>0.95855038480233601</v>
      </c>
      <c r="D1271">
        <v>0.92405195082200797</v>
      </c>
      <c r="E1271">
        <v>0.84240413714244999</v>
      </c>
      <c r="F1271">
        <v>0.72032909732199601</v>
      </c>
      <c r="G1271">
        <v>0.60488952548561803</v>
      </c>
      <c r="H1271">
        <v>0.35440573238961998</v>
      </c>
      <c r="I1271">
        <v>0.36763919940635298</v>
      </c>
      <c r="J1271">
        <v>0.37524680534467902</v>
      </c>
      <c r="K1271">
        <v>0.35515994456055</v>
      </c>
      <c r="L1271">
        <v>671.29351206103195</v>
      </c>
      <c r="M1271">
        <v>13.078210723990299</v>
      </c>
      <c r="N1271">
        <v>55.256628260948297</v>
      </c>
      <c r="O1271">
        <v>50.173548277475398</v>
      </c>
      <c r="P1271">
        <v>-4.5451475592178998E-2</v>
      </c>
      <c r="Q1271">
        <v>0.30263619636567402</v>
      </c>
      <c r="R1271">
        <v>0.97921871177874897</v>
      </c>
      <c r="S1271" t="s">
        <v>6822</v>
      </c>
      <c r="T1271" t="s">
        <v>11100</v>
      </c>
      <c r="U1271" t="s">
        <v>11100</v>
      </c>
      <c r="V1271" t="s">
        <v>11100</v>
      </c>
      <c r="W1271" t="s">
        <v>12340</v>
      </c>
      <c r="X1271">
        <v>24</v>
      </c>
      <c r="Y1271" t="s">
        <v>17835</v>
      </c>
      <c r="Z1271" t="s">
        <v>23276</v>
      </c>
      <c r="AA1271">
        <v>0.65193697687809304</v>
      </c>
      <c r="AB1271" t="str">
        <f>HYPERLINK("Melting_Curves/meltCurve_O15031_PLXNB2.pdf", "Melting_Curves/meltCurve_O15031_PLXNB2.pdf")</f>
        <v>Melting_Curves/meltCurve_O15031_PLXNB2.pdf</v>
      </c>
    </row>
    <row r="1272" spans="1:28" x14ac:dyDescent="0.25">
      <c r="A1272" t="s">
        <v>1276</v>
      </c>
      <c r="B1272">
        <v>0.99299721793515405</v>
      </c>
      <c r="C1272">
        <v>0.82115071177765298</v>
      </c>
      <c r="D1272">
        <v>0.94122309820801298</v>
      </c>
      <c r="E1272">
        <v>0.669344596975743</v>
      </c>
      <c r="F1272">
        <v>0.35059334557800897</v>
      </c>
      <c r="G1272">
        <v>0.124804892193871</v>
      </c>
      <c r="H1272">
        <v>0.14605844116000899</v>
      </c>
      <c r="I1272">
        <v>0.15430239709486299</v>
      </c>
      <c r="J1272">
        <v>0.14375260912907001</v>
      </c>
      <c r="K1272">
        <v>9.7528821743115807E-2</v>
      </c>
      <c r="L1272">
        <v>1023.52518314464</v>
      </c>
      <c r="M1272">
        <v>21.4894633679246</v>
      </c>
      <c r="N1272">
        <v>48.220399591035097</v>
      </c>
      <c r="O1272">
        <v>47.222467912857503</v>
      </c>
      <c r="P1272">
        <v>-0.10059385845702901</v>
      </c>
      <c r="Q1272">
        <v>0.11581340222575</v>
      </c>
      <c r="R1272">
        <v>0.972726436961595</v>
      </c>
      <c r="S1272" t="s">
        <v>6823</v>
      </c>
      <c r="T1272" t="s">
        <v>11100</v>
      </c>
      <c r="U1272" t="s">
        <v>11100</v>
      </c>
      <c r="V1272" t="s">
        <v>11100</v>
      </c>
      <c r="W1272" t="s">
        <v>12341</v>
      </c>
      <c r="X1272">
        <v>3</v>
      </c>
      <c r="Y1272" t="s">
        <v>17836</v>
      </c>
      <c r="Z1272" t="s">
        <v>23277</v>
      </c>
      <c r="AA1272">
        <v>0.43918344033353768</v>
      </c>
      <c r="AB1272" t="str">
        <f>HYPERLINK("Melting_Curves/meltCurve_O15047_SETD1A.pdf", "Melting_Curves/meltCurve_O15047_SETD1A.pdf")</f>
        <v>Melting_Curves/meltCurve_O15047_SETD1A.pdf</v>
      </c>
    </row>
    <row r="1273" spans="1:28" x14ac:dyDescent="0.25">
      <c r="A1273" t="s">
        <v>1277</v>
      </c>
      <c r="B1273">
        <v>0.99299721793515405</v>
      </c>
      <c r="C1273">
        <v>0.97298150715967502</v>
      </c>
      <c r="D1273">
        <v>1.0505277308843199</v>
      </c>
      <c r="E1273">
        <v>0.89447329475476001</v>
      </c>
      <c r="F1273">
        <v>0.756945360429918</v>
      </c>
      <c r="G1273">
        <v>0.34573651799037403</v>
      </c>
      <c r="H1273">
        <v>0.17119030367482299</v>
      </c>
      <c r="I1273">
        <v>0.14879215314660299</v>
      </c>
      <c r="J1273">
        <v>0.133442215145545</v>
      </c>
      <c r="K1273">
        <v>0.11827929423584101</v>
      </c>
      <c r="L1273">
        <v>1371.4964710831</v>
      </c>
      <c r="M1273">
        <v>26.497653066514999</v>
      </c>
      <c r="N1273">
        <v>52.307918438823698</v>
      </c>
      <c r="O1273">
        <v>51.467066285022199</v>
      </c>
      <c r="P1273">
        <v>-0.113094444188546</v>
      </c>
      <c r="Q1273">
        <v>0.12134450644309</v>
      </c>
      <c r="R1273">
        <v>0.99427536154282703</v>
      </c>
      <c r="S1273" t="s">
        <v>6824</v>
      </c>
      <c r="T1273" t="s">
        <v>11100</v>
      </c>
      <c r="U1273" t="s">
        <v>11100</v>
      </c>
      <c r="V1273" t="s">
        <v>11100</v>
      </c>
      <c r="W1273" t="s">
        <v>12342</v>
      </c>
      <c r="X1273">
        <v>47</v>
      </c>
      <c r="Y1273" t="s">
        <v>17837</v>
      </c>
      <c r="Z1273" t="s">
        <v>23278</v>
      </c>
      <c r="AA1273">
        <v>0.56061139417217831</v>
      </c>
      <c r="AB1273" t="str">
        <f>HYPERLINK("Melting_Curves/meltCurve_O15067_PFAS.pdf", "Melting_Curves/meltCurve_O15067_PFAS.pdf")</f>
        <v>Melting_Curves/meltCurve_O15067_PFAS.pdf</v>
      </c>
    </row>
    <row r="1274" spans="1:28" x14ac:dyDescent="0.25">
      <c r="A1274" t="s">
        <v>1278</v>
      </c>
      <c r="B1274">
        <v>0.99299721793515405</v>
      </c>
      <c r="C1274">
        <v>0.81247497009652303</v>
      </c>
      <c r="D1274">
        <v>0.56426076831056304</v>
      </c>
      <c r="E1274">
        <v>0.43664710183997502</v>
      </c>
      <c r="F1274">
        <v>0.57398173464100199</v>
      </c>
      <c r="G1274">
        <v>0.199389749583371</v>
      </c>
      <c r="H1274">
        <v>0.39015476600284499</v>
      </c>
      <c r="I1274">
        <v>0.51477102901516303</v>
      </c>
      <c r="J1274">
        <v>0.41437314612368797</v>
      </c>
      <c r="K1274">
        <v>0.27843562808976202</v>
      </c>
      <c r="L1274">
        <v>904.45579484587802</v>
      </c>
      <c r="M1274">
        <v>21.820028947991201</v>
      </c>
      <c r="N1274">
        <v>44.528063370354403</v>
      </c>
      <c r="O1274">
        <v>41.107268695834499</v>
      </c>
      <c r="P1274">
        <v>-8.1039865590909296E-2</v>
      </c>
      <c r="Q1274">
        <v>0.38932236427446298</v>
      </c>
      <c r="R1274">
        <v>0.80990687230597203</v>
      </c>
      <c r="S1274" t="s">
        <v>6825</v>
      </c>
      <c r="T1274" t="s">
        <v>11100</v>
      </c>
      <c r="U1274" t="s">
        <v>11100</v>
      </c>
      <c r="V1274" t="s">
        <v>11100</v>
      </c>
      <c r="W1274" t="s">
        <v>12343</v>
      </c>
      <c r="X1274">
        <v>2</v>
      </c>
      <c r="Y1274" t="s">
        <v>17838</v>
      </c>
      <c r="Z1274" t="s">
        <v>23279</v>
      </c>
      <c r="AA1274">
        <v>0.48789868477635229</v>
      </c>
      <c r="AB1274" t="str">
        <f>HYPERLINK("Melting_Curves/meltCurve_O15085_ARHGEF11.pdf", "Melting_Curves/meltCurve_O15085_ARHGEF11.pdf")</f>
        <v>Melting_Curves/meltCurve_O15085_ARHGEF11.pdf</v>
      </c>
    </row>
    <row r="1275" spans="1:28" x14ac:dyDescent="0.25">
      <c r="A1275" t="s">
        <v>1279</v>
      </c>
      <c r="B1275">
        <v>0.99299721793515405</v>
      </c>
      <c r="C1275">
        <v>0.94114490069852297</v>
      </c>
      <c r="D1275">
        <v>0.80895929602620797</v>
      </c>
      <c r="E1275">
        <v>0.71167783478225299</v>
      </c>
      <c r="F1275">
        <v>0.26206904014893401</v>
      </c>
      <c r="G1275">
        <v>0.15668842530604901</v>
      </c>
      <c r="H1275">
        <v>0.118127314133624</v>
      </c>
      <c r="I1275">
        <v>0.13419069429187599</v>
      </c>
      <c r="J1275">
        <v>0.123159372622165</v>
      </c>
      <c r="K1275">
        <v>9.0423064763621094E-2</v>
      </c>
      <c r="L1275">
        <v>940.63247789156605</v>
      </c>
      <c r="M1275">
        <v>19.851895981476702</v>
      </c>
      <c r="N1275">
        <v>47.900906576918999</v>
      </c>
      <c r="O1275">
        <v>46.909559511141097</v>
      </c>
      <c r="P1275">
        <v>-9.5574751645865805E-2</v>
      </c>
      <c r="Q1275">
        <v>9.6666790262171801E-2</v>
      </c>
      <c r="R1275">
        <v>0.98339372623145305</v>
      </c>
      <c r="S1275" t="s">
        <v>6826</v>
      </c>
      <c r="T1275" t="s">
        <v>11100</v>
      </c>
      <c r="U1275" t="s">
        <v>11100</v>
      </c>
      <c r="V1275" t="s">
        <v>11100</v>
      </c>
      <c r="W1275" t="s">
        <v>12344</v>
      </c>
      <c r="X1275">
        <v>2</v>
      </c>
      <c r="Y1275" t="s">
        <v>17839</v>
      </c>
      <c r="Z1275" t="s">
        <v>23280</v>
      </c>
      <c r="AA1275">
        <v>0.42130803060108513</v>
      </c>
      <c r="AB1275" t="str">
        <f>HYPERLINK("Melting_Curves/meltCurve_O15091_4_KIAA0391.pdf", "Melting_Curves/meltCurve_O15091_4_KIAA0391.pdf")</f>
        <v>Melting_Curves/meltCurve_O15091_4_KIAA0391.pdf</v>
      </c>
    </row>
    <row r="1276" spans="1:28" x14ac:dyDescent="0.25">
      <c r="A1276" t="s">
        <v>1280</v>
      </c>
      <c r="B1276">
        <v>0.99299721793515405</v>
      </c>
      <c r="C1276">
        <v>0.93045501871777103</v>
      </c>
      <c r="D1276">
        <v>1.07374422528397</v>
      </c>
      <c r="E1276">
        <v>0.79552063671449802</v>
      </c>
      <c r="F1276">
        <v>0.48028507652194902</v>
      </c>
      <c r="G1276">
        <v>0.39737202480606798</v>
      </c>
      <c r="H1276">
        <v>0.278405433087415</v>
      </c>
      <c r="I1276">
        <v>0.26605219122584201</v>
      </c>
      <c r="J1276">
        <v>0.201924454828314</v>
      </c>
      <c r="K1276">
        <v>0.177792834077935</v>
      </c>
      <c r="L1276">
        <v>999.31219667241999</v>
      </c>
      <c r="M1276">
        <v>20.332566126396099</v>
      </c>
      <c r="N1276">
        <v>50.600881868312598</v>
      </c>
      <c r="O1276">
        <v>48.680354804894897</v>
      </c>
      <c r="P1276">
        <v>-8.1337313639506706E-2</v>
      </c>
      <c r="Q1276">
        <v>0.22107068787995601</v>
      </c>
      <c r="R1276">
        <v>0.97550569454158198</v>
      </c>
      <c r="S1276" t="s">
        <v>6827</v>
      </c>
      <c r="T1276" t="s">
        <v>11100</v>
      </c>
      <c r="U1276" t="s">
        <v>11100</v>
      </c>
      <c r="V1276" t="s">
        <v>11100</v>
      </c>
      <c r="W1276" t="s">
        <v>12345</v>
      </c>
      <c r="X1276">
        <v>4</v>
      </c>
      <c r="Y1276" t="s">
        <v>17840</v>
      </c>
      <c r="Z1276" t="s">
        <v>23281</v>
      </c>
      <c r="AA1276">
        <v>0.54645506306992964</v>
      </c>
      <c r="AB1276" t="str">
        <f>HYPERLINK("Melting_Curves/meltCurve_O15111_CHUK.pdf", "Melting_Curves/meltCurve_O15111_CHUK.pdf")</f>
        <v>Melting_Curves/meltCurve_O15111_CHUK.pdf</v>
      </c>
    </row>
    <row r="1277" spans="1:28" x14ac:dyDescent="0.25">
      <c r="A1277" t="s">
        <v>1281</v>
      </c>
      <c r="B1277">
        <v>0.99299721793515405</v>
      </c>
      <c r="C1277">
        <v>0.87768148477785002</v>
      </c>
      <c r="D1277">
        <v>0.92001476415043204</v>
      </c>
      <c r="E1277">
        <v>0.92594701897177101</v>
      </c>
      <c r="F1277">
        <v>0.75173532720275704</v>
      </c>
      <c r="G1277">
        <v>0.59276307308283405</v>
      </c>
      <c r="H1277">
        <v>0.61334219750929597</v>
      </c>
      <c r="I1277">
        <v>0.66712766395910095</v>
      </c>
      <c r="J1277">
        <v>0.72781991748596797</v>
      </c>
      <c r="K1277">
        <v>0.67944140743278403</v>
      </c>
      <c r="L1277">
        <v>1618.91678116907</v>
      </c>
      <c r="M1277">
        <v>33.502048180148201</v>
      </c>
      <c r="O1277">
        <v>48.151720916442102</v>
      </c>
      <c r="P1277">
        <v>-5.9699534011066598E-2</v>
      </c>
      <c r="Q1277">
        <v>0.65678239007330297</v>
      </c>
      <c r="R1277">
        <v>0.81501604863599397</v>
      </c>
      <c r="S1277" t="s">
        <v>6828</v>
      </c>
      <c r="T1277" t="s">
        <v>11100</v>
      </c>
      <c r="U1277" t="s">
        <v>11100</v>
      </c>
      <c r="V1277" t="s">
        <v>11100</v>
      </c>
      <c r="W1277" t="s">
        <v>12346</v>
      </c>
      <c r="X1277">
        <v>4</v>
      </c>
      <c r="Y1277" t="s">
        <v>17841</v>
      </c>
      <c r="Z1277" t="s">
        <v>23282</v>
      </c>
      <c r="AA1277">
        <v>0.78796149966522433</v>
      </c>
      <c r="AB1277" t="str">
        <f>HYPERLINK("Melting_Curves/meltCurve_O15116_LSM1.pdf", "Melting_Curves/meltCurve_O15116_LSM1.pdf")</f>
        <v>Melting_Curves/meltCurve_O15116_LSM1.pdf</v>
      </c>
    </row>
    <row r="1278" spans="1:28" x14ac:dyDescent="0.25">
      <c r="A1278" t="s">
        <v>1282</v>
      </c>
      <c r="B1278">
        <v>0.99299721793515405</v>
      </c>
      <c r="C1278">
        <v>1.04397406674382</v>
      </c>
      <c r="D1278">
        <v>1.0307688940741</v>
      </c>
      <c r="E1278">
        <v>0.82662108036470805</v>
      </c>
      <c r="F1278">
        <v>0.70952988540818196</v>
      </c>
      <c r="G1278">
        <v>0.658095295553069</v>
      </c>
      <c r="H1278">
        <v>0.83526787092457699</v>
      </c>
      <c r="I1278">
        <v>0.949198051070264</v>
      </c>
      <c r="J1278">
        <v>0.96544442325382496</v>
      </c>
      <c r="K1278">
        <v>0.73498416744778405</v>
      </c>
      <c r="L1278">
        <v>11544.102465313201</v>
      </c>
      <c r="M1278">
        <v>250</v>
      </c>
      <c r="O1278">
        <v>46.1734645070377</v>
      </c>
      <c r="P1278">
        <v>-0.25886994818357401</v>
      </c>
      <c r="Q1278">
        <v>0.80875328214971198</v>
      </c>
      <c r="R1278">
        <v>0.51846386756478702</v>
      </c>
      <c r="S1278" t="s">
        <v>6829</v>
      </c>
      <c r="T1278" t="s">
        <v>11100</v>
      </c>
      <c r="U1278" t="s">
        <v>11100</v>
      </c>
      <c r="V1278" t="s">
        <v>11100</v>
      </c>
      <c r="W1278" t="s">
        <v>12347</v>
      </c>
      <c r="X1278">
        <v>5</v>
      </c>
      <c r="Y1278" t="s">
        <v>17842</v>
      </c>
      <c r="Z1278" t="s">
        <v>23283</v>
      </c>
      <c r="AA1278">
        <v>0.86726738949010718</v>
      </c>
      <c r="AB1278" t="str">
        <f>HYPERLINK("Melting_Curves/meltCurve_O15118_NPC1.pdf", "Melting_Curves/meltCurve_O15118_NPC1.pdf")</f>
        <v>Melting_Curves/meltCurve_O15118_NPC1.pdf</v>
      </c>
    </row>
    <row r="1279" spans="1:28" x14ac:dyDescent="0.25">
      <c r="A1279" t="s">
        <v>1283</v>
      </c>
      <c r="B1279">
        <v>0.99299721793515405</v>
      </c>
      <c r="C1279">
        <v>0.93649485183870695</v>
      </c>
      <c r="D1279">
        <v>1.0196295296079401</v>
      </c>
      <c r="E1279">
        <v>0.85374859474137699</v>
      </c>
      <c r="F1279">
        <v>0.75955649534726899</v>
      </c>
      <c r="G1279">
        <v>0.58638890552248202</v>
      </c>
      <c r="H1279">
        <v>0.448569817193744</v>
      </c>
      <c r="I1279">
        <v>0.42719425285660401</v>
      </c>
      <c r="J1279">
        <v>0.33478176988942698</v>
      </c>
      <c r="K1279">
        <v>0.24419649654857301</v>
      </c>
      <c r="L1279">
        <v>573.39803535129101</v>
      </c>
      <c r="M1279">
        <v>10.6087642568011</v>
      </c>
      <c r="N1279">
        <v>56.575072367923703</v>
      </c>
      <c r="O1279">
        <v>52.235040819874897</v>
      </c>
      <c r="P1279">
        <v>-4.1213139604282599E-2</v>
      </c>
      <c r="Q1279">
        <v>0.18861973758488701</v>
      </c>
      <c r="R1279">
        <v>0.98312133650886802</v>
      </c>
      <c r="S1279" t="s">
        <v>6830</v>
      </c>
      <c r="T1279" t="s">
        <v>11100</v>
      </c>
      <c r="U1279" t="s">
        <v>11100</v>
      </c>
      <c r="V1279" t="s">
        <v>11100</v>
      </c>
      <c r="W1279" t="s">
        <v>12348</v>
      </c>
      <c r="X1279">
        <v>6</v>
      </c>
      <c r="Y1279" t="s">
        <v>17843</v>
      </c>
      <c r="Z1279" t="s">
        <v>23284</v>
      </c>
      <c r="AA1279">
        <v>0.6640770813656266</v>
      </c>
      <c r="AB1279" t="str">
        <f>HYPERLINK("Melting_Curves/meltCurve_O15121_DEGS1.pdf", "Melting_Curves/meltCurve_O15121_DEGS1.pdf")</f>
        <v>Melting_Curves/meltCurve_O15121_DEGS1.pdf</v>
      </c>
    </row>
    <row r="1280" spans="1:28" x14ac:dyDescent="0.25">
      <c r="A1280" t="s">
        <v>1284</v>
      </c>
      <c r="B1280">
        <v>0.99299721793515405</v>
      </c>
      <c r="C1280">
        <v>0.99948613798595498</v>
      </c>
      <c r="D1280">
        <v>0.86184668676706899</v>
      </c>
      <c r="E1280">
        <v>0.88624772747226599</v>
      </c>
      <c r="F1280">
        <v>0.76061777360805105</v>
      </c>
      <c r="G1280">
        <v>0.48350465371578799</v>
      </c>
      <c r="H1280">
        <v>0.560638762691966</v>
      </c>
      <c r="I1280">
        <v>0.63962801910051803</v>
      </c>
      <c r="J1280">
        <v>0.74599221385217196</v>
      </c>
      <c r="K1280">
        <v>0.55264981619257003</v>
      </c>
      <c r="L1280">
        <v>1044.60229465361</v>
      </c>
      <c r="M1280">
        <v>21.870194305040101</v>
      </c>
      <c r="O1280">
        <v>47.369799870380803</v>
      </c>
      <c r="P1280">
        <v>-4.6301478165791297E-2</v>
      </c>
      <c r="Q1280">
        <v>0.59886215180208902</v>
      </c>
      <c r="R1280">
        <v>0.79223419388863703</v>
      </c>
      <c r="S1280" t="s">
        <v>6831</v>
      </c>
      <c r="T1280" t="s">
        <v>11100</v>
      </c>
      <c r="U1280" t="s">
        <v>11100</v>
      </c>
      <c r="V1280" t="s">
        <v>11100</v>
      </c>
      <c r="W1280" t="s">
        <v>12349</v>
      </c>
      <c r="X1280">
        <v>8</v>
      </c>
      <c r="Y1280" t="s">
        <v>17844</v>
      </c>
      <c r="Z1280" t="s">
        <v>23285</v>
      </c>
      <c r="AA1280">
        <v>0.74721929112422214</v>
      </c>
      <c r="AB1280" t="str">
        <f>HYPERLINK("Melting_Curves/meltCurve_O15126_SCAMP1.pdf", "Melting_Curves/meltCurve_O15126_SCAMP1.pdf")</f>
        <v>Melting_Curves/meltCurve_O15126_SCAMP1.pdf</v>
      </c>
    </row>
    <row r="1281" spans="1:28" x14ac:dyDescent="0.25">
      <c r="A1281" t="s">
        <v>1285</v>
      </c>
      <c r="B1281">
        <v>0.99299721793515405</v>
      </c>
      <c r="C1281">
        <v>0.898634231930734</v>
      </c>
      <c r="D1281">
        <v>1.0393609780876101</v>
      </c>
      <c r="E1281">
        <v>0.85832618015152695</v>
      </c>
      <c r="F1281">
        <v>0.75210383840675898</v>
      </c>
      <c r="G1281">
        <v>0.71352457375135103</v>
      </c>
      <c r="H1281">
        <v>0.56637493576303899</v>
      </c>
      <c r="I1281">
        <v>0.59029435095321703</v>
      </c>
      <c r="J1281">
        <v>0.74736954872837102</v>
      </c>
      <c r="K1281">
        <v>0.57687843637494896</v>
      </c>
      <c r="L1281">
        <v>973.55920078059705</v>
      </c>
      <c r="M1281">
        <v>20.077964631967699</v>
      </c>
      <c r="O1281">
        <v>48.015617492432398</v>
      </c>
      <c r="P1281">
        <v>-3.9365190927176497E-2</v>
      </c>
      <c r="Q1281">
        <v>0.62345121235325696</v>
      </c>
      <c r="R1281">
        <v>0.84615234514631799</v>
      </c>
      <c r="S1281" t="s">
        <v>6832</v>
      </c>
      <c r="T1281" t="s">
        <v>11100</v>
      </c>
      <c r="U1281" t="s">
        <v>11100</v>
      </c>
      <c r="V1281" t="s">
        <v>11100</v>
      </c>
      <c r="W1281" t="s">
        <v>12350</v>
      </c>
      <c r="X1281">
        <v>8</v>
      </c>
      <c r="Y1281" t="s">
        <v>17845</v>
      </c>
      <c r="Z1281" t="s">
        <v>23286</v>
      </c>
      <c r="AA1281">
        <v>0.77257556380482484</v>
      </c>
      <c r="AB1281" t="str">
        <f>HYPERLINK("Melting_Curves/meltCurve_O15127_SCAMP2.pdf", "Melting_Curves/meltCurve_O15127_SCAMP2.pdf")</f>
        <v>Melting_Curves/meltCurve_O15127_SCAMP2.pdf</v>
      </c>
    </row>
    <row r="1282" spans="1:28" x14ac:dyDescent="0.25">
      <c r="A1282" t="s">
        <v>1286</v>
      </c>
      <c r="B1282">
        <v>0.99299721793515405</v>
      </c>
      <c r="C1282">
        <v>0.95437863102402898</v>
      </c>
      <c r="D1282">
        <v>0.99532948702706503</v>
      </c>
      <c r="E1282">
        <v>0.77272071760864003</v>
      </c>
      <c r="F1282">
        <v>0.67135814183379605</v>
      </c>
      <c r="G1282">
        <v>0.57385029573842505</v>
      </c>
      <c r="H1282">
        <v>0.59671823168217497</v>
      </c>
      <c r="I1282">
        <v>0.67874930237933995</v>
      </c>
      <c r="J1282">
        <v>0.49017091569548799</v>
      </c>
      <c r="K1282">
        <v>0.20255097336372599</v>
      </c>
      <c r="L1282">
        <v>321.041849996086</v>
      </c>
      <c r="M1282">
        <v>5.3113036068663897</v>
      </c>
      <c r="N1282">
        <v>60.445007386425097</v>
      </c>
      <c r="O1282">
        <v>53.471692430454702</v>
      </c>
      <c r="P1282">
        <v>-2.4955854378008499E-2</v>
      </c>
      <c r="Q1282">
        <v>0</v>
      </c>
      <c r="R1282">
        <v>0.82690393077455304</v>
      </c>
      <c r="S1282" t="s">
        <v>6833</v>
      </c>
      <c r="T1282" t="s">
        <v>11100</v>
      </c>
      <c r="U1282" t="s">
        <v>11100</v>
      </c>
      <c r="V1282" t="s">
        <v>11100</v>
      </c>
      <c r="W1282" t="s">
        <v>12351</v>
      </c>
      <c r="X1282">
        <v>7</v>
      </c>
      <c r="Y1282" t="s">
        <v>17846</v>
      </c>
      <c r="Z1282" t="s">
        <v>23287</v>
      </c>
      <c r="AA1282">
        <v>0.69251715295045868</v>
      </c>
      <c r="AB1282" t="str">
        <f>HYPERLINK("Melting_Curves/meltCurve_O15143_ARPC1B.pdf", "Melting_Curves/meltCurve_O15143_ARPC1B.pdf")</f>
        <v>Melting_Curves/meltCurve_O15143_ARPC1B.pdf</v>
      </c>
    </row>
    <row r="1283" spans="1:28" x14ac:dyDescent="0.25">
      <c r="A1283" t="s">
        <v>1287</v>
      </c>
      <c r="B1283">
        <v>0.99299721793515405</v>
      </c>
      <c r="C1283">
        <v>1.0208900936827501</v>
      </c>
      <c r="D1283">
        <v>0.92602466172036102</v>
      </c>
      <c r="E1283">
        <v>0.89306220868061204</v>
      </c>
      <c r="F1283">
        <v>0.80420784816870405</v>
      </c>
      <c r="G1283">
        <v>0.93302170406136897</v>
      </c>
      <c r="H1283">
        <v>0.99545403680494504</v>
      </c>
      <c r="I1283">
        <v>0.98814777472564597</v>
      </c>
      <c r="J1283">
        <v>0.86911481500153998</v>
      </c>
      <c r="K1283">
        <v>0.461115878019007</v>
      </c>
      <c r="L1283">
        <v>3124.9455306508098</v>
      </c>
      <c r="M1283">
        <v>46.921730746491903</v>
      </c>
      <c r="N1283">
        <v>66.762162467777301</v>
      </c>
      <c r="O1283">
        <v>66.478477485872602</v>
      </c>
      <c r="P1283">
        <v>-0.16690208373774101</v>
      </c>
      <c r="Q1283">
        <v>5.4136835625802897E-2</v>
      </c>
      <c r="R1283">
        <v>0.75251534584614399</v>
      </c>
      <c r="S1283" t="s">
        <v>6834</v>
      </c>
      <c r="T1283" t="s">
        <v>11100</v>
      </c>
      <c r="U1283" t="s">
        <v>11100</v>
      </c>
      <c r="V1283" t="s">
        <v>11100</v>
      </c>
      <c r="W1283" t="s">
        <v>12352</v>
      </c>
      <c r="X1283">
        <v>11</v>
      </c>
      <c r="Y1283" t="s">
        <v>17847</v>
      </c>
      <c r="Z1283" t="s">
        <v>23288</v>
      </c>
      <c r="AA1283">
        <v>0.96368605043469724</v>
      </c>
      <c r="AB1283" t="str">
        <f>HYPERLINK("Melting_Curves/meltCurve_O15144_ARPC2.pdf", "Melting_Curves/meltCurve_O15144_ARPC2.pdf")</f>
        <v>Melting_Curves/meltCurve_O15144_ARPC2.pdf</v>
      </c>
    </row>
    <row r="1284" spans="1:28" x14ac:dyDescent="0.25">
      <c r="A1284" t="s">
        <v>1288</v>
      </c>
      <c r="B1284">
        <v>0.99299721793515405</v>
      </c>
      <c r="C1284">
        <v>1.09606042080495</v>
      </c>
      <c r="D1284">
        <v>1.51137367291171</v>
      </c>
      <c r="E1284">
        <v>0.97269260450988404</v>
      </c>
      <c r="F1284">
        <v>0.770031063629387</v>
      </c>
      <c r="G1284">
        <v>1.38549786237067</v>
      </c>
      <c r="H1284">
        <v>0.89700027020904205</v>
      </c>
      <c r="I1284">
        <v>0.61871501904953097</v>
      </c>
      <c r="J1284">
        <v>0.30570260463316101</v>
      </c>
      <c r="K1284">
        <v>0.21557696438340099</v>
      </c>
      <c r="L1284">
        <v>2476.8004913137502</v>
      </c>
      <c r="M1284">
        <v>40.527854781605001</v>
      </c>
      <c r="N1284">
        <v>61.8780283902408</v>
      </c>
      <c r="O1284">
        <v>60.965307068942998</v>
      </c>
      <c r="P1284">
        <v>-0.13346074598011201</v>
      </c>
      <c r="Q1284">
        <v>0.196951392116159</v>
      </c>
      <c r="R1284">
        <v>0.69639192671404604</v>
      </c>
      <c r="S1284" t="s">
        <v>6835</v>
      </c>
      <c r="T1284" t="s">
        <v>11100</v>
      </c>
      <c r="U1284" t="s">
        <v>11100</v>
      </c>
      <c r="V1284" t="s">
        <v>11100</v>
      </c>
      <c r="W1284" t="s">
        <v>12353</v>
      </c>
      <c r="X1284">
        <v>6</v>
      </c>
      <c r="Y1284" t="s">
        <v>17848</v>
      </c>
      <c r="Z1284" t="s">
        <v>23289</v>
      </c>
      <c r="AA1284">
        <v>0.84429376794263977</v>
      </c>
      <c r="AB1284" t="str">
        <f>HYPERLINK("Melting_Curves/meltCurve_O15145_ARPC3.pdf", "Melting_Curves/meltCurve_O15145_ARPC3.pdf")</f>
        <v>Melting_Curves/meltCurve_O15145_ARPC3.pdf</v>
      </c>
    </row>
    <row r="1285" spans="1:28" x14ac:dyDescent="0.25">
      <c r="A1285" t="s">
        <v>1289</v>
      </c>
      <c r="B1285">
        <v>0.99299721793515405</v>
      </c>
      <c r="C1285">
        <v>1.0303087865279099</v>
      </c>
      <c r="D1285">
        <v>1.02852360765358</v>
      </c>
      <c r="E1285">
        <v>0.99617147750978097</v>
      </c>
      <c r="F1285">
        <v>0.806806583831709</v>
      </c>
      <c r="G1285">
        <v>0.59367806697372705</v>
      </c>
      <c r="H1285">
        <v>0.50277938428909097</v>
      </c>
      <c r="I1285">
        <v>0.48621510311458699</v>
      </c>
      <c r="J1285">
        <v>0.52313835070634895</v>
      </c>
      <c r="K1285">
        <v>0.35388001535542102</v>
      </c>
      <c r="L1285">
        <v>1296.12964411909</v>
      </c>
      <c r="M1285">
        <v>25.1028184442549</v>
      </c>
      <c r="N1285">
        <v>56.869560117450497</v>
      </c>
      <c r="O1285">
        <v>51.308513462365497</v>
      </c>
      <c r="P1285">
        <v>-6.7218554942168607E-2</v>
      </c>
      <c r="Q1285">
        <v>0.45044604284509898</v>
      </c>
      <c r="R1285">
        <v>0.97151261140215395</v>
      </c>
      <c r="S1285" t="s">
        <v>6836</v>
      </c>
      <c r="T1285" t="s">
        <v>11100</v>
      </c>
      <c r="U1285" t="s">
        <v>11100</v>
      </c>
      <c r="V1285" t="s">
        <v>11100</v>
      </c>
      <c r="W1285" t="s">
        <v>12354</v>
      </c>
      <c r="X1285">
        <v>4</v>
      </c>
      <c r="Y1285" t="s">
        <v>17849</v>
      </c>
      <c r="Z1285" t="s">
        <v>23290</v>
      </c>
      <c r="AA1285">
        <v>0.72332525037358508</v>
      </c>
      <c r="AB1285" t="str">
        <f>HYPERLINK("Melting_Curves/meltCurve_O15155_BET1.pdf", "Melting_Curves/meltCurve_O15155_BET1.pdf")</f>
        <v>Melting_Curves/meltCurve_O15155_BET1.pdf</v>
      </c>
    </row>
    <row r="1286" spans="1:28" x14ac:dyDescent="0.25">
      <c r="A1286" t="s">
        <v>1290</v>
      </c>
      <c r="B1286">
        <v>0.99299721793515405</v>
      </c>
      <c r="C1286">
        <v>0.95671695568364001</v>
      </c>
      <c r="D1286">
        <v>0.92893960120369801</v>
      </c>
      <c r="E1286">
        <v>0.91196676367745699</v>
      </c>
      <c r="F1286">
        <v>0.63108742401439599</v>
      </c>
      <c r="G1286">
        <v>0.33933343060068799</v>
      </c>
      <c r="H1286">
        <v>0.26875771968206202</v>
      </c>
      <c r="I1286">
        <v>0.233205221762736</v>
      </c>
      <c r="J1286">
        <v>0.23584588286074501</v>
      </c>
      <c r="K1286">
        <v>0.18488970717175199</v>
      </c>
      <c r="L1286">
        <v>1178.7977682917401</v>
      </c>
      <c r="M1286">
        <v>23.384229970397399</v>
      </c>
      <c r="N1286">
        <v>51.622975669639203</v>
      </c>
      <c r="O1286">
        <v>50.045632393050298</v>
      </c>
      <c r="P1286">
        <v>-9.2124483039957697E-2</v>
      </c>
      <c r="Q1286">
        <v>0.211375002562006</v>
      </c>
      <c r="R1286">
        <v>0.99350174398589797</v>
      </c>
      <c r="S1286" t="s">
        <v>6837</v>
      </c>
      <c r="T1286" t="s">
        <v>11100</v>
      </c>
      <c r="U1286" t="s">
        <v>11100</v>
      </c>
      <c r="V1286" t="s">
        <v>11100</v>
      </c>
      <c r="W1286" t="s">
        <v>12355</v>
      </c>
      <c r="X1286">
        <v>14</v>
      </c>
      <c r="Y1286" t="s">
        <v>17850</v>
      </c>
      <c r="Z1286" t="s">
        <v>23291</v>
      </c>
      <c r="AA1286">
        <v>0.57173369177091227</v>
      </c>
      <c r="AB1286" t="str">
        <f>HYPERLINK("Melting_Curves/meltCurve_O15160_POLR1C.pdf", "Melting_Curves/meltCurve_O15160_POLR1C.pdf")</f>
        <v>Melting_Curves/meltCurve_O15160_POLR1C.pdf</v>
      </c>
    </row>
    <row r="1287" spans="1:28" x14ac:dyDescent="0.25">
      <c r="A1287" t="s">
        <v>1291</v>
      </c>
      <c r="B1287">
        <v>0.99299721793515405</v>
      </c>
      <c r="C1287">
        <v>0.99783922007257597</v>
      </c>
      <c r="D1287">
        <v>0.913940926934806</v>
      </c>
      <c r="E1287">
        <v>0.643692739397841</v>
      </c>
      <c r="F1287">
        <v>0.67876483726186498</v>
      </c>
      <c r="G1287">
        <v>0.63167647801314897</v>
      </c>
      <c r="H1287">
        <v>0.421835175098069</v>
      </c>
      <c r="I1287">
        <v>0.25720001642694801</v>
      </c>
      <c r="J1287">
        <v>0.17436828700767701</v>
      </c>
      <c r="K1287">
        <v>0.26042560065363801</v>
      </c>
      <c r="L1287">
        <v>413.15790627976997</v>
      </c>
      <c r="M1287">
        <v>7.5642164290709903</v>
      </c>
      <c r="N1287">
        <v>54.620069266859304</v>
      </c>
      <c r="O1287">
        <v>51.194277860490203</v>
      </c>
      <c r="P1287">
        <v>-3.6990239948802503E-2</v>
      </c>
      <c r="Q1287">
        <v>0</v>
      </c>
      <c r="R1287">
        <v>0.94492760254460095</v>
      </c>
      <c r="S1287" t="s">
        <v>6838</v>
      </c>
      <c r="T1287" t="s">
        <v>11100</v>
      </c>
      <c r="U1287" t="s">
        <v>11100</v>
      </c>
      <c r="V1287" t="s">
        <v>11100</v>
      </c>
      <c r="W1287" t="s">
        <v>12356</v>
      </c>
      <c r="X1287">
        <v>4</v>
      </c>
      <c r="Y1287" t="s">
        <v>17851</v>
      </c>
      <c r="Z1287" t="s">
        <v>23292</v>
      </c>
      <c r="AA1287">
        <v>0.59554969642878797</v>
      </c>
      <c r="AB1287" t="str">
        <f>HYPERLINK("Melting_Curves/meltCurve_O15164_2_TRIM24.pdf", "Melting_Curves/meltCurve_O15164_2_TRIM24.pdf")</f>
        <v>Melting_Curves/meltCurve_O15164_2_TRIM24.pdf</v>
      </c>
    </row>
    <row r="1288" spans="1:28" x14ac:dyDescent="0.25">
      <c r="A1288" t="s">
        <v>1292</v>
      </c>
      <c r="B1288">
        <v>0.99299721793515405</v>
      </c>
      <c r="C1288">
        <v>1.0400214661299501</v>
      </c>
      <c r="D1288">
        <v>1.0787261083872199</v>
      </c>
      <c r="E1288">
        <v>1.00149662866828</v>
      </c>
      <c r="F1288">
        <v>0.80110267081489195</v>
      </c>
      <c r="G1288">
        <v>0.39841272729628902</v>
      </c>
      <c r="H1288">
        <v>0.28568524072136903</v>
      </c>
      <c r="I1288">
        <v>0.247441400883261</v>
      </c>
      <c r="J1288">
        <v>0.24319766824317099</v>
      </c>
      <c r="K1288">
        <v>0.21510329749884399</v>
      </c>
      <c r="L1288">
        <v>1767.09418827941</v>
      </c>
      <c r="M1288">
        <v>34.143361510286397</v>
      </c>
      <c r="N1288">
        <v>52.759914802344703</v>
      </c>
      <c r="O1288">
        <v>51.578559980227098</v>
      </c>
      <c r="P1288">
        <v>-0.125933091241068</v>
      </c>
      <c r="Q1288">
        <v>0.239041298953477</v>
      </c>
      <c r="R1288">
        <v>0.99282571759929905</v>
      </c>
      <c r="S1288" t="s">
        <v>6839</v>
      </c>
      <c r="T1288" t="s">
        <v>11100</v>
      </c>
      <c r="U1288" t="s">
        <v>11100</v>
      </c>
      <c r="V1288" t="s">
        <v>11100</v>
      </c>
      <c r="W1288" t="s">
        <v>12357</v>
      </c>
      <c r="X1288">
        <v>1</v>
      </c>
      <c r="Y1288" t="s">
        <v>17852</v>
      </c>
      <c r="Z1288" t="s">
        <v>23293</v>
      </c>
      <c r="AA1288">
        <v>0.6170298542388104</v>
      </c>
      <c r="AB1288" t="str">
        <f>HYPERLINK("Melting_Curves/meltCurve_O15169_2_AXIN1.pdf", "Melting_Curves/meltCurve_O15169_2_AXIN1.pdf")</f>
        <v>Melting_Curves/meltCurve_O15169_2_AXIN1.pdf</v>
      </c>
    </row>
    <row r="1289" spans="1:28" x14ac:dyDescent="0.25">
      <c r="A1289" t="s">
        <v>1293</v>
      </c>
      <c r="B1289">
        <v>0.99299721793515405</v>
      </c>
      <c r="C1289">
        <v>0.94454492455112704</v>
      </c>
      <c r="D1289">
        <v>1.0107528768648499</v>
      </c>
      <c r="E1289">
        <v>0.76597616045894101</v>
      </c>
      <c r="F1289">
        <v>0.67875345859853198</v>
      </c>
      <c r="G1289">
        <v>0.60101388020524604</v>
      </c>
      <c r="H1289">
        <v>0.39403743667645902</v>
      </c>
      <c r="I1289">
        <v>0.43112612122794303</v>
      </c>
      <c r="J1289">
        <v>0.43980804263293999</v>
      </c>
      <c r="K1289">
        <v>0.50512592151362701</v>
      </c>
      <c r="L1289">
        <v>791.73606099578205</v>
      </c>
      <c r="M1289">
        <v>16.205847985617801</v>
      </c>
      <c r="N1289">
        <v>55.921877146996799</v>
      </c>
      <c r="O1289">
        <v>48.1292177344016</v>
      </c>
      <c r="P1289">
        <v>-4.7522442110673697E-2</v>
      </c>
      <c r="Q1289">
        <v>0.43550065475625599</v>
      </c>
      <c r="R1289">
        <v>0.95018646396083495</v>
      </c>
      <c r="S1289" t="s">
        <v>6840</v>
      </c>
      <c r="T1289" t="s">
        <v>11100</v>
      </c>
      <c r="U1289" t="s">
        <v>11100</v>
      </c>
      <c r="V1289" t="s">
        <v>11100</v>
      </c>
      <c r="W1289" t="s">
        <v>12358</v>
      </c>
      <c r="X1289">
        <v>9</v>
      </c>
      <c r="Y1289" t="s">
        <v>17853</v>
      </c>
      <c r="Z1289" t="s">
        <v>23294</v>
      </c>
      <c r="AA1289">
        <v>0.66932082045534147</v>
      </c>
      <c r="AB1289" t="str">
        <f>HYPERLINK("Melting_Curves/meltCurve_O15173_PGRMC2.pdf", "Melting_Curves/meltCurve_O15173_PGRMC2.pdf")</f>
        <v>Melting_Curves/meltCurve_O15173_PGRMC2.pdf</v>
      </c>
    </row>
    <row r="1290" spans="1:28" x14ac:dyDescent="0.25">
      <c r="A1290" t="s">
        <v>1294</v>
      </c>
      <c r="B1290">
        <v>0.99299721793515405</v>
      </c>
      <c r="C1290">
        <v>0.95790310390933697</v>
      </c>
      <c r="D1290">
        <v>0.90748432671040902</v>
      </c>
      <c r="E1290">
        <v>0.83450138684804998</v>
      </c>
      <c r="F1290">
        <v>0.74272519368980205</v>
      </c>
      <c r="G1290">
        <v>0.56499953297316297</v>
      </c>
      <c r="H1290">
        <v>0.70838085303561804</v>
      </c>
      <c r="I1290">
        <v>0.92747861514595897</v>
      </c>
      <c r="J1290">
        <v>1.1321801896813799</v>
      </c>
      <c r="K1290">
        <v>0.97442223639916903</v>
      </c>
      <c r="L1290">
        <v>1315.8428042760399</v>
      </c>
      <c r="M1290">
        <v>31.3837833222758</v>
      </c>
      <c r="O1290">
        <v>41.758365359722902</v>
      </c>
      <c r="P1290">
        <v>-2.98702911409752E-2</v>
      </c>
      <c r="Q1290">
        <v>0.84102271895407699</v>
      </c>
      <c r="R1290">
        <v>0.119729127843108</v>
      </c>
      <c r="S1290" t="s">
        <v>6841</v>
      </c>
      <c r="T1290" t="s">
        <v>11100</v>
      </c>
      <c r="U1290" t="s">
        <v>11100</v>
      </c>
      <c r="V1290" t="s">
        <v>11100</v>
      </c>
      <c r="W1290" t="s">
        <v>12359</v>
      </c>
      <c r="X1290">
        <v>15</v>
      </c>
      <c r="Y1290" t="s">
        <v>17854</v>
      </c>
      <c r="Z1290" t="s">
        <v>23295</v>
      </c>
      <c r="AA1290">
        <v>0.86796671707052064</v>
      </c>
      <c r="AB1290" t="str">
        <f>HYPERLINK("Melting_Curves/meltCurve_O15212_PFDN6.pdf", "Melting_Curves/meltCurve_O15212_PFDN6.pdf")</f>
        <v>Melting_Curves/meltCurve_O15212_PFDN6.pdf</v>
      </c>
    </row>
    <row r="1291" spans="1:28" x14ac:dyDescent="0.25">
      <c r="A1291" t="s">
        <v>1295</v>
      </c>
      <c r="B1291">
        <v>0.99299721793515405</v>
      </c>
      <c r="C1291">
        <v>0.95556825695561898</v>
      </c>
      <c r="D1291">
        <v>1.06628128106779</v>
      </c>
      <c r="E1291">
        <v>0.80656256311764396</v>
      </c>
      <c r="F1291">
        <v>0.80887195912864696</v>
      </c>
      <c r="G1291">
        <v>0.69012535969245503</v>
      </c>
      <c r="H1291">
        <v>0.39789220091934002</v>
      </c>
      <c r="I1291">
        <v>0.297214444418196</v>
      </c>
      <c r="J1291">
        <v>0.21398757737947499</v>
      </c>
      <c r="K1291">
        <v>0.172988936882911</v>
      </c>
      <c r="L1291">
        <v>645.373502229275</v>
      </c>
      <c r="M1291">
        <v>11.545385985563801</v>
      </c>
      <c r="N1291">
        <v>56.266053922670501</v>
      </c>
      <c r="O1291">
        <v>54.300734396271402</v>
      </c>
      <c r="P1291">
        <v>-5.1240086234986E-2</v>
      </c>
      <c r="Q1291">
        <v>3.6291907766332399E-2</v>
      </c>
      <c r="R1291">
        <v>0.972565663076847</v>
      </c>
      <c r="S1291" t="s">
        <v>6842</v>
      </c>
      <c r="T1291" t="s">
        <v>11100</v>
      </c>
      <c r="U1291" t="s">
        <v>11100</v>
      </c>
      <c r="V1291" t="s">
        <v>11100</v>
      </c>
      <c r="W1291" t="s">
        <v>12360</v>
      </c>
      <c r="X1291">
        <v>7</v>
      </c>
      <c r="Y1291" t="s">
        <v>17855</v>
      </c>
      <c r="Z1291" t="s">
        <v>23296</v>
      </c>
      <c r="AA1291">
        <v>0.65274252069875582</v>
      </c>
      <c r="AB1291" t="str">
        <f>HYPERLINK("Melting_Curves/meltCurve_O15228_GNPAT.pdf", "Melting_Curves/meltCurve_O15228_GNPAT.pdf")</f>
        <v>Melting_Curves/meltCurve_O15228_GNPAT.pdf</v>
      </c>
    </row>
    <row r="1292" spans="1:28" x14ac:dyDescent="0.25">
      <c r="A1292" t="s">
        <v>1296</v>
      </c>
      <c r="B1292">
        <v>0.99299721793515405</v>
      </c>
      <c r="C1292">
        <v>0.77261848127532595</v>
      </c>
      <c r="D1292">
        <v>0.80058263299552601</v>
      </c>
      <c r="E1292">
        <v>0.61893007791709098</v>
      </c>
      <c r="F1292">
        <v>0.59561938907196599</v>
      </c>
      <c r="G1292">
        <v>0.45309029452097199</v>
      </c>
      <c r="H1292">
        <v>0.46831092112811101</v>
      </c>
      <c r="I1292">
        <v>0.58777571549685204</v>
      </c>
      <c r="J1292">
        <v>1.32669473213473</v>
      </c>
      <c r="K1292">
        <v>1.49817521555595</v>
      </c>
      <c r="L1292">
        <v>15000</v>
      </c>
      <c r="M1292">
        <v>234.65358495006501</v>
      </c>
      <c r="O1292">
        <v>63.919374905881803</v>
      </c>
      <c r="P1292">
        <v>0.45723011253372298</v>
      </c>
      <c r="Q1292">
        <v>1.49819589012173</v>
      </c>
      <c r="R1292">
        <v>-4.3184722706324198E-4</v>
      </c>
      <c r="S1292" t="s">
        <v>6843</v>
      </c>
      <c r="T1292" t="s">
        <v>11100</v>
      </c>
      <c r="U1292" t="s">
        <v>11100</v>
      </c>
      <c r="V1292" t="s">
        <v>11100</v>
      </c>
      <c r="W1292" t="s">
        <v>12361</v>
      </c>
      <c r="X1292">
        <v>4</v>
      </c>
      <c r="Y1292" t="s">
        <v>17856</v>
      </c>
      <c r="Z1292" t="s">
        <v>23297</v>
      </c>
      <c r="AA1292">
        <v>1.0510180487212279</v>
      </c>
      <c r="AB1292" t="str">
        <f>HYPERLINK("Melting_Curves/meltCurve_O15234_CASC3.pdf", "Melting_Curves/meltCurve_O15234_CASC3.pdf")</f>
        <v>Melting_Curves/meltCurve_O15234_CASC3.pdf</v>
      </c>
    </row>
    <row r="1293" spans="1:28" x14ac:dyDescent="0.25">
      <c r="A1293" t="s">
        <v>1297</v>
      </c>
      <c r="B1293">
        <v>0.99299721793515405</v>
      </c>
      <c r="C1293">
        <v>0.91601559991553705</v>
      </c>
      <c r="D1293">
        <v>0.87805200099699299</v>
      </c>
      <c r="E1293">
        <v>0.73954933891318098</v>
      </c>
      <c r="F1293">
        <v>0.637944975794698</v>
      </c>
      <c r="G1293">
        <v>0.51029190965061899</v>
      </c>
      <c r="H1293">
        <v>1.1450612088371199</v>
      </c>
      <c r="I1293">
        <v>1.40076195500159</v>
      </c>
      <c r="J1293">
        <v>1.8910584885769699</v>
      </c>
      <c r="K1293">
        <v>1.32477368540678</v>
      </c>
      <c r="L1293">
        <v>3873.94046727264</v>
      </c>
      <c r="M1293">
        <v>66.347882110988493</v>
      </c>
      <c r="O1293">
        <v>58.335325963718503</v>
      </c>
      <c r="P1293">
        <v>0.14216920366876601</v>
      </c>
      <c r="Q1293">
        <v>1.5</v>
      </c>
      <c r="R1293">
        <v>0.57131466970468703</v>
      </c>
      <c r="S1293" t="s">
        <v>6844</v>
      </c>
      <c r="T1293" t="s">
        <v>11100</v>
      </c>
      <c r="U1293" t="s">
        <v>11100</v>
      </c>
      <c r="V1293" t="s">
        <v>11100</v>
      </c>
      <c r="W1293" t="s">
        <v>12362</v>
      </c>
      <c r="X1293">
        <v>1</v>
      </c>
      <c r="Y1293" t="s">
        <v>17857</v>
      </c>
      <c r="Z1293" t="s">
        <v>23298</v>
      </c>
      <c r="AA1293">
        <v>1.14280261319381</v>
      </c>
      <c r="AB1293" t="str">
        <f>HYPERLINK("Melting_Curves/meltCurve_O15239_NDUFA1.pdf", "Melting_Curves/meltCurve_O15239_NDUFA1.pdf")</f>
        <v>Melting_Curves/meltCurve_O15239_NDUFA1.pdf</v>
      </c>
    </row>
    <row r="1294" spans="1:28" x14ac:dyDescent="0.25">
      <c r="A1294" t="s">
        <v>1298</v>
      </c>
      <c r="B1294">
        <v>0.99299721793515405</v>
      </c>
      <c r="C1294">
        <v>1.2979749806909999</v>
      </c>
      <c r="D1294">
        <v>1.15215630452175</v>
      </c>
      <c r="E1294">
        <v>1.0178282473732601</v>
      </c>
      <c r="F1294">
        <v>0.96821832230532501</v>
      </c>
      <c r="G1294">
        <v>0.84102145908037895</v>
      </c>
      <c r="H1294">
        <v>0.91293510468647798</v>
      </c>
      <c r="I1294">
        <v>1.04059763606915</v>
      </c>
      <c r="J1294">
        <v>1.2159650183553701</v>
      </c>
      <c r="K1294">
        <v>0.825306911515717</v>
      </c>
      <c r="L1294">
        <v>15000</v>
      </c>
      <c r="M1294">
        <v>222.32778455558599</v>
      </c>
      <c r="Q1294">
        <v>0</v>
      </c>
      <c r="R1294">
        <v>0.10778064057013</v>
      </c>
      <c r="S1294" t="s">
        <v>6845</v>
      </c>
      <c r="T1294" t="s">
        <v>11100</v>
      </c>
      <c r="U1294" t="s">
        <v>11100</v>
      </c>
      <c r="V1294" t="s">
        <v>11100</v>
      </c>
      <c r="W1294" t="s">
        <v>12363</v>
      </c>
      <c r="X1294">
        <v>2</v>
      </c>
      <c r="Y1294" t="s">
        <v>17858</v>
      </c>
      <c r="Z1294" t="s">
        <v>23299</v>
      </c>
      <c r="AA1294">
        <v>0.99810255210613785</v>
      </c>
      <c r="AB1294" t="str">
        <f>HYPERLINK("Melting_Curves/meltCurve_O15258_RER1.pdf", "Melting_Curves/meltCurve_O15258_RER1.pdf")</f>
        <v>Melting_Curves/meltCurve_O15258_RER1.pdf</v>
      </c>
    </row>
    <row r="1295" spans="1:28" x14ac:dyDescent="0.25">
      <c r="A1295" t="s">
        <v>1299</v>
      </c>
      <c r="B1295">
        <v>0.99299721793515405</v>
      </c>
      <c r="C1295">
        <v>1.0624693823168101</v>
      </c>
      <c r="D1295">
        <v>0.94821546620810204</v>
      </c>
      <c r="E1295">
        <v>0.90353922660264396</v>
      </c>
      <c r="F1295">
        <v>0.77759800650153799</v>
      </c>
      <c r="G1295">
        <v>0.70876799244667199</v>
      </c>
      <c r="H1295">
        <v>0.47287327305027999</v>
      </c>
      <c r="I1295">
        <v>0.31326357869298299</v>
      </c>
      <c r="J1295">
        <v>0.19001255447888099</v>
      </c>
      <c r="K1295">
        <v>0.172549427154263</v>
      </c>
      <c r="L1295">
        <v>637.74329507057598</v>
      </c>
      <c r="M1295">
        <v>11.2113734032799</v>
      </c>
      <c r="N1295">
        <v>56.883601383099901</v>
      </c>
      <c r="O1295">
        <v>55.163892813060798</v>
      </c>
      <c r="P1295">
        <v>-5.0825312608548098E-2</v>
      </c>
      <c r="Q1295">
        <v>0</v>
      </c>
      <c r="R1295">
        <v>0.98881001798458601</v>
      </c>
      <c r="S1295" t="s">
        <v>6846</v>
      </c>
      <c r="T1295" t="s">
        <v>11100</v>
      </c>
      <c r="U1295" t="s">
        <v>11100</v>
      </c>
      <c r="V1295" t="s">
        <v>11100</v>
      </c>
      <c r="W1295" t="s">
        <v>12364</v>
      </c>
      <c r="X1295">
        <v>6</v>
      </c>
      <c r="Y1295" t="s">
        <v>17859</v>
      </c>
      <c r="Z1295" t="s">
        <v>23300</v>
      </c>
      <c r="AA1295">
        <v>0.6663936170513679</v>
      </c>
      <c r="AB1295" t="str">
        <f>HYPERLINK("Melting_Curves/meltCurve_O15269_SPTLC1.pdf", "Melting_Curves/meltCurve_O15269_SPTLC1.pdf")</f>
        <v>Melting_Curves/meltCurve_O15269_SPTLC1.pdf</v>
      </c>
    </row>
    <row r="1296" spans="1:28" x14ac:dyDescent="0.25">
      <c r="A1296" t="s">
        <v>1300</v>
      </c>
      <c r="B1296">
        <v>0.99299721793515405</v>
      </c>
      <c r="C1296">
        <v>0.99604994725294005</v>
      </c>
      <c r="D1296">
        <v>0.95332579314389798</v>
      </c>
      <c r="E1296">
        <v>0.93763186392143305</v>
      </c>
      <c r="F1296">
        <v>0.80611565856800804</v>
      </c>
      <c r="G1296">
        <v>0.78292553671135801</v>
      </c>
      <c r="H1296">
        <v>0.507049764720789</v>
      </c>
      <c r="I1296">
        <v>0.29463163283923399</v>
      </c>
      <c r="J1296">
        <v>0.23415556051723799</v>
      </c>
      <c r="K1296">
        <v>0.21846029715194201</v>
      </c>
      <c r="L1296">
        <v>762.35508749658402</v>
      </c>
      <c r="M1296">
        <v>13.420438285953299</v>
      </c>
      <c r="N1296">
        <v>57.5608082475175</v>
      </c>
      <c r="O1296">
        <v>55.588709998574103</v>
      </c>
      <c r="P1296">
        <v>-5.5491997610949501E-2</v>
      </c>
      <c r="Q1296">
        <v>8.0730900279549794E-2</v>
      </c>
      <c r="R1296">
        <v>0.98479739233919095</v>
      </c>
      <c r="S1296" t="s">
        <v>6847</v>
      </c>
      <c r="T1296" t="s">
        <v>11100</v>
      </c>
      <c r="U1296" t="s">
        <v>11100</v>
      </c>
      <c r="V1296" t="s">
        <v>11100</v>
      </c>
      <c r="W1296" t="s">
        <v>12365</v>
      </c>
      <c r="X1296">
        <v>8</v>
      </c>
      <c r="Y1296" t="s">
        <v>17860</v>
      </c>
      <c r="Z1296" t="s">
        <v>23301</v>
      </c>
      <c r="AA1296">
        <v>0.69469513535115579</v>
      </c>
      <c r="AB1296" t="str">
        <f>HYPERLINK("Melting_Curves/meltCurve_O15270_SPTLC2.pdf", "Melting_Curves/meltCurve_O15270_SPTLC2.pdf")</f>
        <v>Melting_Curves/meltCurve_O15270_SPTLC2.pdf</v>
      </c>
    </row>
    <row r="1297" spans="1:28" x14ac:dyDescent="0.25">
      <c r="A1297" t="s">
        <v>1301</v>
      </c>
      <c r="B1297">
        <v>0.99299721793515405</v>
      </c>
      <c r="C1297">
        <v>0.99693794104172295</v>
      </c>
      <c r="D1297">
        <v>0.89949643907807797</v>
      </c>
      <c r="E1297">
        <v>0.84191404184668905</v>
      </c>
      <c r="F1297">
        <v>0.82658124385339005</v>
      </c>
      <c r="G1297">
        <v>0.37067058948325599</v>
      </c>
      <c r="H1297">
        <v>0.23894849180342601</v>
      </c>
      <c r="I1297">
        <v>0.23192001412459101</v>
      </c>
      <c r="J1297">
        <v>0.24025589515682899</v>
      </c>
      <c r="K1297">
        <v>0.18294295567833499</v>
      </c>
      <c r="L1297">
        <v>1539.76591990011</v>
      </c>
      <c r="M1297">
        <v>29.7473156538342</v>
      </c>
      <c r="N1297">
        <v>52.709086982826499</v>
      </c>
      <c r="O1297">
        <v>51.529279450984703</v>
      </c>
      <c r="P1297">
        <v>-0.11443348256910001</v>
      </c>
      <c r="Q1297">
        <v>0.207103556974228</v>
      </c>
      <c r="R1297">
        <v>0.97158055959174705</v>
      </c>
      <c r="S1297" t="s">
        <v>6848</v>
      </c>
      <c r="T1297" t="s">
        <v>11100</v>
      </c>
      <c r="U1297" t="s">
        <v>11100</v>
      </c>
      <c r="V1297" t="s">
        <v>11100</v>
      </c>
      <c r="W1297" t="s">
        <v>12366</v>
      </c>
      <c r="X1297">
        <v>6</v>
      </c>
      <c r="Y1297" t="s">
        <v>17861</v>
      </c>
      <c r="Z1297" t="s">
        <v>23302</v>
      </c>
      <c r="AA1297">
        <v>0.60231942119406889</v>
      </c>
      <c r="AB1297" t="str">
        <f>HYPERLINK("Melting_Curves/meltCurve_O15294_3_OGT.pdf", "Melting_Curves/meltCurve_O15294_3_OGT.pdf")</f>
        <v>Melting_Curves/meltCurve_O15294_3_OGT.pdf</v>
      </c>
    </row>
    <row r="1298" spans="1:28" x14ac:dyDescent="0.25">
      <c r="A1298" t="s">
        <v>1302</v>
      </c>
      <c r="B1298">
        <v>0.99299721793515405</v>
      </c>
      <c r="C1298">
        <v>0.98674855383465399</v>
      </c>
      <c r="D1298">
        <v>0.91838539516290796</v>
      </c>
      <c r="E1298">
        <v>0.913775535289298</v>
      </c>
      <c r="F1298">
        <v>0.71138181264321299</v>
      </c>
      <c r="G1298">
        <v>0.45538402241648301</v>
      </c>
      <c r="H1298">
        <v>0.30601704615025199</v>
      </c>
      <c r="I1298">
        <v>0.19393467749537699</v>
      </c>
      <c r="J1298">
        <v>0.115753238695373</v>
      </c>
      <c r="K1298">
        <v>9.1925423741249498E-2</v>
      </c>
      <c r="L1298">
        <v>740.83796434360897</v>
      </c>
      <c r="M1298">
        <v>13.947010890767499</v>
      </c>
      <c r="N1298">
        <v>53.476938194193799</v>
      </c>
      <c r="O1298">
        <v>52.061784619570098</v>
      </c>
      <c r="P1298">
        <v>-6.3989817807849597E-2</v>
      </c>
      <c r="Q1298">
        <v>4.46768126955433E-2</v>
      </c>
      <c r="R1298">
        <v>0.99654219695991697</v>
      </c>
      <c r="S1298" t="s">
        <v>6849</v>
      </c>
      <c r="T1298" t="s">
        <v>11100</v>
      </c>
      <c r="U1298" t="s">
        <v>11100</v>
      </c>
      <c r="V1298" t="s">
        <v>11100</v>
      </c>
      <c r="W1298" t="s">
        <v>12367</v>
      </c>
      <c r="X1298">
        <v>10</v>
      </c>
      <c r="Y1298" t="s">
        <v>17862</v>
      </c>
      <c r="Z1298" t="s">
        <v>23303</v>
      </c>
      <c r="AA1298">
        <v>0.57592351580767709</v>
      </c>
      <c r="AB1298" t="str">
        <f>HYPERLINK("Melting_Curves/meltCurve_O15305_PMM2.pdf", "Melting_Curves/meltCurve_O15305_PMM2.pdf")</f>
        <v>Melting_Curves/meltCurve_O15305_PMM2.pdf</v>
      </c>
    </row>
    <row r="1299" spans="1:28" x14ac:dyDescent="0.25">
      <c r="A1299" t="s">
        <v>1303</v>
      </c>
      <c r="B1299">
        <v>0.99299721793515405</v>
      </c>
      <c r="C1299">
        <v>1.0013694561088</v>
      </c>
      <c r="D1299">
        <v>0.91757722323797597</v>
      </c>
      <c r="E1299">
        <v>0.84622638512243797</v>
      </c>
      <c r="F1299">
        <v>0.68151798129109897</v>
      </c>
      <c r="G1299">
        <v>0.38385446153980102</v>
      </c>
      <c r="H1299">
        <v>0.22922793023815199</v>
      </c>
      <c r="I1299">
        <v>0.16324921333918299</v>
      </c>
      <c r="J1299">
        <v>0.12630307822263301</v>
      </c>
      <c r="K1299">
        <v>7.3261421763727796E-2</v>
      </c>
      <c r="L1299">
        <v>768.58710772680104</v>
      </c>
      <c r="M1299">
        <v>14.8017832475365</v>
      </c>
      <c r="N1299">
        <v>52.342359016976303</v>
      </c>
      <c r="O1299">
        <v>51.005193987519199</v>
      </c>
      <c r="P1299">
        <v>-6.8522131088995394E-2</v>
      </c>
      <c r="Q1299">
        <v>5.5624310866489897E-2</v>
      </c>
      <c r="R1299">
        <v>0.99651638767557804</v>
      </c>
      <c r="S1299" t="s">
        <v>6850</v>
      </c>
      <c r="T1299" t="s">
        <v>11100</v>
      </c>
      <c r="U1299" t="s">
        <v>11100</v>
      </c>
      <c r="V1299" t="s">
        <v>11100</v>
      </c>
      <c r="W1299" t="s">
        <v>12368</v>
      </c>
      <c r="X1299">
        <v>9</v>
      </c>
      <c r="Y1299" t="s">
        <v>17863</v>
      </c>
      <c r="Z1299" t="s">
        <v>23304</v>
      </c>
      <c r="AA1299">
        <v>0.54389157850563996</v>
      </c>
      <c r="AB1299" t="str">
        <f>HYPERLINK("Melting_Curves/meltCurve_O15344_MID1.pdf", "Melting_Curves/meltCurve_O15344_MID1.pdf")</f>
        <v>Melting_Curves/meltCurve_O15344_MID1.pdf</v>
      </c>
    </row>
    <row r="1300" spans="1:28" x14ac:dyDescent="0.25">
      <c r="A1300" t="s">
        <v>1304</v>
      </c>
      <c r="B1300">
        <v>0.99299721793515405</v>
      </c>
      <c r="C1300">
        <v>1.13547652722308</v>
      </c>
      <c r="D1300">
        <v>1.13615916660378</v>
      </c>
      <c r="E1300">
        <v>0.94189204442679597</v>
      </c>
      <c r="F1300">
        <v>0.75502052786365703</v>
      </c>
      <c r="G1300">
        <v>0.54534037542922298</v>
      </c>
      <c r="H1300">
        <v>0.460770378085192</v>
      </c>
      <c r="I1300">
        <v>0.46985788090548702</v>
      </c>
      <c r="J1300">
        <v>0.48257283511024102</v>
      </c>
      <c r="K1300">
        <v>0.32565086281531402</v>
      </c>
      <c r="L1300">
        <v>1297.32776123906</v>
      </c>
      <c r="M1300">
        <v>25.472890472190699</v>
      </c>
      <c r="N1300">
        <v>54.982654327616501</v>
      </c>
      <c r="O1300">
        <v>50.618969209591299</v>
      </c>
      <c r="P1300">
        <v>-7.2525168010112995E-2</v>
      </c>
      <c r="Q1300">
        <v>0.423527768180471</v>
      </c>
      <c r="R1300">
        <v>0.93693836654734897</v>
      </c>
      <c r="S1300" t="s">
        <v>6851</v>
      </c>
      <c r="T1300" t="s">
        <v>11100</v>
      </c>
      <c r="U1300" t="s">
        <v>11100</v>
      </c>
      <c r="V1300" t="s">
        <v>11100</v>
      </c>
      <c r="W1300" t="s">
        <v>12369</v>
      </c>
      <c r="X1300">
        <v>13</v>
      </c>
      <c r="Y1300" t="s">
        <v>17864</v>
      </c>
      <c r="Z1300" t="s">
        <v>23305</v>
      </c>
      <c r="AA1300">
        <v>0.69610681552577869</v>
      </c>
      <c r="AB1300" t="str">
        <f>HYPERLINK("Melting_Curves/meltCurve_O15347_HMGB3.pdf", "Melting_Curves/meltCurve_O15347_HMGB3.pdf")</f>
        <v>Melting_Curves/meltCurve_O15347_HMGB3.pdf</v>
      </c>
    </row>
    <row r="1301" spans="1:28" x14ac:dyDescent="0.25">
      <c r="A1301" t="s">
        <v>1305</v>
      </c>
      <c r="B1301">
        <v>0.99299721793515405</v>
      </c>
      <c r="C1301">
        <v>0.98212936284675101</v>
      </c>
      <c r="D1301">
        <v>1.1904377812971101</v>
      </c>
      <c r="E1301">
        <v>0.91963695314445504</v>
      </c>
      <c r="F1301">
        <v>0.473938008335551</v>
      </c>
      <c r="G1301">
        <v>0.25678098373181002</v>
      </c>
      <c r="H1301">
        <v>0.16904566103841701</v>
      </c>
      <c r="I1301">
        <v>0.168197677203937</v>
      </c>
      <c r="J1301">
        <v>0.17637612651959</v>
      </c>
      <c r="K1301">
        <v>0.182913665316327</v>
      </c>
      <c r="L1301">
        <v>1825.52952638179</v>
      </c>
      <c r="M1301">
        <v>36.901942924116803</v>
      </c>
      <c r="N1301">
        <v>50.075848826214902</v>
      </c>
      <c r="O1301">
        <v>49.3251157217057</v>
      </c>
      <c r="P1301">
        <v>-0.15334652178545</v>
      </c>
      <c r="Q1301">
        <v>0.180117274511602</v>
      </c>
      <c r="R1301">
        <v>0.974966862512605</v>
      </c>
      <c r="S1301" t="s">
        <v>6852</v>
      </c>
      <c r="T1301" t="s">
        <v>11100</v>
      </c>
      <c r="U1301" t="s">
        <v>11100</v>
      </c>
      <c r="V1301" t="s">
        <v>11100</v>
      </c>
      <c r="W1301" t="s">
        <v>12370</v>
      </c>
      <c r="X1301">
        <v>30</v>
      </c>
      <c r="Y1301" t="s">
        <v>17865</v>
      </c>
      <c r="Z1301" t="s">
        <v>23306</v>
      </c>
      <c r="AA1301">
        <v>0.52420369695725566</v>
      </c>
      <c r="AB1301" t="str">
        <f>HYPERLINK("Melting_Curves/meltCurve_O15355_PPM1G.pdf", "Melting_Curves/meltCurve_O15355_PPM1G.pdf")</f>
        <v>Melting_Curves/meltCurve_O15355_PPM1G.pdf</v>
      </c>
    </row>
    <row r="1302" spans="1:28" x14ac:dyDescent="0.25">
      <c r="A1302" t="s">
        <v>1306</v>
      </c>
      <c r="B1302">
        <v>0.99299721793515405</v>
      </c>
      <c r="C1302">
        <v>1.0624223319189201</v>
      </c>
      <c r="D1302">
        <v>0.98347532112735903</v>
      </c>
      <c r="E1302">
        <v>0.91107240696339697</v>
      </c>
      <c r="F1302">
        <v>0.70806626001995498</v>
      </c>
      <c r="G1302">
        <v>0.28889990198136201</v>
      </c>
      <c r="H1302">
        <v>0.237613388885237</v>
      </c>
      <c r="I1302">
        <v>0.18817435187092901</v>
      </c>
      <c r="J1302">
        <v>0.193865801206865</v>
      </c>
      <c r="K1302">
        <v>0.14198953139878501</v>
      </c>
      <c r="L1302">
        <v>1496.1032990239</v>
      </c>
      <c r="M1302">
        <v>29.333233978082401</v>
      </c>
      <c r="N1302">
        <v>51.764395690054101</v>
      </c>
      <c r="O1302">
        <v>50.768387920183997</v>
      </c>
      <c r="P1302">
        <v>-0.119155456789901</v>
      </c>
      <c r="Q1302">
        <v>0.17509403222825101</v>
      </c>
      <c r="R1302">
        <v>0.99274866346030799</v>
      </c>
      <c r="S1302" t="s">
        <v>6853</v>
      </c>
      <c r="T1302" t="s">
        <v>11100</v>
      </c>
      <c r="U1302" t="s">
        <v>11100</v>
      </c>
      <c r="V1302" t="s">
        <v>11100</v>
      </c>
      <c r="W1302" t="s">
        <v>12371</v>
      </c>
      <c r="X1302">
        <v>19</v>
      </c>
      <c r="Y1302" t="s">
        <v>17866</v>
      </c>
      <c r="Z1302" t="s">
        <v>23307</v>
      </c>
      <c r="AA1302">
        <v>0.56552098713832899</v>
      </c>
      <c r="AB1302" t="str">
        <f>HYPERLINK("Melting_Curves/meltCurve_O15357_INPPL1.pdf", "Melting_Curves/meltCurve_O15357_INPPL1.pdf")</f>
        <v>Melting_Curves/meltCurve_O15357_INPPL1.pdf</v>
      </c>
    </row>
    <row r="1303" spans="1:28" x14ac:dyDescent="0.25">
      <c r="A1303" t="s">
        <v>1307</v>
      </c>
      <c r="B1303">
        <v>0.99299721793515405</v>
      </c>
      <c r="C1303">
        <v>1.3305806322612299</v>
      </c>
      <c r="D1303">
        <v>1.20372932092217</v>
      </c>
      <c r="E1303">
        <v>1.0756816019798601</v>
      </c>
      <c r="F1303">
        <v>0.87492387232072499</v>
      </c>
      <c r="G1303">
        <v>0.40986454273802397</v>
      </c>
      <c r="H1303">
        <v>0.21789962677007699</v>
      </c>
      <c r="I1303">
        <v>0.159368141391315</v>
      </c>
      <c r="J1303">
        <v>0.16891424202063801</v>
      </c>
      <c r="K1303">
        <v>0.14140701626691601</v>
      </c>
      <c r="L1303">
        <v>1986.5972451515299</v>
      </c>
      <c r="M1303">
        <v>37.769158868653001</v>
      </c>
      <c r="N1303">
        <v>53.145260551959502</v>
      </c>
      <c r="O1303">
        <v>52.451596046579901</v>
      </c>
      <c r="P1303">
        <v>-0.15103463950207799</v>
      </c>
      <c r="Q1303">
        <v>0.16100994970376301</v>
      </c>
      <c r="R1303">
        <v>0.924201744478377</v>
      </c>
      <c r="S1303" t="s">
        <v>6854</v>
      </c>
      <c r="T1303" t="s">
        <v>11100</v>
      </c>
      <c r="U1303" t="s">
        <v>11100</v>
      </c>
      <c r="V1303" t="s">
        <v>11100</v>
      </c>
      <c r="W1303" t="s">
        <v>12372</v>
      </c>
      <c r="X1303">
        <v>10</v>
      </c>
      <c r="Y1303" t="s">
        <v>17867</v>
      </c>
      <c r="Z1303" t="s">
        <v>23308</v>
      </c>
      <c r="AA1303">
        <v>0.60064577192674162</v>
      </c>
      <c r="AB1303" t="str">
        <f>HYPERLINK("Melting_Curves/meltCurve_O15397_IPO8.pdf", "Melting_Curves/meltCurve_O15397_IPO8.pdf")</f>
        <v>Melting_Curves/meltCurve_O15397_IPO8.pdf</v>
      </c>
    </row>
    <row r="1304" spans="1:28" x14ac:dyDescent="0.25">
      <c r="A1304" t="s">
        <v>1308</v>
      </c>
      <c r="B1304">
        <v>0.99299721793515405</v>
      </c>
      <c r="C1304">
        <v>0.96334620944016902</v>
      </c>
      <c r="D1304">
        <v>1.04731281771574</v>
      </c>
      <c r="E1304">
        <v>0.85083246634054999</v>
      </c>
      <c r="F1304">
        <v>0.77895170230644095</v>
      </c>
      <c r="G1304">
        <v>0.60776630950351396</v>
      </c>
      <c r="H1304">
        <v>0.57572929292684105</v>
      </c>
      <c r="I1304">
        <v>0.69214701158233805</v>
      </c>
      <c r="J1304">
        <v>0.72371986102091701</v>
      </c>
      <c r="K1304">
        <v>0.54007255869780002</v>
      </c>
      <c r="L1304">
        <v>1202.2986548553199</v>
      </c>
      <c r="M1304">
        <v>24.893023700270501</v>
      </c>
      <c r="O1304">
        <v>47.990169209272203</v>
      </c>
      <c r="P1304">
        <v>-4.8473421026346199E-2</v>
      </c>
      <c r="Q1304">
        <v>0.62620606515464305</v>
      </c>
      <c r="R1304">
        <v>0.87914063943961096</v>
      </c>
      <c r="S1304" t="s">
        <v>6855</v>
      </c>
      <c r="T1304" t="s">
        <v>11100</v>
      </c>
      <c r="U1304" t="s">
        <v>11100</v>
      </c>
      <c r="V1304" t="s">
        <v>11100</v>
      </c>
      <c r="W1304" t="s">
        <v>12373</v>
      </c>
      <c r="X1304">
        <v>19</v>
      </c>
      <c r="Y1304" t="s">
        <v>17868</v>
      </c>
      <c r="Z1304" t="s">
        <v>23309</v>
      </c>
      <c r="AA1304">
        <v>0.77021073255628802</v>
      </c>
      <c r="AB1304" t="str">
        <f>HYPERLINK("Melting_Curves/meltCurve_O15400_2_STX7.pdf", "Melting_Curves/meltCurve_O15400_2_STX7.pdf")</f>
        <v>Melting_Curves/meltCurve_O15400_2_STX7.pdf</v>
      </c>
    </row>
    <row r="1305" spans="1:28" x14ac:dyDescent="0.25">
      <c r="A1305" t="s">
        <v>1309</v>
      </c>
      <c r="B1305">
        <v>0.99299721793515405</v>
      </c>
      <c r="C1305">
        <v>0.90344382409091695</v>
      </c>
      <c r="D1305">
        <v>0.80629172080815503</v>
      </c>
      <c r="E1305">
        <v>0.73846095112426402</v>
      </c>
      <c r="F1305">
        <v>0.730613138068819</v>
      </c>
      <c r="G1305">
        <v>0.69875094421190598</v>
      </c>
      <c r="H1305">
        <v>0.66829473041888898</v>
      </c>
      <c r="I1305">
        <v>0.68087378849955604</v>
      </c>
      <c r="J1305">
        <v>0.370832303906247</v>
      </c>
      <c r="K1305">
        <v>0.104010732581755</v>
      </c>
      <c r="L1305">
        <v>334.84979202368601</v>
      </c>
      <c r="M1305">
        <v>5.6036814615417398</v>
      </c>
      <c r="N1305">
        <v>59.755341335297203</v>
      </c>
      <c r="O1305">
        <v>53.445638014359702</v>
      </c>
      <c r="P1305">
        <v>-2.63201987274134E-2</v>
      </c>
      <c r="Q1305">
        <v>0</v>
      </c>
      <c r="R1305">
        <v>0.76388121921805596</v>
      </c>
      <c r="S1305" t="s">
        <v>6856</v>
      </c>
      <c r="T1305" t="s">
        <v>11100</v>
      </c>
      <c r="U1305" t="s">
        <v>11100</v>
      </c>
      <c r="V1305" t="s">
        <v>11100</v>
      </c>
      <c r="W1305" t="s">
        <v>12374</v>
      </c>
      <c r="X1305">
        <v>3</v>
      </c>
      <c r="Y1305" t="s">
        <v>17869</v>
      </c>
      <c r="Z1305" t="s">
        <v>23310</v>
      </c>
      <c r="AA1305">
        <v>0.6857551316693461</v>
      </c>
      <c r="AB1305" t="str">
        <f>HYPERLINK("Melting_Curves/meltCurve_O15439_2_ABCC4.pdf", "Melting_Curves/meltCurve_O15439_2_ABCC4.pdf")</f>
        <v>Melting_Curves/meltCurve_O15439_2_ABCC4.pdf</v>
      </c>
    </row>
    <row r="1306" spans="1:28" x14ac:dyDescent="0.25">
      <c r="A1306" t="s">
        <v>1310</v>
      </c>
      <c r="B1306">
        <v>0.99299721793515405</v>
      </c>
      <c r="C1306">
        <v>0.84769130670692505</v>
      </c>
      <c r="D1306">
        <v>0.87934763458758403</v>
      </c>
      <c r="E1306">
        <v>0.73157435024561801</v>
      </c>
      <c r="F1306">
        <v>0.845082964112575</v>
      </c>
      <c r="G1306">
        <v>0.67257388686237995</v>
      </c>
      <c r="H1306">
        <v>1.1275615450135399</v>
      </c>
      <c r="I1306">
        <v>1.23400259347562</v>
      </c>
      <c r="J1306">
        <v>1.0590603656894</v>
      </c>
      <c r="K1306">
        <v>0.79420482791234304</v>
      </c>
      <c r="L1306">
        <v>15000</v>
      </c>
      <c r="M1306">
        <v>222.53011411067399</v>
      </c>
      <c r="Q1306">
        <v>0</v>
      </c>
      <c r="R1306">
        <v>-8.3124575170385295E-2</v>
      </c>
      <c r="S1306" t="s">
        <v>6857</v>
      </c>
      <c r="T1306" t="s">
        <v>11100</v>
      </c>
      <c r="U1306" t="s">
        <v>11100</v>
      </c>
      <c r="V1306" t="s">
        <v>11100</v>
      </c>
      <c r="W1306" t="s">
        <v>12375</v>
      </c>
      <c r="X1306">
        <v>3</v>
      </c>
      <c r="Y1306" t="s">
        <v>17870</v>
      </c>
      <c r="Z1306" t="s">
        <v>23311</v>
      </c>
      <c r="AA1306">
        <v>0.99772299161841127</v>
      </c>
      <c r="AB1306" t="str">
        <f>HYPERLINK("Melting_Curves/meltCurve_O15446_CD3EAP.pdf", "Melting_Curves/meltCurve_O15446_CD3EAP.pdf")</f>
        <v>Melting_Curves/meltCurve_O15446_CD3EAP.pdf</v>
      </c>
    </row>
    <row r="1307" spans="1:28" x14ac:dyDescent="0.25">
      <c r="A1307" t="s">
        <v>1311</v>
      </c>
      <c r="B1307">
        <v>0.99299721793515405</v>
      </c>
      <c r="C1307">
        <v>0.96284239937035598</v>
      </c>
      <c r="D1307">
        <v>0.87002804238244102</v>
      </c>
      <c r="E1307">
        <v>0.90091506530512999</v>
      </c>
      <c r="F1307">
        <v>0.73142033760576297</v>
      </c>
      <c r="G1307">
        <v>0.60001047781124695</v>
      </c>
      <c r="H1307">
        <v>0.59678083206029198</v>
      </c>
      <c r="I1307">
        <v>0.51378397591118696</v>
      </c>
      <c r="J1307">
        <v>0.53237327581051797</v>
      </c>
      <c r="K1307">
        <v>0.45215502064836799</v>
      </c>
      <c r="L1307">
        <v>499.77221140285599</v>
      </c>
      <c r="M1307">
        <v>9.7886838656581805</v>
      </c>
      <c r="N1307">
        <v>63.544264091523999</v>
      </c>
      <c r="O1307">
        <v>49.062089705376899</v>
      </c>
      <c r="P1307">
        <v>-2.8597281939605E-2</v>
      </c>
      <c r="Q1307">
        <v>0.42696999810933101</v>
      </c>
      <c r="R1307">
        <v>0.96963966852989203</v>
      </c>
      <c r="S1307" t="s">
        <v>6858</v>
      </c>
      <c r="T1307" t="s">
        <v>11100</v>
      </c>
      <c r="U1307" t="s">
        <v>11100</v>
      </c>
      <c r="V1307" t="s">
        <v>11100</v>
      </c>
      <c r="W1307" t="s">
        <v>12376</v>
      </c>
      <c r="X1307">
        <v>5</v>
      </c>
      <c r="Y1307" t="s">
        <v>17871</v>
      </c>
      <c r="Z1307" t="s">
        <v>23312</v>
      </c>
      <c r="AA1307">
        <v>0.71307044779880635</v>
      </c>
      <c r="AB1307" t="str">
        <f>HYPERLINK("Melting_Curves/meltCurve_O15460_2_P4HA2.pdf", "Melting_Curves/meltCurve_O15460_2_P4HA2.pdf")</f>
        <v>Melting_Curves/meltCurve_O15460_2_P4HA2.pdf</v>
      </c>
    </row>
    <row r="1308" spans="1:28" x14ac:dyDescent="0.25">
      <c r="A1308" t="s">
        <v>1312</v>
      </c>
      <c r="B1308">
        <v>0.99299721793515405</v>
      </c>
      <c r="C1308">
        <v>0.89161708261776895</v>
      </c>
      <c r="D1308">
        <v>0.89311256595039101</v>
      </c>
      <c r="E1308">
        <v>0.93006571799539595</v>
      </c>
      <c r="F1308">
        <v>0.79909462433205802</v>
      </c>
      <c r="G1308">
        <v>0.74998962623645105</v>
      </c>
      <c r="H1308">
        <v>0.50355923402174896</v>
      </c>
      <c r="I1308">
        <v>0.53680535989753597</v>
      </c>
      <c r="J1308">
        <v>0.48021529563624099</v>
      </c>
      <c r="K1308">
        <v>0.30215335358296802</v>
      </c>
      <c r="L1308">
        <v>390.44786676547699</v>
      </c>
      <c r="M1308">
        <v>6.4084317756519198</v>
      </c>
      <c r="N1308">
        <v>60.927209646948803</v>
      </c>
      <c r="O1308">
        <v>55.8059508192541</v>
      </c>
      <c r="P1308">
        <v>-2.8781943750389401E-2</v>
      </c>
      <c r="Q1308">
        <v>0</v>
      </c>
      <c r="R1308">
        <v>0.94018308175440302</v>
      </c>
      <c r="S1308" t="s">
        <v>6859</v>
      </c>
      <c r="T1308" t="s">
        <v>11100</v>
      </c>
      <c r="U1308" t="s">
        <v>11100</v>
      </c>
      <c r="V1308" t="s">
        <v>11100</v>
      </c>
      <c r="W1308" t="s">
        <v>12377</v>
      </c>
      <c r="X1308">
        <v>6</v>
      </c>
      <c r="Y1308" t="s">
        <v>17872</v>
      </c>
      <c r="Z1308" t="s">
        <v>23313</v>
      </c>
      <c r="AA1308">
        <v>0.72105759125804569</v>
      </c>
      <c r="AB1308" t="str">
        <f>HYPERLINK("Melting_Curves/meltCurve_O15511_ARPC5.pdf", "Melting_Curves/meltCurve_O15511_ARPC5.pdf")</f>
        <v>Melting_Curves/meltCurve_O15511_ARPC5.pdf</v>
      </c>
    </row>
    <row r="1309" spans="1:28" x14ac:dyDescent="0.25">
      <c r="A1309" t="s">
        <v>1313</v>
      </c>
      <c r="B1309">
        <v>0.99299721793515405</v>
      </c>
      <c r="C1309">
        <v>0.930200962715241</v>
      </c>
      <c r="D1309">
        <v>1.0408943750430499</v>
      </c>
      <c r="E1309">
        <v>0.98667223224339196</v>
      </c>
      <c r="F1309">
        <v>0.81560274870793703</v>
      </c>
      <c r="G1309">
        <v>0.65322956945503297</v>
      </c>
      <c r="H1309">
        <v>0.70430138765669503</v>
      </c>
      <c r="I1309">
        <v>0.80367564196471397</v>
      </c>
      <c r="J1309">
        <v>1.02981026270479</v>
      </c>
      <c r="K1309">
        <v>0.90408715821310603</v>
      </c>
      <c r="L1309">
        <v>11768.150993164199</v>
      </c>
      <c r="M1309">
        <v>250</v>
      </c>
      <c r="O1309">
        <v>47.069591697522696</v>
      </c>
      <c r="P1309">
        <v>-0.24106444153111301</v>
      </c>
      <c r="Q1309">
        <v>0.81845112307092405</v>
      </c>
      <c r="R1309">
        <v>0.40791812441751701</v>
      </c>
      <c r="S1309" t="s">
        <v>6860</v>
      </c>
      <c r="T1309" t="s">
        <v>11100</v>
      </c>
      <c r="U1309" t="s">
        <v>11100</v>
      </c>
      <c r="V1309" t="s">
        <v>11100</v>
      </c>
      <c r="W1309" t="s">
        <v>12378</v>
      </c>
      <c r="X1309">
        <v>8</v>
      </c>
      <c r="Y1309" t="s">
        <v>17873</v>
      </c>
      <c r="Z1309" t="s">
        <v>23314</v>
      </c>
      <c r="AA1309">
        <v>0.87942178576289176</v>
      </c>
      <c r="AB1309" t="str">
        <f>HYPERLINK("Melting_Curves/meltCurve_O15541_RNF113A.pdf", "Melting_Curves/meltCurve_O15541_RNF113A.pdf")</f>
        <v>Melting_Curves/meltCurve_O15541_RNF113A.pdf</v>
      </c>
    </row>
    <row r="1310" spans="1:28" x14ac:dyDescent="0.25">
      <c r="A1310" t="s">
        <v>1314</v>
      </c>
      <c r="B1310">
        <v>0.99299721793515405</v>
      </c>
      <c r="C1310">
        <v>0.99501007216786197</v>
      </c>
      <c r="D1310">
        <v>0.91886496188497502</v>
      </c>
      <c r="E1310">
        <v>0.91321069215647499</v>
      </c>
      <c r="F1310">
        <v>0.84376850897260502</v>
      </c>
      <c r="G1310">
        <v>0.80140598252417194</v>
      </c>
      <c r="H1310">
        <v>0.65739734354500201</v>
      </c>
      <c r="I1310">
        <v>0.33509345907961202</v>
      </c>
      <c r="J1310">
        <v>0.18907604479156501</v>
      </c>
      <c r="K1310">
        <v>0.15414411483452001</v>
      </c>
      <c r="L1310">
        <v>835.718706926344</v>
      </c>
      <c r="M1310">
        <v>14.238887606711501</v>
      </c>
      <c r="N1310">
        <v>58.692696370619799</v>
      </c>
      <c r="O1310">
        <v>57.571417633126302</v>
      </c>
      <c r="P1310">
        <v>-6.1839054789554301E-2</v>
      </c>
      <c r="Q1310">
        <v>0</v>
      </c>
      <c r="R1310">
        <v>0.97525316736826995</v>
      </c>
      <c r="S1310" t="s">
        <v>6861</v>
      </c>
      <c r="T1310" t="s">
        <v>11100</v>
      </c>
      <c r="U1310" t="s">
        <v>11100</v>
      </c>
      <c r="V1310" t="s">
        <v>11100</v>
      </c>
      <c r="W1310" t="s">
        <v>12379</v>
      </c>
      <c r="X1310">
        <v>40</v>
      </c>
      <c r="Y1310" t="s">
        <v>17874</v>
      </c>
      <c r="Z1310" t="s">
        <v>23315</v>
      </c>
      <c r="AA1310">
        <v>0.72264097058233645</v>
      </c>
      <c r="AB1310" t="str">
        <f>HYPERLINK("Melting_Curves/meltCurve_O43143_DHX15.pdf", "Melting_Curves/meltCurve_O43143_DHX15.pdf")</f>
        <v>Melting_Curves/meltCurve_O43143_DHX15.pdf</v>
      </c>
    </row>
    <row r="1311" spans="1:28" x14ac:dyDescent="0.25">
      <c r="A1311" t="s">
        <v>1315</v>
      </c>
      <c r="B1311">
        <v>0.99299721793515405</v>
      </c>
      <c r="C1311">
        <v>0.97308979212966795</v>
      </c>
      <c r="D1311">
        <v>0.943598664981107</v>
      </c>
      <c r="E1311">
        <v>0.90878745903935099</v>
      </c>
      <c r="F1311">
        <v>0.77843218348893795</v>
      </c>
      <c r="G1311">
        <v>0.70974270962085295</v>
      </c>
      <c r="H1311">
        <v>0.64450717441411898</v>
      </c>
      <c r="I1311">
        <v>0.47077152054344101</v>
      </c>
      <c r="J1311">
        <v>0.239796629281013</v>
      </c>
      <c r="K1311">
        <v>0.166943506087192</v>
      </c>
      <c r="L1311">
        <v>587.24116067719206</v>
      </c>
      <c r="M1311">
        <v>9.9943869824520295</v>
      </c>
      <c r="N1311">
        <v>58.757096544834397</v>
      </c>
      <c r="O1311">
        <v>56.550050416330798</v>
      </c>
      <c r="P1311">
        <v>-4.4205347596855703E-2</v>
      </c>
      <c r="Q1311">
        <v>0</v>
      </c>
      <c r="R1311">
        <v>0.96933652434959705</v>
      </c>
      <c r="S1311" t="s">
        <v>6862</v>
      </c>
      <c r="T1311" t="s">
        <v>11100</v>
      </c>
      <c r="U1311" t="s">
        <v>11100</v>
      </c>
      <c r="V1311" t="s">
        <v>11100</v>
      </c>
      <c r="W1311" t="s">
        <v>12380</v>
      </c>
      <c r="X1311">
        <v>17</v>
      </c>
      <c r="Y1311" t="s">
        <v>17875</v>
      </c>
      <c r="Z1311" t="s">
        <v>23316</v>
      </c>
      <c r="AA1311">
        <v>0.71015907735685924</v>
      </c>
      <c r="AB1311" t="str">
        <f>HYPERLINK("Melting_Curves/meltCurve_O43148_RNMT.pdf", "Melting_Curves/meltCurve_O43148_RNMT.pdf")</f>
        <v>Melting_Curves/meltCurve_O43148_RNMT.pdf</v>
      </c>
    </row>
    <row r="1312" spans="1:28" x14ac:dyDescent="0.25">
      <c r="A1312" t="s">
        <v>1316</v>
      </c>
      <c r="B1312">
        <v>0.99299721793515405</v>
      </c>
      <c r="C1312">
        <v>0.94648253681623196</v>
      </c>
      <c r="D1312">
        <v>1.0459622617497</v>
      </c>
      <c r="E1312">
        <v>0.96842796068789805</v>
      </c>
      <c r="F1312">
        <v>0.81512520304331104</v>
      </c>
      <c r="G1312">
        <v>0.48775937681423798</v>
      </c>
      <c r="H1312">
        <v>0.19802922791393701</v>
      </c>
      <c r="I1312">
        <v>0.19990710366518499</v>
      </c>
      <c r="J1312">
        <v>0.145211870461639</v>
      </c>
      <c r="K1312">
        <v>0.14173902299662899</v>
      </c>
      <c r="L1312">
        <v>1391.5954861600301</v>
      </c>
      <c r="M1312">
        <v>26.3541927310193</v>
      </c>
      <c r="N1312">
        <v>53.483585841027001</v>
      </c>
      <c r="O1312">
        <v>52.5023558407349</v>
      </c>
      <c r="P1312">
        <v>-0.10762726954421301</v>
      </c>
      <c r="Q1312">
        <v>0.14235684327985401</v>
      </c>
      <c r="R1312">
        <v>0.99412493940289703</v>
      </c>
      <c r="S1312" t="s">
        <v>6863</v>
      </c>
      <c r="T1312" t="s">
        <v>11100</v>
      </c>
      <c r="U1312" t="s">
        <v>11100</v>
      </c>
      <c r="V1312" t="s">
        <v>11100</v>
      </c>
      <c r="W1312" t="s">
        <v>12381</v>
      </c>
      <c r="X1312">
        <v>2</v>
      </c>
      <c r="Y1312" t="s">
        <v>17876</v>
      </c>
      <c r="Z1312" t="s">
        <v>23317</v>
      </c>
      <c r="AA1312">
        <v>0.6010657192192973</v>
      </c>
      <c r="AB1312" t="str">
        <f>HYPERLINK("Melting_Curves/meltCurve_O43150_2_ASAP2.pdf", "Melting_Curves/meltCurve_O43150_2_ASAP2.pdf")</f>
        <v>Melting_Curves/meltCurve_O43150_2_ASAP2.pdf</v>
      </c>
    </row>
    <row r="1313" spans="1:28" x14ac:dyDescent="0.25">
      <c r="A1313" t="s">
        <v>1317</v>
      </c>
      <c r="B1313">
        <v>0.99299721793515405</v>
      </c>
      <c r="C1313">
        <v>0.89481472830223796</v>
      </c>
      <c r="D1313">
        <v>0.945512371478613</v>
      </c>
      <c r="E1313">
        <v>0.78136480872413905</v>
      </c>
      <c r="F1313">
        <v>0.68473850144354498</v>
      </c>
      <c r="G1313">
        <v>0.57329763637669395</v>
      </c>
      <c r="H1313">
        <v>0.459707355115689</v>
      </c>
      <c r="I1313">
        <v>0.38145534219705401</v>
      </c>
      <c r="J1313">
        <v>0.34281114718776801</v>
      </c>
      <c r="K1313">
        <v>0.49916184799116697</v>
      </c>
      <c r="L1313">
        <v>583.60415612642805</v>
      </c>
      <c r="M1313">
        <v>11.752689024372801</v>
      </c>
      <c r="N1313">
        <v>55.997614683273</v>
      </c>
      <c r="O1313">
        <v>48.284809441628497</v>
      </c>
      <c r="P1313">
        <v>-3.8476344050062602E-2</v>
      </c>
      <c r="Q1313">
        <v>0.36785948593224099</v>
      </c>
      <c r="R1313">
        <v>0.95075769504946295</v>
      </c>
      <c r="S1313" t="s">
        <v>6864</v>
      </c>
      <c r="T1313" t="s">
        <v>11100</v>
      </c>
      <c r="U1313" t="s">
        <v>11100</v>
      </c>
      <c r="V1313" t="s">
        <v>11100</v>
      </c>
      <c r="W1313" t="s">
        <v>12382</v>
      </c>
      <c r="X1313">
        <v>2</v>
      </c>
      <c r="Y1313" t="s">
        <v>17877</v>
      </c>
      <c r="Z1313" t="s">
        <v>23318</v>
      </c>
      <c r="AA1313">
        <v>0.65310640462270209</v>
      </c>
      <c r="AB1313" t="str">
        <f>HYPERLINK("Melting_Curves/meltCurve_O43155_FLRT2.pdf", "Melting_Curves/meltCurve_O43155_FLRT2.pdf")</f>
        <v>Melting_Curves/meltCurve_O43155_FLRT2.pdf</v>
      </c>
    </row>
    <row r="1314" spans="1:28" x14ac:dyDescent="0.25">
      <c r="A1314" t="s">
        <v>1318</v>
      </c>
      <c r="B1314">
        <v>0.99299721793515405</v>
      </c>
      <c r="C1314">
        <v>0.84622962643150801</v>
      </c>
      <c r="D1314">
        <v>0.97308299898730999</v>
      </c>
      <c r="E1314">
        <v>0.69576731376143397</v>
      </c>
      <c r="F1314">
        <v>0.62872425016873901</v>
      </c>
      <c r="G1314">
        <v>0.33406329400847801</v>
      </c>
      <c r="H1314">
        <v>0.24705868135654199</v>
      </c>
      <c r="I1314">
        <v>0.24711012832215501</v>
      </c>
      <c r="J1314">
        <v>0.24956712888179</v>
      </c>
      <c r="K1314">
        <v>0.30025461489004601</v>
      </c>
      <c r="L1314">
        <v>739.12982392501101</v>
      </c>
      <c r="M1314">
        <v>15.120545001032299</v>
      </c>
      <c r="N1314">
        <v>50.913874256392099</v>
      </c>
      <c r="O1314">
        <v>48.051406948924701</v>
      </c>
      <c r="P1314">
        <v>-6.0856534452064903E-2</v>
      </c>
      <c r="Q1314">
        <v>0.22649481379000999</v>
      </c>
      <c r="R1314">
        <v>0.95348756565845205</v>
      </c>
      <c r="S1314" t="s">
        <v>6865</v>
      </c>
      <c r="T1314" t="s">
        <v>11100</v>
      </c>
      <c r="U1314" t="s">
        <v>11100</v>
      </c>
      <c r="V1314" t="s">
        <v>11100</v>
      </c>
      <c r="W1314" t="s">
        <v>12383</v>
      </c>
      <c r="X1314">
        <v>3</v>
      </c>
      <c r="Y1314" t="s">
        <v>17878</v>
      </c>
      <c r="Z1314" t="s">
        <v>23319</v>
      </c>
      <c r="AA1314">
        <v>0.5493456797909182</v>
      </c>
      <c r="AB1314" t="str">
        <f>HYPERLINK("Melting_Curves/meltCurve_O43156_TTI1.pdf", "Melting_Curves/meltCurve_O43156_TTI1.pdf")</f>
        <v>Melting_Curves/meltCurve_O43156_TTI1.pdf</v>
      </c>
    </row>
    <row r="1315" spans="1:28" x14ac:dyDescent="0.25">
      <c r="A1315" t="s">
        <v>1319</v>
      </c>
      <c r="B1315">
        <v>0.99299721793515405</v>
      </c>
      <c r="C1315">
        <v>0.75412862470254005</v>
      </c>
      <c r="D1315">
        <v>0.81642879030285398</v>
      </c>
      <c r="E1315">
        <v>0.73794726207267503</v>
      </c>
      <c r="F1315">
        <v>0.66070312307159396</v>
      </c>
      <c r="G1315">
        <v>0.45215604508458401</v>
      </c>
      <c r="H1315">
        <v>0.51495557832008299</v>
      </c>
      <c r="I1315">
        <v>0.62324233235833804</v>
      </c>
      <c r="J1315">
        <v>0.665749860777617</v>
      </c>
      <c r="K1315">
        <v>0.49420871863407001</v>
      </c>
      <c r="L1315">
        <v>456.78758229271301</v>
      </c>
      <c r="M1315">
        <v>10.591323207703301</v>
      </c>
      <c r="O1315">
        <v>41.676165140337503</v>
      </c>
      <c r="P1315">
        <v>-2.9197240019284001E-2</v>
      </c>
      <c r="Q1315">
        <v>0.54062248788274103</v>
      </c>
      <c r="R1315">
        <v>0.73788440547081302</v>
      </c>
      <c r="S1315" t="s">
        <v>6866</v>
      </c>
      <c r="T1315" t="s">
        <v>11100</v>
      </c>
      <c r="U1315" t="s">
        <v>11100</v>
      </c>
      <c r="V1315" t="s">
        <v>11100</v>
      </c>
      <c r="W1315" t="s">
        <v>12384</v>
      </c>
      <c r="X1315">
        <v>2</v>
      </c>
      <c r="Y1315" t="s">
        <v>17879</v>
      </c>
      <c r="Z1315" t="s">
        <v>23320</v>
      </c>
      <c r="AA1315">
        <v>0.6582375217467652</v>
      </c>
      <c r="AB1315" t="str">
        <f>HYPERLINK("Melting_Curves/meltCurve_O43164_2_PJA2.pdf", "Melting_Curves/meltCurve_O43164_2_PJA2.pdf")</f>
        <v>Melting_Curves/meltCurve_O43164_2_PJA2.pdf</v>
      </c>
    </row>
    <row r="1316" spans="1:28" x14ac:dyDescent="0.25">
      <c r="A1316" t="s">
        <v>1320</v>
      </c>
      <c r="B1316">
        <v>0.99299721793515405</v>
      </c>
      <c r="C1316">
        <v>0.96306156965872303</v>
      </c>
      <c r="D1316">
        <v>0.88034224593009602</v>
      </c>
      <c r="E1316">
        <v>0.85383700886589298</v>
      </c>
      <c r="F1316">
        <v>0.82872101283213895</v>
      </c>
      <c r="G1316">
        <v>0.652475077624178</v>
      </c>
      <c r="H1316">
        <v>0.32696967791936798</v>
      </c>
      <c r="I1316">
        <v>0.22017708150153001</v>
      </c>
      <c r="J1316">
        <v>0.123870738584518</v>
      </c>
      <c r="K1316">
        <v>0.124767073957593</v>
      </c>
      <c r="L1316">
        <v>717.32367319013599</v>
      </c>
      <c r="M1316">
        <v>12.9727800860299</v>
      </c>
      <c r="N1316">
        <v>55.294522049745503</v>
      </c>
      <c r="O1316">
        <v>54.030074233171803</v>
      </c>
      <c r="P1316">
        <v>-6.00364283135583E-2</v>
      </c>
      <c r="Q1316">
        <v>0</v>
      </c>
      <c r="R1316">
        <v>0.97879713714640004</v>
      </c>
      <c r="S1316" t="s">
        <v>6867</v>
      </c>
      <c r="T1316" t="s">
        <v>11100</v>
      </c>
      <c r="U1316" t="s">
        <v>11100</v>
      </c>
      <c r="V1316" t="s">
        <v>11100</v>
      </c>
      <c r="W1316" t="s">
        <v>12385</v>
      </c>
      <c r="X1316">
        <v>5</v>
      </c>
      <c r="Y1316" t="s">
        <v>17880</v>
      </c>
      <c r="Z1316" t="s">
        <v>23321</v>
      </c>
      <c r="AA1316">
        <v>0.62322690422712113</v>
      </c>
      <c r="AB1316" t="str">
        <f>HYPERLINK("Melting_Curves/meltCurve_O43172_2_PRPF4.pdf", "Melting_Curves/meltCurve_O43172_2_PRPF4.pdf")</f>
        <v>Melting_Curves/meltCurve_O43172_2_PRPF4.pdf</v>
      </c>
    </row>
    <row r="1317" spans="1:28" x14ac:dyDescent="0.25">
      <c r="A1317" t="s">
        <v>1321</v>
      </c>
      <c r="B1317">
        <v>0.99299721793515405</v>
      </c>
      <c r="C1317">
        <v>0.99490902426886696</v>
      </c>
      <c r="D1317">
        <v>0.935842922451252</v>
      </c>
      <c r="E1317">
        <v>0.92000331358987597</v>
      </c>
      <c r="F1317">
        <v>0.80289476303194596</v>
      </c>
      <c r="G1317">
        <v>0.66440982698218398</v>
      </c>
      <c r="H1317">
        <v>0.58472970833964999</v>
      </c>
      <c r="I1317">
        <v>0.42638125625704798</v>
      </c>
      <c r="J1317">
        <v>9.0809924075756401E-2</v>
      </c>
      <c r="K1317">
        <v>7.12132672267492E-2</v>
      </c>
      <c r="L1317">
        <v>719.71327684670302</v>
      </c>
      <c r="M1317">
        <v>12.544018999572</v>
      </c>
      <c r="N1317">
        <v>57.375015035454702</v>
      </c>
      <c r="O1317">
        <v>55.975433691073903</v>
      </c>
      <c r="P1317">
        <v>-5.6036035317753301E-2</v>
      </c>
      <c r="Q1317">
        <v>0</v>
      </c>
      <c r="R1317">
        <v>0.95958583461339197</v>
      </c>
      <c r="S1317" t="s">
        <v>6868</v>
      </c>
      <c r="T1317" t="s">
        <v>11100</v>
      </c>
      <c r="U1317" t="s">
        <v>11100</v>
      </c>
      <c r="V1317" t="s">
        <v>11100</v>
      </c>
      <c r="W1317" t="s">
        <v>12386</v>
      </c>
      <c r="X1317">
        <v>35</v>
      </c>
      <c r="Y1317" t="s">
        <v>17881</v>
      </c>
      <c r="Z1317" t="s">
        <v>23322</v>
      </c>
      <c r="AA1317">
        <v>0.6827921406149039</v>
      </c>
      <c r="AB1317" t="str">
        <f>HYPERLINK("Melting_Curves/meltCurve_O43175_PHGDH.pdf", "Melting_Curves/meltCurve_O43175_PHGDH.pdf")</f>
        <v>Melting_Curves/meltCurve_O43175_PHGDH.pdf</v>
      </c>
    </row>
    <row r="1318" spans="1:28" x14ac:dyDescent="0.25">
      <c r="A1318" t="s">
        <v>1322</v>
      </c>
      <c r="B1318">
        <v>0.99299721793515405</v>
      </c>
      <c r="C1318">
        <v>0.98591278214142697</v>
      </c>
      <c r="D1318">
        <v>0.99264302648867897</v>
      </c>
      <c r="E1318">
        <v>0.90562220637155499</v>
      </c>
      <c r="F1318">
        <v>0.72558588456249795</v>
      </c>
      <c r="G1318">
        <v>1.1354388876332999</v>
      </c>
      <c r="H1318">
        <v>0.46466799574268303</v>
      </c>
      <c r="I1318">
        <v>0.32246261993151598</v>
      </c>
      <c r="J1318">
        <v>0.191630895212198</v>
      </c>
      <c r="K1318">
        <v>0.12822949562917699</v>
      </c>
      <c r="L1318">
        <v>13569.347783933799</v>
      </c>
      <c r="M1318">
        <v>237.15897155379699</v>
      </c>
      <c r="N1318">
        <v>57.351422169831402</v>
      </c>
      <c r="O1318">
        <v>57.212184645329998</v>
      </c>
      <c r="P1318">
        <v>-0.814430810137868</v>
      </c>
      <c r="Q1318">
        <v>0.21410747389704701</v>
      </c>
      <c r="R1318">
        <v>0.90330705165901903</v>
      </c>
      <c r="S1318" t="s">
        <v>6869</v>
      </c>
      <c r="T1318" t="s">
        <v>11100</v>
      </c>
      <c r="U1318" t="s">
        <v>11100</v>
      </c>
      <c r="V1318" t="s">
        <v>11100</v>
      </c>
      <c r="W1318" t="s">
        <v>12387</v>
      </c>
      <c r="X1318">
        <v>11</v>
      </c>
      <c r="Y1318" t="s">
        <v>17882</v>
      </c>
      <c r="Z1318" t="s">
        <v>23323</v>
      </c>
      <c r="AA1318">
        <v>0.74378857934208831</v>
      </c>
      <c r="AB1318" t="str">
        <f>HYPERLINK("Melting_Curves/meltCurve_O43242_PSMD3.pdf", "Melting_Curves/meltCurve_O43242_PSMD3.pdf")</f>
        <v>Melting_Curves/meltCurve_O43242_PSMD3.pdf</v>
      </c>
    </row>
    <row r="1319" spans="1:28" x14ac:dyDescent="0.25">
      <c r="A1319" t="s">
        <v>1323</v>
      </c>
      <c r="B1319">
        <v>0.99299721793515405</v>
      </c>
      <c r="C1319">
        <v>1.0060857530698899</v>
      </c>
      <c r="D1319">
        <v>0.83450598127096998</v>
      </c>
      <c r="E1319">
        <v>0.83251998078206402</v>
      </c>
      <c r="F1319">
        <v>0.65083276804856405</v>
      </c>
      <c r="G1319">
        <v>0.420579006109913</v>
      </c>
      <c r="H1319">
        <v>0.46056535583962099</v>
      </c>
      <c r="I1319">
        <v>0.40465752694050799</v>
      </c>
      <c r="J1319">
        <v>0.43609827289153402</v>
      </c>
      <c r="K1319">
        <v>0.26804762335675397</v>
      </c>
      <c r="L1319">
        <v>612.07250150431503</v>
      </c>
      <c r="M1319">
        <v>12.3840158357505</v>
      </c>
      <c r="N1319">
        <v>53.966665682801903</v>
      </c>
      <c r="O1319">
        <v>48.188694330082299</v>
      </c>
      <c r="P1319">
        <v>-4.34608012100203E-2</v>
      </c>
      <c r="Q1319">
        <v>0.32368547552797899</v>
      </c>
      <c r="R1319">
        <v>0.95254928414305995</v>
      </c>
      <c r="S1319" t="s">
        <v>6870</v>
      </c>
      <c r="T1319" t="s">
        <v>11100</v>
      </c>
      <c r="U1319" t="s">
        <v>11100</v>
      </c>
      <c r="V1319" t="s">
        <v>11100</v>
      </c>
      <c r="W1319" t="s">
        <v>12388</v>
      </c>
      <c r="X1319">
        <v>2</v>
      </c>
      <c r="Y1319" t="s">
        <v>17883</v>
      </c>
      <c r="Z1319" t="s">
        <v>23324</v>
      </c>
      <c r="AA1319">
        <v>0.62262335648837142</v>
      </c>
      <c r="AB1319" t="str">
        <f>HYPERLINK("Melting_Curves/meltCurve_O43251_6_RBFOX2.pdf", "Melting_Curves/meltCurve_O43251_6_RBFOX2.pdf")</f>
        <v>Melting_Curves/meltCurve_O43251_6_RBFOX2.pdf</v>
      </c>
    </row>
    <row r="1320" spans="1:28" x14ac:dyDescent="0.25">
      <c r="A1320" t="s">
        <v>1324</v>
      </c>
      <c r="B1320">
        <v>0.99299721793515405</v>
      </c>
      <c r="C1320">
        <v>0.95857339154906096</v>
      </c>
      <c r="D1320">
        <v>0.92933239969811299</v>
      </c>
      <c r="E1320">
        <v>0.83176496390495902</v>
      </c>
      <c r="F1320">
        <v>0.79806069368312604</v>
      </c>
      <c r="G1320">
        <v>0.67233749750646099</v>
      </c>
      <c r="H1320">
        <v>0.44559774555392101</v>
      </c>
      <c r="I1320">
        <v>0.14476022070446001</v>
      </c>
      <c r="J1320">
        <v>0.122516062651313</v>
      </c>
      <c r="K1320">
        <v>0.10532097543581601</v>
      </c>
      <c r="L1320">
        <v>741.80166570739902</v>
      </c>
      <c r="M1320">
        <v>13.3448350647044</v>
      </c>
      <c r="N1320">
        <v>55.587173964990903</v>
      </c>
      <c r="O1320">
        <v>54.383430532349301</v>
      </c>
      <c r="P1320">
        <v>-6.1355839398171803E-2</v>
      </c>
      <c r="Q1320">
        <v>0</v>
      </c>
      <c r="R1320">
        <v>0.97600693667169602</v>
      </c>
      <c r="S1320" t="s">
        <v>6871</v>
      </c>
      <c r="T1320" t="s">
        <v>11100</v>
      </c>
      <c r="U1320" t="s">
        <v>11100</v>
      </c>
      <c r="V1320" t="s">
        <v>11100</v>
      </c>
      <c r="W1320" t="s">
        <v>12389</v>
      </c>
      <c r="X1320">
        <v>17</v>
      </c>
      <c r="Y1320" t="s">
        <v>17884</v>
      </c>
      <c r="Z1320" t="s">
        <v>23325</v>
      </c>
      <c r="AA1320">
        <v>0.63204773097558842</v>
      </c>
      <c r="AB1320" t="str">
        <f>HYPERLINK("Melting_Curves/meltCurve_O43252_PAPSS1.pdf", "Melting_Curves/meltCurve_O43252_PAPSS1.pdf")</f>
        <v>Melting_Curves/meltCurve_O43252_PAPSS1.pdf</v>
      </c>
    </row>
    <row r="1321" spans="1:28" x14ac:dyDescent="0.25">
      <c r="A1321" t="s">
        <v>1325</v>
      </c>
      <c r="B1321">
        <v>0.99299721793515405</v>
      </c>
      <c r="C1321">
        <v>0.833514174805982</v>
      </c>
      <c r="D1321">
        <v>0.77675548535194705</v>
      </c>
      <c r="E1321">
        <v>0.72266452100026501</v>
      </c>
      <c r="F1321">
        <v>0.60849752919178601</v>
      </c>
      <c r="G1321">
        <v>0.26615138738555899</v>
      </c>
      <c r="H1321">
        <v>0.28861353848606802</v>
      </c>
      <c r="I1321">
        <v>0.23841310097600099</v>
      </c>
      <c r="J1321">
        <v>0.283764249197548</v>
      </c>
      <c r="K1321">
        <v>0.20246497898573701</v>
      </c>
      <c r="L1321">
        <v>465.19797568118503</v>
      </c>
      <c r="M1321">
        <v>9.5433946670864405</v>
      </c>
      <c r="N1321">
        <v>50.539097055393597</v>
      </c>
      <c r="O1321">
        <v>46.749264856203403</v>
      </c>
      <c r="P1321">
        <v>-4.3729507082530102E-2</v>
      </c>
      <c r="Q1321">
        <v>0.143644525932209</v>
      </c>
      <c r="R1321">
        <v>0.94875857899295202</v>
      </c>
      <c r="S1321" t="s">
        <v>6872</v>
      </c>
      <c r="T1321" t="s">
        <v>11100</v>
      </c>
      <c r="U1321" t="s">
        <v>11100</v>
      </c>
      <c r="V1321" t="s">
        <v>11100</v>
      </c>
      <c r="W1321" t="s">
        <v>12390</v>
      </c>
      <c r="X1321">
        <v>1</v>
      </c>
      <c r="Y1321" t="s">
        <v>17885</v>
      </c>
      <c r="Z1321" t="s">
        <v>23326</v>
      </c>
      <c r="AA1321">
        <v>0.51315451921267785</v>
      </c>
      <c r="AB1321" t="str">
        <f>HYPERLINK("Melting_Curves/meltCurve_O43257_ZNHIT1.pdf", "Melting_Curves/meltCurve_O43257_ZNHIT1.pdf")</f>
        <v>Melting_Curves/meltCurve_O43257_ZNHIT1.pdf</v>
      </c>
    </row>
    <row r="1322" spans="1:28" x14ac:dyDescent="0.25">
      <c r="A1322" t="s">
        <v>1326</v>
      </c>
      <c r="B1322">
        <v>0.99299721793515405</v>
      </c>
      <c r="C1322">
        <v>1.03995017995883</v>
      </c>
      <c r="D1322">
        <v>0.93345718758706198</v>
      </c>
      <c r="E1322">
        <v>0.85837116187858697</v>
      </c>
      <c r="F1322">
        <v>0.61906490554447902</v>
      </c>
      <c r="G1322">
        <v>0.28037479185922398</v>
      </c>
      <c r="H1322">
        <v>0.15355795435980599</v>
      </c>
      <c r="I1322">
        <v>0.16246512887145001</v>
      </c>
      <c r="J1322">
        <v>0.119890791940107</v>
      </c>
      <c r="K1322">
        <v>0.14423660955297801</v>
      </c>
      <c r="L1322">
        <v>1117.6667281427599</v>
      </c>
      <c r="M1322">
        <v>22.142105888602199</v>
      </c>
      <c r="N1322">
        <v>51.124246692274703</v>
      </c>
      <c r="O1322">
        <v>50.070670407393798</v>
      </c>
      <c r="P1322">
        <v>-9.7042951303090694E-2</v>
      </c>
      <c r="Q1322">
        <v>0.122233468924344</v>
      </c>
      <c r="R1322">
        <v>0.99463615029004304</v>
      </c>
      <c r="S1322" t="s">
        <v>6873</v>
      </c>
      <c r="T1322" t="s">
        <v>11100</v>
      </c>
      <c r="U1322" t="s">
        <v>11100</v>
      </c>
      <c r="V1322" t="s">
        <v>11100</v>
      </c>
      <c r="W1322" t="s">
        <v>12391</v>
      </c>
      <c r="X1322">
        <v>7</v>
      </c>
      <c r="Y1322" t="s">
        <v>17886</v>
      </c>
      <c r="Z1322" t="s">
        <v>23327</v>
      </c>
      <c r="AA1322">
        <v>0.52620265111106335</v>
      </c>
      <c r="AB1322" t="str">
        <f>HYPERLINK("Melting_Curves/meltCurve_O43264_ZW10.pdf", "Melting_Curves/meltCurve_O43264_ZW10.pdf")</f>
        <v>Melting_Curves/meltCurve_O43264_ZW10.pdf</v>
      </c>
    </row>
    <row r="1323" spans="1:28" x14ac:dyDescent="0.25">
      <c r="A1323" t="s">
        <v>1327</v>
      </c>
      <c r="B1323">
        <v>0.99299721793515405</v>
      </c>
      <c r="C1323">
        <v>1.2047796070288299</v>
      </c>
      <c r="D1323">
        <v>0.659910402988931</v>
      </c>
      <c r="E1323">
        <v>0.94305973413366195</v>
      </c>
      <c r="F1323">
        <v>0.78037619758950505</v>
      </c>
      <c r="G1323">
        <v>0.41437128561338898</v>
      </c>
      <c r="H1323">
        <v>0.97586495508256799</v>
      </c>
      <c r="I1323">
        <v>0.68739062487048996</v>
      </c>
      <c r="J1323">
        <v>0.52449687545046297</v>
      </c>
      <c r="K1323">
        <v>0.10040008526831699</v>
      </c>
      <c r="L1323">
        <v>384.66262544055002</v>
      </c>
      <c r="M1323">
        <v>6.1877139338402296</v>
      </c>
      <c r="N1323">
        <v>62.165547622112499</v>
      </c>
      <c r="O1323">
        <v>56.614797314162303</v>
      </c>
      <c r="P1323">
        <v>-2.7402993419163701E-2</v>
      </c>
      <c r="Q1323">
        <v>0</v>
      </c>
      <c r="R1323">
        <v>0.50363157112207302</v>
      </c>
      <c r="S1323" t="s">
        <v>6874</v>
      </c>
      <c r="T1323" t="s">
        <v>11100</v>
      </c>
      <c r="U1323" t="s">
        <v>11100</v>
      </c>
      <c r="V1323" t="s">
        <v>11100</v>
      </c>
      <c r="W1323" t="s">
        <v>12392</v>
      </c>
      <c r="X1323">
        <v>4</v>
      </c>
      <c r="Y1323" t="s">
        <v>17887</v>
      </c>
      <c r="Z1323" t="s">
        <v>23328</v>
      </c>
      <c r="AA1323">
        <v>0.7395463972744708</v>
      </c>
      <c r="AB1323" t="str">
        <f>HYPERLINK("Melting_Curves/meltCurve_O43290_SART1.pdf", "Melting_Curves/meltCurve_O43290_SART1.pdf")</f>
        <v>Melting_Curves/meltCurve_O43290_SART1.pdf</v>
      </c>
    </row>
    <row r="1324" spans="1:28" x14ac:dyDescent="0.25">
      <c r="A1324" t="s">
        <v>1328</v>
      </c>
      <c r="B1324">
        <v>0.99299721793515405</v>
      </c>
      <c r="C1324">
        <v>1.0451727860748199</v>
      </c>
      <c r="D1324">
        <v>0.976639269837696</v>
      </c>
      <c r="E1324">
        <v>0.84872659246476401</v>
      </c>
      <c r="F1324">
        <v>0.63993035578253199</v>
      </c>
      <c r="G1324">
        <v>0.47544069962468599</v>
      </c>
      <c r="H1324">
        <v>0.25163178012491799</v>
      </c>
      <c r="I1324">
        <v>0.24053793725321601</v>
      </c>
      <c r="J1324">
        <v>0.18280233239492599</v>
      </c>
      <c r="K1324">
        <v>0.18448599163075799</v>
      </c>
      <c r="L1324">
        <v>812.36091489590797</v>
      </c>
      <c r="M1324">
        <v>15.809389088067</v>
      </c>
      <c r="N1324">
        <v>52.6422823729581</v>
      </c>
      <c r="O1324">
        <v>50.583631865576898</v>
      </c>
      <c r="P1324">
        <v>-6.5851915837206301E-2</v>
      </c>
      <c r="Q1324">
        <v>0.15727161269350201</v>
      </c>
      <c r="R1324">
        <v>0.993733405885034</v>
      </c>
      <c r="S1324" t="s">
        <v>6875</v>
      </c>
      <c r="T1324" t="s">
        <v>11100</v>
      </c>
      <c r="U1324" t="s">
        <v>11100</v>
      </c>
      <c r="V1324" t="s">
        <v>11100</v>
      </c>
      <c r="W1324" t="s">
        <v>12393</v>
      </c>
      <c r="X1324">
        <v>7</v>
      </c>
      <c r="Y1324" t="s">
        <v>17888</v>
      </c>
      <c r="Z1324" t="s">
        <v>23329</v>
      </c>
      <c r="AA1324">
        <v>0.57692752584207763</v>
      </c>
      <c r="AB1324" t="str">
        <f>HYPERLINK("Melting_Curves/meltCurve_O43301_HSPA12A.pdf", "Melting_Curves/meltCurve_O43301_HSPA12A.pdf")</f>
        <v>Melting_Curves/meltCurve_O43301_HSPA12A.pdf</v>
      </c>
    </row>
    <row r="1325" spans="1:28" x14ac:dyDescent="0.25">
      <c r="A1325" t="s">
        <v>1329</v>
      </c>
      <c r="B1325">
        <v>0.99299721793515405</v>
      </c>
      <c r="C1325">
        <v>0.84389166697012796</v>
      </c>
      <c r="D1325">
        <v>1.2859123641260399</v>
      </c>
      <c r="E1325">
        <v>0.78784820165422598</v>
      </c>
      <c r="F1325">
        <v>0.72684827169104305</v>
      </c>
      <c r="G1325">
        <v>0.68436011272750896</v>
      </c>
      <c r="H1325">
        <v>0.420346508398587</v>
      </c>
      <c r="I1325">
        <v>0.34562970518987801</v>
      </c>
      <c r="J1325">
        <v>0.39437624764011397</v>
      </c>
      <c r="K1325">
        <v>0.30936269997020699</v>
      </c>
      <c r="L1325">
        <v>764.22188280751095</v>
      </c>
      <c r="M1325">
        <v>14.503470311624801</v>
      </c>
      <c r="N1325">
        <v>56.1520213964316</v>
      </c>
      <c r="O1325">
        <v>51.720996107779797</v>
      </c>
      <c r="P1325">
        <v>-4.9400568784544102E-2</v>
      </c>
      <c r="Q1325">
        <v>0.29540941349987998</v>
      </c>
      <c r="R1325">
        <v>0.83492836497379297</v>
      </c>
      <c r="S1325" t="s">
        <v>6876</v>
      </c>
      <c r="T1325" t="s">
        <v>11100</v>
      </c>
      <c r="U1325" t="s">
        <v>11100</v>
      </c>
      <c r="V1325" t="s">
        <v>11100</v>
      </c>
      <c r="W1325" t="s">
        <v>12394</v>
      </c>
      <c r="X1325">
        <v>2</v>
      </c>
      <c r="Y1325" t="s">
        <v>17889</v>
      </c>
      <c r="Z1325" t="s">
        <v>23330</v>
      </c>
      <c r="AA1325">
        <v>0.67728312748864639</v>
      </c>
      <c r="AB1325" t="str">
        <f>HYPERLINK("Melting_Curves/meltCurve_O43310_CTIF.pdf", "Melting_Curves/meltCurve_O43310_CTIF.pdf")</f>
        <v>Melting_Curves/meltCurve_O43310_CTIF.pdf</v>
      </c>
    </row>
    <row r="1326" spans="1:28" x14ac:dyDescent="0.25">
      <c r="A1326" t="s">
        <v>1330</v>
      </c>
      <c r="B1326">
        <v>0.99299721793515405</v>
      </c>
      <c r="C1326">
        <v>0.84322450107204105</v>
      </c>
      <c r="D1326">
        <v>1.09230997651517</v>
      </c>
      <c r="E1326">
        <v>0.76391862001442101</v>
      </c>
      <c r="F1326">
        <v>0.66576996824407897</v>
      </c>
      <c r="G1326">
        <v>0.59555152713783699</v>
      </c>
      <c r="H1326">
        <v>0.279361017125348</v>
      </c>
      <c r="I1326">
        <v>6.1816821999867197E-2</v>
      </c>
      <c r="J1326">
        <v>0.120447420869321</v>
      </c>
      <c r="K1326">
        <v>0.13425264129884701</v>
      </c>
      <c r="L1326">
        <v>662.13997524532601</v>
      </c>
      <c r="M1326">
        <v>12.387984111674299</v>
      </c>
      <c r="N1326">
        <v>53.450179161144298</v>
      </c>
      <c r="O1326">
        <v>52.114622988374002</v>
      </c>
      <c r="P1326">
        <v>-5.9439260926918799E-2</v>
      </c>
      <c r="Q1326">
        <v>0</v>
      </c>
      <c r="R1326">
        <v>0.93858454158064797</v>
      </c>
      <c r="S1326" t="s">
        <v>6877</v>
      </c>
      <c r="T1326" t="s">
        <v>11100</v>
      </c>
      <c r="U1326" t="s">
        <v>11100</v>
      </c>
      <c r="V1326" t="s">
        <v>11100</v>
      </c>
      <c r="W1326" t="s">
        <v>12395</v>
      </c>
      <c r="X1326">
        <v>7</v>
      </c>
      <c r="Y1326" t="s">
        <v>17411</v>
      </c>
      <c r="Z1326" t="s">
        <v>23331</v>
      </c>
      <c r="AA1326">
        <v>0.56780059478289469</v>
      </c>
      <c r="AB1326" t="str">
        <f>HYPERLINK("Melting_Curves/meltCurve_O43314_2_PPIP5K2.pdf", "Melting_Curves/meltCurve_O43314_2_PPIP5K2.pdf")</f>
        <v>Melting_Curves/meltCurve_O43314_2_PPIP5K2.pdf</v>
      </c>
    </row>
    <row r="1327" spans="1:28" x14ac:dyDescent="0.25">
      <c r="A1327" t="s">
        <v>1331</v>
      </c>
      <c r="B1327">
        <v>0.99299721793515405</v>
      </c>
      <c r="C1327">
        <v>0.87092552798262302</v>
      </c>
      <c r="D1327">
        <v>0.92992508242856098</v>
      </c>
      <c r="E1327">
        <v>0.82086499764809695</v>
      </c>
      <c r="F1327">
        <v>0.66642185283983002</v>
      </c>
      <c r="G1327">
        <v>0.23489386317666799</v>
      </c>
      <c r="H1327">
        <v>0.20618982786142301</v>
      </c>
      <c r="I1327">
        <v>0.157217897527966</v>
      </c>
      <c r="J1327">
        <v>0.15754837837201899</v>
      </c>
      <c r="K1327">
        <v>0.12998799362819299</v>
      </c>
      <c r="L1327">
        <v>1018.03212696725</v>
      </c>
      <c r="M1327">
        <v>20.180540595510902</v>
      </c>
      <c r="N1327">
        <v>51.178477535582303</v>
      </c>
      <c r="O1327">
        <v>49.958686659754598</v>
      </c>
      <c r="P1327">
        <v>-8.8325620213811906E-2</v>
      </c>
      <c r="Q1327">
        <v>0.125395970867934</v>
      </c>
      <c r="R1327">
        <v>0.97250675556850197</v>
      </c>
      <c r="S1327" t="s">
        <v>6878</v>
      </c>
      <c r="T1327" t="s">
        <v>11100</v>
      </c>
      <c r="U1327" t="s">
        <v>11100</v>
      </c>
      <c r="V1327" t="s">
        <v>11100</v>
      </c>
      <c r="W1327" t="s">
        <v>12396</v>
      </c>
      <c r="X1327">
        <v>9</v>
      </c>
      <c r="Y1327" t="s">
        <v>17890</v>
      </c>
      <c r="Z1327" t="s">
        <v>23332</v>
      </c>
      <c r="AA1327">
        <v>0.52872100898237584</v>
      </c>
      <c r="AB1327" t="str">
        <f>HYPERLINK("Melting_Curves/meltCurve_O43318_2_MAP3K7.pdf", "Melting_Curves/meltCurve_O43318_2_MAP3K7.pdf")</f>
        <v>Melting_Curves/meltCurve_O43318_2_MAP3K7.pdf</v>
      </c>
    </row>
    <row r="1328" spans="1:28" x14ac:dyDescent="0.25">
      <c r="A1328" t="s">
        <v>1332</v>
      </c>
      <c r="B1328">
        <v>0.99299721793515405</v>
      </c>
      <c r="C1328">
        <v>1.04844369629871</v>
      </c>
      <c r="D1328">
        <v>0.91001264678659</v>
      </c>
      <c r="E1328">
        <v>0.89812835311553796</v>
      </c>
      <c r="F1328">
        <v>0.80948702644583503</v>
      </c>
      <c r="G1328">
        <v>0.47171610052005902</v>
      </c>
      <c r="H1328">
        <v>0.44117374244489999</v>
      </c>
      <c r="I1328">
        <v>0.50163071575532403</v>
      </c>
      <c r="J1328">
        <v>0.51417278880851802</v>
      </c>
      <c r="K1328">
        <v>0.36197258678677902</v>
      </c>
      <c r="L1328">
        <v>1950.24656227586</v>
      </c>
      <c r="M1328">
        <v>38.395718029249501</v>
      </c>
      <c r="N1328">
        <v>53.948419617343802</v>
      </c>
      <c r="O1328">
        <v>50.656138461730997</v>
      </c>
      <c r="P1328">
        <v>-0.104777262279829</v>
      </c>
      <c r="Q1328">
        <v>0.44706349276955998</v>
      </c>
      <c r="R1328">
        <v>0.94410371580415198</v>
      </c>
      <c r="S1328" t="s">
        <v>6879</v>
      </c>
      <c r="T1328" t="s">
        <v>11100</v>
      </c>
      <c r="U1328" t="s">
        <v>11100</v>
      </c>
      <c r="V1328" t="s">
        <v>11100</v>
      </c>
      <c r="W1328" t="s">
        <v>12397</v>
      </c>
      <c r="X1328">
        <v>11</v>
      </c>
      <c r="Y1328" t="s">
        <v>17891</v>
      </c>
      <c r="Z1328" t="s">
        <v>23333</v>
      </c>
      <c r="AA1328">
        <v>0.70339639943744037</v>
      </c>
      <c r="AB1328" t="str">
        <f>HYPERLINK("Melting_Curves/meltCurve_O43353_RIPK2.pdf", "Melting_Curves/meltCurve_O43353_RIPK2.pdf")</f>
        <v>Melting_Curves/meltCurve_O43353_RIPK2.pdf</v>
      </c>
    </row>
    <row r="1329" spans="1:28" x14ac:dyDescent="0.25">
      <c r="A1329" t="s">
        <v>1333</v>
      </c>
      <c r="B1329">
        <v>0.99299721793515405</v>
      </c>
      <c r="C1329">
        <v>0.84790130690383003</v>
      </c>
      <c r="D1329">
        <v>0.95263001157471905</v>
      </c>
      <c r="E1329">
        <v>0.77897511091136795</v>
      </c>
      <c r="F1329">
        <v>0.69600766326961405</v>
      </c>
      <c r="G1329">
        <v>0.54544952892008003</v>
      </c>
      <c r="H1329">
        <v>0.27328779541819098</v>
      </c>
      <c r="I1329">
        <v>0.270432524049592</v>
      </c>
      <c r="J1329">
        <v>0.26892605915366202</v>
      </c>
      <c r="K1329">
        <v>6.2114247777149599E-2</v>
      </c>
      <c r="L1329">
        <v>497.22612176484898</v>
      </c>
      <c r="M1329">
        <v>9.2356386368827597</v>
      </c>
      <c r="N1329">
        <v>53.837768394729999</v>
      </c>
      <c r="O1329">
        <v>51.494158836809</v>
      </c>
      <c r="P1329">
        <v>-4.4867806891047399E-2</v>
      </c>
      <c r="Q1329">
        <v>0</v>
      </c>
      <c r="R1329">
        <v>0.95992211190673904</v>
      </c>
      <c r="S1329" t="s">
        <v>6880</v>
      </c>
      <c r="T1329" t="s">
        <v>11100</v>
      </c>
      <c r="U1329" t="s">
        <v>11100</v>
      </c>
      <c r="V1329" t="s">
        <v>11100</v>
      </c>
      <c r="W1329" t="s">
        <v>12398</v>
      </c>
      <c r="X1329">
        <v>3</v>
      </c>
      <c r="Y1329" t="s">
        <v>17892</v>
      </c>
      <c r="Z1329" t="s">
        <v>23334</v>
      </c>
      <c r="AA1329">
        <v>0.57907054518212242</v>
      </c>
      <c r="AB1329" t="str">
        <f>HYPERLINK("Melting_Curves/meltCurve_O43379_WDR62.pdf", "Melting_Curves/meltCurve_O43379_WDR62.pdf")</f>
        <v>Melting_Curves/meltCurve_O43379_WDR62.pdf</v>
      </c>
    </row>
    <row r="1330" spans="1:28" x14ac:dyDescent="0.25">
      <c r="A1330" t="s">
        <v>1334</v>
      </c>
      <c r="B1330">
        <v>0.99299721793515405</v>
      </c>
      <c r="C1330">
        <v>0.83384110904101205</v>
      </c>
      <c r="D1330">
        <v>0.89222248098511903</v>
      </c>
      <c r="E1330">
        <v>0.806128729018601</v>
      </c>
      <c r="F1330">
        <v>0.70061044656988203</v>
      </c>
      <c r="G1330">
        <v>0.42202526163764897</v>
      </c>
      <c r="H1330">
        <v>0.31160925966140202</v>
      </c>
      <c r="I1330">
        <v>0.28622177771698998</v>
      </c>
      <c r="J1330">
        <v>0.26401970452895102</v>
      </c>
      <c r="K1330">
        <v>0.23686518784403299</v>
      </c>
      <c r="L1330">
        <v>539.77095435435695</v>
      </c>
      <c r="M1330">
        <v>10.534554261400499</v>
      </c>
      <c r="N1330">
        <v>53.087715035859603</v>
      </c>
      <c r="O1330">
        <v>49.495126443884899</v>
      </c>
      <c r="P1330">
        <v>-4.5054809274754998E-2</v>
      </c>
      <c r="Q1330">
        <v>0.15360239368519801</v>
      </c>
      <c r="R1330">
        <v>0.96457528433170103</v>
      </c>
      <c r="S1330" t="s">
        <v>6881</v>
      </c>
      <c r="T1330" t="s">
        <v>11100</v>
      </c>
      <c r="U1330" t="s">
        <v>11100</v>
      </c>
      <c r="V1330" t="s">
        <v>11100</v>
      </c>
      <c r="W1330" t="s">
        <v>12399</v>
      </c>
      <c r="X1330">
        <v>6</v>
      </c>
      <c r="Y1330" t="s">
        <v>17893</v>
      </c>
      <c r="Z1330" t="s">
        <v>23335</v>
      </c>
      <c r="AA1330">
        <v>0.57944231701237137</v>
      </c>
      <c r="AB1330" t="str">
        <f>HYPERLINK("Melting_Curves/meltCurve_O43395_PRPF3.pdf", "Melting_Curves/meltCurve_O43395_PRPF3.pdf")</f>
        <v>Melting_Curves/meltCurve_O43395_PRPF3.pdf</v>
      </c>
    </row>
    <row r="1331" spans="1:28" x14ac:dyDescent="0.25">
      <c r="A1331" t="s">
        <v>1335</v>
      </c>
      <c r="B1331">
        <v>0.99299721793515405</v>
      </c>
      <c r="C1331">
        <v>0.98488199900852702</v>
      </c>
      <c r="D1331">
        <v>0.87424135785277801</v>
      </c>
      <c r="E1331">
        <v>0.84596381505266105</v>
      </c>
      <c r="F1331">
        <v>0.63491885467278597</v>
      </c>
      <c r="G1331">
        <v>0.28033210571857498</v>
      </c>
      <c r="H1331">
        <v>0.20586873930531599</v>
      </c>
      <c r="I1331">
        <v>0.163265983768832</v>
      </c>
      <c r="J1331">
        <v>0.16432740994433301</v>
      </c>
      <c r="K1331">
        <v>0.11545162007332201</v>
      </c>
      <c r="L1331">
        <v>921.22738145379901</v>
      </c>
      <c r="M1331">
        <v>18.240796314372101</v>
      </c>
      <c r="N1331">
        <v>51.264960498626102</v>
      </c>
      <c r="O1331">
        <v>49.908413233419601</v>
      </c>
      <c r="P1331">
        <v>-8.0534487749591696E-2</v>
      </c>
      <c r="Q1331">
        <v>0.11864348088370499</v>
      </c>
      <c r="R1331">
        <v>0.98803694238633399</v>
      </c>
      <c r="S1331" t="s">
        <v>6882</v>
      </c>
      <c r="T1331" t="s">
        <v>11100</v>
      </c>
      <c r="U1331" t="s">
        <v>11100</v>
      </c>
      <c r="V1331" t="s">
        <v>11100</v>
      </c>
      <c r="W1331" t="s">
        <v>12400</v>
      </c>
      <c r="X1331">
        <v>11</v>
      </c>
      <c r="Y1331" t="s">
        <v>17894</v>
      </c>
      <c r="Z1331" t="s">
        <v>23336</v>
      </c>
      <c r="AA1331">
        <v>0.52886049980300442</v>
      </c>
      <c r="AB1331" t="str">
        <f>HYPERLINK("Melting_Curves/meltCurve_O43396_TXNL1.pdf", "Melting_Curves/meltCurve_O43396_TXNL1.pdf")</f>
        <v>Melting_Curves/meltCurve_O43396_TXNL1.pdf</v>
      </c>
    </row>
    <row r="1332" spans="1:28" x14ac:dyDescent="0.25">
      <c r="A1332" t="s">
        <v>1336</v>
      </c>
      <c r="B1332">
        <v>0.99299721793515405</v>
      </c>
      <c r="C1332">
        <v>0.94012766425447902</v>
      </c>
      <c r="D1332">
        <v>0.95969493559111596</v>
      </c>
      <c r="E1332">
        <v>0.83455332281349903</v>
      </c>
      <c r="F1332">
        <v>0.75861596140411602</v>
      </c>
      <c r="G1332">
        <v>0.50595633464331802</v>
      </c>
      <c r="H1332">
        <v>0.58373549776596101</v>
      </c>
      <c r="I1332">
        <v>0.79924826375770996</v>
      </c>
      <c r="J1332">
        <v>0.93725311392465804</v>
      </c>
      <c r="K1332">
        <v>0.82321145727155698</v>
      </c>
      <c r="L1332">
        <v>1543.8577717682799</v>
      </c>
      <c r="M1332">
        <v>33.800999045665499</v>
      </c>
      <c r="O1332">
        <v>45.515931365567297</v>
      </c>
      <c r="P1332">
        <v>-4.9493320572277399E-2</v>
      </c>
      <c r="Q1332">
        <v>0.73341315256127204</v>
      </c>
      <c r="R1332">
        <v>0.43785108944885398</v>
      </c>
      <c r="S1332" t="s">
        <v>6883</v>
      </c>
      <c r="T1332" t="s">
        <v>11100</v>
      </c>
      <c r="U1332" t="s">
        <v>11100</v>
      </c>
      <c r="V1332" t="s">
        <v>11100</v>
      </c>
      <c r="W1332" t="s">
        <v>12401</v>
      </c>
      <c r="X1332">
        <v>19</v>
      </c>
      <c r="Y1332" t="s">
        <v>17895</v>
      </c>
      <c r="Z1332" t="s">
        <v>23337</v>
      </c>
      <c r="AA1332">
        <v>0.8116858203539673</v>
      </c>
      <c r="AB1332" t="str">
        <f>HYPERLINK("Melting_Curves/meltCurve_O43399_TPD52L2.pdf", "Melting_Curves/meltCurve_O43399_TPD52L2.pdf")</f>
        <v>Melting_Curves/meltCurve_O43399_TPD52L2.pdf</v>
      </c>
    </row>
    <row r="1333" spans="1:28" x14ac:dyDescent="0.25">
      <c r="A1333" t="s">
        <v>1337</v>
      </c>
      <c r="B1333">
        <v>0.99299721793515405</v>
      </c>
      <c r="C1333">
        <v>0.87659451247737097</v>
      </c>
      <c r="D1333">
        <v>1.1234304941811799</v>
      </c>
      <c r="E1333">
        <v>0.91702174884223298</v>
      </c>
      <c r="F1333">
        <v>0.80849871025291198</v>
      </c>
      <c r="G1333">
        <v>0.50420006773917403</v>
      </c>
      <c r="H1333">
        <v>0.49726480059338501</v>
      </c>
      <c r="I1333">
        <v>0.62455111464471802</v>
      </c>
      <c r="J1333">
        <v>0.85604549327014101</v>
      </c>
      <c r="K1333">
        <v>0.60156281312287896</v>
      </c>
      <c r="L1333">
        <v>12550.071385986001</v>
      </c>
      <c r="M1333">
        <v>250</v>
      </c>
      <c r="O1333">
        <v>50.197073745347197</v>
      </c>
      <c r="P1333">
        <v>-0.477213012385929</v>
      </c>
      <c r="Q1333">
        <v>0.61672485729183701</v>
      </c>
      <c r="R1333">
        <v>0.70270703506068799</v>
      </c>
      <c r="S1333" t="s">
        <v>6884</v>
      </c>
      <c r="T1333" t="s">
        <v>11100</v>
      </c>
      <c r="U1333" t="s">
        <v>11100</v>
      </c>
      <c r="V1333" t="s">
        <v>11100</v>
      </c>
      <c r="W1333" t="s">
        <v>12402</v>
      </c>
      <c r="X1333">
        <v>18</v>
      </c>
      <c r="Y1333" t="s">
        <v>17895</v>
      </c>
      <c r="Z1333" t="s">
        <v>23338</v>
      </c>
      <c r="AA1333">
        <v>0.78540333496259473</v>
      </c>
      <c r="AB1333" t="str">
        <f>HYPERLINK("Melting_Curves/meltCurve_O43399_2_TPD52L2.pdf", "Melting_Curves/meltCurve_O43399_2_TPD52L2.pdf")</f>
        <v>Melting_Curves/meltCurve_O43399_2_TPD52L2.pdf</v>
      </c>
    </row>
    <row r="1334" spans="1:28" x14ac:dyDescent="0.25">
      <c r="A1334" t="s">
        <v>1338</v>
      </c>
      <c r="B1334">
        <v>0.99299721793515405</v>
      </c>
      <c r="C1334">
        <v>0.96586954029657202</v>
      </c>
      <c r="D1334">
        <v>1.01518184386</v>
      </c>
      <c r="E1334">
        <v>0.86260293386055098</v>
      </c>
      <c r="F1334">
        <v>0.64807052419966404</v>
      </c>
      <c r="G1334">
        <v>0.47720998811333898</v>
      </c>
      <c r="H1334">
        <v>0.40080720921421698</v>
      </c>
      <c r="I1334">
        <v>0.328197254580194</v>
      </c>
      <c r="J1334">
        <v>0.26506781039630001</v>
      </c>
      <c r="K1334">
        <v>0.26667813769749499</v>
      </c>
      <c r="L1334">
        <v>802.40816515821996</v>
      </c>
      <c r="M1334">
        <v>15.7631148554579</v>
      </c>
      <c r="N1334">
        <v>53.4042339903841</v>
      </c>
      <c r="O1334">
        <v>50.106026138905001</v>
      </c>
      <c r="P1334">
        <v>-5.8130211933935798E-2</v>
      </c>
      <c r="Q1334">
        <v>0.26095016577526298</v>
      </c>
      <c r="R1334">
        <v>0.99298093997360504</v>
      </c>
      <c r="S1334" t="s">
        <v>6885</v>
      </c>
      <c r="T1334" t="s">
        <v>11100</v>
      </c>
      <c r="U1334" t="s">
        <v>11100</v>
      </c>
      <c r="V1334" t="s">
        <v>11100</v>
      </c>
      <c r="W1334" t="s">
        <v>12403</v>
      </c>
      <c r="X1334">
        <v>6</v>
      </c>
      <c r="Y1334" t="s">
        <v>17896</v>
      </c>
      <c r="Z1334" t="s">
        <v>23339</v>
      </c>
      <c r="AA1334">
        <v>0.61744579855807014</v>
      </c>
      <c r="AB1334" t="str">
        <f>HYPERLINK("Melting_Curves/meltCurve_O43402_EMC8.pdf", "Melting_Curves/meltCurve_O43402_EMC8.pdf")</f>
        <v>Melting_Curves/meltCurve_O43402_EMC8.pdf</v>
      </c>
    </row>
    <row r="1335" spans="1:28" x14ac:dyDescent="0.25">
      <c r="A1335" t="s">
        <v>1339</v>
      </c>
      <c r="B1335">
        <v>0.99299721793515405</v>
      </c>
      <c r="C1335">
        <v>0.94827013980088204</v>
      </c>
      <c r="D1335">
        <v>0.72506044417413196</v>
      </c>
      <c r="E1335">
        <v>0.86534527726463994</v>
      </c>
      <c r="F1335">
        <v>0.63730900968397897</v>
      </c>
      <c r="G1335">
        <v>0.50015692967264702</v>
      </c>
      <c r="H1335">
        <v>0.48893919894538002</v>
      </c>
      <c r="I1335">
        <v>0.376995326108088</v>
      </c>
      <c r="J1335">
        <v>0.25189007477642</v>
      </c>
      <c r="K1335">
        <v>0.156711542271156</v>
      </c>
      <c r="L1335">
        <v>374.84639967944997</v>
      </c>
      <c r="M1335">
        <v>6.83284615929231</v>
      </c>
      <c r="N1335">
        <v>54.8594615330518</v>
      </c>
      <c r="O1335">
        <v>50.7365323969576</v>
      </c>
      <c r="P1335">
        <v>-3.3736465516555597E-2</v>
      </c>
      <c r="Q1335">
        <v>0</v>
      </c>
      <c r="R1335">
        <v>0.94287807116657096</v>
      </c>
      <c r="S1335" t="s">
        <v>6886</v>
      </c>
      <c r="T1335" t="s">
        <v>11100</v>
      </c>
      <c r="U1335" t="s">
        <v>11100</v>
      </c>
      <c r="V1335" t="s">
        <v>11100</v>
      </c>
      <c r="W1335" t="s">
        <v>12404</v>
      </c>
      <c r="X1335">
        <v>1</v>
      </c>
      <c r="Y1335" t="s">
        <v>17897</v>
      </c>
      <c r="Z1335" t="s">
        <v>23340</v>
      </c>
      <c r="AA1335">
        <v>0.5978153502864747</v>
      </c>
      <c r="AB1335" t="str">
        <f>HYPERLINK("Melting_Curves/meltCurve_O43435_3_TBX1.pdf", "Melting_Curves/meltCurve_O43435_3_TBX1.pdf")</f>
        <v>Melting_Curves/meltCurve_O43435_3_TBX1.pdf</v>
      </c>
    </row>
    <row r="1336" spans="1:28" x14ac:dyDescent="0.25">
      <c r="A1336" t="s">
        <v>1340</v>
      </c>
      <c r="B1336">
        <v>0.99299721793515405</v>
      </c>
      <c r="C1336">
        <v>0.99298258787639704</v>
      </c>
      <c r="D1336">
        <v>0.89995407703359298</v>
      </c>
      <c r="E1336">
        <v>0.87238553124326501</v>
      </c>
      <c r="F1336">
        <v>0.69724895582358404</v>
      </c>
      <c r="G1336">
        <v>0.43518797830158001</v>
      </c>
      <c r="H1336">
        <v>0.180150052320972</v>
      </c>
      <c r="I1336">
        <v>0.14661780891637799</v>
      </c>
      <c r="J1336">
        <v>0.12301622967782801</v>
      </c>
      <c r="K1336">
        <v>0.13478376274137999</v>
      </c>
      <c r="L1336">
        <v>891.45979452029599</v>
      </c>
      <c r="M1336">
        <v>17.167562952056102</v>
      </c>
      <c r="N1336">
        <v>52.5079408573718</v>
      </c>
      <c r="O1336">
        <v>51.237767903138902</v>
      </c>
      <c r="P1336">
        <v>-7.6523397463455795E-2</v>
      </c>
      <c r="Q1336">
        <v>8.6496956390954602E-2</v>
      </c>
      <c r="R1336">
        <v>0.991625667278492</v>
      </c>
      <c r="S1336" t="s">
        <v>6887</v>
      </c>
      <c r="T1336" t="s">
        <v>11100</v>
      </c>
      <c r="U1336" t="s">
        <v>11100</v>
      </c>
      <c r="V1336" t="s">
        <v>11100</v>
      </c>
      <c r="W1336" t="s">
        <v>12405</v>
      </c>
      <c r="X1336">
        <v>14</v>
      </c>
      <c r="Y1336" t="s">
        <v>17898</v>
      </c>
      <c r="Z1336" t="s">
        <v>23341</v>
      </c>
      <c r="AA1336">
        <v>0.55581949374830764</v>
      </c>
      <c r="AB1336" t="str">
        <f>HYPERLINK("Melting_Curves/meltCurve_O43447_PPIH.pdf", "Melting_Curves/meltCurve_O43447_PPIH.pdf")</f>
        <v>Melting_Curves/meltCurve_O43447_PPIH.pdf</v>
      </c>
    </row>
    <row r="1337" spans="1:28" x14ac:dyDescent="0.25">
      <c r="A1337" t="s">
        <v>1341</v>
      </c>
      <c r="B1337">
        <v>0.99299721793515405</v>
      </c>
      <c r="C1337">
        <v>1.0800093776461299</v>
      </c>
      <c r="D1337">
        <v>0.93771242598645399</v>
      </c>
      <c r="E1337">
        <v>0.93855153037077199</v>
      </c>
      <c r="F1337">
        <v>0.80626370039954798</v>
      </c>
      <c r="G1337">
        <v>0.77192150920918201</v>
      </c>
      <c r="H1337">
        <v>0.79724788498779997</v>
      </c>
      <c r="I1337">
        <v>0.88448053333584498</v>
      </c>
      <c r="J1337">
        <v>0.70329491658424603</v>
      </c>
      <c r="K1337">
        <v>0.44800275286258301</v>
      </c>
      <c r="L1337">
        <v>363.99990537255701</v>
      </c>
      <c r="M1337">
        <v>5.0714581800845799</v>
      </c>
      <c r="O1337">
        <v>62.848519767730998</v>
      </c>
      <c r="P1337">
        <v>-2.02910885335803E-2</v>
      </c>
      <c r="Q1337">
        <v>0</v>
      </c>
      <c r="R1337">
        <v>0.72369459970809502</v>
      </c>
      <c r="S1337" t="s">
        <v>6888</v>
      </c>
      <c r="T1337" t="s">
        <v>11100</v>
      </c>
      <c r="U1337" t="s">
        <v>11100</v>
      </c>
      <c r="V1337" t="s">
        <v>11100</v>
      </c>
      <c r="W1337" t="s">
        <v>12406</v>
      </c>
      <c r="X1337">
        <v>9</v>
      </c>
      <c r="Y1337" t="s">
        <v>17899</v>
      </c>
      <c r="Z1337" t="s">
        <v>23342</v>
      </c>
      <c r="AA1337">
        <v>0.84294459364656182</v>
      </c>
      <c r="AB1337" t="str">
        <f>HYPERLINK("Melting_Curves/meltCurve_O43464_3_HTRA2.pdf", "Melting_Curves/meltCurve_O43464_3_HTRA2.pdf")</f>
        <v>Melting_Curves/meltCurve_O43464_3_HTRA2.pdf</v>
      </c>
    </row>
    <row r="1338" spans="1:28" x14ac:dyDescent="0.25">
      <c r="A1338" t="s">
        <v>1342</v>
      </c>
      <c r="B1338">
        <v>0.99299721793515405</v>
      </c>
      <c r="C1338">
        <v>1.0578927552670501</v>
      </c>
      <c r="D1338">
        <v>0.966162833120225</v>
      </c>
      <c r="E1338">
        <v>0.861268676403522</v>
      </c>
      <c r="F1338">
        <v>0.60464587910365297</v>
      </c>
      <c r="G1338">
        <v>0.45095843026037102</v>
      </c>
      <c r="H1338">
        <v>0.35676171832369702</v>
      </c>
      <c r="I1338">
        <v>0.34309069445849799</v>
      </c>
      <c r="J1338">
        <v>0.37463372456677402</v>
      </c>
      <c r="K1338">
        <v>0.197074633582669</v>
      </c>
      <c r="L1338">
        <v>907.73372469945798</v>
      </c>
      <c r="M1338">
        <v>18.175197235701098</v>
      </c>
      <c r="N1338">
        <v>52.452961244655199</v>
      </c>
      <c r="O1338">
        <v>49.350715421294403</v>
      </c>
      <c r="P1338">
        <v>-6.5334830044430595E-2</v>
      </c>
      <c r="Q1338">
        <v>0.29042480076419902</v>
      </c>
      <c r="R1338">
        <v>0.97718999198094403</v>
      </c>
      <c r="S1338" t="s">
        <v>6889</v>
      </c>
      <c r="T1338" t="s">
        <v>11100</v>
      </c>
      <c r="U1338" t="s">
        <v>11100</v>
      </c>
      <c r="V1338" t="s">
        <v>11100</v>
      </c>
      <c r="W1338" t="s">
        <v>12407</v>
      </c>
      <c r="X1338">
        <v>3</v>
      </c>
      <c r="Y1338" t="s">
        <v>17900</v>
      </c>
      <c r="Z1338" t="s">
        <v>23343</v>
      </c>
      <c r="AA1338">
        <v>0.60758000879756657</v>
      </c>
      <c r="AB1338" t="str">
        <f>HYPERLINK("Melting_Curves/meltCurve_O43474_1_KLF4.pdf", "Melting_Curves/meltCurve_O43474_1_KLF4.pdf")</f>
        <v>Melting_Curves/meltCurve_O43474_1_KLF4.pdf</v>
      </c>
    </row>
    <row r="1339" spans="1:28" x14ac:dyDescent="0.25">
      <c r="A1339" t="s">
        <v>1343</v>
      </c>
      <c r="B1339">
        <v>0.99299721793515405</v>
      </c>
      <c r="C1339">
        <v>0.87482254109114199</v>
      </c>
      <c r="D1339">
        <v>0.91563547096609699</v>
      </c>
      <c r="E1339">
        <v>0.93965760683216604</v>
      </c>
      <c r="F1339">
        <v>0.805804837066184</v>
      </c>
      <c r="G1339">
        <v>0.63229564488160495</v>
      </c>
      <c r="H1339">
        <v>0.43355519400477199</v>
      </c>
      <c r="I1339">
        <v>0.205356598513602</v>
      </c>
      <c r="J1339">
        <v>0.113862777124835</v>
      </c>
      <c r="K1339">
        <v>7.3412075634582005E-2</v>
      </c>
      <c r="L1339">
        <v>777.516500591149</v>
      </c>
      <c r="M1339">
        <v>13.963363496897401</v>
      </c>
      <c r="N1339">
        <v>55.682608658306798</v>
      </c>
      <c r="O1339">
        <v>54.577842338201499</v>
      </c>
      <c r="P1339">
        <v>-6.3969323933960001E-2</v>
      </c>
      <c r="Q1339">
        <v>0</v>
      </c>
      <c r="R1339">
        <v>0.98110021702833705</v>
      </c>
      <c r="S1339" t="s">
        <v>6890</v>
      </c>
      <c r="T1339" t="s">
        <v>11100</v>
      </c>
      <c r="U1339" t="s">
        <v>11100</v>
      </c>
      <c r="V1339" t="s">
        <v>11100</v>
      </c>
      <c r="W1339" t="s">
        <v>12408</v>
      </c>
      <c r="X1339">
        <v>2</v>
      </c>
      <c r="Y1339" t="s">
        <v>17901</v>
      </c>
      <c r="Z1339" t="s">
        <v>23344</v>
      </c>
      <c r="AA1339">
        <v>0.63506062595431045</v>
      </c>
      <c r="AB1339" t="str">
        <f>HYPERLINK("Melting_Curves/meltCurve_O43482_OIP5.pdf", "Melting_Curves/meltCurve_O43482_OIP5.pdf")</f>
        <v>Melting_Curves/meltCurve_O43482_OIP5.pdf</v>
      </c>
    </row>
    <row r="1340" spans="1:28" x14ac:dyDescent="0.25">
      <c r="A1340" t="s">
        <v>1344</v>
      </c>
      <c r="B1340">
        <v>0.99299721793515405</v>
      </c>
      <c r="C1340">
        <v>0.956857321311266</v>
      </c>
      <c r="D1340">
        <v>0.95332073839600995</v>
      </c>
      <c r="E1340">
        <v>0.85929484315253402</v>
      </c>
      <c r="F1340">
        <v>0.72801891223153603</v>
      </c>
      <c r="G1340">
        <v>0.54947449606667198</v>
      </c>
      <c r="H1340">
        <v>0.28220922173732199</v>
      </c>
      <c r="I1340">
        <v>0.19571928628323601</v>
      </c>
      <c r="J1340">
        <v>0.17663903382539201</v>
      </c>
      <c r="K1340">
        <v>0.142112322443496</v>
      </c>
      <c r="L1340">
        <v>722.96914706758696</v>
      </c>
      <c r="M1340">
        <v>13.5764258962766</v>
      </c>
      <c r="N1340">
        <v>53.901917548953897</v>
      </c>
      <c r="O1340">
        <v>52.136298782054403</v>
      </c>
      <c r="P1340">
        <v>-6.0193267214078597E-2</v>
      </c>
      <c r="Q1340">
        <v>7.5519404418622302E-2</v>
      </c>
      <c r="R1340">
        <v>0.994091569277883</v>
      </c>
      <c r="S1340" t="s">
        <v>6891</v>
      </c>
      <c r="T1340" t="s">
        <v>11100</v>
      </c>
      <c r="U1340" t="s">
        <v>11100</v>
      </c>
      <c r="V1340" t="s">
        <v>11100</v>
      </c>
      <c r="W1340" t="s">
        <v>12409</v>
      </c>
      <c r="X1340">
        <v>39</v>
      </c>
      <c r="Y1340" t="s">
        <v>17902</v>
      </c>
      <c r="Z1340" t="s">
        <v>23345</v>
      </c>
      <c r="AA1340">
        <v>0.59383921308170218</v>
      </c>
      <c r="AB1340" t="str">
        <f>HYPERLINK("Melting_Curves/meltCurve_O43491_EPB41L2.pdf", "Melting_Curves/meltCurve_O43491_EPB41L2.pdf")</f>
        <v>Melting_Curves/meltCurve_O43491_EPB41L2.pdf</v>
      </c>
    </row>
    <row r="1341" spans="1:28" x14ac:dyDescent="0.25">
      <c r="A1341" t="s">
        <v>1345</v>
      </c>
      <c r="B1341">
        <v>0.99299721793515405</v>
      </c>
      <c r="C1341">
        <v>0.89742751925045305</v>
      </c>
      <c r="D1341">
        <v>1.29573615663229</v>
      </c>
      <c r="E1341">
        <v>0.77965524367946104</v>
      </c>
      <c r="F1341">
        <v>0.85605418068081796</v>
      </c>
      <c r="G1341">
        <v>0.83291856450925394</v>
      </c>
      <c r="H1341">
        <v>0.54132906224569699</v>
      </c>
      <c r="I1341">
        <v>0.72272152323210903</v>
      </c>
      <c r="J1341">
        <v>0.58225677396965902</v>
      </c>
      <c r="K1341">
        <v>0.76446181092431997</v>
      </c>
      <c r="L1341">
        <v>963.64838855996197</v>
      </c>
      <c r="M1341">
        <v>19.205302307185502</v>
      </c>
      <c r="O1341">
        <v>49.641657993881402</v>
      </c>
      <c r="P1341">
        <v>-3.27034263029276E-2</v>
      </c>
      <c r="Q1341">
        <v>0.66188710173931398</v>
      </c>
      <c r="R1341">
        <v>0.55732224992215196</v>
      </c>
      <c r="S1341" t="s">
        <v>6892</v>
      </c>
      <c r="T1341" t="s">
        <v>11100</v>
      </c>
      <c r="U1341" t="s">
        <v>11100</v>
      </c>
      <c r="V1341" t="s">
        <v>11100</v>
      </c>
      <c r="W1341" t="s">
        <v>12410</v>
      </c>
      <c r="X1341">
        <v>7</v>
      </c>
      <c r="Y1341" t="s">
        <v>17903</v>
      </c>
      <c r="Z1341" t="s">
        <v>23346</v>
      </c>
      <c r="AA1341">
        <v>0.81515914520893817</v>
      </c>
      <c r="AB1341" t="str">
        <f>HYPERLINK("Melting_Curves/meltCurve_O43493_2_TGOLN2.pdf", "Melting_Curves/meltCurve_O43493_2_TGOLN2.pdf")</f>
        <v>Melting_Curves/meltCurve_O43493_2_TGOLN2.pdf</v>
      </c>
    </row>
    <row r="1342" spans="1:28" x14ac:dyDescent="0.25">
      <c r="A1342" t="s">
        <v>1346</v>
      </c>
      <c r="B1342">
        <v>0.99299721793515405</v>
      </c>
      <c r="C1342">
        <v>0.94195248355439898</v>
      </c>
      <c r="D1342">
        <v>0.879833553565324</v>
      </c>
      <c r="E1342">
        <v>0.874469539033226</v>
      </c>
      <c r="F1342">
        <v>0.66135506594546201</v>
      </c>
      <c r="G1342">
        <v>0.50167683157582299</v>
      </c>
      <c r="H1342">
        <v>0.21825612864775601</v>
      </c>
      <c r="I1342">
        <v>0.13280415119373501</v>
      </c>
      <c r="J1342">
        <v>0.109014443398823</v>
      </c>
      <c r="K1342">
        <v>9.4033299937303305E-2</v>
      </c>
      <c r="L1342">
        <v>671.61175512227499</v>
      </c>
      <c r="M1342">
        <v>12.6946636868607</v>
      </c>
      <c r="N1342">
        <v>52.925005289399401</v>
      </c>
      <c r="O1342">
        <v>51.643735761873899</v>
      </c>
      <c r="P1342">
        <v>-6.1318169918622101E-2</v>
      </c>
      <c r="Q1342">
        <v>2.3880900284880598E-3</v>
      </c>
      <c r="R1342">
        <v>0.98856304318337895</v>
      </c>
      <c r="S1342" t="s">
        <v>6893</v>
      </c>
      <c r="T1342" t="s">
        <v>11100</v>
      </c>
      <c r="U1342" t="s">
        <v>11100</v>
      </c>
      <c r="V1342" t="s">
        <v>11100</v>
      </c>
      <c r="W1342" t="s">
        <v>12411</v>
      </c>
      <c r="X1342">
        <v>5</v>
      </c>
      <c r="Y1342" t="s">
        <v>17904</v>
      </c>
      <c r="Z1342" t="s">
        <v>23347</v>
      </c>
      <c r="AA1342">
        <v>0.55187592833872812</v>
      </c>
      <c r="AB1342" t="str">
        <f>HYPERLINK("Melting_Curves/meltCurve_O43502_RAD51C.pdf", "Melting_Curves/meltCurve_O43502_RAD51C.pdf")</f>
        <v>Melting_Curves/meltCurve_O43502_RAD51C.pdf</v>
      </c>
    </row>
    <row r="1343" spans="1:28" x14ac:dyDescent="0.25">
      <c r="A1343" t="s">
        <v>1347</v>
      </c>
      <c r="B1343">
        <v>0.99299721793515405</v>
      </c>
      <c r="C1343">
        <v>0.94563611212010501</v>
      </c>
      <c r="D1343">
        <v>0.97407985796477503</v>
      </c>
      <c r="E1343">
        <v>0.97404372119919103</v>
      </c>
      <c r="F1343">
        <v>0.80472652230553798</v>
      </c>
      <c r="G1343">
        <v>0.70118759174176404</v>
      </c>
      <c r="H1343">
        <v>0.46167754879746398</v>
      </c>
      <c r="I1343">
        <v>0.17528763206332201</v>
      </c>
      <c r="J1343">
        <v>0.117340203779709</v>
      </c>
      <c r="K1343">
        <v>0.116061268875416</v>
      </c>
      <c r="L1343">
        <v>857.41705956937994</v>
      </c>
      <c r="M1343">
        <v>15.240192239993601</v>
      </c>
      <c r="N1343">
        <v>56.2602527841089</v>
      </c>
      <c r="O1343">
        <v>55.318270437736899</v>
      </c>
      <c r="P1343">
        <v>-6.8881577820474799E-2</v>
      </c>
      <c r="Q1343">
        <v>0</v>
      </c>
      <c r="R1343">
        <v>0.98874696417142505</v>
      </c>
      <c r="S1343" t="s">
        <v>6894</v>
      </c>
      <c r="T1343" t="s">
        <v>11100</v>
      </c>
      <c r="U1343" t="s">
        <v>11100</v>
      </c>
      <c r="V1343" t="s">
        <v>11100</v>
      </c>
      <c r="W1343" t="s">
        <v>12412</v>
      </c>
      <c r="X1343">
        <v>6</v>
      </c>
      <c r="Y1343" t="s">
        <v>17905</v>
      </c>
      <c r="Z1343" t="s">
        <v>23348</v>
      </c>
      <c r="AA1343">
        <v>0.65273607767664266</v>
      </c>
      <c r="AB1343" t="str">
        <f>HYPERLINK("Melting_Curves/meltCurve_O43505_B3GNT1.pdf", "Melting_Curves/meltCurve_O43505_B3GNT1.pdf")</f>
        <v>Melting_Curves/meltCurve_O43505_B3GNT1.pdf</v>
      </c>
    </row>
    <row r="1344" spans="1:28" x14ac:dyDescent="0.25">
      <c r="A1344" t="s">
        <v>1348</v>
      </c>
      <c r="B1344">
        <v>0.99299721793515405</v>
      </c>
      <c r="C1344">
        <v>0.74887418783275095</v>
      </c>
      <c r="D1344">
        <v>0.79507643221707103</v>
      </c>
      <c r="E1344">
        <v>0.83185191738923103</v>
      </c>
      <c r="F1344">
        <v>0.67402062159070497</v>
      </c>
      <c r="G1344">
        <v>0.57532394869649806</v>
      </c>
      <c r="H1344">
        <v>0.42389340167196099</v>
      </c>
      <c r="I1344">
        <v>0.37202203057023597</v>
      </c>
      <c r="J1344">
        <v>0.45706312430384199</v>
      </c>
      <c r="K1344">
        <v>0.43994741284004102</v>
      </c>
      <c r="L1344">
        <v>305.75723164634297</v>
      </c>
      <c r="M1344">
        <v>5.98605584051489</v>
      </c>
      <c r="N1344">
        <v>57.518154104455903</v>
      </c>
      <c r="O1344">
        <v>46.251985192314002</v>
      </c>
      <c r="P1344">
        <v>-2.4534227193552201E-2</v>
      </c>
      <c r="Q1344">
        <v>0.24420122553736101</v>
      </c>
      <c r="R1344">
        <v>0.87265218006373901</v>
      </c>
      <c r="S1344" t="s">
        <v>6895</v>
      </c>
      <c r="T1344" t="s">
        <v>11100</v>
      </c>
      <c r="U1344" t="s">
        <v>11100</v>
      </c>
      <c r="V1344" t="s">
        <v>11100</v>
      </c>
      <c r="W1344" t="s">
        <v>12413</v>
      </c>
      <c r="X1344">
        <v>3</v>
      </c>
      <c r="Y1344" t="s">
        <v>17906</v>
      </c>
      <c r="Z1344" t="s">
        <v>23349</v>
      </c>
      <c r="AA1344">
        <v>0.62717051123769096</v>
      </c>
      <c r="AB1344" t="str">
        <f>HYPERLINK("Melting_Curves/meltCurve_O43516_WIPF1.pdf", "Melting_Curves/meltCurve_O43516_WIPF1.pdf")</f>
        <v>Melting_Curves/meltCurve_O43516_WIPF1.pdf</v>
      </c>
    </row>
    <row r="1345" spans="1:28" x14ac:dyDescent="0.25">
      <c r="A1345" t="s">
        <v>1349</v>
      </c>
      <c r="B1345">
        <v>0.99299721793515405</v>
      </c>
      <c r="C1345">
        <v>0.99290661007956105</v>
      </c>
      <c r="D1345">
        <v>0.79625136806096197</v>
      </c>
      <c r="E1345">
        <v>0.832381180236207</v>
      </c>
      <c r="F1345">
        <v>0.80253026493754898</v>
      </c>
      <c r="G1345">
        <v>0.69758430729680898</v>
      </c>
      <c r="H1345">
        <v>0.42037221532528501</v>
      </c>
      <c r="I1345">
        <v>0.272036334839453</v>
      </c>
      <c r="J1345">
        <v>0.390348447760343</v>
      </c>
      <c r="K1345">
        <v>0.40112250485536799</v>
      </c>
      <c r="L1345">
        <v>504.96666773334698</v>
      </c>
      <c r="M1345">
        <v>9.4400046474210804</v>
      </c>
      <c r="N1345">
        <v>57.113038719967498</v>
      </c>
      <c r="O1345">
        <v>51.256576233786497</v>
      </c>
      <c r="P1345">
        <v>-3.5696792451720701E-2</v>
      </c>
      <c r="Q1345">
        <v>0.225175216634456</v>
      </c>
      <c r="R1345">
        <v>0.90013461282342699</v>
      </c>
      <c r="S1345" t="s">
        <v>6896</v>
      </c>
      <c r="T1345" t="s">
        <v>11100</v>
      </c>
      <c r="U1345" t="s">
        <v>11100</v>
      </c>
      <c r="V1345" t="s">
        <v>11100</v>
      </c>
      <c r="W1345" t="s">
        <v>12414</v>
      </c>
      <c r="X1345">
        <v>2</v>
      </c>
      <c r="Y1345" t="s">
        <v>17907</v>
      </c>
      <c r="Z1345" t="s">
        <v>23350</v>
      </c>
      <c r="AA1345">
        <v>0.66655240719730557</v>
      </c>
      <c r="AB1345" t="str">
        <f>HYPERLINK("Melting_Curves/meltCurve_O43521_6_BCL2L11.pdf", "Melting_Curves/meltCurve_O43521_6_BCL2L11.pdf")</f>
        <v>Melting_Curves/meltCurve_O43521_6_BCL2L11.pdf</v>
      </c>
    </row>
    <row r="1346" spans="1:28" x14ac:dyDescent="0.25">
      <c r="A1346" t="s">
        <v>1350</v>
      </c>
      <c r="B1346">
        <v>0.99299721793515405</v>
      </c>
      <c r="C1346">
        <v>0.95996823218534899</v>
      </c>
      <c r="D1346">
        <v>0.86282710109426397</v>
      </c>
      <c r="E1346">
        <v>0.84069347940464201</v>
      </c>
      <c r="F1346">
        <v>0.67052316797060196</v>
      </c>
      <c r="G1346">
        <v>0.30742329545742703</v>
      </c>
      <c r="H1346">
        <v>0.34956905358670398</v>
      </c>
      <c r="I1346">
        <v>0.35645098990653901</v>
      </c>
      <c r="J1346">
        <v>0.39868828104371201</v>
      </c>
      <c r="K1346">
        <v>0.34121866632445502</v>
      </c>
      <c r="L1346">
        <v>1064.8903376779899</v>
      </c>
      <c r="M1346">
        <v>21.6776777651963</v>
      </c>
      <c r="N1346">
        <v>51.786701316383201</v>
      </c>
      <c r="O1346">
        <v>48.711509436697</v>
      </c>
      <c r="P1346">
        <v>-7.3876649875254205E-2</v>
      </c>
      <c r="Q1346">
        <v>0.33598825747029998</v>
      </c>
      <c r="R1346">
        <v>0.95015717129913402</v>
      </c>
      <c r="S1346" t="s">
        <v>6897</v>
      </c>
      <c r="T1346" t="s">
        <v>11100</v>
      </c>
      <c r="U1346" t="s">
        <v>11100</v>
      </c>
      <c r="V1346" t="s">
        <v>11100</v>
      </c>
      <c r="W1346" t="s">
        <v>12415</v>
      </c>
      <c r="X1346">
        <v>4</v>
      </c>
      <c r="Y1346" t="s">
        <v>17908</v>
      </c>
      <c r="Z1346" t="s">
        <v>23351</v>
      </c>
      <c r="AA1346">
        <v>0.61187623948747316</v>
      </c>
      <c r="AB1346" t="str">
        <f>HYPERLINK("Melting_Curves/meltCurve_O43524_FOXO3.pdf", "Melting_Curves/meltCurve_O43524_FOXO3.pdf")</f>
        <v>Melting_Curves/meltCurve_O43524_FOXO3.pdf</v>
      </c>
    </row>
    <row r="1347" spans="1:28" x14ac:dyDescent="0.25">
      <c r="A1347" t="s">
        <v>1351</v>
      </c>
      <c r="B1347">
        <v>0.99299721793515405</v>
      </c>
      <c r="C1347">
        <v>1.01400677650147</v>
      </c>
      <c r="D1347">
        <v>0.96009172109490903</v>
      </c>
      <c r="E1347">
        <v>0.84803003099077101</v>
      </c>
      <c r="F1347">
        <v>0.72532153445272596</v>
      </c>
      <c r="G1347">
        <v>0.568926118975425</v>
      </c>
      <c r="H1347">
        <v>0.50977196433112504</v>
      </c>
      <c r="I1347">
        <v>0.56304990533899602</v>
      </c>
      <c r="J1347">
        <v>0.74293671241468096</v>
      </c>
      <c r="K1347">
        <v>0.735069082544485</v>
      </c>
      <c r="L1347">
        <v>1342.53935831792</v>
      </c>
      <c r="M1347">
        <v>28.3793965760518</v>
      </c>
      <c r="O1347">
        <v>47.073823896198697</v>
      </c>
      <c r="P1347">
        <v>-5.6192502238078403E-2</v>
      </c>
      <c r="Q1347">
        <v>0.62716986624809901</v>
      </c>
      <c r="R1347">
        <v>0.83496240507299002</v>
      </c>
      <c r="S1347" t="s">
        <v>6898</v>
      </c>
      <c r="T1347" t="s">
        <v>11100</v>
      </c>
      <c r="U1347" t="s">
        <v>11100</v>
      </c>
      <c r="V1347" t="s">
        <v>11100</v>
      </c>
      <c r="W1347" t="s">
        <v>12416</v>
      </c>
      <c r="X1347">
        <v>2</v>
      </c>
      <c r="Y1347" t="s">
        <v>17909</v>
      </c>
      <c r="Z1347" t="s">
        <v>23352</v>
      </c>
      <c r="AA1347">
        <v>0.757697583760224</v>
      </c>
      <c r="AB1347" t="str">
        <f>HYPERLINK("Melting_Curves/meltCurve_O43567_RNF13.pdf", "Melting_Curves/meltCurve_O43567_RNF13.pdf")</f>
        <v>Melting_Curves/meltCurve_O43567_RNF13.pdf</v>
      </c>
    </row>
    <row r="1348" spans="1:28" x14ac:dyDescent="0.25">
      <c r="A1348" t="s">
        <v>1352</v>
      </c>
      <c r="B1348">
        <v>0.99299721793515405</v>
      </c>
      <c r="C1348">
        <v>1.04080122282202</v>
      </c>
      <c r="D1348">
        <v>0.93937308427375599</v>
      </c>
      <c r="E1348">
        <v>0.83284476045387401</v>
      </c>
      <c r="F1348">
        <v>0.69320410424615997</v>
      </c>
      <c r="G1348">
        <v>0.51426147793381705</v>
      </c>
      <c r="H1348">
        <v>0.60219707941244305</v>
      </c>
      <c r="I1348">
        <v>0.77755604021454305</v>
      </c>
      <c r="J1348">
        <v>0.97066405414289403</v>
      </c>
      <c r="K1348">
        <v>0.62766584480072896</v>
      </c>
      <c r="L1348">
        <v>1676.59302764279</v>
      </c>
      <c r="M1348">
        <v>36.421575329395203</v>
      </c>
      <c r="O1348">
        <v>45.894849553406097</v>
      </c>
      <c r="P1348">
        <v>-6.0195453248775302E-2</v>
      </c>
      <c r="Q1348">
        <v>0.69659160217861305</v>
      </c>
      <c r="R1348">
        <v>0.56669449902395097</v>
      </c>
      <c r="S1348" t="s">
        <v>6899</v>
      </c>
      <c r="T1348" t="s">
        <v>11100</v>
      </c>
      <c r="U1348" t="s">
        <v>11100</v>
      </c>
      <c r="V1348" t="s">
        <v>11100</v>
      </c>
      <c r="W1348" t="s">
        <v>12417</v>
      </c>
      <c r="X1348">
        <v>9</v>
      </c>
      <c r="Y1348" t="s">
        <v>17910</v>
      </c>
      <c r="Z1348" t="s">
        <v>23353</v>
      </c>
      <c r="AA1348">
        <v>0.78911518832307526</v>
      </c>
      <c r="AB1348" t="str">
        <f>HYPERLINK("Melting_Curves/meltCurve_O43583_DENR.pdf", "Melting_Curves/meltCurve_O43583_DENR.pdf")</f>
        <v>Melting_Curves/meltCurve_O43583_DENR.pdf</v>
      </c>
    </row>
    <row r="1349" spans="1:28" x14ac:dyDescent="0.25">
      <c r="A1349" t="s">
        <v>1353</v>
      </c>
      <c r="B1349">
        <v>0.99299721793515405</v>
      </c>
      <c r="C1349">
        <v>1.1284531483779301</v>
      </c>
      <c r="D1349">
        <v>0.90501804084834403</v>
      </c>
      <c r="E1349">
        <v>0.84914304993529799</v>
      </c>
      <c r="F1349">
        <v>0.88826437440745598</v>
      </c>
      <c r="G1349">
        <v>0.47355370979167999</v>
      </c>
      <c r="H1349">
        <v>0.38017403068869399</v>
      </c>
      <c r="I1349">
        <v>0.34241700638177103</v>
      </c>
      <c r="J1349">
        <v>0.19562138059578299</v>
      </c>
      <c r="K1349">
        <v>0.20968293808703201</v>
      </c>
      <c r="L1349">
        <v>862.06785791664402</v>
      </c>
      <c r="M1349">
        <v>16.209515689375799</v>
      </c>
      <c r="N1349">
        <v>54.754264309013699</v>
      </c>
      <c r="O1349">
        <v>52.393148055065097</v>
      </c>
      <c r="P1349">
        <v>-6.2964198355596801E-2</v>
      </c>
      <c r="Q1349">
        <v>0.18599746032591899</v>
      </c>
      <c r="R1349">
        <v>0.95052338728984698</v>
      </c>
      <c r="S1349" t="s">
        <v>6900</v>
      </c>
      <c r="T1349" t="s">
        <v>11100</v>
      </c>
      <c r="U1349" t="s">
        <v>11100</v>
      </c>
      <c r="V1349" t="s">
        <v>11100</v>
      </c>
      <c r="W1349" t="s">
        <v>12418</v>
      </c>
      <c r="X1349">
        <v>8</v>
      </c>
      <c r="Y1349" t="s">
        <v>17911</v>
      </c>
      <c r="Z1349" t="s">
        <v>23354</v>
      </c>
      <c r="AA1349">
        <v>0.63833767517764428</v>
      </c>
      <c r="AB1349" t="str">
        <f>HYPERLINK("Melting_Curves/meltCurve_O43592_XPOT.pdf", "Melting_Curves/meltCurve_O43592_XPOT.pdf")</f>
        <v>Melting_Curves/meltCurve_O43592_XPOT.pdf</v>
      </c>
    </row>
    <row r="1350" spans="1:28" x14ac:dyDescent="0.25">
      <c r="A1350" t="s">
        <v>1354</v>
      </c>
      <c r="B1350">
        <v>0.99299721793515405</v>
      </c>
      <c r="C1350">
        <v>0.91519969731936501</v>
      </c>
      <c r="D1350">
        <v>0.93992346580494401</v>
      </c>
      <c r="E1350">
        <v>0.84261837791802696</v>
      </c>
      <c r="F1350">
        <v>0.74832756502766895</v>
      </c>
      <c r="G1350">
        <v>0.642744527968094</v>
      </c>
      <c r="H1350">
        <v>0.51327148534187395</v>
      </c>
      <c r="I1350">
        <v>0.700233617781716</v>
      </c>
      <c r="J1350">
        <v>0.86293009374368901</v>
      </c>
      <c r="K1350">
        <v>1.21052365292625</v>
      </c>
      <c r="L1350">
        <v>1132.5018150226499</v>
      </c>
      <c r="M1350">
        <v>25.799101144161501</v>
      </c>
      <c r="O1350">
        <v>43.635754370884499</v>
      </c>
      <c r="P1350">
        <v>-3.2265284661828098E-2</v>
      </c>
      <c r="Q1350">
        <v>0.78171280901312901</v>
      </c>
      <c r="R1350">
        <v>0.15313915564885699</v>
      </c>
      <c r="S1350" t="s">
        <v>6901</v>
      </c>
      <c r="T1350" t="s">
        <v>11100</v>
      </c>
      <c r="U1350" t="s">
        <v>11100</v>
      </c>
      <c r="V1350" t="s">
        <v>11100</v>
      </c>
      <c r="W1350" t="s">
        <v>12419</v>
      </c>
      <c r="X1350">
        <v>11</v>
      </c>
      <c r="Y1350" t="s">
        <v>17912</v>
      </c>
      <c r="Z1350" t="s">
        <v>23355</v>
      </c>
      <c r="AA1350">
        <v>0.83357250901783775</v>
      </c>
      <c r="AB1350" t="str">
        <f>HYPERLINK("Melting_Curves/meltCurve_O43598_DNPH1.pdf", "Melting_Curves/meltCurve_O43598_DNPH1.pdf")</f>
        <v>Melting_Curves/meltCurve_O43598_DNPH1.pdf</v>
      </c>
    </row>
    <row r="1351" spans="1:28" x14ac:dyDescent="0.25">
      <c r="A1351" t="s">
        <v>1355</v>
      </c>
      <c r="B1351">
        <v>0.99299721793515405</v>
      </c>
      <c r="C1351">
        <v>1.0109480863976199</v>
      </c>
      <c r="D1351">
        <v>1.0862179711045299</v>
      </c>
      <c r="E1351">
        <v>0.97011356238852597</v>
      </c>
      <c r="F1351">
        <v>0.80274020240079302</v>
      </c>
      <c r="G1351">
        <v>0.52418379335156595</v>
      </c>
      <c r="H1351">
        <v>0.21544865022914</v>
      </c>
      <c r="I1351">
        <v>0.171167005520177</v>
      </c>
      <c r="J1351">
        <v>0.15452096113230801</v>
      </c>
      <c r="K1351">
        <v>0.13450560119657101</v>
      </c>
      <c r="L1351">
        <v>1288.74585831024</v>
      </c>
      <c r="M1351">
        <v>24.2804735954752</v>
      </c>
      <c r="N1351">
        <v>53.740779129713999</v>
      </c>
      <c r="O1351">
        <v>52.7213410783976</v>
      </c>
      <c r="P1351">
        <v>-0.10022994713153</v>
      </c>
      <c r="Q1351">
        <v>0.1294768477977</v>
      </c>
      <c r="R1351">
        <v>0.99264958932376202</v>
      </c>
      <c r="S1351" t="s">
        <v>6902</v>
      </c>
      <c r="T1351" t="s">
        <v>11100</v>
      </c>
      <c r="U1351" t="s">
        <v>11100</v>
      </c>
      <c r="V1351" t="s">
        <v>11100</v>
      </c>
      <c r="W1351" t="s">
        <v>12420</v>
      </c>
      <c r="X1351">
        <v>34</v>
      </c>
      <c r="Y1351" t="s">
        <v>17913</v>
      </c>
      <c r="Z1351" t="s">
        <v>23356</v>
      </c>
      <c r="AA1351">
        <v>0.60408255877832617</v>
      </c>
      <c r="AB1351" t="str">
        <f>HYPERLINK("Melting_Curves/meltCurve_O43615_TIMM44.pdf", "Melting_Curves/meltCurve_O43615_TIMM44.pdf")</f>
        <v>Melting_Curves/meltCurve_O43615_TIMM44.pdf</v>
      </c>
    </row>
    <row r="1352" spans="1:28" x14ac:dyDescent="0.25">
      <c r="A1352" t="s">
        <v>1356</v>
      </c>
      <c r="B1352">
        <v>0.99299721793515405</v>
      </c>
      <c r="C1352">
        <v>1.0487873745562699</v>
      </c>
      <c r="D1352">
        <v>0.94326327729025505</v>
      </c>
      <c r="E1352">
        <v>0.88919383925449302</v>
      </c>
      <c r="F1352">
        <v>0.76131590386243797</v>
      </c>
      <c r="G1352">
        <v>0.67842023643925697</v>
      </c>
      <c r="H1352">
        <v>0.68182969474866195</v>
      </c>
      <c r="I1352">
        <v>0.58163003018999404</v>
      </c>
      <c r="J1352">
        <v>0.42106162015244603</v>
      </c>
      <c r="K1352">
        <v>0.25831185934550699</v>
      </c>
      <c r="L1352">
        <v>434.76269356138698</v>
      </c>
      <c r="M1352">
        <v>7.1211174282631102</v>
      </c>
      <c r="N1352">
        <v>61.052593681441799</v>
      </c>
      <c r="O1352">
        <v>56.787323952021701</v>
      </c>
      <c r="P1352">
        <v>-3.14045174712132E-2</v>
      </c>
      <c r="Q1352">
        <v>0</v>
      </c>
      <c r="R1352">
        <v>0.948209333161945</v>
      </c>
      <c r="S1352" t="s">
        <v>6903</v>
      </c>
      <c r="T1352" t="s">
        <v>11100</v>
      </c>
      <c r="U1352" t="s">
        <v>11100</v>
      </c>
      <c r="V1352" t="s">
        <v>11100</v>
      </c>
      <c r="W1352" t="s">
        <v>12421</v>
      </c>
      <c r="X1352">
        <v>4</v>
      </c>
      <c r="Y1352" t="s">
        <v>17914</v>
      </c>
      <c r="Z1352" t="s">
        <v>23357</v>
      </c>
      <c r="AA1352">
        <v>0.73408684611135711</v>
      </c>
      <c r="AB1352" t="str">
        <f>HYPERLINK("Melting_Curves/meltCurve_O43617_TRAPPC3.pdf", "Melting_Curves/meltCurve_O43617_TRAPPC3.pdf")</f>
        <v>Melting_Curves/meltCurve_O43617_TRAPPC3.pdf</v>
      </c>
    </row>
    <row r="1353" spans="1:28" x14ac:dyDescent="0.25">
      <c r="A1353" t="s">
        <v>1357</v>
      </c>
      <c r="B1353">
        <v>0.99299721793515405</v>
      </c>
      <c r="C1353">
        <v>1.0029528544262301</v>
      </c>
      <c r="D1353">
        <v>0.96704970660296696</v>
      </c>
      <c r="E1353">
        <v>0.89533084881416702</v>
      </c>
      <c r="F1353">
        <v>0.76797104718451903</v>
      </c>
      <c r="G1353">
        <v>0.60585196723338797</v>
      </c>
      <c r="H1353">
        <v>0.50440978681818904</v>
      </c>
      <c r="I1353">
        <v>0.36042578007947301</v>
      </c>
      <c r="J1353">
        <v>0.211601679131593</v>
      </c>
      <c r="K1353">
        <v>0.15250324418335001</v>
      </c>
      <c r="L1353">
        <v>566.92074194812096</v>
      </c>
      <c r="M1353">
        <v>10.0061992674362</v>
      </c>
      <c r="N1353">
        <v>56.656970420608602</v>
      </c>
      <c r="O1353">
        <v>54.533504792477203</v>
      </c>
      <c r="P1353">
        <v>-4.58940546463645E-2</v>
      </c>
      <c r="Q1353">
        <v>0</v>
      </c>
      <c r="R1353">
        <v>0.99503707675065201</v>
      </c>
      <c r="S1353" t="s">
        <v>6904</v>
      </c>
      <c r="T1353" t="s">
        <v>11100</v>
      </c>
      <c r="U1353" t="s">
        <v>11100</v>
      </c>
      <c r="V1353" t="s">
        <v>11100</v>
      </c>
      <c r="W1353" t="s">
        <v>12422</v>
      </c>
      <c r="X1353">
        <v>14</v>
      </c>
      <c r="Y1353" t="s">
        <v>17915</v>
      </c>
      <c r="Z1353" t="s">
        <v>23358</v>
      </c>
      <c r="AA1353">
        <v>0.65687189773479138</v>
      </c>
      <c r="AB1353" t="str">
        <f>HYPERLINK("Melting_Curves/meltCurve_O43633_CHMP2A.pdf", "Melting_Curves/meltCurve_O43633_CHMP2A.pdf")</f>
        <v>Melting_Curves/meltCurve_O43633_CHMP2A.pdf</v>
      </c>
    </row>
    <row r="1354" spans="1:28" x14ac:dyDescent="0.25">
      <c r="A1354" t="s">
        <v>1358</v>
      </c>
      <c r="B1354">
        <v>0.99299721793515405</v>
      </c>
      <c r="C1354">
        <v>0.85550527282418698</v>
      </c>
      <c r="D1354">
        <v>1.5003747292574501</v>
      </c>
      <c r="E1354">
        <v>0.77362247646285898</v>
      </c>
      <c r="F1354">
        <v>0.67056406616877895</v>
      </c>
      <c r="G1354">
        <v>0.397734665493154</v>
      </c>
      <c r="H1354">
        <v>0.230272954154216</v>
      </c>
      <c r="I1354">
        <v>0.203734948158039</v>
      </c>
      <c r="J1354">
        <v>0.152440434872811</v>
      </c>
      <c r="K1354">
        <v>0.18171863254492401</v>
      </c>
      <c r="L1354">
        <v>1126.8762407977399</v>
      </c>
      <c r="M1354">
        <v>22.0631926328712</v>
      </c>
      <c r="N1354">
        <v>52.053422367079698</v>
      </c>
      <c r="O1354">
        <v>50.660906166078</v>
      </c>
      <c r="P1354">
        <v>-9.0397848242623396E-2</v>
      </c>
      <c r="Q1354">
        <v>0.16974194755563099</v>
      </c>
      <c r="R1354">
        <v>0.82856428876337196</v>
      </c>
      <c r="S1354" t="s">
        <v>6905</v>
      </c>
      <c r="T1354" t="s">
        <v>11100</v>
      </c>
      <c r="U1354" t="s">
        <v>11100</v>
      </c>
      <c r="V1354" t="s">
        <v>11100</v>
      </c>
      <c r="W1354" t="s">
        <v>12423</v>
      </c>
      <c r="X1354">
        <v>3</v>
      </c>
      <c r="Y1354" t="s">
        <v>17916</v>
      </c>
      <c r="Z1354" t="s">
        <v>23359</v>
      </c>
      <c r="AA1354">
        <v>0.56845478506961411</v>
      </c>
      <c r="AB1354" t="str">
        <f>HYPERLINK("Melting_Curves/meltCurve_O43639_NCK2.pdf", "Melting_Curves/meltCurve_O43639_NCK2.pdf")</f>
        <v>Melting_Curves/meltCurve_O43639_NCK2.pdf</v>
      </c>
    </row>
    <row r="1355" spans="1:28" x14ac:dyDescent="0.25">
      <c r="A1355" t="s">
        <v>1359</v>
      </c>
      <c r="B1355">
        <v>0.99299721793515405</v>
      </c>
      <c r="C1355">
        <v>1.0527063368684499</v>
      </c>
      <c r="D1355">
        <v>1.06882944364427</v>
      </c>
      <c r="E1355">
        <v>0.76691044671166098</v>
      </c>
      <c r="F1355">
        <v>0.66965792704000504</v>
      </c>
      <c r="G1355">
        <v>0.69942707971942597</v>
      </c>
      <c r="H1355">
        <v>0.47374222501883601</v>
      </c>
      <c r="I1355">
        <v>0.47807753704741002</v>
      </c>
      <c r="J1355">
        <v>0.660545512000138</v>
      </c>
      <c r="K1355">
        <v>0.50759619344410301</v>
      </c>
      <c r="L1355">
        <v>1080.1144920346901</v>
      </c>
      <c r="M1355">
        <v>22.656838085883901</v>
      </c>
      <c r="O1355">
        <v>47.306053762658998</v>
      </c>
      <c r="P1355">
        <v>-5.3677962533050801E-2</v>
      </c>
      <c r="Q1355">
        <v>0.55170402056740198</v>
      </c>
      <c r="R1355">
        <v>0.87571388903093195</v>
      </c>
      <c r="S1355" t="s">
        <v>6906</v>
      </c>
      <c r="T1355" t="s">
        <v>11100</v>
      </c>
      <c r="U1355" t="s">
        <v>11100</v>
      </c>
      <c r="V1355" t="s">
        <v>11100</v>
      </c>
      <c r="W1355" t="s">
        <v>12424</v>
      </c>
      <c r="X1355">
        <v>2</v>
      </c>
      <c r="Y1355" t="s">
        <v>17917</v>
      </c>
      <c r="Z1355" t="s">
        <v>23360</v>
      </c>
      <c r="AA1355">
        <v>0.71580815563232647</v>
      </c>
      <c r="AB1355" t="str">
        <f>HYPERLINK("Melting_Curves/meltCurve_O43657_TSPAN6.pdf", "Melting_Curves/meltCurve_O43657_TSPAN6.pdf")</f>
        <v>Melting_Curves/meltCurve_O43657_TSPAN6.pdf</v>
      </c>
    </row>
    <row r="1356" spans="1:28" x14ac:dyDescent="0.25">
      <c r="A1356" t="s">
        <v>1360</v>
      </c>
      <c r="B1356">
        <v>0.99299721793515405</v>
      </c>
      <c r="C1356">
        <v>0.85119075701292701</v>
      </c>
      <c r="D1356">
        <v>0.92145619152908897</v>
      </c>
      <c r="E1356">
        <v>0.79144425760967296</v>
      </c>
      <c r="F1356">
        <v>0.67128884905363595</v>
      </c>
      <c r="G1356">
        <v>0.375300706172294</v>
      </c>
      <c r="H1356">
        <v>0.26839679522798998</v>
      </c>
      <c r="I1356">
        <v>0.229340360560917</v>
      </c>
      <c r="J1356">
        <v>0.22286819350739601</v>
      </c>
      <c r="K1356">
        <v>0.168292729188673</v>
      </c>
      <c r="L1356">
        <v>627.96478228869705</v>
      </c>
      <c r="M1356">
        <v>12.3278979386525</v>
      </c>
      <c r="N1356">
        <v>52.170391075719003</v>
      </c>
      <c r="O1356">
        <v>49.653815309700903</v>
      </c>
      <c r="P1356">
        <v>-5.42430863144771E-2</v>
      </c>
      <c r="Q1356">
        <v>0.12627719176419</v>
      </c>
      <c r="R1356">
        <v>0.97520582039977999</v>
      </c>
      <c r="S1356" t="s">
        <v>6907</v>
      </c>
      <c r="T1356" t="s">
        <v>11100</v>
      </c>
      <c r="U1356" t="s">
        <v>11100</v>
      </c>
      <c r="V1356" t="s">
        <v>11100</v>
      </c>
      <c r="W1356" t="s">
        <v>12425</v>
      </c>
      <c r="X1356">
        <v>10</v>
      </c>
      <c r="Y1356" t="s">
        <v>17918</v>
      </c>
      <c r="Z1356" t="s">
        <v>23361</v>
      </c>
      <c r="AA1356">
        <v>0.55445974171654577</v>
      </c>
      <c r="AB1356" t="str">
        <f>HYPERLINK("Melting_Curves/meltCurve_O43665_2_RGS10.pdf", "Melting_Curves/meltCurve_O43665_2_RGS10.pdf")</f>
        <v>Melting_Curves/meltCurve_O43665_2_RGS10.pdf</v>
      </c>
    </row>
    <row r="1357" spans="1:28" x14ac:dyDescent="0.25">
      <c r="A1357" t="s">
        <v>1361</v>
      </c>
      <c r="B1357">
        <v>0.99299721793515405</v>
      </c>
      <c r="C1357">
        <v>0.88662468003557404</v>
      </c>
      <c r="D1357">
        <v>0.768686552671491</v>
      </c>
      <c r="E1357">
        <v>0.79478217501769299</v>
      </c>
      <c r="F1357">
        <v>0.72231171383939796</v>
      </c>
      <c r="G1357">
        <v>0.30769642907243999</v>
      </c>
      <c r="H1357">
        <v>0.92989724924342299</v>
      </c>
      <c r="I1357">
        <v>2.14307086805493</v>
      </c>
      <c r="J1357">
        <v>3.7548930279872299</v>
      </c>
      <c r="K1357">
        <v>2.38461532352123</v>
      </c>
      <c r="L1357">
        <v>14722.7945090705</v>
      </c>
      <c r="M1357">
        <v>250</v>
      </c>
      <c r="O1357">
        <v>58.887392100961499</v>
      </c>
      <c r="P1357">
        <v>0.53067370966706096</v>
      </c>
      <c r="Q1357">
        <v>1.5</v>
      </c>
      <c r="R1357">
        <v>0.31349228306696397</v>
      </c>
      <c r="S1357" t="s">
        <v>6908</v>
      </c>
      <c r="T1357" t="s">
        <v>11100</v>
      </c>
      <c r="U1357" t="s">
        <v>11100</v>
      </c>
      <c r="V1357" t="s">
        <v>11100</v>
      </c>
      <c r="W1357" t="s">
        <v>12426</v>
      </c>
      <c r="X1357">
        <v>3</v>
      </c>
      <c r="Y1357" t="s">
        <v>17919</v>
      </c>
      <c r="Z1357" t="s">
        <v>23362</v>
      </c>
      <c r="AA1357">
        <v>1.13509535617818</v>
      </c>
      <c r="AB1357" t="str">
        <f>HYPERLINK("Melting_Curves/meltCurve_O43676_NDUFB3.pdf", "Melting_Curves/meltCurve_O43676_NDUFB3.pdf")</f>
        <v>Melting_Curves/meltCurve_O43676_NDUFB3.pdf</v>
      </c>
    </row>
    <row r="1358" spans="1:28" x14ac:dyDescent="0.25">
      <c r="A1358" t="s">
        <v>1362</v>
      </c>
      <c r="B1358">
        <v>0.99299721793515405</v>
      </c>
      <c r="C1358">
        <v>0.92492991072603603</v>
      </c>
      <c r="D1358">
        <v>1.0282133088489001</v>
      </c>
      <c r="E1358">
        <v>0.86983240027929898</v>
      </c>
      <c r="F1358">
        <v>0.70369450634328901</v>
      </c>
      <c r="G1358">
        <v>0.49071190447530399</v>
      </c>
      <c r="H1358">
        <v>0.63986314470051997</v>
      </c>
      <c r="I1358">
        <v>0.86888855954382604</v>
      </c>
      <c r="J1358">
        <v>1.3976816463952</v>
      </c>
      <c r="K1358">
        <v>0.95516897567262105</v>
      </c>
      <c r="L1358">
        <v>631.79038331369895</v>
      </c>
      <c r="M1358">
        <v>1.0000000000000001E-5</v>
      </c>
      <c r="Q1358">
        <v>1.5</v>
      </c>
      <c r="R1358">
        <v>-0.23117764410495101</v>
      </c>
      <c r="S1358" t="s">
        <v>6909</v>
      </c>
      <c r="T1358" t="s">
        <v>11100</v>
      </c>
      <c r="U1358" t="s">
        <v>11100</v>
      </c>
      <c r="V1358" t="s">
        <v>11100</v>
      </c>
      <c r="W1358" t="s">
        <v>12427</v>
      </c>
      <c r="X1358">
        <v>3</v>
      </c>
      <c r="Y1358" t="s">
        <v>17920</v>
      </c>
      <c r="Z1358" t="s">
        <v>23363</v>
      </c>
      <c r="AA1358">
        <v>1.0000079508137021</v>
      </c>
      <c r="AB1358" t="str">
        <f>HYPERLINK("Melting_Curves/meltCurve_O43677_NDUFC1.pdf", "Melting_Curves/meltCurve_O43677_NDUFC1.pdf")</f>
        <v>Melting_Curves/meltCurve_O43677_NDUFC1.pdf</v>
      </c>
    </row>
    <row r="1359" spans="1:28" x14ac:dyDescent="0.25">
      <c r="A1359" t="s">
        <v>1363</v>
      </c>
      <c r="B1359">
        <v>0.99299721793515405</v>
      </c>
      <c r="C1359">
        <v>0.90268336777347202</v>
      </c>
      <c r="D1359">
        <v>0.99480885350523296</v>
      </c>
      <c r="E1359">
        <v>0.86343356091668</v>
      </c>
      <c r="F1359">
        <v>0.67288280481417695</v>
      </c>
      <c r="G1359">
        <v>0.79487651073750998</v>
      </c>
      <c r="H1359">
        <v>0.55064737584452805</v>
      </c>
      <c r="I1359">
        <v>0.46479951651498702</v>
      </c>
      <c r="J1359">
        <v>0.46518482692749302</v>
      </c>
      <c r="K1359">
        <v>0.57220872739601703</v>
      </c>
      <c r="L1359">
        <v>544.80446247711905</v>
      </c>
      <c r="M1359">
        <v>10.6104124236763</v>
      </c>
      <c r="N1359">
        <v>65.467058750829096</v>
      </c>
      <c r="O1359">
        <v>49.623038880738001</v>
      </c>
      <c r="P1359">
        <v>-2.9449335658834602E-2</v>
      </c>
      <c r="Q1359">
        <v>0.44929592165201998</v>
      </c>
      <c r="R1359">
        <v>0.87579391325122002</v>
      </c>
      <c r="S1359" t="s">
        <v>6910</v>
      </c>
      <c r="T1359" t="s">
        <v>11100</v>
      </c>
      <c r="U1359" t="s">
        <v>11100</v>
      </c>
      <c r="V1359" t="s">
        <v>11100</v>
      </c>
      <c r="W1359" t="s">
        <v>12428</v>
      </c>
      <c r="X1359">
        <v>6</v>
      </c>
      <c r="Y1359" t="s">
        <v>17921</v>
      </c>
      <c r="Z1359" t="s">
        <v>23364</v>
      </c>
      <c r="AA1359">
        <v>0.72807505986311294</v>
      </c>
      <c r="AB1359" t="str">
        <f>HYPERLINK("Melting_Curves/meltCurve_O43678_NDUFA2.pdf", "Melting_Curves/meltCurve_O43678_NDUFA2.pdf")</f>
        <v>Melting_Curves/meltCurve_O43678_NDUFA2.pdf</v>
      </c>
    </row>
    <row r="1360" spans="1:28" x14ac:dyDescent="0.25">
      <c r="A1360" t="s">
        <v>1364</v>
      </c>
      <c r="B1360">
        <v>0.99299721793515405</v>
      </c>
      <c r="C1360">
        <v>1.1089510252824899</v>
      </c>
      <c r="D1360">
        <v>0.90802828532832103</v>
      </c>
      <c r="E1360">
        <v>0.94156419127957502</v>
      </c>
      <c r="F1360">
        <v>0.83088083220476905</v>
      </c>
      <c r="G1360">
        <v>0.79821765777007503</v>
      </c>
      <c r="H1360">
        <v>0.66097865210203799</v>
      </c>
      <c r="I1360">
        <v>0.61398348011152404</v>
      </c>
      <c r="J1360">
        <v>0.39710066066027899</v>
      </c>
      <c r="K1360">
        <v>0.110764986384547</v>
      </c>
      <c r="L1360">
        <v>687.81601064399399</v>
      </c>
      <c r="M1360">
        <v>11.309420194306201</v>
      </c>
      <c r="N1360">
        <v>60.8179728895145</v>
      </c>
      <c r="O1360">
        <v>59.0095054216062</v>
      </c>
      <c r="P1360">
        <v>-4.79280721860081E-2</v>
      </c>
      <c r="Q1360">
        <v>0</v>
      </c>
      <c r="R1360">
        <v>0.918529021537423</v>
      </c>
      <c r="S1360" t="s">
        <v>6911</v>
      </c>
      <c r="T1360" t="s">
        <v>11100</v>
      </c>
      <c r="U1360" t="s">
        <v>11100</v>
      </c>
      <c r="V1360" t="s">
        <v>11100</v>
      </c>
      <c r="W1360" t="s">
        <v>12429</v>
      </c>
      <c r="X1360">
        <v>11</v>
      </c>
      <c r="Y1360" t="s">
        <v>17922</v>
      </c>
      <c r="Z1360" t="s">
        <v>23365</v>
      </c>
      <c r="AA1360">
        <v>0.7666768733523075</v>
      </c>
      <c r="AB1360" t="str">
        <f>HYPERLINK("Melting_Curves/meltCurve_O43681_ASNA1.pdf", "Melting_Curves/meltCurve_O43681_ASNA1.pdf")</f>
        <v>Melting_Curves/meltCurve_O43681_ASNA1.pdf</v>
      </c>
    </row>
    <row r="1361" spans="1:28" x14ac:dyDescent="0.25">
      <c r="A1361" t="s">
        <v>1365</v>
      </c>
      <c r="B1361">
        <v>0.99299721793515405</v>
      </c>
      <c r="C1361">
        <v>1.04079240138564</v>
      </c>
      <c r="D1361">
        <v>1.1051080615818001</v>
      </c>
      <c r="E1361">
        <v>0.88382200992002302</v>
      </c>
      <c r="F1361">
        <v>0.71656603864963198</v>
      </c>
      <c r="G1361">
        <v>0.56010468598146501</v>
      </c>
      <c r="H1361">
        <v>0.41482827922640297</v>
      </c>
      <c r="I1361">
        <v>0.31838576482536202</v>
      </c>
      <c r="J1361">
        <v>0.189883322374959</v>
      </c>
      <c r="K1361">
        <v>0.14160664891871599</v>
      </c>
      <c r="L1361">
        <v>683.08444825627498</v>
      </c>
      <c r="M1361">
        <v>12.5726720287789</v>
      </c>
      <c r="N1361">
        <v>55.182516397197901</v>
      </c>
      <c r="O1361">
        <v>53.011356582928201</v>
      </c>
      <c r="P1361">
        <v>-5.40745518207566E-2</v>
      </c>
      <c r="Q1361">
        <v>8.8184687070189505E-2</v>
      </c>
      <c r="R1361">
        <v>0.977088917913713</v>
      </c>
      <c r="S1361" t="s">
        <v>6912</v>
      </c>
      <c r="T1361" t="s">
        <v>11100</v>
      </c>
      <c r="U1361" t="s">
        <v>11100</v>
      </c>
      <c r="V1361" t="s">
        <v>11100</v>
      </c>
      <c r="W1361" t="s">
        <v>12430</v>
      </c>
      <c r="X1361">
        <v>15</v>
      </c>
      <c r="Y1361" t="s">
        <v>17923</v>
      </c>
      <c r="Z1361" t="s">
        <v>23366</v>
      </c>
      <c r="AA1361">
        <v>0.63014819137036848</v>
      </c>
      <c r="AB1361" t="str">
        <f>HYPERLINK("Melting_Curves/meltCurve_O43684_BUB3.pdf", "Melting_Curves/meltCurve_O43684_BUB3.pdf")</f>
        <v>Melting_Curves/meltCurve_O43684_BUB3.pdf</v>
      </c>
    </row>
    <row r="1362" spans="1:28" x14ac:dyDescent="0.25">
      <c r="A1362" t="s">
        <v>1366</v>
      </c>
      <c r="B1362">
        <v>0.99299721793515405</v>
      </c>
      <c r="C1362">
        <v>0.99880652819384896</v>
      </c>
      <c r="D1362">
        <v>3.7188319270841199</v>
      </c>
      <c r="E1362">
        <v>2.2650888978146102</v>
      </c>
      <c r="F1362">
        <v>1.8034828621894601</v>
      </c>
      <c r="G1362">
        <v>2.6671872157935299</v>
      </c>
      <c r="H1362">
        <v>0.71776047968911305</v>
      </c>
      <c r="I1362">
        <v>0.6699383899986</v>
      </c>
      <c r="J1362">
        <v>0.22508376287648599</v>
      </c>
      <c r="K1362">
        <v>0.126585378860056</v>
      </c>
      <c r="L1362">
        <v>2535.9978195659901</v>
      </c>
      <c r="M1362">
        <v>41.169486243367899</v>
      </c>
      <c r="N1362">
        <v>61.8917379728273</v>
      </c>
      <c r="O1362">
        <v>61.454165121519999</v>
      </c>
      <c r="P1362">
        <v>-0.152662306168068</v>
      </c>
      <c r="Q1362">
        <v>8.8478593089554594E-2</v>
      </c>
      <c r="R1362">
        <v>-2.1842456820426698E-2</v>
      </c>
      <c r="S1362" t="s">
        <v>6913</v>
      </c>
      <c r="T1362" t="s">
        <v>11100</v>
      </c>
      <c r="U1362" t="s">
        <v>11100</v>
      </c>
      <c r="V1362" t="s">
        <v>11100</v>
      </c>
      <c r="W1362" t="s">
        <v>12431</v>
      </c>
      <c r="X1362">
        <v>15</v>
      </c>
      <c r="Y1362" t="s">
        <v>17923</v>
      </c>
      <c r="Z1362" t="s">
        <v>23367</v>
      </c>
      <c r="AA1362">
        <v>0.83753432132266359</v>
      </c>
      <c r="AB1362" t="str">
        <f>HYPERLINK("Melting_Curves/meltCurve_O43684_2_BUB3.pdf", "Melting_Curves/meltCurve_O43684_2_BUB3.pdf")</f>
        <v>Melting_Curves/meltCurve_O43684_2_BUB3.pdf</v>
      </c>
    </row>
    <row r="1363" spans="1:28" x14ac:dyDescent="0.25">
      <c r="A1363" t="s">
        <v>1367</v>
      </c>
      <c r="B1363">
        <v>0.99299721793515405</v>
      </c>
      <c r="C1363">
        <v>1.0508365666431201</v>
      </c>
      <c r="D1363">
        <v>0.93560431819515599</v>
      </c>
      <c r="E1363">
        <v>0.93505012355841</v>
      </c>
      <c r="F1363">
        <v>0.79287528090917103</v>
      </c>
      <c r="G1363">
        <v>0.77835798360279596</v>
      </c>
      <c r="H1363">
        <v>0.79332157214611398</v>
      </c>
      <c r="I1363">
        <v>0.70838982776661996</v>
      </c>
      <c r="J1363">
        <v>0.38655467071824401</v>
      </c>
      <c r="K1363">
        <v>0.157384488601299</v>
      </c>
      <c r="L1363">
        <v>768.83007508969797</v>
      </c>
      <c r="M1363">
        <v>12.383367229354601</v>
      </c>
      <c r="N1363">
        <v>62.085684483660899</v>
      </c>
      <c r="O1363">
        <v>60.533287502482501</v>
      </c>
      <c r="P1363">
        <v>-5.1153713067327501E-2</v>
      </c>
      <c r="Q1363">
        <v>0</v>
      </c>
      <c r="R1363">
        <v>0.87824376890546796</v>
      </c>
      <c r="S1363" t="s">
        <v>6914</v>
      </c>
      <c r="T1363" t="s">
        <v>11100</v>
      </c>
      <c r="U1363" t="s">
        <v>11100</v>
      </c>
      <c r="V1363" t="s">
        <v>11100</v>
      </c>
      <c r="W1363" t="s">
        <v>12432</v>
      </c>
      <c r="X1363">
        <v>32</v>
      </c>
      <c r="Y1363" t="s">
        <v>17924</v>
      </c>
      <c r="Z1363" t="s">
        <v>23368</v>
      </c>
      <c r="AA1363">
        <v>0.80157072216954306</v>
      </c>
      <c r="AB1363" t="str">
        <f>HYPERLINK("Melting_Curves/meltCurve_O43707_ACTN4.pdf", "Melting_Curves/meltCurve_O43707_ACTN4.pdf")</f>
        <v>Melting_Curves/meltCurve_O43707_ACTN4.pdf</v>
      </c>
    </row>
    <row r="1364" spans="1:28" x14ac:dyDescent="0.25">
      <c r="A1364" t="s">
        <v>1368</v>
      </c>
      <c r="B1364">
        <v>0.99299721793515405</v>
      </c>
      <c r="C1364">
        <v>0.99916980399444999</v>
      </c>
      <c r="D1364">
        <v>1.04621668815101</v>
      </c>
      <c r="E1364">
        <v>0.89891563168352795</v>
      </c>
      <c r="F1364">
        <v>0.794930521555687</v>
      </c>
      <c r="G1364">
        <v>0.63540898015000302</v>
      </c>
      <c r="H1364">
        <v>0.35954522969136199</v>
      </c>
      <c r="I1364">
        <v>0.24123617546248299</v>
      </c>
      <c r="J1364">
        <v>0.122217303444559</v>
      </c>
      <c r="K1364">
        <v>0.108542558213852</v>
      </c>
      <c r="L1364">
        <v>779.79688433587603</v>
      </c>
      <c r="M1364">
        <v>14.110060704081</v>
      </c>
      <c r="N1364">
        <v>55.423496987052999</v>
      </c>
      <c r="O1364">
        <v>54.190775491787598</v>
      </c>
      <c r="P1364">
        <v>-6.3817874168957595E-2</v>
      </c>
      <c r="Q1364">
        <v>1.9735955682655602E-2</v>
      </c>
      <c r="R1364">
        <v>0.99383378968795699</v>
      </c>
      <c r="S1364" t="s">
        <v>6915</v>
      </c>
      <c r="T1364" t="s">
        <v>11100</v>
      </c>
      <c r="U1364" t="s">
        <v>11100</v>
      </c>
      <c r="V1364" t="s">
        <v>11100</v>
      </c>
      <c r="W1364" t="s">
        <v>12433</v>
      </c>
      <c r="X1364">
        <v>4</v>
      </c>
      <c r="Y1364" t="s">
        <v>17925</v>
      </c>
      <c r="Z1364" t="s">
        <v>23369</v>
      </c>
      <c r="AA1364">
        <v>0.62990011739711216</v>
      </c>
      <c r="AB1364" t="str">
        <f>HYPERLINK("Melting_Curves/meltCurve_O43709_WBSCR22.pdf", "Melting_Curves/meltCurve_O43709_WBSCR22.pdf")</f>
        <v>Melting_Curves/meltCurve_O43709_WBSCR22.pdf</v>
      </c>
    </row>
    <row r="1365" spans="1:28" x14ac:dyDescent="0.25">
      <c r="A1365" t="s">
        <v>1369</v>
      </c>
      <c r="B1365">
        <v>0.99299721793515405</v>
      </c>
      <c r="C1365">
        <v>0.94219493281997002</v>
      </c>
      <c r="D1365">
        <v>0.88292912725072403</v>
      </c>
      <c r="E1365">
        <v>0.83555494354250404</v>
      </c>
      <c r="F1365">
        <v>0.78051378130742499</v>
      </c>
      <c r="G1365">
        <v>0.50501881463613296</v>
      </c>
      <c r="H1365">
        <v>0.57090705237376305</v>
      </c>
      <c r="I1365">
        <v>0.62592419368544905</v>
      </c>
      <c r="J1365">
        <v>0.77742505541235796</v>
      </c>
      <c r="K1365">
        <v>0.61390051074263696</v>
      </c>
      <c r="L1365">
        <v>768.17519483898604</v>
      </c>
      <c r="M1365">
        <v>16.595424046453299</v>
      </c>
      <c r="O1365">
        <v>45.631919411167701</v>
      </c>
      <c r="P1365">
        <v>-3.4274237458465001E-2</v>
      </c>
      <c r="Q1365">
        <v>0.62305440842548798</v>
      </c>
      <c r="R1365">
        <v>0.76007467557052699</v>
      </c>
      <c r="S1365" t="s">
        <v>6916</v>
      </c>
      <c r="T1365" t="s">
        <v>11100</v>
      </c>
      <c r="U1365" t="s">
        <v>11100</v>
      </c>
      <c r="V1365" t="s">
        <v>11100</v>
      </c>
      <c r="W1365" t="s">
        <v>12434</v>
      </c>
      <c r="X1365">
        <v>9</v>
      </c>
      <c r="Y1365" t="s">
        <v>17926</v>
      </c>
      <c r="Z1365" t="s">
        <v>23370</v>
      </c>
      <c r="AA1365">
        <v>0.7468829540781734</v>
      </c>
      <c r="AB1365" t="str">
        <f>HYPERLINK("Melting_Curves/meltCurve_O43715_TRIAP1.pdf", "Melting_Curves/meltCurve_O43715_TRIAP1.pdf")</f>
        <v>Melting_Curves/meltCurve_O43715_TRIAP1.pdf</v>
      </c>
    </row>
    <row r="1366" spans="1:28" x14ac:dyDescent="0.25">
      <c r="A1366" t="s">
        <v>1370</v>
      </c>
      <c r="B1366">
        <v>0.99299721793515405</v>
      </c>
      <c r="C1366">
        <v>0.81907221300602995</v>
      </c>
      <c r="D1366">
        <v>0.87924905349169102</v>
      </c>
      <c r="E1366">
        <v>0.71974165666662204</v>
      </c>
      <c r="F1366">
        <v>0.48933252440939301</v>
      </c>
      <c r="G1366">
        <v>0.26931219567547598</v>
      </c>
      <c r="H1366">
        <v>0.26416475011684998</v>
      </c>
      <c r="I1366">
        <v>0.22971060062058801</v>
      </c>
      <c r="J1366">
        <v>0.21442131959639099</v>
      </c>
      <c r="K1366">
        <v>0.15241454317106501</v>
      </c>
      <c r="L1366">
        <v>587.46661033557803</v>
      </c>
      <c r="M1366">
        <v>12.1229330633298</v>
      </c>
      <c r="N1366">
        <v>49.8439247473585</v>
      </c>
      <c r="O1366">
        <v>47.197058149541697</v>
      </c>
      <c r="P1366">
        <v>-5.5046023995747997E-2</v>
      </c>
      <c r="Q1366">
        <v>0.142976875476958</v>
      </c>
      <c r="R1366">
        <v>0.97286911698713996</v>
      </c>
      <c r="S1366" t="s">
        <v>6917</v>
      </c>
      <c r="T1366" t="s">
        <v>11100</v>
      </c>
      <c r="U1366" t="s">
        <v>11100</v>
      </c>
      <c r="V1366" t="s">
        <v>11100</v>
      </c>
      <c r="W1366" t="s">
        <v>12435</v>
      </c>
      <c r="X1366">
        <v>2</v>
      </c>
      <c r="Y1366" t="s">
        <v>17927</v>
      </c>
      <c r="Z1366" t="s">
        <v>23371</v>
      </c>
      <c r="AA1366">
        <v>0.4961771595920858</v>
      </c>
      <c r="AB1366" t="str">
        <f>HYPERLINK("Melting_Curves/meltCurve_O43719_HTATSF1.pdf", "Melting_Curves/meltCurve_O43719_HTATSF1.pdf")</f>
        <v>Melting_Curves/meltCurve_O43719_HTATSF1.pdf</v>
      </c>
    </row>
    <row r="1367" spans="1:28" x14ac:dyDescent="0.25">
      <c r="A1367" t="s">
        <v>1371</v>
      </c>
      <c r="B1367">
        <v>0.99299721793515405</v>
      </c>
      <c r="C1367">
        <v>1.00833273567173</v>
      </c>
      <c r="D1367">
        <v>0.82063483617405597</v>
      </c>
      <c r="E1367">
        <v>0.80318164024869498</v>
      </c>
      <c r="F1367">
        <v>0.77526632569671705</v>
      </c>
      <c r="G1367">
        <v>0.40816979060387798</v>
      </c>
      <c r="H1367">
        <v>0.38288873988791899</v>
      </c>
      <c r="I1367">
        <v>0.39162124316609698</v>
      </c>
      <c r="J1367">
        <v>0.37284835799878802</v>
      </c>
      <c r="K1367">
        <v>0.226019826562324</v>
      </c>
      <c r="L1367">
        <v>545.81629536038702</v>
      </c>
      <c r="M1367">
        <v>10.6490041791753</v>
      </c>
      <c r="N1367">
        <v>54.305409135846702</v>
      </c>
      <c r="O1367">
        <v>49.546799104726503</v>
      </c>
      <c r="P1367">
        <v>-4.1653802763854102E-2</v>
      </c>
      <c r="Q1367">
        <v>0.22508281722579099</v>
      </c>
      <c r="R1367">
        <v>0.93786849060866795</v>
      </c>
      <c r="S1367" t="s">
        <v>6918</v>
      </c>
      <c r="T1367" t="s">
        <v>11100</v>
      </c>
      <c r="U1367" t="s">
        <v>11100</v>
      </c>
      <c r="V1367" t="s">
        <v>11100</v>
      </c>
      <c r="W1367" t="s">
        <v>12436</v>
      </c>
      <c r="X1367">
        <v>6</v>
      </c>
      <c r="Y1367" t="s">
        <v>17928</v>
      </c>
      <c r="Z1367" t="s">
        <v>23372</v>
      </c>
      <c r="AA1367">
        <v>0.6151756424986361</v>
      </c>
      <c r="AB1367" t="str">
        <f>HYPERLINK("Melting_Curves/meltCurve_O43752_STX6.pdf", "Melting_Curves/meltCurve_O43752_STX6.pdf")</f>
        <v>Melting_Curves/meltCurve_O43752_STX6.pdf</v>
      </c>
    </row>
    <row r="1368" spans="1:28" x14ac:dyDescent="0.25">
      <c r="A1368" t="s">
        <v>1372</v>
      </c>
      <c r="B1368">
        <v>0.99299721793515405</v>
      </c>
      <c r="C1368">
        <v>0.98972264147566902</v>
      </c>
      <c r="D1368">
        <v>0.99625289884273605</v>
      </c>
      <c r="E1368">
        <v>0.98345201104388702</v>
      </c>
      <c r="F1368">
        <v>0.76086686251736402</v>
      </c>
      <c r="G1368">
        <v>0.56737263282248895</v>
      </c>
      <c r="H1368">
        <v>0.25207978958864002</v>
      </c>
      <c r="I1368">
        <v>0.18358474755033699</v>
      </c>
      <c r="J1368">
        <v>0.16865632827452201</v>
      </c>
      <c r="K1368">
        <v>0.151108544314948</v>
      </c>
      <c r="L1368">
        <v>1091.6993032313201</v>
      </c>
      <c r="M1368">
        <v>20.507837999272699</v>
      </c>
      <c r="N1368">
        <v>54.031696169035698</v>
      </c>
      <c r="O1368">
        <v>52.734858316796497</v>
      </c>
      <c r="P1368">
        <v>-8.4515485439959306E-2</v>
      </c>
      <c r="Q1368">
        <v>0.130716602941853</v>
      </c>
      <c r="R1368">
        <v>0.994713187651042</v>
      </c>
      <c r="S1368" t="s">
        <v>6919</v>
      </c>
      <c r="T1368" t="s">
        <v>11100</v>
      </c>
      <c r="U1368" t="s">
        <v>11100</v>
      </c>
      <c r="V1368" t="s">
        <v>11100</v>
      </c>
      <c r="W1368" t="s">
        <v>12437</v>
      </c>
      <c r="X1368">
        <v>20</v>
      </c>
      <c r="Y1368" t="s">
        <v>17929</v>
      </c>
      <c r="Z1368" t="s">
        <v>23373</v>
      </c>
      <c r="AA1368">
        <v>0.61157557223937586</v>
      </c>
      <c r="AB1368" t="str">
        <f>HYPERLINK("Melting_Curves/meltCurve_O43765_SGTA.pdf", "Melting_Curves/meltCurve_O43765_SGTA.pdf")</f>
        <v>Melting_Curves/meltCurve_O43765_SGTA.pdf</v>
      </c>
    </row>
    <row r="1369" spans="1:28" x14ac:dyDescent="0.25">
      <c r="A1369" t="s">
        <v>1373</v>
      </c>
      <c r="B1369">
        <v>0.99299721793515405</v>
      </c>
      <c r="C1369">
        <v>0.84507626090998</v>
      </c>
      <c r="D1369">
        <v>0.84619578467113998</v>
      </c>
      <c r="E1369">
        <v>0.75704255997089198</v>
      </c>
      <c r="F1369">
        <v>0.59546780886475104</v>
      </c>
      <c r="G1369">
        <v>0.32996104300404999</v>
      </c>
      <c r="H1369">
        <v>0.28973698877606902</v>
      </c>
      <c r="I1369">
        <v>0.325702490284841</v>
      </c>
      <c r="J1369">
        <v>0.34919574613170801</v>
      </c>
      <c r="K1369">
        <v>0.25345206349739102</v>
      </c>
      <c r="L1369">
        <v>570.24232387262998</v>
      </c>
      <c r="M1369">
        <v>11.7940051748065</v>
      </c>
      <c r="N1369">
        <v>51.226291542703699</v>
      </c>
      <c r="O1369">
        <v>47.022977774159102</v>
      </c>
      <c r="P1369">
        <v>-4.7532923350517398E-2</v>
      </c>
      <c r="Q1369">
        <v>0.242136070431624</v>
      </c>
      <c r="R1369">
        <v>0.955182852447372</v>
      </c>
      <c r="S1369" t="s">
        <v>6920</v>
      </c>
      <c r="T1369" t="s">
        <v>11100</v>
      </c>
      <c r="U1369" t="s">
        <v>11100</v>
      </c>
      <c r="V1369" t="s">
        <v>11100</v>
      </c>
      <c r="W1369" t="s">
        <v>12438</v>
      </c>
      <c r="X1369">
        <v>6</v>
      </c>
      <c r="Y1369" t="s">
        <v>17930</v>
      </c>
      <c r="Z1369" t="s">
        <v>23374</v>
      </c>
      <c r="AA1369">
        <v>0.55275348141986069</v>
      </c>
      <c r="AB1369" t="str">
        <f>HYPERLINK("Melting_Curves/meltCurve_O43766_LIAS.pdf", "Melting_Curves/meltCurve_O43766_LIAS.pdf")</f>
        <v>Melting_Curves/meltCurve_O43766_LIAS.pdf</v>
      </c>
    </row>
    <row r="1370" spans="1:28" x14ac:dyDescent="0.25">
      <c r="A1370" t="s">
        <v>1374</v>
      </c>
      <c r="B1370">
        <v>0.99299721793515405</v>
      </c>
      <c r="C1370">
        <v>0.93644483556781699</v>
      </c>
      <c r="D1370">
        <v>0.95156311667274296</v>
      </c>
      <c r="E1370">
        <v>1.01183581017838</v>
      </c>
      <c r="F1370">
        <v>0.79535679642733403</v>
      </c>
      <c r="G1370">
        <v>0.61548107072749103</v>
      </c>
      <c r="H1370">
        <v>0.65380154510700095</v>
      </c>
      <c r="I1370">
        <v>0.83378470414115902</v>
      </c>
      <c r="J1370">
        <v>1.0504036414975499</v>
      </c>
      <c r="K1370">
        <v>0.86447094885371401</v>
      </c>
      <c r="L1370">
        <v>12098.121220037699</v>
      </c>
      <c r="M1370">
        <v>250</v>
      </c>
      <c r="O1370">
        <v>48.389377505782299</v>
      </c>
      <c r="P1370">
        <v>-0.25546321364643498</v>
      </c>
      <c r="Q1370">
        <v>0.80221266271052105</v>
      </c>
      <c r="R1370">
        <v>0.34113136637942698</v>
      </c>
      <c r="S1370" t="s">
        <v>6921</v>
      </c>
      <c r="T1370" t="s">
        <v>11100</v>
      </c>
      <c r="U1370" t="s">
        <v>11100</v>
      </c>
      <c r="V1370" t="s">
        <v>11100</v>
      </c>
      <c r="W1370" t="s">
        <v>12439</v>
      </c>
      <c r="X1370">
        <v>17</v>
      </c>
      <c r="Y1370" t="s">
        <v>17931</v>
      </c>
      <c r="Z1370" t="s">
        <v>23375</v>
      </c>
      <c r="AA1370">
        <v>0.877339102056793</v>
      </c>
      <c r="AB1370" t="str">
        <f>HYPERLINK("Melting_Curves/meltCurve_O43768_ENSA.pdf", "Melting_Curves/meltCurve_O43768_ENSA.pdf")</f>
        <v>Melting_Curves/meltCurve_O43768_ENSA.pdf</v>
      </c>
    </row>
    <row r="1371" spans="1:28" x14ac:dyDescent="0.25">
      <c r="A1371" t="s">
        <v>1375</v>
      </c>
      <c r="B1371">
        <v>0.99299721793515405</v>
      </c>
      <c r="C1371">
        <v>1.09574859654028</v>
      </c>
      <c r="D1371">
        <v>0.87039269090165206</v>
      </c>
      <c r="E1371">
        <v>0.88320182634672295</v>
      </c>
      <c r="F1371">
        <v>0.74810937148552803</v>
      </c>
      <c r="G1371">
        <v>0.53894926104163399</v>
      </c>
      <c r="H1371">
        <v>0.56340855953537095</v>
      </c>
      <c r="I1371">
        <v>0.745634203292592</v>
      </c>
      <c r="J1371">
        <v>0.71103081011032598</v>
      </c>
      <c r="K1371">
        <v>0.53427801526355001</v>
      </c>
      <c r="L1371">
        <v>1088.13054802844</v>
      </c>
      <c r="M1371">
        <v>22.840227365791002</v>
      </c>
      <c r="O1371">
        <v>47.280259875755704</v>
      </c>
      <c r="P1371">
        <v>-4.6003250948036298E-2</v>
      </c>
      <c r="Q1371">
        <v>0.61909230262870696</v>
      </c>
      <c r="R1371">
        <v>0.79579275024266505</v>
      </c>
      <c r="S1371" t="s">
        <v>6922</v>
      </c>
      <c r="T1371" t="s">
        <v>11100</v>
      </c>
      <c r="U1371" t="s">
        <v>11100</v>
      </c>
      <c r="V1371" t="s">
        <v>11100</v>
      </c>
      <c r="W1371" t="s">
        <v>12440</v>
      </c>
      <c r="X1371">
        <v>5</v>
      </c>
      <c r="Y1371" t="s">
        <v>17932</v>
      </c>
      <c r="Z1371" t="s">
        <v>23376</v>
      </c>
      <c r="AA1371">
        <v>0.75806119376802594</v>
      </c>
      <c r="AB1371" t="str">
        <f>HYPERLINK("Melting_Curves/meltCurve_O43772_SLC25A20.pdf", "Melting_Curves/meltCurve_O43772_SLC25A20.pdf")</f>
        <v>Melting_Curves/meltCurve_O43772_SLC25A20.pdf</v>
      </c>
    </row>
    <row r="1372" spans="1:28" x14ac:dyDescent="0.25">
      <c r="A1372" t="s">
        <v>1376</v>
      </c>
      <c r="B1372">
        <v>0.99299721793515405</v>
      </c>
      <c r="C1372">
        <v>1.0441461394323299</v>
      </c>
      <c r="D1372">
        <v>0.94791599497449697</v>
      </c>
      <c r="E1372">
        <v>0.94491346530121301</v>
      </c>
      <c r="F1372">
        <v>0.71560389209320197</v>
      </c>
      <c r="G1372">
        <v>0.82056334446124601</v>
      </c>
      <c r="H1372">
        <v>0.24984569553194799</v>
      </c>
      <c r="I1372">
        <v>0.16453307847760901</v>
      </c>
      <c r="J1372">
        <v>0.14608577836278999</v>
      </c>
      <c r="K1372">
        <v>0.10563122215454999</v>
      </c>
      <c r="L1372">
        <v>1007.52351779117</v>
      </c>
      <c r="M1372">
        <v>18.262150641135399</v>
      </c>
      <c r="N1372">
        <v>55.478810211847701</v>
      </c>
      <c r="O1372">
        <v>54.521269723950098</v>
      </c>
      <c r="P1372">
        <v>-7.9695971105912505E-2</v>
      </c>
      <c r="Q1372">
        <v>4.83217321397926E-2</v>
      </c>
      <c r="R1372">
        <v>0.94549403326606896</v>
      </c>
      <c r="S1372" t="s">
        <v>6923</v>
      </c>
      <c r="T1372" t="s">
        <v>11100</v>
      </c>
      <c r="U1372" t="s">
        <v>11100</v>
      </c>
      <c r="V1372" t="s">
        <v>11100</v>
      </c>
      <c r="W1372" t="s">
        <v>12184</v>
      </c>
      <c r="X1372">
        <v>22</v>
      </c>
      <c r="Y1372" t="s">
        <v>17679</v>
      </c>
      <c r="Z1372" t="s">
        <v>23377</v>
      </c>
      <c r="AA1372">
        <v>0.63632511305059003</v>
      </c>
      <c r="AB1372" t="str">
        <f>HYPERLINK("Melting_Curves/meltCurve_O43776_NARS.pdf", "Melting_Curves/meltCurve_O43776_NARS.pdf")</f>
        <v>Melting_Curves/meltCurve_O43776_NARS.pdf</v>
      </c>
    </row>
    <row r="1373" spans="1:28" x14ac:dyDescent="0.25">
      <c r="A1373" t="s">
        <v>1377</v>
      </c>
      <c r="B1373">
        <v>0.99299721793515405</v>
      </c>
      <c r="C1373">
        <v>0.99301417280606097</v>
      </c>
      <c r="D1373">
        <v>1.37530896925618</v>
      </c>
      <c r="E1373">
        <v>1.0593644951896499</v>
      </c>
      <c r="F1373">
        <v>0.82826720658389297</v>
      </c>
      <c r="G1373">
        <v>0.76946062711364205</v>
      </c>
      <c r="H1373">
        <v>0.42310846621334403</v>
      </c>
      <c r="I1373">
        <v>0.49429703546054699</v>
      </c>
      <c r="J1373">
        <v>0.49621873210457101</v>
      </c>
      <c r="K1373">
        <v>0.44648254051922798</v>
      </c>
      <c r="L1373">
        <v>1481.9862585737801</v>
      </c>
      <c r="M1373">
        <v>27.799237362975401</v>
      </c>
      <c r="N1373">
        <v>58.282454419120597</v>
      </c>
      <c r="O1373">
        <v>53.036743484380203</v>
      </c>
      <c r="P1373">
        <v>-7.1634584134134802E-2</v>
      </c>
      <c r="Q1373">
        <v>0.45333298159730501</v>
      </c>
      <c r="R1373">
        <v>0.81467646736685095</v>
      </c>
      <c r="S1373" t="s">
        <v>6924</v>
      </c>
      <c r="T1373" t="s">
        <v>11100</v>
      </c>
      <c r="U1373" t="s">
        <v>11100</v>
      </c>
      <c r="V1373" t="s">
        <v>11100</v>
      </c>
      <c r="W1373" t="s">
        <v>12441</v>
      </c>
      <c r="X1373">
        <v>9</v>
      </c>
      <c r="Y1373" t="s">
        <v>17933</v>
      </c>
      <c r="Z1373" t="s">
        <v>23378</v>
      </c>
      <c r="AA1373">
        <v>0.75454822532148336</v>
      </c>
      <c r="AB1373" t="str">
        <f>HYPERLINK("Melting_Curves/meltCurve_O43805_SSNA1.pdf", "Melting_Curves/meltCurve_O43805_SSNA1.pdf")</f>
        <v>Melting_Curves/meltCurve_O43805_SSNA1.pdf</v>
      </c>
    </row>
    <row r="1374" spans="1:28" x14ac:dyDescent="0.25">
      <c r="A1374" t="s">
        <v>1378</v>
      </c>
      <c r="B1374">
        <v>0.99299721793515405</v>
      </c>
      <c r="C1374">
        <v>1.0818541833189199</v>
      </c>
      <c r="D1374">
        <v>0.95169368557515399</v>
      </c>
      <c r="E1374">
        <v>0.82939588277168796</v>
      </c>
      <c r="F1374">
        <v>0.75867944271009902</v>
      </c>
      <c r="G1374">
        <v>0.867069386717777</v>
      </c>
      <c r="H1374">
        <v>0.79921769123371</v>
      </c>
      <c r="I1374">
        <v>0.70902711562698295</v>
      </c>
      <c r="J1374">
        <v>0.12629715936959099</v>
      </c>
      <c r="K1374">
        <v>0.110737457363317</v>
      </c>
      <c r="L1374">
        <v>1942.8486504613099</v>
      </c>
      <c r="M1374">
        <v>31.475723003161399</v>
      </c>
      <c r="N1374">
        <v>61.725290297801301</v>
      </c>
      <c r="O1374">
        <v>61.477757056638403</v>
      </c>
      <c r="P1374">
        <v>-0.12799707545097999</v>
      </c>
      <c r="Q1374">
        <v>0</v>
      </c>
      <c r="R1374">
        <v>0.85192014244092595</v>
      </c>
      <c r="S1374" t="s">
        <v>6925</v>
      </c>
      <c r="T1374" t="s">
        <v>11100</v>
      </c>
      <c r="U1374" t="s">
        <v>11100</v>
      </c>
      <c r="V1374" t="s">
        <v>11100</v>
      </c>
      <c r="W1374" t="s">
        <v>12442</v>
      </c>
      <c r="X1374">
        <v>7</v>
      </c>
      <c r="Y1374" t="s">
        <v>17934</v>
      </c>
      <c r="Z1374" t="s">
        <v>23379</v>
      </c>
      <c r="AA1374">
        <v>0.82441176425975493</v>
      </c>
      <c r="AB1374" t="str">
        <f>HYPERLINK("Melting_Curves/meltCurve_O43809_NUDT21.pdf", "Melting_Curves/meltCurve_O43809_NUDT21.pdf")</f>
        <v>Melting_Curves/meltCurve_O43809_NUDT21.pdf</v>
      </c>
    </row>
    <row r="1375" spans="1:28" x14ac:dyDescent="0.25">
      <c r="A1375" t="s">
        <v>1379</v>
      </c>
      <c r="B1375">
        <v>0.99299721793515405</v>
      </c>
      <c r="C1375">
        <v>1.0374191570315401</v>
      </c>
      <c r="D1375">
        <v>1.00074415733834</v>
      </c>
      <c r="E1375">
        <v>0.89364677393980996</v>
      </c>
      <c r="F1375">
        <v>0.730192486605722</v>
      </c>
      <c r="G1375">
        <v>0.61804658640334498</v>
      </c>
      <c r="H1375">
        <v>0.55309680729003696</v>
      </c>
      <c r="I1375">
        <v>0.57041933575498904</v>
      </c>
      <c r="J1375">
        <v>0.39974475768546203</v>
      </c>
      <c r="K1375">
        <v>0.21878114446417499</v>
      </c>
      <c r="L1375">
        <v>431.98295924825402</v>
      </c>
      <c r="M1375">
        <v>7.2778014254479402</v>
      </c>
      <c r="N1375">
        <v>59.356243574204001</v>
      </c>
      <c r="O1375">
        <v>55.366985953733597</v>
      </c>
      <c r="P1375">
        <v>-3.2914437118724799E-2</v>
      </c>
      <c r="Q1375">
        <v>0</v>
      </c>
      <c r="R1375">
        <v>0.94543437527866403</v>
      </c>
      <c r="S1375" t="s">
        <v>6926</v>
      </c>
      <c r="T1375" t="s">
        <v>11100</v>
      </c>
      <c r="U1375" t="s">
        <v>11100</v>
      </c>
      <c r="V1375" t="s">
        <v>11100</v>
      </c>
      <c r="W1375" t="s">
        <v>12443</v>
      </c>
      <c r="X1375">
        <v>14</v>
      </c>
      <c r="Y1375" t="s">
        <v>17935</v>
      </c>
      <c r="Z1375" t="s">
        <v>23380</v>
      </c>
      <c r="AA1375">
        <v>0.70190846491009473</v>
      </c>
      <c r="AB1375" t="str">
        <f>HYPERLINK("Melting_Curves/meltCurve_O43813_LANCL1.pdf", "Melting_Curves/meltCurve_O43813_LANCL1.pdf")</f>
        <v>Melting_Curves/meltCurve_O43813_LANCL1.pdf</v>
      </c>
    </row>
    <row r="1376" spans="1:28" x14ac:dyDescent="0.25">
      <c r="A1376" t="s">
        <v>1380</v>
      </c>
      <c r="B1376">
        <v>0.99299721793515405</v>
      </c>
      <c r="C1376">
        <v>0.937438103129974</v>
      </c>
      <c r="D1376">
        <v>0.92892888823233299</v>
      </c>
      <c r="E1376">
        <v>0.84511641305885599</v>
      </c>
      <c r="F1376">
        <v>0.76446981923761403</v>
      </c>
      <c r="G1376">
        <v>0.85823396857857503</v>
      </c>
      <c r="H1376">
        <v>0.78857031977574898</v>
      </c>
      <c r="I1376">
        <v>0.37454470915064603</v>
      </c>
      <c r="J1376">
        <v>0.268095850435279</v>
      </c>
      <c r="K1376">
        <v>0.215465024197874</v>
      </c>
      <c r="L1376">
        <v>736.17883240941001</v>
      </c>
      <c r="M1376">
        <v>12.271765388066401</v>
      </c>
      <c r="N1376">
        <v>59.989643655357597</v>
      </c>
      <c r="O1376">
        <v>58.463354976558001</v>
      </c>
      <c r="P1376">
        <v>-5.24878907352739E-2</v>
      </c>
      <c r="Q1376">
        <v>0</v>
      </c>
      <c r="R1376">
        <v>0.89634691970107205</v>
      </c>
      <c r="S1376" t="s">
        <v>6927</v>
      </c>
      <c r="T1376" t="s">
        <v>11100</v>
      </c>
      <c r="U1376" t="s">
        <v>11100</v>
      </c>
      <c r="V1376" t="s">
        <v>11100</v>
      </c>
      <c r="W1376" t="s">
        <v>12444</v>
      </c>
      <c r="X1376">
        <v>8</v>
      </c>
      <c r="Y1376" t="s">
        <v>17936</v>
      </c>
      <c r="Z1376" t="s">
        <v>23381</v>
      </c>
      <c r="AA1376">
        <v>0.75125612230321626</v>
      </c>
      <c r="AB1376" t="str">
        <f>HYPERLINK("Melting_Curves/meltCurve_O43815_STRN.pdf", "Melting_Curves/meltCurve_O43815_STRN.pdf")</f>
        <v>Melting_Curves/meltCurve_O43815_STRN.pdf</v>
      </c>
    </row>
    <row r="1377" spans="1:28" x14ac:dyDescent="0.25">
      <c r="A1377" t="s">
        <v>1381</v>
      </c>
      <c r="B1377">
        <v>0.99299721793515405</v>
      </c>
      <c r="C1377">
        <v>0.76156947129311303</v>
      </c>
      <c r="D1377">
        <v>0.91849380871326303</v>
      </c>
      <c r="E1377">
        <v>0.858310168789572</v>
      </c>
      <c r="F1377">
        <v>0.78510228813691596</v>
      </c>
      <c r="G1377">
        <v>0.69943767861494199</v>
      </c>
      <c r="H1377">
        <v>1.2556965347075899</v>
      </c>
      <c r="I1377">
        <v>1.5978958583387699</v>
      </c>
      <c r="J1377">
        <v>1.3024278308241199</v>
      </c>
      <c r="K1377">
        <v>0.63445011064179402</v>
      </c>
      <c r="L1377">
        <v>1921.0351889635299</v>
      </c>
      <c r="M1377">
        <v>34.179974960172501</v>
      </c>
      <c r="O1377">
        <v>56.012199275769099</v>
      </c>
      <c r="P1377">
        <v>2.69587381804944E-2</v>
      </c>
      <c r="Q1377">
        <v>1.17671306147845</v>
      </c>
      <c r="R1377">
        <v>0.124256223587664</v>
      </c>
      <c r="S1377" t="s">
        <v>6928</v>
      </c>
      <c r="T1377" t="s">
        <v>11100</v>
      </c>
      <c r="U1377" t="s">
        <v>11100</v>
      </c>
      <c r="V1377" t="s">
        <v>11100</v>
      </c>
      <c r="W1377" t="s">
        <v>12445</v>
      </c>
      <c r="X1377">
        <v>4</v>
      </c>
      <c r="Y1377" t="s">
        <v>17937</v>
      </c>
      <c r="Z1377" t="s">
        <v>23382</v>
      </c>
      <c r="AA1377">
        <v>1.0627123715344691</v>
      </c>
      <c r="AB1377" t="str">
        <f>HYPERLINK("Melting_Curves/meltCurve_O43818_RRP9.pdf", "Melting_Curves/meltCurve_O43818_RRP9.pdf")</f>
        <v>Melting_Curves/meltCurve_O43818_RRP9.pdf</v>
      </c>
    </row>
    <row r="1378" spans="1:28" x14ac:dyDescent="0.25">
      <c r="A1378" t="s">
        <v>1382</v>
      </c>
      <c r="B1378">
        <v>0.99299721793515405</v>
      </c>
      <c r="C1378">
        <v>0.88545496311232597</v>
      </c>
      <c r="D1378">
        <v>1.0233395895041899</v>
      </c>
      <c r="E1378">
        <v>0.79967445827037598</v>
      </c>
      <c r="F1378">
        <v>0.60269293246977496</v>
      </c>
      <c r="G1378">
        <v>0.36181337291252702</v>
      </c>
      <c r="H1378">
        <v>0.23898700373451501</v>
      </c>
      <c r="I1378">
        <v>0.18623010728330999</v>
      </c>
      <c r="J1378">
        <v>0.173168365950958</v>
      </c>
      <c r="K1378">
        <v>0.13733105736954401</v>
      </c>
      <c r="L1378">
        <v>824.65924509196896</v>
      </c>
      <c r="M1378">
        <v>16.318770274450301</v>
      </c>
      <c r="N1378">
        <v>51.516390696845598</v>
      </c>
      <c r="O1378">
        <v>49.793816215499803</v>
      </c>
      <c r="P1378">
        <v>-7.0985346048317202E-2</v>
      </c>
      <c r="Q1378">
        <v>0.133666402710862</v>
      </c>
      <c r="R1378">
        <v>0.98563588490935605</v>
      </c>
      <c r="S1378" t="s">
        <v>6929</v>
      </c>
      <c r="T1378" t="s">
        <v>11100</v>
      </c>
      <c r="U1378" t="s">
        <v>11100</v>
      </c>
      <c r="V1378" t="s">
        <v>11100</v>
      </c>
      <c r="W1378" t="s">
        <v>12446</v>
      </c>
      <c r="X1378">
        <v>11</v>
      </c>
      <c r="Y1378" t="s">
        <v>17938</v>
      </c>
      <c r="Z1378" t="s">
        <v>23383</v>
      </c>
      <c r="AA1378">
        <v>0.54026651052908259</v>
      </c>
      <c r="AB1378" t="str">
        <f>HYPERLINK("Melting_Curves/meltCurve_O43819_SCO2.pdf", "Melting_Curves/meltCurve_O43819_SCO2.pdf")</f>
        <v>Melting_Curves/meltCurve_O43819_SCO2.pdf</v>
      </c>
    </row>
    <row r="1379" spans="1:28" x14ac:dyDescent="0.25">
      <c r="A1379" t="s">
        <v>1383</v>
      </c>
      <c r="B1379">
        <v>0.99299721793515405</v>
      </c>
      <c r="C1379">
        <v>0.93027873885533596</v>
      </c>
      <c r="D1379">
        <v>0.84761045040319505</v>
      </c>
      <c r="E1379">
        <v>0.79268524310420196</v>
      </c>
      <c r="F1379">
        <v>0.73035767681375097</v>
      </c>
      <c r="G1379">
        <v>0.50061639671053904</v>
      </c>
      <c r="H1379">
        <v>0.76012949325289603</v>
      </c>
      <c r="I1379">
        <v>1.00899135192939</v>
      </c>
      <c r="J1379">
        <v>1.32285454897258</v>
      </c>
      <c r="K1379">
        <v>0.99444123217853397</v>
      </c>
      <c r="L1379">
        <v>2006.75821901479</v>
      </c>
      <c r="M1379">
        <v>32.380966807926697</v>
      </c>
      <c r="O1379">
        <v>61.738465682813803</v>
      </c>
      <c r="P1379">
        <v>1.7707294909894301E-2</v>
      </c>
      <c r="Q1379">
        <v>1.13504425123784</v>
      </c>
      <c r="R1379">
        <v>-0.219723068164388</v>
      </c>
      <c r="S1379" t="s">
        <v>6930</v>
      </c>
      <c r="T1379" t="s">
        <v>11100</v>
      </c>
      <c r="U1379" t="s">
        <v>11100</v>
      </c>
      <c r="V1379" t="s">
        <v>11100</v>
      </c>
      <c r="W1379" t="s">
        <v>12447</v>
      </c>
      <c r="X1379">
        <v>1</v>
      </c>
      <c r="Y1379" t="s">
        <v>17939</v>
      </c>
      <c r="Z1379" t="s">
        <v>23384</v>
      </c>
      <c r="AA1379">
        <v>1.022654912956809</v>
      </c>
      <c r="AB1379" t="str">
        <f>HYPERLINK("Melting_Curves/meltCurve_O43820_4_HYAL3.pdf", "Melting_Curves/meltCurve_O43820_4_HYAL3.pdf")</f>
        <v>Melting_Curves/meltCurve_O43820_4_HYAL3.pdf</v>
      </c>
    </row>
    <row r="1380" spans="1:28" x14ac:dyDescent="0.25">
      <c r="A1380" t="s">
        <v>1384</v>
      </c>
      <c r="B1380">
        <v>0.99299721793515405</v>
      </c>
      <c r="C1380">
        <v>0.97346084907438302</v>
      </c>
      <c r="D1380">
        <v>0.89107861659019905</v>
      </c>
      <c r="E1380">
        <v>0.74186758497448402</v>
      </c>
      <c r="F1380">
        <v>0.69291927814019305</v>
      </c>
      <c r="G1380">
        <v>0.50224894864038105</v>
      </c>
      <c r="H1380">
        <v>0.29972649578494798</v>
      </c>
      <c r="I1380">
        <v>0.33678417628483498</v>
      </c>
      <c r="J1380">
        <v>0.31680717059385</v>
      </c>
      <c r="K1380">
        <v>0.26134810305496697</v>
      </c>
      <c r="L1380">
        <v>560.06033561896402</v>
      </c>
      <c r="M1380">
        <v>11.047044852071901</v>
      </c>
      <c r="N1380">
        <v>53.417619878955101</v>
      </c>
      <c r="O1380">
        <v>49.121459910575602</v>
      </c>
      <c r="P1380">
        <v>-4.4143997290309503E-2</v>
      </c>
      <c r="Q1380">
        <v>0.21510297140617099</v>
      </c>
      <c r="R1380">
        <v>0.98066920336081798</v>
      </c>
      <c r="S1380" t="s">
        <v>6931</v>
      </c>
      <c r="T1380" t="s">
        <v>11100</v>
      </c>
      <c r="U1380" t="s">
        <v>11100</v>
      </c>
      <c r="V1380" t="s">
        <v>11100</v>
      </c>
      <c r="W1380" t="s">
        <v>12448</v>
      </c>
      <c r="X1380">
        <v>1</v>
      </c>
      <c r="Y1380" t="s">
        <v>17940</v>
      </c>
      <c r="Z1380" t="s">
        <v>23385</v>
      </c>
      <c r="AA1380">
        <v>0.59619261468964835</v>
      </c>
      <c r="AB1380" t="str">
        <f>HYPERLINK("Melting_Curves/meltCurve_O43824_GTPBP6.pdf", "Melting_Curves/meltCurve_O43824_GTPBP6.pdf")</f>
        <v>Melting_Curves/meltCurve_O43824_GTPBP6.pdf</v>
      </c>
    </row>
    <row r="1381" spans="1:28" x14ac:dyDescent="0.25">
      <c r="A1381" t="s">
        <v>1385</v>
      </c>
      <c r="B1381">
        <v>0.99299721793515405</v>
      </c>
      <c r="C1381">
        <v>0.83272522480889</v>
      </c>
      <c r="D1381">
        <v>0.88281705903184104</v>
      </c>
      <c r="E1381">
        <v>0.65902680583311501</v>
      </c>
      <c r="F1381">
        <v>0.65218663227822204</v>
      </c>
      <c r="G1381">
        <v>0.45051180574898803</v>
      </c>
      <c r="H1381">
        <v>0.49964432122887398</v>
      </c>
      <c r="I1381">
        <v>0.557972760549719</v>
      </c>
      <c r="J1381">
        <v>0.63058040578394403</v>
      </c>
      <c r="K1381">
        <v>0.54015363061538302</v>
      </c>
      <c r="L1381">
        <v>658.15959844615202</v>
      </c>
      <c r="M1381">
        <v>14.9113618338233</v>
      </c>
      <c r="O1381">
        <v>43.367125201174296</v>
      </c>
      <c r="P1381">
        <v>-4.0029988782607898E-2</v>
      </c>
      <c r="Q1381">
        <v>0.53436704527908296</v>
      </c>
      <c r="R1381">
        <v>0.85888140233815102</v>
      </c>
      <c r="S1381" t="s">
        <v>6932</v>
      </c>
      <c r="T1381" t="s">
        <v>11100</v>
      </c>
      <c r="U1381" t="s">
        <v>11100</v>
      </c>
      <c r="V1381" t="s">
        <v>11100</v>
      </c>
      <c r="W1381" t="s">
        <v>12449</v>
      </c>
      <c r="X1381">
        <v>3</v>
      </c>
      <c r="Y1381" t="s">
        <v>17941</v>
      </c>
      <c r="Z1381" t="s">
        <v>23386</v>
      </c>
      <c r="AA1381">
        <v>0.65678561239193789</v>
      </c>
      <c r="AB1381" t="str">
        <f>HYPERLINK("Melting_Curves/meltCurve_O43826_SLC37A4.pdf", "Melting_Curves/meltCurve_O43826_SLC37A4.pdf")</f>
        <v>Melting_Curves/meltCurve_O43826_SLC37A4.pdf</v>
      </c>
    </row>
    <row r="1382" spans="1:28" x14ac:dyDescent="0.25">
      <c r="A1382" t="s">
        <v>1386</v>
      </c>
      <c r="B1382">
        <v>0.99299721793515405</v>
      </c>
      <c r="C1382">
        <v>1.00589738414285</v>
      </c>
      <c r="D1382">
        <v>0.91996260094202198</v>
      </c>
      <c r="E1382">
        <v>0.92538069917237598</v>
      </c>
      <c r="F1382">
        <v>0.66522371556298499</v>
      </c>
      <c r="G1382">
        <v>0.55256249266920598</v>
      </c>
      <c r="H1382">
        <v>0.44071563185419299</v>
      </c>
      <c r="I1382">
        <v>0.34622389301512402</v>
      </c>
      <c r="J1382">
        <v>0.30565144571414699</v>
      </c>
      <c r="K1382">
        <v>0.24215905165694299</v>
      </c>
      <c r="L1382">
        <v>636.26418714769602</v>
      </c>
      <c r="M1382">
        <v>12.097350398727601</v>
      </c>
      <c r="N1382">
        <v>55.113873357009098</v>
      </c>
      <c r="O1382">
        <v>51.2200039724314</v>
      </c>
      <c r="P1382">
        <v>-4.6519404599022103E-2</v>
      </c>
      <c r="Q1382">
        <v>0.212334118298731</v>
      </c>
      <c r="R1382">
        <v>0.98883474549536898</v>
      </c>
      <c r="S1382" t="s">
        <v>6933</v>
      </c>
      <c r="T1382" t="s">
        <v>11100</v>
      </c>
      <c r="U1382" t="s">
        <v>11100</v>
      </c>
      <c r="V1382" t="s">
        <v>11100</v>
      </c>
      <c r="W1382" t="s">
        <v>12450</v>
      </c>
      <c r="X1382">
        <v>11</v>
      </c>
      <c r="Y1382" t="s">
        <v>17942</v>
      </c>
      <c r="Z1382" t="s">
        <v>23387</v>
      </c>
      <c r="AA1382">
        <v>0.63920536825984497</v>
      </c>
      <c r="AB1382" t="str">
        <f>HYPERLINK("Melting_Curves/meltCurve_O43837_IDH3B.pdf", "Melting_Curves/meltCurve_O43837_IDH3B.pdf")</f>
        <v>Melting_Curves/meltCurve_O43837_IDH3B.pdf</v>
      </c>
    </row>
    <row r="1383" spans="1:28" x14ac:dyDescent="0.25">
      <c r="A1383" t="s">
        <v>1387</v>
      </c>
      <c r="B1383">
        <v>0.99299721793515405</v>
      </c>
      <c r="C1383">
        <v>0.97097902704225503</v>
      </c>
      <c r="D1383">
        <v>0.96946651295138597</v>
      </c>
      <c r="E1383">
        <v>0.92309409486986205</v>
      </c>
      <c r="F1383">
        <v>0.76890830175112301</v>
      </c>
      <c r="G1383">
        <v>0.60737753931570404</v>
      </c>
      <c r="H1383">
        <v>0.61627261059832406</v>
      </c>
      <c r="I1383">
        <v>0.72058846868469195</v>
      </c>
      <c r="J1383">
        <v>0.81151203321635501</v>
      </c>
      <c r="K1383">
        <v>0.73783344444792798</v>
      </c>
      <c r="L1383">
        <v>1841.02462981137</v>
      </c>
      <c r="M1383">
        <v>38.368791712482</v>
      </c>
      <c r="O1383">
        <v>47.852560870367597</v>
      </c>
      <c r="P1383">
        <v>-5.98742664335613E-2</v>
      </c>
      <c r="Q1383">
        <v>0.70130620827851797</v>
      </c>
      <c r="R1383">
        <v>0.82742747691757801</v>
      </c>
      <c r="S1383" t="s">
        <v>6934</v>
      </c>
      <c r="T1383" t="s">
        <v>11100</v>
      </c>
      <c r="U1383" t="s">
        <v>11100</v>
      </c>
      <c r="V1383" t="s">
        <v>11100</v>
      </c>
      <c r="W1383" t="s">
        <v>12451</v>
      </c>
      <c r="X1383">
        <v>16</v>
      </c>
      <c r="Y1383" t="s">
        <v>17943</v>
      </c>
      <c r="Z1383" t="s">
        <v>23388</v>
      </c>
      <c r="AA1383">
        <v>0.81172892437964939</v>
      </c>
      <c r="AB1383" t="str">
        <f>HYPERLINK("Melting_Curves/meltCurve_O43852_CALU.pdf", "Melting_Curves/meltCurve_O43852_CALU.pdf")</f>
        <v>Melting_Curves/meltCurve_O43852_CALU.pdf</v>
      </c>
    </row>
    <row r="1384" spans="1:28" x14ac:dyDescent="0.25">
      <c r="A1384" t="s">
        <v>1388</v>
      </c>
      <c r="B1384">
        <v>0.99299721793515405</v>
      </c>
      <c r="C1384">
        <v>0.95110481309309503</v>
      </c>
      <c r="D1384">
        <v>0.96339762178184996</v>
      </c>
      <c r="E1384">
        <v>0.86031097955127001</v>
      </c>
      <c r="F1384">
        <v>0.78876377240994799</v>
      </c>
      <c r="G1384">
        <v>0.65067215272462597</v>
      </c>
      <c r="H1384">
        <v>0.61767632695950703</v>
      </c>
      <c r="I1384">
        <v>0.515822139207185</v>
      </c>
      <c r="J1384">
        <v>0.48279157825102997</v>
      </c>
      <c r="K1384">
        <v>0.30793483494546697</v>
      </c>
      <c r="L1384">
        <v>375.66874311163599</v>
      </c>
      <c r="M1384">
        <v>6.1551286855741996</v>
      </c>
      <c r="N1384">
        <v>61.033450664446498</v>
      </c>
      <c r="O1384">
        <v>55.534240186065198</v>
      </c>
      <c r="P1384">
        <v>-2.7790612168785998E-2</v>
      </c>
      <c r="Q1384">
        <v>0</v>
      </c>
      <c r="R1384">
        <v>0.97821190268407499</v>
      </c>
      <c r="S1384" t="s">
        <v>6935</v>
      </c>
      <c r="T1384" t="s">
        <v>11100</v>
      </c>
      <c r="U1384" t="s">
        <v>11100</v>
      </c>
      <c r="V1384" t="s">
        <v>11100</v>
      </c>
      <c r="W1384" t="s">
        <v>12452</v>
      </c>
      <c r="X1384">
        <v>17</v>
      </c>
      <c r="Y1384" t="s">
        <v>17944</v>
      </c>
      <c r="Z1384" t="s">
        <v>23389</v>
      </c>
      <c r="AA1384">
        <v>0.71878460848349912</v>
      </c>
      <c r="AB1384" t="str">
        <f>HYPERLINK("Melting_Curves/meltCurve_O43865_AHCYL1.pdf", "Melting_Curves/meltCurve_O43865_AHCYL1.pdf")</f>
        <v>Melting_Curves/meltCurve_O43865_AHCYL1.pdf</v>
      </c>
    </row>
    <row r="1385" spans="1:28" x14ac:dyDescent="0.25">
      <c r="A1385" t="s">
        <v>1389</v>
      </c>
      <c r="B1385">
        <v>0.99299721793515405</v>
      </c>
      <c r="C1385">
        <v>0.82738146569510496</v>
      </c>
      <c r="D1385">
        <v>0.88644564801399695</v>
      </c>
      <c r="E1385">
        <v>0.72478906205840399</v>
      </c>
      <c r="F1385">
        <v>0.47366661610627198</v>
      </c>
      <c r="G1385">
        <v>0.26319325228953599</v>
      </c>
      <c r="H1385">
        <v>0.25331403163048299</v>
      </c>
      <c r="I1385">
        <v>0.267167792575358</v>
      </c>
      <c r="J1385">
        <v>0.23723482722111799</v>
      </c>
      <c r="K1385">
        <v>0.20843419433476101</v>
      </c>
      <c r="L1385">
        <v>701.62680109124096</v>
      </c>
      <c r="M1385">
        <v>14.6645269697838</v>
      </c>
      <c r="N1385">
        <v>49.570522725890399</v>
      </c>
      <c r="O1385">
        <v>46.981868285455803</v>
      </c>
      <c r="P1385">
        <v>-6.2442866127566998E-2</v>
      </c>
      <c r="Q1385">
        <v>0.19987634994388301</v>
      </c>
      <c r="R1385">
        <v>0.96998249207559994</v>
      </c>
      <c r="S1385" t="s">
        <v>6936</v>
      </c>
      <c r="T1385" t="s">
        <v>11100</v>
      </c>
      <c r="U1385" t="s">
        <v>11100</v>
      </c>
      <c r="V1385" t="s">
        <v>11100</v>
      </c>
      <c r="W1385" t="s">
        <v>12453</v>
      </c>
      <c r="X1385">
        <v>10</v>
      </c>
      <c r="Y1385" t="s">
        <v>17945</v>
      </c>
      <c r="Z1385" t="s">
        <v>23390</v>
      </c>
      <c r="AA1385">
        <v>0.50749723559274507</v>
      </c>
      <c r="AB1385" t="str">
        <f>HYPERLINK("Melting_Curves/meltCurve_O43896_KIF1C.pdf", "Melting_Curves/meltCurve_O43896_KIF1C.pdf")</f>
        <v>Melting_Curves/meltCurve_O43896_KIF1C.pdf</v>
      </c>
    </row>
    <row r="1386" spans="1:28" x14ac:dyDescent="0.25">
      <c r="A1386" t="s">
        <v>1390</v>
      </c>
      <c r="B1386">
        <v>0.99299721793515405</v>
      </c>
      <c r="C1386">
        <v>0.89772635423639802</v>
      </c>
      <c r="D1386">
        <v>0.98409431514013002</v>
      </c>
      <c r="E1386">
        <v>0.70996042741090004</v>
      </c>
      <c r="F1386">
        <v>0.42105122999751698</v>
      </c>
      <c r="G1386">
        <v>0.24271076423458199</v>
      </c>
      <c r="H1386">
        <v>0.126788722975155</v>
      </c>
      <c r="I1386">
        <v>0.15579894750691001</v>
      </c>
      <c r="J1386">
        <v>4.9525725403896999E-2</v>
      </c>
      <c r="K1386">
        <v>4.43221196999092E-2</v>
      </c>
      <c r="L1386">
        <v>827.69801798945696</v>
      </c>
      <c r="M1386">
        <v>16.896728440261001</v>
      </c>
      <c r="N1386">
        <v>49.366891634566002</v>
      </c>
      <c r="O1386">
        <v>48.3149648230089</v>
      </c>
      <c r="P1386">
        <v>-8.2088129034206994E-2</v>
      </c>
      <c r="Q1386">
        <v>6.1158861712067802E-2</v>
      </c>
      <c r="R1386">
        <v>0.98782882353985602</v>
      </c>
      <c r="S1386" t="s">
        <v>6937</v>
      </c>
      <c r="T1386" t="s">
        <v>11100</v>
      </c>
      <c r="U1386" t="s">
        <v>11100</v>
      </c>
      <c r="V1386" t="s">
        <v>11100</v>
      </c>
      <c r="W1386" t="s">
        <v>12454</v>
      </c>
      <c r="X1386">
        <v>2</v>
      </c>
      <c r="Y1386" t="s">
        <v>17946</v>
      </c>
      <c r="Z1386" t="s">
        <v>23391</v>
      </c>
      <c r="AA1386">
        <v>0.4528871650321637</v>
      </c>
      <c r="AB1386" t="str">
        <f>HYPERLINK("Melting_Curves/meltCurve_O43913_2_ORC5.pdf", "Melting_Curves/meltCurve_O43913_2_ORC5.pdf")</f>
        <v>Melting_Curves/meltCurve_O43913_2_ORC5.pdf</v>
      </c>
    </row>
    <row r="1387" spans="1:28" x14ac:dyDescent="0.25">
      <c r="A1387" t="s">
        <v>1391</v>
      </c>
      <c r="B1387">
        <v>0.99299721793515405</v>
      </c>
      <c r="C1387">
        <v>1.05897130145969</v>
      </c>
      <c r="D1387">
        <v>1.1072938198273701</v>
      </c>
      <c r="E1387">
        <v>0.99201644122903498</v>
      </c>
      <c r="F1387">
        <v>0.87317443162151198</v>
      </c>
      <c r="G1387">
        <v>1.2742892720790899</v>
      </c>
      <c r="H1387">
        <v>1.6486935830159899</v>
      </c>
      <c r="I1387">
        <v>1.6575272395680201</v>
      </c>
      <c r="J1387">
        <v>0.79287522479406503</v>
      </c>
      <c r="K1387">
        <v>0.37388857659602198</v>
      </c>
      <c r="L1387">
        <v>15000</v>
      </c>
      <c r="M1387">
        <v>233.30464687791201</v>
      </c>
      <c r="N1387">
        <v>64.675349771309996</v>
      </c>
      <c r="O1387">
        <v>64.288894789904305</v>
      </c>
      <c r="P1387">
        <v>-0.56808708730079904</v>
      </c>
      <c r="Q1387">
        <v>0.37383689129450598</v>
      </c>
      <c r="R1387">
        <v>0.28118175718743699</v>
      </c>
      <c r="S1387" t="s">
        <v>6938</v>
      </c>
      <c r="T1387" t="s">
        <v>11100</v>
      </c>
      <c r="U1387" t="s">
        <v>11100</v>
      </c>
      <c r="V1387" t="s">
        <v>11100</v>
      </c>
      <c r="W1387" t="s">
        <v>12455</v>
      </c>
      <c r="X1387">
        <v>4</v>
      </c>
      <c r="Y1387" t="s">
        <v>17947</v>
      </c>
      <c r="Z1387" t="s">
        <v>23392</v>
      </c>
      <c r="AA1387">
        <v>0.94359274841393548</v>
      </c>
      <c r="AB1387" t="str">
        <f>HYPERLINK("Melting_Curves/meltCurve_O43920_NDUFS5.pdf", "Melting_Curves/meltCurve_O43920_NDUFS5.pdf")</f>
        <v>Melting_Curves/meltCurve_O43920_NDUFS5.pdf</v>
      </c>
    </row>
    <row r="1388" spans="1:28" x14ac:dyDescent="0.25">
      <c r="A1388" t="s">
        <v>1392</v>
      </c>
      <c r="B1388">
        <v>0.99299721793515405</v>
      </c>
      <c r="C1388">
        <v>1.1582347731794</v>
      </c>
      <c r="D1388">
        <v>1.2174223681421901</v>
      </c>
      <c r="E1388">
        <v>1.0611288040462801</v>
      </c>
      <c r="F1388">
        <v>0.91413934869853997</v>
      </c>
      <c r="G1388">
        <v>0.50811537955319297</v>
      </c>
      <c r="H1388">
        <v>0.30383184089651599</v>
      </c>
      <c r="I1388">
        <v>0.32126565144792502</v>
      </c>
      <c r="J1388">
        <v>0.20720557441066201</v>
      </c>
      <c r="K1388">
        <v>0.21342875868597699</v>
      </c>
      <c r="L1388">
        <v>1955.0145603418</v>
      </c>
      <c r="M1388">
        <v>36.926941228333497</v>
      </c>
      <c r="N1388">
        <v>53.943975544558398</v>
      </c>
      <c r="O1388">
        <v>52.788228316409402</v>
      </c>
      <c r="P1388">
        <v>-0.131504199459481</v>
      </c>
      <c r="Q1388">
        <v>0.24804461089926499</v>
      </c>
      <c r="R1388">
        <v>0.94558478859141104</v>
      </c>
      <c r="S1388" t="s">
        <v>6939</v>
      </c>
      <c r="T1388" t="s">
        <v>11100</v>
      </c>
      <c r="U1388" t="s">
        <v>11100</v>
      </c>
      <c r="V1388" t="s">
        <v>11100</v>
      </c>
      <c r="W1388" t="s">
        <v>12456</v>
      </c>
      <c r="X1388">
        <v>3</v>
      </c>
      <c r="Y1388" t="s">
        <v>17948</v>
      </c>
      <c r="Z1388" t="s">
        <v>23393</v>
      </c>
      <c r="AA1388">
        <v>0.65086109244974899</v>
      </c>
      <c r="AB1388" t="str">
        <f>HYPERLINK("Melting_Curves/meltCurve_O43929_ORC4.pdf", "Melting_Curves/meltCurve_O43929_ORC4.pdf")</f>
        <v>Melting_Curves/meltCurve_O43929_ORC4.pdf</v>
      </c>
    </row>
    <row r="1389" spans="1:28" x14ac:dyDescent="0.25">
      <c r="A1389" t="s">
        <v>1393</v>
      </c>
      <c r="B1389">
        <v>0.99299721793515405</v>
      </c>
      <c r="C1389">
        <v>0.76638280976380802</v>
      </c>
      <c r="D1389">
        <v>0.72489476527101304</v>
      </c>
      <c r="E1389">
        <v>0.51837860914079703</v>
      </c>
      <c r="F1389">
        <v>0.32034837424580898</v>
      </c>
      <c r="G1389">
        <v>0.139405068469759</v>
      </c>
      <c r="H1389">
        <v>0.21829806195889301</v>
      </c>
      <c r="I1389">
        <v>0.16540631409710799</v>
      </c>
      <c r="J1389">
        <v>0.13650014564294199</v>
      </c>
      <c r="K1389">
        <v>0</v>
      </c>
      <c r="L1389">
        <v>483.36928459317602</v>
      </c>
      <c r="M1389">
        <v>10.4924717361428</v>
      </c>
      <c r="N1389">
        <v>46.520373547114303</v>
      </c>
      <c r="O1389">
        <v>44.489168701130502</v>
      </c>
      <c r="P1389">
        <v>-5.6125167372882999E-2</v>
      </c>
      <c r="Q1389">
        <v>4.84788339118713E-2</v>
      </c>
      <c r="R1389">
        <v>0.96717826018765896</v>
      </c>
      <c r="S1389" t="s">
        <v>6940</v>
      </c>
      <c r="T1389" t="s">
        <v>11100</v>
      </c>
      <c r="U1389" t="s">
        <v>11100</v>
      </c>
      <c r="V1389" t="s">
        <v>11100</v>
      </c>
      <c r="W1389" t="s">
        <v>12457</v>
      </c>
      <c r="X1389">
        <v>4</v>
      </c>
      <c r="Y1389" t="s">
        <v>17949</v>
      </c>
      <c r="Z1389" t="s">
        <v>23394</v>
      </c>
      <c r="AA1389">
        <v>0.37679231787856521</v>
      </c>
      <c r="AB1389" t="str">
        <f>HYPERLINK("Melting_Curves/meltCurve_O43933_PEX1.pdf", "Melting_Curves/meltCurve_O43933_PEX1.pdf")</f>
        <v>Melting_Curves/meltCurve_O43933_PEX1.pdf</v>
      </c>
    </row>
    <row r="1390" spans="1:28" x14ac:dyDescent="0.25">
      <c r="A1390" t="s">
        <v>1394</v>
      </c>
      <c r="B1390">
        <v>0.99299721793515405</v>
      </c>
      <c r="C1390">
        <v>0.99352069729660797</v>
      </c>
      <c r="D1390">
        <v>0.95718062753407895</v>
      </c>
      <c r="E1390">
        <v>0.97449592169269295</v>
      </c>
      <c r="F1390">
        <v>0.89091951207159104</v>
      </c>
      <c r="G1390">
        <v>0.76912479044439097</v>
      </c>
      <c r="H1390">
        <v>0.775840528551062</v>
      </c>
      <c r="I1390">
        <v>0.86856667680487398</v>
      </c>
      <c r="J1390">
        <v>0.997249136644344</v>
      </c>
      <c r="K1390">
        <v>0.81293349923777303</v>
      </c>
      <c r="L1390">
        <v>2206.4876290470202</v>
      </c>
      <c r="M1390">
        <v>45.284834678520802</v>
      </c>
      <c r="O1390">
        <v>48.629917635506203</v>
      </c>
      <c r="P1390">
        <v>-3.5784662858924697E-2</v>
      </c>
      <c r="Q1390">
        <v>0.84628823460500902</v>
      </c>
      <c r="R1390">
        <v>0.50775401873998904</v>
      </c>
      <c r="S1390" t="s">
        <v>6941</v>
      </c>
      <c r="T1390" t="s">
        <v>11100</v>
      </c>
      <c r="U1390" t="s">
        <v>11100</v>
      </c>
      <c r="V1390" t="s">
        <v>11100</v>
      </c>
      <c r="W1390" t="s">
        <v>12458</v>
      </c>
      <c r="X1390">
        <v>9</v>
      </c>
      <c r="Y1390" t="s">
        <v>17950</v>
      </c>
      <c r="Z1390" t="s">
        <v>23395</v>
      </c>
      <c r="AA1390">
        <v>0.90676531179083786</v>
      </c>
      <c r="AB1390" t="str">
        <f>HYPERLINK("Melting_Curves/meltCurve_O60220_TIMM8A.pdf", "Melting_Curves/meltCurve_O60220_TIMM8A.pdf")</f>
        <v>Melting_Curves/meltCurve_O60220_TIMM8A.pdf</v>
      </c>
    </row>
    <row r="1391" spans="1:28" x14ac:dyDescent="0.25">
      <c r="A1391" t="s">
        <v>1395</v>
      </c>
      <c r="B1391">
        <v>0.99299721793515405</v>
      </c>
      <c r="C1391">
        <v>0.91191073306215498</v>
      </c>
      <c r="D1391">
        <v>0.87564995818757996</v>
      </c>
      <c r="E1391">
        <v>0.77651130678182301</v>
      </c>
      <c r="F1391">
        <v>0.62652257567018399</v>
      </c>
      <c r="G1391">
        <v>0.320910887052268</v>
      </c>
      <c r="H1391">
        <v>0.20596620979376501</v>
      </c>
      <c r="I1391">
        <v>0.21976396369701001</v>
      </c>
      <c r="J1391">
        <v>0.215423266719111</v>
      </c>
      <c r="K1391">
        <v>0.184089354524483</v>
      </c>
      <c r="L1391">
        <v>711.88812562278304</v>
      </c>
      <c r="M1391">
        <v>14.2832820559337</v>
      </c>
      <c r="N1391">
        <v>51.122263551349398</v>
      </c>
      <c r="O1391">
        <v>48.894222586382</v>
      </c>
      <c r="P1391">
        <v>-6.20487202584252E-2</v>
      </c>
      <c r="Q1391">
        <v>0.15048860190982299</v>
      </c>
      <c r="R1391">
        <v>0.98175814937661299</v>
      </c>
      <c r="S1391" t="s">
        <v>6942</v>
      </c>
      <c r="T1391" t="s">
        <v>11100</v>
      </c>
      <c r="U1391" t="s">
        <v>11100</v>
      </c>
      <c r="V1391" t="s">
        <v>11100</v>
      </c>
      <c r="W1391" t="s">
        <v>12459</v>
      </c>
      <c r="X1391">
        <v>12</v>
      </c>
      <c r="Y1391" t="s">
        <v>17951</v>
      </c>
      <c r="Z1391" t="s">
        <v>23396</v>
      </c>
      <c r="AA1391">
        <v>0.53324711637867683</v>
      </c>
      <c r="AB1391" t="str">
        <f>HYPERLINK("Melting_Curves/meltCurve_O60231_DHX16.pdf", "Melting_Curves/meltCurve_O60231_DHX16.pdf")</f>
        <v>Melting_Curves/meltCurve_O60231_DHX16.pdf</v>
      </c>
    </row>
    <row r="1392" spans="1:28" x14ac:dyDescent="0.25">
      <c r="A1392" t="s">
        <v>1396</v>
      </c>
      <c r="B1392">
        <v>0.99299721793515405</v>
      </c>
      <c r="C1392">
        <v>1.1147926959971599</v>
      </c>
      <c r="D1392">
        <v>1.0316837062489499</v>
      </c>
      <c r="E1392">
        <v>0.98248738414787895</v>
      </c>
      <c r="F1392">
        <v>0.89239315711383704</v>
      </c>
      <c r="G1392">
        <v>1.06193467930612</v>
      </c>
      <c r="H1392">
        <v>1.10740560297381</v>
      </c>
      <c r="I1392">
        <v>1.5338438793087401</v>
      </c>
      <c r="J1392">
        <v>0.63428218693354499</v>
      </c>
      <c r="K1392">
        <v>0.247722938438285</v>
      </c>
      <c r="L1392">
        <v>15000</v>
      </c>
      <c r="M1392">
        <v>233.95377306871299</v>
      </c>
      <c r="N1392">
        <v>64.303232086258006</v>
      </c>
      <c r="O1392">
        <v>64.110540753228307</v>
      </c>
      <c r="P1392">
        <v>-0.68633892014161302</v>
      </c>
      <c r="Q1392">
        <v>0.247687922760507</v>
      </c>
      <c r="R1392">
        <v>0.67678551219217098</v>
      </c>
      <c r="S1392" t="s">
        <v>6943</v>
      </c>
      <c r="T1392" t="s">
        <v>11100</v>
      </c>
      <c r="U1392" t="s">
        <v>11100</v>
      </c>
      <c r="V1392" t="s">
        <v>11100</v>
      </c>
      <c r="W1392" t="s">
        <v>12460</v>
      </c>
      <c r="X1392">
        <v>9</v>
      </c>
      <c r="Y1392" t="s">
        <v>17952</v>
      </c>
      <c r="Z1392" t="s">
        <v>23397</v>
      </c>
      <c r="AA1392">
        <v>0.92775477096969461</v>
      </c>
      <c r="AB1392" t="str">
        <f>HYPERLINK("Melting_Curves/meltCurve_O60256_PRPSAP2.pdf", "Melting_Curves/meltCurve_O60256_PRPSAP2.pdf")</f>
        <v>Melting_Curves/meltCurve_O60256_PRPSAP2.pdf</v>
      </c>
    </row>
    <row r="1393" spans="1:28" x14ac:dyDescent="0.25">
      <c r="A1393" t="s">
        <v>1397</v>
      </c>
      <c r="B1393">
        <v>0.99299721793515405</v>
      </c>
      <c r="C1393">
        <v>0.93829619326122404</v>
      </c>
      <c r="D1393">
        <v>1.0772099164623601</v>
      </c>
      <c r="E1393">
        <v>0.71216357275975295</v>
      </c>
      <c r="F1393">
        <v>0.74422330457042596</v>
      </c>
      <c r="G1393">
        <v>0.96199595091200596</v>
      </c>
      <c r="H1393">
        <v>0.52644619607068699</v>
      </c>
      <c r="I1393">
        <v>0.37715682917035098</v>
      </c>
      <c r="J1393">
        <v>0.51233221358124703</v>
      </c>
      <c r="K1393">
        <v>0.25553998951981199</v>
      </c>
      <c r="L1393">
        <v>451.22284951102603</v>
      </c>
      <c r="M1393">
        <v>7.4786871484361503</v>
      </c>
      <c r="N1393">
        <v>60.334498439330503</v>
      </c>
      <c r="O1393">
        <v>56.472253437910602</v>
      </c>
      <c r="P1393">
        <v>-3.3155901346477903E-2</v>
      </c>
      <c r="Q1393">
        <v>0</v>
      </c>
      <c r="R1393">
        <v>0.78616565412126005</v>
      </c>
      <c r="S1393" t="s">
        <v>6944</v>
      </c>
      <c r="T1393" t="s">
        <v>11100</v>
      </c>
      <c r="U1393" t="s">
        <v>11100</v>
      </c>
      <c r="V1393" t="s">
        <v>11100</v>
      </c>
      <c r="W1393" t="s">
        <v>12461</v>
      </c>
      <c r="X1393">
        <v>2</v>
      </c>
      <c r="Y1393" t="s">
        <v>17953</v>
      </c>
      <c r="Z1393" t="s">
        <v>23398</v>
      </c>
      <c r="AA1393">
        <v>0.72444811655882768</v>
      </c>
      <c r="AB1393" t="str">
        <f>HYPERLINK("Melting_Curves/meltCurve_O60262_GNG7.pdf", "Melting_Curves/meltCurve_O60262_GNG7.pdf")</f>
        <v>Melting_Curves/meltCurve_O60262_GNG7.pdf</v>
      </c>
    </row>
    <row r="1394" spans="1:28" x14ac:dyDescent="0.25">
      <c r="A1394" t="s">
        <v>1398</v>
      </c>
      <c r="B1394">
        <v>0.99299721793515405</v>
      </c>
      <c r="C1394">
        <v>0.95319693541565798</v>
      </c>
      <c r="D1394">
        <v>0.99264377967152895</v>
      </c>
      <c r="E1394">
        <v>0.85187696404457103</v>
      </c>
      <c r="F1394">
        <v>0.78903912563488898</v>
      </c>
      <c r="G1394">
        <v>0.47821504400662901</v>
      </c>
      <c r="H1394">
        <v>0.28979419480065199</v>
      </c>
      <c r="I1394">
        <v>0.25529073919443401</v>
      </c>
      <c r="J1394">
        <v>0.230525293159624</v>
      </c>
      <c r="K1394">
        <v>0.18223503560573401</v>
      </c>
      <c r="L1394">
        <v>922.33039960628503</v>
      </c>
      <c r="M1394">
        <v>17.628330547340301</v>
      </c>
      <c r="N1394">
        <v>53.659532796776098</v>
      </c>
      <c r="O1394">
        <v>51.661545596057501</v>
      </c>
      <c r="P1394">
        <v>-7.0133971914428703E-2</v>
      </c>
      <c r="Q1394">
        <v>0.177906069162518</v>
      </c>
      <c r="R1394">
        <v>0.98981652354689798</v>
      </c>
      <c r="S1394" t="s">
        <v>6945</v>
      </c>
      <c r="T1394" t="s">
        <v>11100</v>
      </c>
      <c r="U1394" t="s">
        <v>11100</v>
      </c>
      <c r="V1394" t="s">
        <v>11100</v>
      </c>
      <c r="W1394" t="s">
        <v>12462</v>
      </c>
      <c r="X1394">
        <v>43</v>
      </c>
      <c r="Y1394" t="s">
        <v>17954</v>
      </c>
      <c r="Z1394" t="s">
        <v>23399</v>
      </c>
      <c r="AA1394">
        <v>0.61039967882743962</v>
      </c>
      <c r="AB1394" t="str">
        <f>HYPERLINK("Melting_Curves/meltCurve_O60271_4_SPAG9.pdf", "Melting_Curves/meltCurve_O60271_4_SPAG9.pdf")</f>
        <v>Melting_Curves/meltCurve_O60271_4_SPAG9.pdf</v>
      </c>
    </row>
    <row r="1395" spans="1:28" x14ac:dyDescent="0.25">
      <c r="A1395" t="s">
        <v>1399</v>
      </c>
      <c r="B1395">
        <v>0.99299721793515405</v>
      </c>
      <c r="C1395">
        <v>0.86887059513097598</v>
      </c>
      <c r="D1395">
        <v>1.0057358479915901</v>
      </c>
      <c r="E1395">
        <v>0.84610613057398298</v>
      </c>
      <c r="F1395">
        <v>0.74451687879715001</v>
      </c>
      <c r="G1395">
        <v>0.55900137184206999</v>
      </c>
      <c r="H1395">
        <v>0.53731466263661098</v>
      </c>
      <c r="I1395">
        <v>0.59656354161986602</v>
      </c>
      <c r="J1395">
        <v>0.62851467443775699</v>
      </c>
      <c r="K1395">
        <v>0.55806924776686795</v>
      </c>
      <c r="L1395">
        <v>1075.1604745493501</v>
      </c>
      <c r="M1395">
        <v>22.2518737731253</v>
      </c>
      <c r="O1395">
        <v>47.932577027071197</v>
      </c>
      <c r="P1395">
        <v>-4.9897152161507398E-2</v>
      </c>
      <c r="Q1395">
        <v>0.57007685431849697</v>
      </c>
      <c r="R1395">
        <v>0.90649903155827305</v>
      </c>
      <c r="S1395" t="s">
        <v>6946</v>
      </c>
      <c r="T1395" t="s">
        <v>11100</v>
      </c>
      <c r="U1395" t="s">
        <v>11100</v>
      </c>
      <c r="V1395" t="s">
        <v>11100</v>
      </c>
      <c r="W1395" t="s">
        <v>12463</v>
      </c>
      <c r="X1395">
        <v>6</v>
      </c>
      <c r="Y1395" t="s">
        <v>17955</v>
      </c>
      <c r="Z1395" t="s">
        <v>23400</v>
      </c>
      <c r="AA1395">
        <v>0.73688649757922586</v>
      </c>
      <c r="AB1395" t="str">
        <f>HYPERLINK("Melting_Curves/meltCurve_O60279_SUSD5.pdf", "Melting_Curves/meltCurve_O60279_SUSD5.pdf")</f>
        <v>Melting_Curves/meltCurve_O60279_SUSD5.pdf</v>
      </c>
    </row>
    <row r="1396" spans="1:28" x14ac:dyDescent="0.25">
      <c r="A1396" t="s">
        <v>1400</v>
      </c>
      <c r="B1396">
        <v>0.99299721793515405</v>
      </c>
      <c r="C1396">
        <v>1.0050653432831</v>
      </c>
      <c r="D1396">
        <v>0.73823170502676905</v>
      </c>
      <c r="E1396">
        <v>0.89419246336776803</v>
      </c>
      <c r="F1396">
        <v>0.83617417835229202</v>
      </c>
      <c r="G1396">
        <v>0.26067920277776002</v>
      </c>
      <c r="H1396">
        <v>0.22598552980407699</v>
      </c>
      <c r="I1396">
        <v>0.19121126218302201</v>
      </c>
      <c r="J1396">
        <v>0.181102422138956</v>
      </c>
      <c r="K1396">
        <v>0.16916421864108999</v>
      </c>
      <c r="L1396">
        <v>2632.17850393049</v>
      </c>
      <c r="M1396">
        <v>51.113913142338603</v>
      </c>
      <c r="N1396">
        <v>51.978326002702303</v>
      </c>
      <c r="O1396">
        <v>51.417683746954701</v>
      </c>
      <c r="P1396">
        <v>-0.20161612367023299</v>
      </c>
      <c r="Q1396">
        <v>0.188743367262866</v>
      </c>
      <c r="R1396">
        <v>0.93481154439710901</v>
      </c>
      <c r="S1396" t="s">
        <v>6947</v>
      </c>
      <c r="T1396" t="s">
        <v>11100</v>
      </c>
      <c r="U1396" t="s">
        <v>11100</v>
      </c>
      <c r="V1396" t="s">
        <v>11100</v>
      </c>
      <c r="W1396" t="s">
        <v>12464</v>
      </c>
      <c r="X1396">
        <v>12</v>
      </c>
      <c r="Y1396" t="s">
        <v>17956</v>
      </c>
      <c r="Z1396" t="s">
        <v>23401</v>
      </c>
      <c r="AA1396">
        <v>0.58251382894825687</v>
      </c>
      <c r="AB1396" t="str">
        <f>HYPERLINK("Melting_Curves/meltCurve_O60282_KIF5C.pdf", "Melting_Curves/meltCurve_O60282_KIF5C.pdf")</f>
        <v>Melting_Curves/meltCurve_O60282_KIF5C.pdf</v>
      </c>
    </row>
    <row r="1397" spans="1:28" x14ac:dyDescent="0.25">
      <c r="A1397" t="s">
        <v>1401</v>
      </c>
      <c r="B1397">
        <v>0.99299721793515405</v>
      </c>
      <c r="C1397">
        <v>0.87003764093557401</v>
      </c>
      <c r="D1397">
        <v>0.88163816482608603</v>
      </c>
      <c r="E1397">
        <v>0.75764900471038099</v>
      </c>
      <c r="F1397">
        <v>0.70218501157874902</v>
      </c>
      <c r="G1397">
        <v>0.46600212707791799</v>
      </c>
      <c r="H1397">
        <v>0.36017768450069398</v>
      </c>
      <c r="I1397">
        <v>0.24992989311393499</v>
      </c>
      <c r="J1397">
        <v>0.203214288165599</v>
      </c>
      <c r="K1397">
        <v>0.19801560411105201</v>
      </c>
      <c r="L1397">
        <v>428.52098513074901</v>
      </c>
      <c r="M1397">
        <v>7.9952360990240301</v>
      </c>
      <c r="N1397">
        <v>53.597039514366401</v>
      </c>
      <c r="O1397">
        <v>50.555743579143801</v>
      </c>
      <c r="P1397">
        <v>-3.9581549115973703E-2</v>
      </c>
      <c r="Q1397">
        <v>0</v>
      </c>
      <c r="R1397">
        <v>0.98503563939104899</v>
      </c>
      <c r="S1397" t="s">
        <v>6948</v>
      </c>
      <c r="T1397" t="s">
        <v>11100</v>
      </c>
      <c r="U1397" t="s">
        <v>11100</v>
      </c>
      <c r="V1397" t="s">
        <v>11100</v>
      </c>
      <c r="W1397" t="s">
        <v>12465</v>
      </c>
      <c r="X1397">
        <v>8</v>
      </c>
      <c r="Y1397" t="s">
        <v>17957</v>
      </c>
      <c r="Z1397" t="s">
        <v>23402</v>
      </c>
      <c r="AA1397">
        <v>0.57081025427726473</v>
      </c>
      <c r="AB1397" t="str">
        <f>HYPERLINK("Melting_Curves/meltCurve_O60333_2_KIF1B.pdf", "Melting_Curves/meltCurve_O60333_2_KIF1B.pdf")</f>
        <v>Melting_Curves/meltCurve_O60333_2_KIF1B.pdf</v>
      </c>
    </row>
    <row r="1398" spans="1:28" x14ac:dyDescent="0.25">
      <c r="A1398" t="s">
        <v>1402</v>
      </c>
      <c r="B1398">
        <v>0.99299721793515405</v>
      </c>
      <c r="C1398">
        <v>0.84229503901776204</v>
      </c>
      <c r="D1398">
        <v>0.84221647390388099</v>
      </c>
      <c r="E1398">
        <v>0.86231723250874504</v>
      </c>
      <c r="F1398">
        <v>0.65626637610996197</v>
      </c>
      <c r="G1398">
        <v>0.558478283061145</v>
      </c>
      <c r="H1398">
        <v>0.28183283384077801</v>
      </c>
      <c r="I1398">
        <v>0.24641994880624801</v>
      </c>
      <c r="J1398">
        <v>0.209011830609802</v>
      </c>
      <c r="K1398">
        <v>0.173529879900261</v>
      </c>
      <c r="L1398">
        <v>463.32990613227798</v>
      </c>
      <c r="M1398">
        <v>8.6185931591127698</v>
      </c>
      <c r="N1398">
        <v>53.759367385195297</v>
      </c>
      <c r="O1398">
        <v>51.100015407452901</v>
      </c>
      <c r="P1398">
        <v>-4.22013780412357E-2</v>
      </c>
      <c r="Q1398">
        <v>0</v>
      </c>
      <c r="R1398">
        <v>0.96414493951230096</v>
      </c>
      <c r="S1398" t="s">
        <v>6949</v>
      </c>
      <c r="T1398" t="s">
        <v>11100</v>
      </c>
      <c r="U1398" t="s">
        <v>11100</v>
      </c>
      <c r="V1398" t="s">
        <v>11100</v>
      </c>
      <c r="W1398" t="s">
        <v>12466</v>
      </c>
      <c r="X1398">
        <v>6</v>
      </c>
      <c r="Y1398" t="s">
        <v>17958</v>
      </c>
      <c r="Z1398" t="s">
        <v>23403</v>
      </c>
      <c r="AA1398">
        <v>0.57615516445150128</v>
      </c>
      <c r="AB1398" t="str">
        <f>HYPERLINK("Melting_Curves/meltCurve_O60343_2_TBC1D4.pdf", "Melting_Curves/meltCurve_O60343_2_TBC1D4.pdf")</f>
        <v>Melting_Curves/meltCurve_O60343_2_TBC1D4.pdf</v>
      </c>
    </row>
    <row r="1399" spans="1:28" x14ac:dyDescent="0.25">
      <c r="A1399" t="s">
        <v>1403</v>
      </c>
      <c r="B1399">
        <v>0.99299721793515405</v>
      </c>
      <c r="C1399">
        <v>0.967335865665084</v>
      </c>
      <c r="D1399">
        <v>0.90977810818878002</v>
      </c>
      <c r="E1399">
        <v>0.89299435590968201</v>
      </c>
      <c r="F1399">
        <v>0.56816881833384103</v>
      </c>
      <c r="G1399">
        <v>0.23264291755125499</v>
      </c>
      <c r="H1399">
        <v>0.189610419914647</v>
      </c>
      <c r="I1399">
        <v>0.14122188413633499</v>
      </c>
      <c r="J1399">
        <v>0.15118109633757501</v>
      </c>
      <c r="K1399">
        <v>0.13651625091677799</v>
      </c>
      <c r="L1399">
        <v>1288.04428507174</v>
      </c>
      <c r="M1399">
        <v>25.7321185224971</v>
      </c>
      <c r="N1399">
        <v>50.697546852767303</v>
      </c>
      <c r="O1399">
        <v>49.756519322399697</v>
      </c>
      <c r="P1399">
        <v>-0.11132254978874601</v>
      </c>
      <c r="Q1399">
        <v>0.13898170758072301</v>
      </c>
      <c r="R1399">
        <v>0.9934784129991</v>
      </c>
      <c r="S1399" t="s">
        <v>6950</v>
      </c>
      <c r="T1399" t="s">
        <v>11100</v>
      </c>
      <c r="U1399" t="s">
        <v>11100</v>
      </c>
      <c r="V1399" t="s">
        <v>11100</v>
      </c>
      <c r="W1399" t="s">
        <v>12467</v>
      </c>
      <c r="X1399">
        <v>2</v>
      </c>
      <c r="Y1399" t="s">
        <v>17959</v>
      </c>
      <c r="Z1399" t="s">
        <v>23404</v>
      </c>
      <c r="AA1399">
        <v>0.52082406960368965</v>
      </c>
      <c r="AB1399" t="str">
        <f>HYPERLINK("Melting_Curves/meltCurve_O60344_4_ECE2.pdf", "Melting_Curves/meltCurve_O60344_4_ECE2.pdf")</f>
        <v>Melting_Curves/meltCurve_O60344_4_ECE2.pdf</v>
      </c>
    </row>
    <row r="1400" spans="1:28" x14ac:dyDescent="0.25">
      <c r="A1400" t="s">
        <v>1404</v>
      </c>
      <c r="B1400">
        <v>0.99299721793515405</v>
      </c>
      <c r="C1400">
        <v>0.876094274028832</v>
      </c>
      <c r="D1400">
        <v>0.95512924894004603</v>
      </c>
      <c r="E1400">
        <v>0.88003120945690305</v>
      </c>
      <c r="F1400">
        <v>0.79928412260374604</v>
      </c>
      <c r="G1400">
        <v>0.40456584999263001</v>
      </c>
      <c r="H1400">
        <v>0.30576582051632401</v>
      </c>
      <c r="I1400">
        <v>0.180476253934477</v>
      </c>
      <c r="J1400">
        <v>0.22352070641233401</v>
      </c>
      <c r="K1400">
        <v>0.14654178151077299</v>
      </c>
      <c r="L1400">
        <v>1045.0539460103</v>
      </c>
      <c r="M1400">
        <v>20.035562651750599</v>
      </c>
      <c r="N1400">
        <v>53.193678893465801</v>
      </c>
      <c r="O1400">
        <v>51.648650883113902</v>
      </c>
      <c r="P1400">
        <v>-8.1344273379690704E-2</v>
      </c>
      <c r="Q1400">
        <v>0.161253847505197</v>
      </c>
      <c r="R1400">
        <v>0.97409524468589503</v>
      </c>
      <c r="S1400" t="s">
        <v>6951</v>
      </c>
      <c r="T1400" t="s">
        <v>11100</v>
      </c>
      <c r="U1400" t="s">
        <v>11100</v>
      </c>
      <c r="V1400" t="s">
        <v>11100</v>
      </c>
      <c r="W1400" t="s">
        <v>12468</v>
      </c>
      <c r="X1400">
        <v>4</v>
      </c>
      <c r="Y1400" t="s">
        <v>17960</v>
      </c>
      <c r="Z1400" t="s">
        <v>23405</v>
      </c>
      <c r="AA1400">
        <v>0.59586707227567248</v>
      </c>
      <c r="AB1400" t="str">
        <f>HYPERLINK("Melting_Curves/meltCurve_O60347_TBC1D12.pdf", "Melting_Curves/meltCurve_O60347_TBC1D12.pdf")</f>
        <v>Melting_Curves/meltCurve_O60347_TBC1D12.pdf</v>
      </c>
    </row>
    <row r="1401" spans="1:28" x14ac:dyDescent="0.25">
      <c r="A1401" t="s">
        <v>1405</v>
      </c>
      <c r="B1401">
        <v>0.99299721793515405</v>
      </c>
      <c r="C1401">
        <v>0.84543225805031796</v>
      </c>
      <c r="D1401">
        <v>0.84837843470394003</v>
      </c>
      <c r="E1401">
        <v>0.70974873377464098</v>
      </c>
      <c r="F1401">
        <v>0.56001749512741605</v>
      </c>
      <c r="G1401">
        <v>0.25394067566949802</v>
      </c>
      <c r="H1401">
        <v>0.24298436339173901</v>
      </c>
      <c r="I1401">
        <v>0.28868472944718698</v>
      </c>
      <c r="J1401">
        <v>0.26683576374253498</v>
      </c>
      <c r="K1401">
        <v>0.260568125215002</v>
      </c>
      <c r="L1401">
        <v>631.75046038978496</v>
      </c>
      <c r="M1401">
        <v>13.2168577721992</v>
      </c>
      <c r="N1401">
        <v>49.934680265717901</v>
      </c>
      <c r="O1401">
        <v>46.744343029855798</v>
      </c>
      <c r="P1401">
        <v>-5.5434028244887398E-2</v>
      </c>
      <c r="Q1401">
        <v>0.21591103694692301</v>
      </c>
      <c r="R1401">
        <v>0.95873301890973395</v>
      </c>
      <c r="S1401" t="s">
        <v>6952</v>
      </c>
      <c r="T1401" t="s">
        <v>11100</v>
      </c>
      <c r="U1401" t="s">
        <v>11100</v>
      </c>
      <c r="V1401" t="s">
        <v>11100</v>
      </c>
      <c r="W1401" t="s">
        <v>12469</v>
      </c>
      <c r="X1401">
        <v>2</v>
      </c>
      <c r="Y1401" t="s">
        <v>17961</v>
      </c>
      <c r="Z1401" t="s">
        <v>23406</v>
      </c>
      <c r="AA1401">
        <v>0.51951991826415533</v>
      </c>
      <c r="AB1401" t="str">
        <f>HYPERLINK("Melting_Curves/meltCurve_O60353_2_FZD6.pdf", "Melting_Curves/meltCurve_O60353_2_FZD6.pdf")</f>
        <v>Melting_Curves/meltCurve_O60353_2_FZD6.pdf</v>
      </c>
    </row>
    <row r="1402" spans="1:28" x14ac:dyDescent="0.25">
      <c r="A1402" t="s">
        <v>1406</v>
      </c>
      <c r="B1402">
        <v>0.99299721793515405</v>
      </c>
      <c r="C1402">
        <v>0.94922211695490599</v>
      </c>
      <c r="D1402">
        <v>0.93048344496042101</v>
      </c>
      <c r="E1402">
        <v>0.83085297831794602</v>
      </c>
      <c r="F1402">
        <v>0.72301626102379701</v>
      </c>
      <c r="G1402">
        <v>0.58938932356624996</v>
      </c>
      <c r="H1402">
        <v>0.70408697505345696</v>
      </c>
      <c r="I1402">
        <v>0.86851747461168005</v>
      </c>
      <c r="J1402">
        <v>0.82289607238167395</v>
      </c>
      <c r="K1402">
        <v>0.68192467869278695</v>
      </c>
      <c r="L1402">
        <v>1179.04844339839</v>
      </c>
      <c r="M1402">
        <v>26.289956685343501</v>
      </c>
      <c r="O1402">
        <v>44.590785661495197</v>
      </c>
      <c r="P1402">
        <v>-3.9557045553853101E-2</v>
      </c>
      <c r="Q1402">
        <v>0.73162975509408701</v>
      </c>
      <c r="R1402">
        <v>0.64931828690308402</v>
      </c>
      <c r="S1402" t="s">
        <v>6953</v>
      </c>
      <c r="T1402" t="s">
        <v>11100</v>
      </c>
      <c r="U1402" t="s">
        <v>11100</v>
      </c>
      <c r="V1402" t="s">
        <v>11100</v>
      </c>
      <c r="W1402" t="s">
        <v>12470</v>
      </c>
      <c r="X1402">
        <v>13</v>
      </c>
      <c r="Y1402" t="s">
        <v>17962</v>
      </c>
      <c r="Z1402" t="s">
        <v>23407</v>
      </c>
      <c r="AA1402">
        <v>0.803814409296155</v>
      </c>
      <c r="AB1402" t="str">
        <f>HYPERLINK("Melting_Curves/meltCurve_O60361_NME2P1.pdf", "Melting_Curves/meltCurve_O60361_NME2P1.pdf")</f>
        <v>Melting_Curves/meltCurve_O60361_NME2P1.pdf</v>
      </c>
    </row>
    <row r="1403" spans="1:28" x14ac:dyDescent="0.25">
      <c r="A1403" t="s">
        <v>1407</v>
      </c>
      <c r="B1403">
        <v>0.99299721793515405</v>
      </c>
      <c r="C1403">
        <v>0.97755481845439895</v>
      </c>
      <c r="D1403">
        <v>0.96534038638022102</v>
      </c>
      <c r="E1403">
        <v>0.86552024849296505</v>
      </c>
      <c r="F1403">
        <v>0.72743382207742202</v>
      </c>
      <c r="G1403">
        <v>0.55208724659773001</v>
      </c>
      <c r="H1403">
        <v>0.36966446411662801</v>
      </c>
      <c r="I1403">
        <v>0.28345268058620099</v>
      </c>
      <c r="J1403">
        <v>0.18638683968890299</v>
      </c>
      <c r="K1403">
        <v>0.15425103523542899</v>
      </c>
      <c r="L1403">
        <v>614.671450295</v>
      </c>
      <c r="M1403">
        <v>11.3462885901088</v>
      </c>
      <c r="N1403">
        <v>54.763673231006202</v>
      </c>
      <c r="O1403">
        <v>52.572829517065799</v>
      </c>
      <c r="P1403">
        <v>-5.0866738231407999E-2</v>
      </c>
      <c r="Q1403">
        <v>5.75213482656146E-2</v>
      </c>
      <c r="R1403">
        <v>0.999127986942974</v>
      </c>
      <c r="S1403" t="s">
        <v>6954</v>
      </c>
      <c r="T1403" t="s">
        <v>11100</v>
      </c>
      <c r="U1403" t="s">
        <v>11100</v>
      </c>
      <c r="V1403" t="s">
        <v>11100</v>
      </c>
      <c r="W1403" t="s">
        <v>12471</v>
      </c>
      <c r="X1403">
        <v>4</v>
      </c>
      <c r="Y1403" t="s">
        <v>17963</v>
      </c>
      <c r="Z1403" t="s">
        <v>23408</v>
      </c>
      <c r="AA1403">
        <v>0.61337309482569369</v>
      </c>
      <c r="AB1403" t="str">
        <f>HYPERLINK("Melting_Curves/meltCurve_O60427_FADS1.pdf", "Melting_Curves/meltCurve_O60427_FADS1.pdf")</f>
        <v>Melting_Curves/meltCurve_O60427_FADS1.pdf</v>
      </c>
    </row>
    <row r="1404" spans="1:28" x14ac:dyDescent="0.25">
      <c r="A1404" t="s">
        <v>1408</v>
      </c>
      <c r="B1404">
        <v>0.99299721793515405</v>
      </c>
      <c r="C1404">
        <v>1.10067773381168</v>
      </c>
      <c r="D1404">
        <v>1.06582745298785</v>
      </c>
      <c r="E1404">
        <v>0.91787517352492498</v>
      </c>
      <c r="F1404">
        <v>0.82825228570187104</v>
      </c>
      <c r="G1404">
        <v>0.54315378144039905</v>
      </c>
      <c r="H1404">
        <v>0.61558793982368099</v>
      </c>
      <c r="I1404">
        <v>0.749968922593231</v>
      </c>
      <c r="J1404">
        <v>0.77363690234913096</v>
      </c>
      <c r="K1404">
        <v>0.42976534874309202</v>
      </c>
      <c r="L1404">
        <v>12559.087320955599</v>
      </c>
      <c r="M1404">
        <v>250</v>
      </c>
      <c r="O1404">
        <v>50.233134503807101</v>
      </c>
      <c r="P1404">
        <v>-0.46978133472629302</v>
      </c>
      <c r="Q1404">
        <v>0.62242257694631198</v>
      </c>
      <c r="R1404">
        <v>0.77088087109216996</v>
      </c>
      <c r="S1404" t="s">
        <v>6955</v>
      </c>
      <c r="T1404" t="s">
        <v>11100</v>
      </c>
      <c r="U1404" t="s">
        <v>11100</v>
      </c>
      <c r="V1404" t="s">
        <v>11100</v>
      </c>
      <c r="W1404" t="s">
        <v>12472</v>
      </c>
      <c r="X1404">
        <v>2</v>
      </c>
      <c r="Y1404" t="s">
        <v>17964</v>
      </c>
      <c r="Z1404" t="s">
        <v>23409</v>
      </c>
      <c r="AA1404">
        <v>0.78904742079391876</v>
      </c>
      <c r="AB1404" t="str">
        <f>HYPERLINK("Melting_Curves/meltCurve_O60449_3_LY75.pdf", "Melting_Curves/meltCurve_O60449_3_LY75.pdf")</f>
        <v>Melting_Curves/meltCurve_O60449_3_LY75.pdf</v>
      </c>
    </row>
    <row r="1405" spans="1:28" x14ac:dyDescent="0.25">
      <c r="A1405" t="s">
        <v>1409</v>
      </c>
      <c r="B1405">
        <v>0.99299721793515405</v>
      </c>
      <c r="C1405">
        <v>0.83253968417777402</v>
      </c>
      <c r="D1405">
        <v>1.2810293578306999</v>
      </c>
      <c r="E1405">
        <v>0.78951606073962</v>
      </c>
      <c r="F1405">
        <v>0.95187966213030495</v>
      </c>
      <c r="G1405">
        <v>1.0843560015153799</v>
      </c>
      <c r="H1405">
        <v>0.57510970090396996</v>
      </c>
      <c r="I1405">
        <v>0</v>
      </c>
      <c r="J1405">
        <v>9.7863029918960703E-2</v>
      </c>
      <c r="K1405">
        <v>0.131083604048786</v>
      </c>
      <c r="L1405">
        <v>14359.2047907817</v>
      </c>
      <c r="M1405">
        <v>250</v>
      </c>
      <c r="N1405">
        <v>57.474895095224198</v>
      </c>
      <c r="O1405">
        <v>57.433140931817697</v>
      </c>
      <c r="P1405">
        <v>-1.00517370294033</v>
      </c>
      <c r="Q1405">
        <v>7.6315431267201098E-2</v>
      </c>
      <c r="R1405">
        <v>0.907812855382918</v>
      </c>
      <c r="S1405" t="s">
        <v>6956</v>
      </c>
      <c r="T1405" t="s">
        <v>11100</v>
      </c>
      <c r="U1405" t="s">
        <v>11100</v>
      </c>
      <c r="V1405" t="s">
        <v>11100</v>
      </c>
      <c r="W1405" t="s">
        <v>12473</v>
      </c>
      <c r="X1405">
        <v>5</v>
      </c>
      <c r="Y1405" t="s">
        <v>17965</v>
      </c>
      <c r="Z1405" t="s">
        <v>23410</v>
      </c>
      <c r="AA1405">
        <v>0.70564768917231502</v>
      </c>
      <c r="AB1405" t="str">
        <f>HYPERLINK("Melting_Curves/meltCurve_O60476_MAN1A2.pdf", "Melting_Curves/meltCurve_O60476_MAN1A2.pdf")</f>
        <v>Melting_Curves/meltCurve_O60476_MAN1A2.pdf</v>
      </c>
    </row>
    <row r="1406" spans="1:28" x14ac:dyDescent="0.25">
      <c r="A1406" t="s">
        <v>1410</v>
      </c>
      <c r="B1406">
        <v>0.99299721793515405</v>
      </c>
      <c r="C1406">
        <v>1.0192318310834301</v>
      </c>
      <c r="D1406">
        <v>0.91651883099235398</v>
      </c>
      <c r="E1406">
        <v>0.81918513844795404</v>
      </c>
      <c r="F1406">
        <v>0.52003501436943</v>
      </c>
      <c r="G1406">
        <v>0.24485438840089299</v>
      </c>
      <c r="H1406">
        <v>0.15973632544764599</v>
      </c>
      <c r="I1406">
        <v>0.13565088231071801</v>
      </c>
      <c r="J1406">
        <v>0.114828029550005</v>
      </c>
      <c r="K1406">
        <v>8.9932489391796794E-2</v>
      </c>
      <c r="L1406">
        <v>971.26022457502302</v>
      </c>
      <c r="M1406">
        <v>19.521546566648301</v>
      </c>
      <c r="N1406">
        <v>50.304943261778703</v>
      </c>
      <c r="O1406">
        <v>49.239997543858202</v>
      </c>
      <c r="P1406">
        <v>-8.9566450193407393E-2</v>
      </c>
      <c r="Q1406">
        <v>9.6364209756154104E-2</v>
      </c>
      <c r="R1406">
        <v>0.99740586694101496</v>
      </c>
      <c r="S1406" t="s">
        <v>6957</v>
      </c>
      <c r="T1406" t="s">
        <v>11100</v>
      </c>
      <c r="U1406" t="s">
        <v>11100</v>
      </c>
      <c r="V1406" t="s">
        <v>11100</v>
      </c>
      <c r="W1406" t="s">
        <v>12474</v>
      </c>
      <c r="X1406">
        <v>14</v>
      </c>
      <c r="Y1406" t="s">
        <v>17966</v>
      </c>
      <c r="Z1406" t="s">
        <v>23411</v>
      </c>
      <c r="AA1406">
        <v>0.492931257784747</v>
      </c>
      <c r="AB1406" t="str">
        <f>HYPERLINK("Melting_Curves/meltCurve_O60488_2_ACSL4.pdf", "Melting_Curves/meltCurve_O60488_2_ACSL4.pdf")</f>
        <v>Melting_Curves/meltCurve_O60488_2_ACSL4.pdf</v>
      </c>
    </row>
    <row r="1407" spans="1:28" x14ac:dyDescent="0.25">
      <c r="A1407" t="s">
        <v>1411</v>
      </c>
      <c r="B1407">
        <v>0.99299721793515405</v>
      </c>
      <c r="C1407">
        <v>1.0021928231801001</v>
      </c>
      <c r="D1407">
        <v>0.98344291020983898</v>
      </c>
      <c r="E1407">
        <v>0.96587798246296097</v>
      </c>
      <c r="F1407">
        <v>0.58237320361721301</v>
      </c>
      <c r="G1407">
        <v>0.27705079451671899</v>
      </c>
      <c r="H1407">
        <v>0.160588314308553</v>
      </c>
      <c r="I1407">
        <v>0.14066019050919501</v>
      </c>
      <c r="J1407">
        <v>0.122112373301879</v>
      </c>
      <c r="K1407">
        <v>0.102022805003328</v>
      </c>
      <c r="L1407">
        <v>1439.56738688267</v>
      </c>
      <c r="M1407">
        <v>28.479237098425902</v>
      </c>
      <c r="N1407">
        <v>51.0601129195488</v>
      </c>
      <c r="O1407">
        <v>50.300707065663502</v>
      </c>
      <c r="P1407">
        <v>-0.123960456445497</v>
      </c>
      <c r="Q1407">
        <v>0.124239487175425</v>
      </c>
      <c r="R1407">
        <v>0.99789660827109306</v>
      </c>
      <c r="S1407" t="s">
        <v>6958</v>
      </c>
      <c r="T1407" t="s">
        <v>11100</v>
      </c>
      <c r="U1407" t="s">
        <v>11100</v>
      </c>
      <c r="V1407" t="s">
        <v>11100</v>
      </c>
      <c r="W1407" t="s">
        <v>12475</v>
      </c>
      <c r="X1407">
        <v>20</v>
      </c>
      <c r="Y1407" t="s">
        <v>17967</v>
      </c>
      <c r="Z1407" t="s">
        <v>23412</v>
      </c>
      <c r="AA1407">
        <v>0.52573147942790366</v>
      </c>
      <c r="AB1407" t="str">
        <f>HYPERLINK("Melting_Curves/meltCurve_O60493_SNX3.pdf", "Melting_Curves/meltCurve_O60493_SNX3.pdf")</f>
        <v>Melting_Curves/meltCurve_O60493_SNX3.pdf</v>
      </c>
    </row>
    <row r="1408" spans="1:28" x14ac:dyDescent="0.25">
      <c r="A1408" t="s">
        <v>1412</v>
      </c>
      <c r="B1408">
        <v>0.99299721793515405</v>
      </c>
      <c r="C1408">
        <v>0.94100557778559302</v>
      </c>
      <c r="D1408">
        <v>0.88315928695145096</v>
      </c>
      <c r="E1408">
        <v>0.77708833116476395</v>
      </c>
      <c r="F1408">
        <v>0.66132451585701901</v>
      </c>
      <c r="G1408">
        <v>0.57994090470440296</v>
      </c>
      <c r="H1408">
        <v>0.44302413301965698</v>
      </c>
      <c r="I1408">
        <v>0.22217976455987701</v>
      </c>
      <c r="J1408">
        <v>0.14243335013119901</v>
      </c>
      <c r="K1408">
        <v>0.119893623632119</v>
      </c>
      <c r="L1408">
        <v>496.60103731600498</v>
      </c>
      <c r="M1408">
        <v>9.1646571596604698</v>
      </c>
      <c r="N1408">
        <v>54.186538135554599</v>
      </c>
      <c r="O1408">
        <v>51.793703291327198</v>
      </c>
      <c r="P1408">
        <v>-4.4266334034180899E-2</v>
      </c>
      <c r="Q1408">
        <v>0</v>
      </c>
      <c r="R1408">
        <v>0.98240693545397995</v>
      </c>
      <c r="S1408" t="s">
        <v>6959</v>
      </c>
      <c r="T1408" t="s">
        <v>11100</v>
      </c>
      <c r="U1408" t="s">
        <v>11100</v>
      </c>
      <c r="V1408" t="s">
        <v>11100</v>
      </c>
      <c r="W1408" t="s">
        <v>12476</v>
      </c>
      <c r="X1408">
        <v>15</v>
      </c>
      <c r="Y1408" t="s">
        <v>17968</v>
      </c>
      <c r="Z1408" t="s">
        <v>23413</v>
      </c>
      <c r="AA1408">
        <v>0.58852349865127673</v>
      </c>
      <c r="AB1408" t="str">
        <f>HYPERLINK("Melting_Curves/meltCurve_O60502_MGEA5.pdf", "Melting_Curves/meltCurve_O60502_MGEA5.pdf")</f>
        <v>Melting_Curves/meltCurve_O60502_MGEA5.pdf</v>
      </c>
    </row>
    <row r="1409" spans="1:28" x14ac:dyDescent="0.25">
      <c r="A1409" t="s">
        <v>1413</v>
      </c>
      <c r="B1409">
        <v>0.99299721793515405</v>
      </c>
      <c r="C1409">
        <v>0.80494617155861603</v>
      </c>
      <c r="D1409">
        <v>0.83622239112252805</v>
      </c>
      <c r="E1409">
        <v>0.72324256271235599</v>
      </c>
      <c r="F1409">
        <v>0.60107660896464898</v>
      </c>
      <c r="G1409">
        <v>0.42515777154274598</v>
      </c>
      <c r="H1409">
        <v>0.28256622794132802</v>
      </c>
      <c r="I1409">
        <v>0.23884481106226901</v>
      </c>
      <c r="J1409">
        <v>0.19501709322830801</v>
      </c>
      <c r="K1409">
        <v>0.166932160671173</v>
      </c>
      <c r="L1409">
        <v>390.03414689962699</v>
      </c>
      <c r="M1409">
        <v>7.5245517820715602</v>
      </c>
      <c r="N1409">
        <v>51.8348677452407</v>
      </c>
      <c r="O1409">
        <v>48.552922345759903</v>
      </c>
      <c r="P1409">
        <v>-3.8799107890650802E-2</v>
      </c>
      <c r="Q1409">
        <v>0</v>
      </c>
      <c r="R1409">
        <v>0.98076066196290401</v>
      </c>
      <c r="S1409" t="s">
        <v>6960</v>
      </c>
      <c r="T1409" t="s">
        <v>11100</v>
      </c>
      <c r="U1409" t="s">
        <v>11100</v>
      </c>
      <c r="V1409" t="s">
        <v>11100</v>
      </c>
      <c r="W1409" t="s">
        <v>12477</v>
      </c>
      <c r="X1409">
        <v>3</v>
      </c>
      <c r="Y1409" t="s">
        <v>17969</v>
      </c>
      <c r="Z1409" t="s">
        <v>23414</v>
      </c>
      <c r="AA1409">
        <v>0.52440519168569633</v>
      </c>
      <c r="AB1409" t="str">
        <f>HYPERLINK("Melting_Curves/meltCurve_O60503_ADCY9.pdf", "Melting_Curves/meltCurve_O60503_ADCY9.pdf")</f>
        <v>Melting_Curves/meltCurve_O60503_ADCY9.pdf</v>
      </c>
    </row>
    <row r="1410" spans="1:28" x14ac:dyDescent="0.25">
      <c r="A1410" t="s">
        <v>1414</v>
      </c>
      <c r="B1410">
        <v>0.99299721793515405</v>
      </c>
      <c r="C1410">
        <v>1.0716281349268899</v>
      </c>
      <c r="D1410">
        <v>0.94368832992482599</v>
      </c>
      <c r="E1410">
        <v>1.07077423902546</v>
      </c>
      <c r="F1410">
        <v>0.80047464051665296</v>
      </c>
      <c r="G1410">
        <v>0.71832605346288203</v>
      </c>
      <c r="H1410">
        <v>0.57939494241977796</v>
      </c>
      <c r="I1410">
        <v>0.27034918738073199</v>
      </c>
      <c r="J1410">
        <v>0.14108704149687501</v>
      </c>
      <c r="K1410">
        <v>0.110081763198999</v>
      </c>
      <c r="L1410">
        <v>852.43623900371904</v>
      </c>
      <c r="M1410">
        <v>14.839110752867899</v>
      </c>
      <c r="N1410">
        <v>57.445237437091002</v>
      </c>
      <c r="O1410">
        <v>56.432256021586902</v>
      </c>
      <c r="P1410">
        <v>-6.5745533543615495E-2</v>
      </c>
      <c r="Q1410">
        <v>0</v>
      </c>
      <c r="R1410">
        <v>0.97268077832177102</v>
      </c>
      <c r="S1410" t="s">
        <v>6961</v>
      </c>
      <c r="T1410" t="s">
        <v>11100</v>
      </c>
      <c r="U1410" t="s">
        <v>11100</v>
      </c>
      <c r="V1410" t="s">
        <v>11100</v>
      </c>
      <c r="W1410" t="s">
        <v>12478</v>
      </c>
      <c r="X1410">
        <v>3</v>
      </c>
      <c r="Y1410" t="s">
        <v>17970</v>
      </c>
      <c r="Z1410" t="s">
        <v>23415</v>
      </c>
      <c r="AA1410">
        <v>0.68786436834439058</v>
      </c>
      <c r="AB1410" t="str">
        <f>HYPERLINK("Melting_Curves/meltCurve_O60504_2_SORBS3.pdf", "Melting_Curves/meltCurve_O60504_2_SORBS3.pdf")</f>
        <v>Melting_Curves/meltCurve_O60504_2_SORBS3.pdf</v>
      </c>
    </row>
    <row r="1411" spans="1:28" x14ac:dyDescent="0.25">
      <c r="A1411" t="s">
        <v>1415</v>
      </c>
      <c r="B1411">
        <v>0.99299721793515405</v>
      </c>
      <c r="C1411">
        <v>0.980026195988974</v>
      </c>
      <c r="D1411">
        <v>0.88897952020526305</v>
      </c>
      <c r="E1411">
        <v>0.80239452535040301</v>
      </c>
      <c r="F1411">
        <v>0.66687189198599095</v>
      </c>
      <c r="G1411">
        <v>0.54707507903745101</v>
      </c>
      <c r="H1411">
        <v>0.35973292162944398</v>
      </c>
      <c r="I1411">
        <v>0.23668380276418799</v>
      </c>
      <c r="J1411">
        <v>0.25071683994274702</v>
      </c>
      <c r="K1411">
        <v>0.26958491910802101</v>
      </c>
      <c r="L1411">
        <v>562.24388547434</v>
      </c>
      <c r="M1411">
        <v>10.8163623202216</v>
      </c>
      <c r="N1411">
        <v>53.842010246797699</v>
      </c>
      <c r="O1411">
        <v>50.2987057450216</v>
      </c>
      <c r="P1411">
        <v>-4.5391757695474398E-2</v>
      </c>
      <c r="Q1411">
        <v>0.15597314042168101</v>
      </c>
      <c r="R1411">
        <v>0.98885472998836899</v>
      </c>
      <c r="S1411" t="s">
        <v>6962</v>
      </c>
      <c r="T1411" t="s">
        <v>11100</v>
      </c>
      <c r="U1411" t="s">
        <v>11100</v>
      </c>
      <c r="V1411" t="s">
        <v>11100</v>
      </c>
      <c r="W1411" t="s">
        <v>12479</v>
      </c>
      <c r="X1411">
        <v>4</v>
      </c>
      <c r="Y1411" t="s">
        <v>17971</v>
      </c>
      <c r="Z1411" t="s">
        <v>23416</v>
      </c>
      <c r="AA1411">
        <v>0.59905884023939826</v>
      </c>
      <c r="AB1411" t="str">
        <f>HYPERLINK("Melting_Curves/meltCurve_O60506_4_SYNCRIP.pdf", "Melting_Curves/meltCurve_O60506_4_SYNCRIP.pdf")</f>
        <v>Melting_Curves/meltCurve_O60506_4_SYNCRIP.pdf</v>
      </c>
    </row>
    <row r="1412" spans="1:28" x14ac:dyDescent="0.25">
      <c r="A1412" t="s">
        <v>1416</v>
      </c>
      <c r="B1412">
        <v>0.99299721793515405</v>
      </c>
      <c r="C1412">
        <v>0.94249091234333904</v>
      </c>
      <c r="D1412">
        <v>0.92244683144509998</v>
      </c>
      <c r="E1412">
        <v>0.98254926385797103</v>
      </c>
      <c r="F1412">
        <v>0.54241250454986201</v>
      </c>
      <c r="G1412">
        <v>0.33885439021837199</v>
      </c>
      <c r="H1412">
        <v>0.19472181378709899</v>
      </c>
      <c r="I1412">
        <v>0.15577686430707699</v>
      </c>
      <c r="J1412">
        <v>0.19536525240116001</v>
      </c>
      <c r="K1412">
        <v>0.118016453789724</v>
      </c>
      <c r="L1412">
        <v>1321.31167000444</v>
      </c>
      <c r="M1412">
        <v>26.258571358060198</v>
      </c>
      <c r="N1412">
        <v>51.073853067470999</v>
      </c>
      <c r="O1412">
        <v>50.030124138726997</v>
      </c>
      <c r="P1412">
        <v>-0.11011829962766601</v>
      </c>
      <c r="Q1412">
        <v>0.160781146016513</v>
      </c>
      <c r="R1412">
        <v>0.98363895948527702</v>
      </c>
      <c r="S1412" t="s">
        <v>6963</v>
      </c>
      <c r="T1412" t="s">
        <v>11100</v>
      </c>
      <c r="U1412" t="s">
        <v>11100</v>
      </c>
      <c r="V1412" t="s">
        <v>11100</v>
      </c>
      <c r="W1412" t="s">
        <v>12480</v>
      </c>
      <c r="X1412">
        <v>3</v>
      </c>
      <c r="Y1412" t="s">
        <v>17972</v>
      </c>
      <c r="Z1412" t="s">
        <v>23417</v>
      </c>
      <c r="AA1412">
        <v>0.54007883537676682</v>
      </c>
      <c r="AB1412" t="str">
        <f>HYPERLINK("Melting_Curves/meltCurve_O60518_RANBP6.pdf", "Melting_Curves/meltCurve_O60518_RANBP6.pdf")</f>
        <v>Melting_Curves/meltCurve_O60518_RANBP6.pdf</v>
      </c>
    </row>
    <row r="1413" spans="1:28" x14ac:dyDescent="0.25">
      <c r="A1413" t="s">
        <v>1417</v>
      </c>
      <c r="B1413">
        <v>0.99299721793515405</v>
      </c>
      <c r="C1413">
        <v>0.90993646632406</v>
      </c>
      <c r="D1413">
        <v>1.03575351682702</v>
      </c>
      <c r="E1413">
        <v>0.76231441280198298</v>
      </c>
      <c r="F1413">
        <v>0.47388219528237802</v>
      </c>
      <c r="G1413">
        <v>0.28337760692910602</v>
      </c>
      <c r="H1413">
        <v>0.20228685454367101</v>
      </c>
      <c r="I1413">
        <v>0.195807150925461</v>
      </c>
      <c r="J1413">
        <v>0.16090701612914801</v>
      </c>
      <c r="K1413">
        <v>9.2552628311992499E-2</v>
      </c>
      <c r="L1413">
        <v>973.92489432748403</v>
      </c>
      <c r="M1413">
        <v>19.822976326906598</v>
      </c>
      <c r="N1413">
        <v>49.9858717778108</v>
      </c>
      <c r="O1413">
        <v>48.6393235141473</v>
      </c>
      <c r="P1413">
        <v>-8.7244312418559802E-2</v>
      </c>
      <c r="Q1413">
        <v>0.14374914129518901</v>
      </c>
      <c r="R1413">
        <v>0.98532761846205397</v>
      </c>
      <c r="S1413" t="s">
        <v>6964</v>
      </c>
      <c r="T1413" t="s">
        <v>11100</v>
      </c>
      <c r="U1413" t="s">
        <v>11100</v>
      </c>
      <c r="V1413" t="s">
        <v>11100</v>
      </c>
      <c r="W1413" t="s">
        <v>12481</v>
      </c>
      <c r="X1413">
        <v>3</v>
      </c>
      <c r="Y1413" t="s">
        <v>17973</v>
      </c>
      <c r="Z1413" t="s">
        <v>23418</v>
      </c>
      <c r="AA1413">
        <v>0.50145756896384064</v>
      </c>
      <c r="AB1413" t="str">
        <f>HYPERLINK("Melting_Curves/meltCurve_O60524_4_NEMF.pdf", "Melting_Curves/meltCurve_O60524_4_NEMF.pdf")</f>
        <v>Melting_Curves/meltCurve_O60524_4_NEMF.pdf</v>
      </c>
    </row>
    <row r="1414" spans="1:28" x14ac:dyDescent="0.25">
      <c r="A1414" t="s">
        <v>1418</v>
      </c>
      <c r="B1414">
        <v>0.99299721793515405</v>
      </c>
      <c r="C1414">
        <v>0.98250441129465205</v>
      </c>
      <c r="D1414">
        <v>0.92712031858353505</v>
      </c>
      <c r="E1414">
        <v>0.90363687033440498</v>
      </c>
      <c r="F1414">
        <v>0.77662740627091897</v>
      </c>
      <c r="G1414">
        <v>0.78722102555760898</v>
      </c>
      <c r="H1414">
        <v>0.65910878503003401</v>
      </c>
      <c r="I1414">
        <v>0.339167362989232</v>
      </c>
      <c r="J1414">
        <v>0.210374329842345</v>
      </c>
      <c r="K1414">
        <v>0.17053086922438199</v>
      </c>
      <c r="L1414">
        <v>700.44091742893102</v>
      </c>
      <c r="M1414">
        <v>11.973801613255</v>
      </c>
      <c r="N1414">
        <v>58.497788833847203</v>
      </c>
      <c r="O1414">
        <v>56.9377770560681</v>
      </c>
      <c r="P1414">
        <v>-5.2586848330770999E-2</v>
      </c>
      <c r="Q1414">
        <v>0</v>
      </c>
      <c r="R1414">
        <v>0.96331857120047903</v>
      </c>
      <c r="S1414" t="s">
        <v>6965</v>
      </c>
      <c r="T1414" t="s">
        <v>11100</v>
      </c>
      <c r="U1414" t="s">
        <v>11100</v>
      </c>
      <c r="V1414" t="s">
        <v>11100</v>
      </c>
      <c r="W1414" t="s">
        <v>12482</v>
      </c>
      <c r="X1414">
        <v>9</v>
      </c>
      <c r="Y1414" t="s">
        <v>17974</v>
      </c>
      <c r="Z1414" t="s">
        <v>23419</v>
      </c>
      <c r="AA1414">
        <v>0.7118359777863692</v>
      </c>
      <c r="AB1414" t="str">
        <f>HYPERLINK("Melting_Curves/meltCurve_O60547_GMDS.pdf", "Melting_Curves/meltCurve_O60547_GMDS.pdf")</f>
        <v>Melting_Curves/meltCurve_O60547_GMDS.pdf</v>
      </c>
    </row>
    <row r="1415" spans="1:28" x14ac:dyDescent="0.25">
      <c r="A1415" t="s">
        <v>1419</v>
      </c>
      <c r="B1415">
        <v>0.99299721793515405</v>
      </c>
      <c r="C1415">
        <v>0.83596240890135898</v>
      </c>
      <c r="D1415">
        <v>1.09936186424309</v>
      </c>
      <c r="E1415">
        <v>0.59341240755938196</v>
      </c>
      <c r="F1415">
        <v>0.30238881054328898</v>
      </c>
      <c r="G1415">
        <v>7.6548137160749999E-2</v>
      </c>
      <c r="H1415">
        <v>9.2374008922655598E-2</v>
      </c>
      <c r="I1415">
        <v>0</v>
      </c>
      <c r="J1415">
        <v>7.6564482955122998E-2</v>
      </c>
      <c r="K1415">
        <v>0.20755132178830099</v>
      </c>
      <c r="L1415">
        <v>1391.10074633355</v>
      </c>
      <c r="M1415">
        <v>29.3827815027615</v>
      </c>
      <c r="N1415">
        <v>47.675299022471201</v>
      </c>
      <c r="O1415">
        <v>47.126421570678197</v>
      </c>
      <c r="P1415">
        <v>-0.14148304279492599</v>
      </c>
      <c r="Q1415">
        <v>9.2320061659160194E-2</v>
      </c>
      <c r="R1415">
        <v>0.95027389976572496</v>
      </c>
      <c r="S1415" t="s">
        <v>6966</v>
      </c>
      <c r="T1415" t="s">
        <v>11100</v>
      </c>
      <c r="U1415" t="s">
        <v>11100</v>
      </c>
      <c r="V1415" t="s">
        <v>11100</v>
      </c>
      <c r="W1415" t="s">
        <v>12483</v>
      </c>
      <c r="X1415">
        <v>1</v>
      </c>
      <c r="Y1415" t="s">
        <v>17975</v>
      </c>
      <c r="Z1415" t="s">
        <v>23420</v>
      </c>
      <c r="AA1415">
        <v>0.41082776014172162</v>
      </c>
      <c r="AB1415" t="str">
        <f>HYPERLINK("Melting_Curves/meltCurve_O60548_FOXD2.pdf", "Melting_Curves/meltCurve_O60548_FOXD2.pdf")</f>
        <v>Melting_Curves/meltCurve_O60548_FOXD2.pdf</v>
      </c>
    </row>
    <row r="1416" spans="1:28" x14ac:dyDescent="0.25">
      <c r="A1416" t="s">
        <v>1420</v>
      </c>
      <c r="B1416">
        <v>0.99299721793515405</v>
      </c>
      <c r="C1416">
        <v>1.04012752243049</v>
      </c>
      <c r="D1416">
        <v>0.93606886215616503</v>
      </c>
      <c r="E1416">
        <v>0.87909003001008401</v>
      </c>
      <c r="F1416">
        <v>0.74653679672252005</v>
      </c>
      <c r="G1416">
        <v>0.345675062577877</v>
      </c>
      <c r="H1416">
        <v>0.24151645542555</v>
      </c>
      <c r="I1416">
        <v>0.20544723388949701</v>
      </c>
      <c r="J1416">
        <v>0.18662543196721501</v>
      </c>
      <c r="K1416">
        <v>0.18759119510754499</v>
      </c>
      <c r="L1416">
        <v>1252.0398393042999</v>
      </c>
      <c r="M1416">
        <v>24.393847558544799</v>
      </c>
      <c r="N1416">
        <v>52.286486032198503</v>
      </c>
      <c r="O1416">
        <v>50.984857153485002</v>
      </c>
      <c r="P1416">
        <v>-9.8015696783158093E-2</v>
      </c>
      <c r="Q1416">
        <v>0.18057343245059199</v>
      </c>
      <c r="R1416">
        <v>0.99050579829390994</v>
      </c>
      <c r="S1416" t="s">
        <v>6967</v>
      </c>
      <c r="T1416" t="s">
        <v>11100</v>
      </c>
      <c r="U1416" t="s">
        <v>11100</v>
      </c>
      <c r="V1416" t="s">
        <v>11100</v>
      </c>
      <c r="W1416" t="s">
        <v>12484</v>
      </c>
      <c r="X1416">
        <v>14</v>
      </c>
      <c r="Y1416" t="s">
        <v>17976</v>
      </c>
      <c r="Z1416" t="s">
        <v>23421</v>
      </c>
      <c r="AA1416">
        <v>0.57945475188971429</v>
      </c>
      <c r="AB1416" t="str">
        <f>HYPERLINK("Melting_Curves/meltCurve_O60566_BUB1B.pdf", "Melting_Curves/meltCurve_O60566_BUB1B.pdf")</f>
        <v>Melting_Curves/meltCurve_O60566_BUB1B.pdf</v>
      </c>
    </row>
    <row r="1417" spans="1:28" x14ac:dyDescent="0.25">
      <c r="A1417" t="s">
        <v>1421</v>
      </c>
      <c r="B1417">
        <v>0.99299721793515405</v>
      </c>
      <c r="C1417">
        <v>0.85755591280230103</v>
      </c>
      <c r="D1417">
        <v>0.98282831535303705</v>
      </c>
      <c r="E1417">
        <v>0.76053404007334202</v>
      </c>
      <c r="F1417">
        <v>0.77009072699487502</v>
      </c>
      <c r="G1417">
        <v>1.19977320582762</v>
      </c>
      <c r="H1417">
        <v>0.97654924310583102</v>
      </c>
      <c r="I1417">
        <v>0.47735288526091002</v>
      </c>
      <c r="J1417">
        <v>0.33326329480068301</v>
      </c>
      <c r="K1417">
        <v>0.37345538171773501</v>
      </c>
      <c r="L1417">
        <v>4812.9207237277597</v>
      </c>
      <c r="M1417">
        <v>80.343608217732495</v>
      </c>
      <c r="N1417">
        <v>60.826866324939303</v>
      </c>
      <c r="O1417">
        <v>59.8671323105726</v>
      </c>
      <c r="P1417">
        <v>-0.21734627311966401</v>
      </c>
      <c r="Q1417">
        <v>0.352187602717629</v>
      </c>
      <c r="R1417">
        <v>0.77512603444351402</v>
      </c>
      <c r="S1417" t="s">
        <v>6968</v>
      </c>
      <c r="T1417" t="s">
        <v>11100</v>
      </c>
      <c r="U1417" t="s">
        <v>11100</v>
      </c>
      <c r="V1417" t="s">
        <v>11100</v>
      </c>
      <c r="W1417" t="s">
        <v>12485</v>
      </c>
      <c r="X1417">
        <v>6</v>
      </c>
      <c r="Y1417" t="s">
        <v>17977</v>
      </c>
      <c r="Z1417" t="s">
        <v>23422</v>
      </c>
      <c r="AA1417">
        <v>0.8474319075441803</v>
      </c>
      <c r="AB1417" t="str">
        <f>HYPERLINK("Melting_Curves/meltCurve_O60568_PLOD3.pdf", "Melting_Curves/meltCurve_O60568_PLOD3.pdf")</f>
        <v>Melting_Curves/meltCurve_O60568_PLOD3.pdf</v>
      </c>
    </row>
    <row r="1418" spans="1:28" x14ac:dyDescent="0.25">
      <c r="A1418" t="s">
        <v>1422</v>
      </c>
      <c r="B1418">
        <v>0.99299721793515405</v>
      </c>
      <c r="C1418">
        <v>1.06151224212569</v>
      </c>
      <c r="D1418">
        <v>0.92222822775600299</v>
      </c>
      <c r="E1418">
        <v>0.75995545466968495</v>
      </c>
      <c r="F1418">
        <v>0.89056217103358304</v>
      </c>
      <c r="G1418">
        <v>0.86826011679943704</v>
      </c>
      <c r="H1418">
        <v>0.71955575643371295</v>
      </c>
      <c r="I1418">
        <v>0.395363687622522</v>
      </c>
      <c r="J1418">
        <v>0.45527426773581198</v>
      </c>
      <c r="K1418">
        <v>0.36710755924538002</v>
      </c>
      <c r="L1418">
        <v>491.09300821846398</v>
      </c>
      <c r="M1418">
        <v>7.9312109642711901</v>
      </c>
      <c r="N1418">
        <v>61.919042793022797</v>
      </c>
      <c r="O1418">
        <v>58.353900442975601</v>
      </c>
      <c r="P1418">
        <v>-3.4018622929028498E-2</v>
      </c>
      <c r="Q1418">
        <v>0</v>
      </c>
      <c r="R1418">
        <v>0.87687510907041299</v>
      </c>
      <c r="S1418" t="s">
        <v>6969</v>
      </c>
      <c r="T1418" t="s">
        <v>11100</v>
      </c>
      <c r="U1418" t="s">
        <v>11100</v>
      </c>
      <c r="V1418" t="s">
        <v>11100</v>
      </c>
      <c r="W1418" t="s">
        <v>12486</v>
      </c>
      <c r="X1418">
        <v>3</v>
      </c>
      <c r="Y1418" t="s">
        <v>17978</v>
      </c>
      <c r="Z1418" t="s">
        <v>23423</v>
      </c>
      <c r="AA1418">
        <v>0.7614390417210124</v>
      </c>
      <c r="AB1418" t="str">
        <f>HYPERLINK("Melting_Curves/meltCurve_O60613_SEP15.pdf", "Melting_Curves/meltCurve_O60613_SEP15.pdf")</f>
        <v>Melting_Curves/meltCurve_O60613_SEP15.pdf</v>
      </c>
    </row>
    <row r="1419" spans="1:28" x14ac:dyDescent="0.25">
      <c r="A1419" t="s">
        <v>1423</v>
      </c>
      <c r="B1419">
        <v>0.99299721793515405</v>
      </c>
      <c r="C1419">
        <v>0.83582104136968804</v>
      </c>
      <c r="D1419">
        <v>1.0965917961059499</v>
      </c>
      <c r="E1419">
        <v>0.98628439087314301</v>
      </c>
      <c r="F1419">
        <v>0.83607954055405198</v>
      </c>
      <c r="G1419">
        <v>0.489488194517399</v>
      </c>
      <c r="H1419">
        <v>0.31591323721908099</v>
      </c>
      <c r="I1419">
        <v>0.281831636156882</v>
      </c>
      <c r="J1419">
        <v>0.21770410243792099</v>
      </c>
      <c r="K1419">
        <v>0.19048272711025199</v>
      </c>
      <c r="L1419">
        <v>1380.3161846583</v>
      </c>
      <c r="M1419">
        <v>26.211758985936001</v>
      </c>
      <c r="N1419">
        <v>53.858998320936799</v>
      </c>
      <c r="O1419">
        <v>52.356548472653103</v>
      </c>
      <c r="P1419">
        <v>-9.7499291720417103E-2</v>
      </c>
      <c r="Q1419">
        <v>0.221010792620287</v>
      </c>
      <c r="R1419">
        <v>0.96553346269624696</v>
      </c>
      <c r="S1419" t="s">
        <v>6970</v>
      </c>
      <c r="T1419" t="s">
        <v>11100</v>
      </c>
      <c r="U1419" t="s">
        <v>11100</v>
      </c>
      <c r="V1419" t="s">
        <v>11100</v>
      </c>
      <c r="W1419" t="s">
        <v>12487</v>
      </c>
      <c r="X1419">
        <v>2</v>
      </c>
      <c r="Y1419" t="s">
        <v>17979</v>
      </c>
      <c r="Z1419" t="s">
        <v>23424</v>
      </c>
      <c r="AA1419">
        <v>0.63399013177862107</v>
      </c>
      <c r="AB1419" t="str">
        <f>HYPERLINK("Melting_Curves/meltCurve_O60645_3_EXOC3.pdf", "Melting_Curves/meltCurve_O60645_3_EXOC3.pdf")</f>
        <v>Melting_Curves/meltCurve_O60645_3_EXOC3.pdf</v>
      </c>
    </row>
    <row r="1420" spans="1:28" x14ac:dyDescent="0.25">
      <c r="A1420" t="s">
        <v>1424</v>
      </c>
      <c r="B1420">
        <v>0.99299721793515405</v>
      </c>
      <c r="C1420">
        <v>1.0459100806844801</v>
      </c>
      <c r="D1420">
        <v>0.98463166676088298</v>
      </c>
      <c r="E1420">
        <v>0.91381036054092202</v>
      </c>
      <c r="F1420">
        <v>0.81583073441685505</v>
      </c>
      <c r="G1420">
        <v>0.56727990850176402</v>
      </c>
      <c r="H1420">
        <v>0.56598151025050203</v>
      </c>
      <c r="I1420">
        <v>0.64671423782835502</v>
      </c>
      <c r="J1420">
        <v>0.66372880652039101</v>
      </c>
      <c r="K1420">
        <v>0.510378827271322</v>
      </c>
      <c r="L1420">
        <v>1666.68645709251</v>
      </c>
      <c r="M1420">
        <v>33.3113490400061</v>
      </c>
      <c r="O1420">
        <v>49.854309811488598</v>
      </c>
      <c r="P1420">
        <v>-6.9181924040707193E-2</v>
      </c>
      <c r="Q1420">
        <v>0.58584658329142503</v>
      </c>
      <c r="R1420">
        <v>0.931605665473488</v>
      </c>
      <c r="S1420" t="s">
        <v>6971</v>
      </c>
      <c r="T1420" t="s">
        <v>11100</v>
      </c>
      <c r="U1420" t="s">
        <v>11100</v>
      </c>
      <c r="V1420" t="s">
        <v>11100</v>
      </c>
      <c r="W1420" t="s">
        <v>12488</v>
      </c>
      <c r="X1420">
        <v>17</v>
      </c>
      <c r="Y1420" t="s">
        <v>17980</v>
      </c>
      <c r="Z1420" t="s">
        <v>23425</v>
      </c>
      <c r="AA1420">
        <v>0.7678421804467731</v>
      </c>
      <c r="AB1420" t="str">
        <f>HYPERLINK("Melting_Curves/meltCurve_O60664_PLIN3.pdf", "Melting_Curves/meltCurve_O60664_PLIN3.pdf")</f>
        <v>Melting_Curves/meltCurve_O60664_PLIN3.pdf</v>
      </c>
    </row>
    <row r="1421" spans="1:28" x14ac:dyDescent="0.25">
      <c r="A1421" t="s">
        <v>1425</v>
      </c>
      <c r="B1421">
        <v>0.99299721793515405</v>
      </c>
      <c r="C1421">
        <v>1.07615985201131</v>
      </c>
      <c r="D1421">
        <v>0.75719959214042898</v>
      </c>
      <c r="E1421">
        <v>0.76793801904179204</v>
      </c>
      <c r="F1421">
        <v>0.604607024918425</v>
      </c>
      <c r="G1421">
        <v>0.152743271435858</v>
      </c>
      <c r="H1421">
        <v>7.3450223563001807E-2</v>
      </c>
      <c r="I1421">
        <v>4.0926375821732003E-2</v>
      </c>
      <c r="J1421">
        <v>0</v>
      </c>
      <c r="K1421">
        <v>0</v>
      </c>
      <c r="L1421">
        <v>847.13684543242402</v>
      </c>
      <c r="M1421">
        <v>16.924959971621</v>
      </c>
      <c r="N1421">
        <v>50.052518351502897</v>
      </c>
      <c r="O1421">
        <v>49.369434501986902</v>
      </c>
      <c r="P1421">
        <v>-8.57110509138055E-2</v>
      </c>
      <c r="Q1421">
        <v>0</v>
      </c>
      <c r="R1421">
        <v>0.96243514045699796</v>
      </c>
      <c r="S1421" t="s">
        <v>6972</v>
      </c>
      <c r="T1421" t="s">
        <v>11100</v>
      </c>
      <c r="U1421" t="s">
        <v>11100</v>
      </c>
      <c r="V1421" t="s">
        <v>11100</v>
      </c>
      <c r="W1421" t="s">
        <v>12489</v>
      </c>
      <c r="X1421">
        <v>4</v>
      </c>
      <c r="Y1421" t="s">
        <v>17981</v>
      </c>
      <c r="Z1421" t="s">
        <v>23426</v>
      </c>
      <c r="AA1421">
        <v>0.45247221475488542</v>
      </c>
      <c r="AB1421" t="str">
        <f>HYPERLINK("Melting_Curves/meltCurve_O60678_PRMT3.pdf", "Melting_Curves/meltCurve_O60678_PRMT3.pdf")</f>
        <v>Melting_Curves/meltCurve_O60678_PRMT3.pdf</v>
      </c>
    </row>
    <row r="1422" spans="1:28" x14ac:dyDescent="0.25">
      <c r="A1422" t="s">
        <v>1426</v>
      </c>
      <c r="B1422">
        <v>0.99299721793515405</v>
      </c>
      <c r="C1422">
        <v>0.96309151007389004</v>
      </c>
      <c r="D1422">
        <v>0.95050812058484402</v>
      </c>
      <c r="E1422">
        <v>0.87166880241419897</v>
      </c>
      <c r="F1422">
        <v>0.82964535682239804</v>
      </c>
      <c r="G1422">
        <v>0.86908066680359297</v>
      </c>
      <c r="H1422">
        <v>0.50419275696990096</v>
      </c>
      <c r="I1422">
        <v>0.304467433429712</v>
      </c>
      <c r="J1422">
        <v>0.214903820166364</v>
      </c>
      <c r="K1422">
        <v>0.24131824536367899</v>
      </c>
      <c r="L1422">
        <v>974.82216885724904</v>
      </c>
      <c r="M1422">
        <v>17.170081867750302</v>
      </c>
      <c r="N1422">
        <v>57.8466332216721</v>
      </c>
      <c r="O1422">
        <v>56.021121817450101</v>
      </c>
      <c r="P1422">
        <v>-6.6184536798000904E-2</v>
      </c>
      <c r="Q1422">
        <v>0.13628555755534</v>
      </c>
      <c r="R1422">
        <v>0.95715841262164103</v>
      </c>
      <c r="S1422" t="s">
        <v>6973</v>
      </c>
      <c r="T1422" t="s">
        <v>11100</v>
      </c>
      <c r="U1422" t="s">
        <v>11100</v>
      </c>
      <c r="V1422" t="s">
        <v>11100</v>
      </c>
      <c r="W1422" t="s">
        <v>12490</v>
      </c>
      <c r="X1422">
        <v>11</v>
      </c>
      <c r="Y1422" t="s">
        <v>17982</v>
      </c>
      <c r="Z1422" t="s">
        <v>23427</v>
      </c>
      <c r="AA1422">
        <v>0.71380822430059276</v>
      </c>
      <c r="AB1422" t="str">
        <f>HYPERLINK("Melting_Curves/meltCurve_O60701_UGDH.pdf", "Melting_Curves/meltCurve_O60701_UGDH.pdf")</f>
        <v>Melting_Curves/meltCurve_O60701_UGDH.pdf</v>
      </c>
    </row>
    <row r="1423" spans="1:28" x14ac:dyDescent="0.25">
      <c r="A1423" t="s">
        <v>1427</v>
      </c>
      <c r="B1423">
        <v>0.99299721793515405</v>
      </c>
      <c r="C1423">
        <v>1.0203954740896899</v>
      </c>
      <c r="D1423">
        <v>0.87073533851239104</v>
      </c>
      <c r="E1423">
        <v>0.841699396691163</v>
      </c>
      <c r="F1423">
        <v>0.64678524588761899</v>
      </c>
      <c r="G1423">
        <v>0.53759486696740499</v>
      </c>
      <c r="H1423">
        <v>0.22144146095793699</v>
      </c>
      <c r="I1423">
        <v>0.117306720998783</v>
      </c>
      <c r="J1423">
        <v>9.0320019308050004E-2</v>
      </c>
      <c r="K1423">
        <v>4.9726468458497097E-2</v>
      </c>
      <c r="L1423">
        <v>683.46145051726398</v>
      </c>
      <c r="M1423">
        <v>12.9239914713992</v>
      </c>
      <c r="N1423">
        <v>52.883140274126099</v>
      </c>
      <c r="O1423">
        <v>51.665058325971799</v>
      </c>
      <c r="P1423">
        <v>-6.2548703624324895E-2</v>
      </c>
      <c r="Q1423">
        <v>0</v>
      </c>
      <c r="R1423">
        <v>0.98538431068291499</v>
      </c>
      <c r="S1423" t="s">
        <v>6974</v>
      </c>
      <c r="T1423" t="s">
        <v>11100</v>
      </c>
      <c r="U1423" t="s">
        <v>11100</v>
      </c>
      <c r="V1423" t="s">
        <v>11100</v>
      </c>
      <c r="W1423" t="s">
        <v>12491</v>
      </c>
      <c r="X1423">
        <v>1</v>
      </c>
      <c r="Y1423" t="s">
        <v>17983</v>
      </c>
      <c r="Z1423" t="s">
        <v>23428</v>
      </c>
      <c r="AA1423">
        <v>0.54987430230822087</v>
      </c>
      <c r="AB1423" t="str">
        <f>HYPERLINK("Melting_Curves/meltCurve_O60704_TPST2.pdf", "Melting_Curves/meltCurve_O60704_TPST2.pdf")</f>
        <v>Melting_Curves/meltCurve_O60704_TPST2.pdf</v>
      </c>
    </row>
    <row r="1424" spans="1:28" x14ac:dyDescent="0.25">
      <c r="A1424" t="s">
        <v>1428</v>
      </c>
      <c r="B1424">
        <v>0.99299721793515405</v>
      </c>
      <c r="C1424">
        <v>1.0004530358486099</v>
      </c>
      <c r="D1424">
        <v>0.94652303161848494</v>
      </c>
      <c r="E1424">
        <v>0.83945068145544599</v>
      </c>
      <c r="F1424">
        <v>0.43592331015226898</v>
      </c>
      <c r="G1424">
        <v>0.28129689756319198</v>
      </c>
      <c r="H1424">
        <v>0.221708972629794</v>
      </c>
      <c r="I1424">
        <v>0.21285603716368101</v>
      </c>
      <c r="J1424">
        <v>0.19891368067443899</v>
      </c>
      <c r="K1424">
        <v>0.153104049803789</v>
      </c>
      <c r="L1424">
        <v>1267.79688846915</v>
      </c>
      <c r="M1424">
        <v>25.9716582123454</v>
      </c>
      <c r="N1424">
        <v>49.749273821792599</v>
      </c>
      <c r="O1424">
        <v>48.527984272788601</v>
      </c>
      <c r="P1424">
        <v>-0.107969154504428</v>
      </c>
      <c r="Q1424">
        <v>0.19304884926421001</v>
      </c>
      <c r="R1424">
        <v>0.99638662082339402</v>
      </c>
      <c r="S1424" t="s">
        <v>6975</v>
      </c>
      <c r="T1424" t="s">
        <v>11100</v>
      </c>
      <c r="U1424" t="s">
        <v>11100</v>
      </c>
      <c r="V1424" t="s">
        <v>11100</v>
      </c>
      <c r="W1424" t="s">
        <v>12492</v>
      </c>
      <c r="X1424">
        <v>35</v>
      </c>
      <c r="Y1424" t="s">
        <v>17984</v>
      </c>
      <c r="Z1424" t="s">
        <v>23429</v>
      </c>
      <c r="AA1424">
        <v>0.51729878002802099</v>
      </c>
      <c r="AB1424" t="str">
        <f>HYPERLINK("Melting_Curves/meltCurve_O60716_5_CTNND1.pdf", "Melting_Curves/meltCurve_O60716_5_CTNND1.pdf")</f>
        <v>Melting_Curves/meltCurve_O60716_5_CTNND1.pdf</v>
      </c>
    </row>
    <row r="1425" spans="1:28" x14ac:dyDescent="0.25">
      <c r="A1425" t="s">
        <v>1429</v>
      </c>
      <c r="B1425">
        <v>0.99299721793515405</v>
      </c>
      <c r="C1425">
        <v>0.99787785443707</v>
      </c>
      <c r="D1425">
        <v>0.97605750976968597</v>
      </c>
      <c r="E1425">
        <v>0.856187704418924</v>
      </c>
      <c r="F1425">
        <v>0.89084725211631199</v>
      </c>
      <c r="G1425">
        <v>0.49758204452064603</v>
      </c>
      <c r="H1425">
        <v>0.39627618073897602</v>
      </c>
      <c r="I1425">
        <v>0.27433356349013499</v>
      </c>
      <c r="J1425">
        <v>0.315031461455896</v>
      </c>
      <c r="K1425">
        <v>0.12376947252598</v>
      </c>
      <c r="L1425">
        <v>840.79000513190499</v>
      </c>
      <c r="M1425">
        <v>15.6729618959571</v>
      </c>
      <c r="N1425">
        <v>55.050080162889998</v>
      </c>
      <c r="O1425">
        <v>52.7953263301332</v>
      </c>
      <c r="P1425">
        <v>-6.1992768029903902E-2</v>
      </c>
      <c r="Q1425">
        <v>0.16476550715841201</v>
      </c>
      <c r="R1425">
        <v>0.96630070198320495</v>
      </c>
      <c r="S1425" t="s">
        <v>6976</v>
      </c>
      <c r="T1425" t="s">
        <v>11100</v>
      </c>
      <c r="U1425" t="s">
        <v>11100</v>
      </c>
      <c r="V1425" t="s">
        <v>11100</v>
      </c>
      <c r="W1425" t="s">
        <v>12493</v>
      </c>
      <c r="X1425">
        <v>1</v>
      </c>
      <c r="Y1425" t="s">
        <v>17985</v>
      </c>
      <c r="Z1425" t="s">
        <v>23430</v>
      </c>
      <c r="AA1425">
        <v>0.64174267997112699</v>
      </c>
      <c r="AB1425" t="str">
        <f>HYPERLINK("Melting_Curves/meltCurve_O60725_ICMT.pdf", "Melting_Curves/meltCurve_O60725_ICMT.pdf")</f>
        <v>Melting_Curves/meltCurve_O60725_ICMT.pdf</v>
      </c>
    </row>
    <row r="1426" spans="1:28" x14ac:dyDescent="0.25">
      <c r="A1426" t="s">
        <v>1430</v>
      </c>
      <c r="B1426">
        <v>0.99299721793515405</v>
      </c>
      <c r="C1426">
        <v>0.99772850634757304</v>
      </c>
      <c r="D1426">
        <v>0.98803484637896799</v>
      </c>
      <c r="E1426">
        <v>0.89296179375603202</v>
      </c>
      <c r="F1426">
        <v>0.76148298774178103</v>
      </c>
      <c r="G1426">
        <v>0.49159104104229301</v>
      </c>
      <c r="H1426">
        <v>0.210289695743648</v>
      </c>
      <c r="I1426">
        <v>0.16034640513134399</v>
      </c>
      <c r="J1426">
        <v>0.14392858459681801</v>
      </c>
      <c r="K1426">
        <v>0.116409160997907</v>
      </c>
      <c r="L1426">
        <v>1013.3006492104601</v>
      </c>
      <c r="M1426">
        <v>19.214736882427001</v>
      </c>
      <c r="N1426">
        <v>53.3401232872558</v>
      </c>
      <c r="O1426">
        <v>52.174363677091897</v>
      </c>
      <c r="P1426">
        <v>-8.3064498369822506E-2</v>
      </c>
      <c r="Q1426">
        <v>9.7844076889165202E-2</v>
      </c>
      <c r="R1426">
        <v>0.996514555091494</v>
      </c>
      <c r="S1426" t="s">
        <v>6977</v>
      </c>
      <c r="T1426" t="s">
        <v>11100</v>
      </c>
      <c r="U1426" t="s">
        <v>11100</v>
      </c>
      <c r="V1426" t="s">
        <v>11100</v>
      </c>
      <c r="W1426" t="s">
        <v>11219</v>
      </c>
      <c r="X1426">
        <v>25</v>
      </c>
      <c r="Y1426" t="s">
        <v>16711</v>
      </c>
      <c r="Z1426" t="s">
        <v>23431</v>
      </c>
      <c r="AA1426">
        <v>0.58318153169441844</v>
      </c>
      <c r="AB1426" t="str">
        <f>HYPERLINK("Melting_Curves/meltCurve_O60749_SNX2.pdf", "Melting_Curves/meltCurve_O60749_SNX2.pdf")</f>
        <v>Melting_Curves/meltCurve_O60749_SNX2.pdf</v>
      </c>
    </row>
    <row r="1427" spans="1:28" x14ac:dyDescent="0.25">
      <c r="A1427" t="s">
        <v>1431</v>
      </c>
      <c r="B1427">
        <v>0.99299721793515405</v>
      </c>
      <c r="C1427">
        <v>1.03698041702674</v>
      </c>
      <c r="D1427">
        <v>1.05768766293369</v>
      </c>
      <c r="E1427">
        <v>0.90824787205343005</v>
      </c>
      <c r="F1427">
        <v>0.80434603434808905</v>
      </c>
      <c r="G1427">
        <v>0.67066171358530102</v>
      </c>
      <c r="H1427">
        <v>0.223128530204282</v>
      </c>
      <c r="I1427">
        <v>0.14291357327321699</v>
      </c>
      <c r="J1427">
        <v>0.114304214823529</v>
      </c>
      <c r="K1427">
        <v>0.106744263144739</v>
      </c>
      <c r="L1427">
        <v>1164.3898164150401</v>
      </c>
      <c r="M1427">
        <v>21.4345777554915</v>
      </c>
      <c r="N1427">
        <v>54.704512663981703</v>
      </c>
      <c r="O1427">
        <v>53.856754163215797</v>
      </c>
      <c r="P1427">
        <v>-9.2592098027272196E-2</v>
      </c>
      <c r="Q1427">
        <v>6.9431146466466295E-2</v>
      </c>
      <c r="R1427">
        <v>0.98280592560670599</v>
      </c>
      <c r="S1427" t="s">
        <v>6978</v>
      </c>
      <c r="T1427" t="s">
        <v>11100</v>
      </c>
      <c r="U1427" t="s">
        <v>11100</v>
      </c>
      <c r="V1427" t="s">
        <v>11100</v>
      </c>
      <c r="W1427" t="s">
        <v>12494</v>
      </c>
      <c r="X1427">
        <v>29</v>
      </c>
      <c r="Y1427" t="s">
        <v>17986</v>
      </c>
      <c r="Z1427" t="s">
        <v>23432</v>
      </c>
      <c r="AA1427">
        <v>0.61688397820042529</v>
      </c>
      <c r="AB1427" t="str">
        <f>HYPERLINK("Melting_Curves/meltCurve_O60763_USO1.pdf", "Melting_Curves/meltCurve_O60763_USO1.pdf")</f>
        <v>Melting_Curves/meltCurve_O60763_USO1.pdf</v>
      </c>
    </row>
    <row r="1428" spans="1:28" x14ac:dyDescent="0.25">
      <c r="A1428" t="s">
        <v>1432</v>
      </c>
      <c r="B1428">
        <v>0.99299721793515405</v>
      </c>
      <c r="C1428">
        <v>1.06537515139226</v>
      </c>
      <c r="D1428">
        <v>0.81726738370735197</v>
      </c>
      <c r="E1428">
        <v>0.66275019142917602</v>
      </c>
      <c r="F1428">
        <v>0.36224685236736298</v>
      </c>
      <c r="G1428">
        <v>0.33640153257047301</v>
      </c>
      <c r="H1428">
        <v>0.21477565555892</v>
      </c>
      <c r="I1428">
        <v>0.149535154870581</v>
      </c>
      <c r="J1428">
        <v>0.120241571067249</v>
      </c>
      <c r="K1428">
        <v>5.3918951395589901E-2</v>
      </c>
      <c r="L1428">
        <v>653.00859307933104</v>
      </c>
      <c r="M1428">
        <v>13.517755663986399</v>
      </c>
      <c r="N1428">
        <v>49.0042128814924</v>
      </c>
      <c r="O1428">
        <v>47.287039015204201</v>
      </c>
      <c r="P1428">
        <v>-6.52283068323503E-2</v>
      </c>
      <c r="Q1428">
        <v>8.7426795093011794E-2</v>
      </c>
      <c r="R1428">
        <v>0.97827566792728504</v>
      </c>
      <c r="S1428" t="s">
        <v>6979</v>
      </c>
      <c r="T1428" t="s">
        <v>11100</v>
      </c>
      <c r="U1428" t="s">
        <v>11100</v>
      </c>
      <c r="V1428" t="s">
        <v>11100</v>
      </c>
      <c r="W1428" t="s">
        <v>12495</v>
      </c>
      <c r="X1428">
        <v>5</v>
      </c>
      <c r="Y1428" t="s">
        <v>17987</v>
      </c>
      <c r="Z1428" t="s">
        <v>23433</v>
      </c>
      <c r="AA1428">
        <v>0.45496268462614892</v>
      </c>
      <c r="AB1428" t="str">
        <f>HYPERLINK("Melting_Curves/meltCurve_O60826_CCDC22.pdf", "Melting_Curves/meltCurve_O60826_CCDC22.pdf")</f>
        <v>Melting_Curves/meltCurve_O60826_CCDC22.pdf</v>
      </c>
    </row>
    <row r="1429" spans="1:28" x14ac:dyDescent="0.25">
      <c r="A1429" t="s">
        <v>1433</v>
      </c>
      <c r="B1429">
        <v>0.99299721793515405</v>
      </c>
      <c r="C1429">
        <v>0.91785163408830095</v>
      </c>
      <c r="D1429">
        <v>0.93949195069087199</v>
      </c>
      <c r="E1429">
        <v>0.84206907826974497</v>
      </c>
      <c r="F1429">
        <v>0.670955167318662</v>
      </c>
      <c r="G1429">
        <v>0.54546789943180896</v>
      </c>
      <c r="H1429">
        <v>0.57046608780199604</v>
      </c>
      <c r="I1429">
        <v>0.67062565084388304</v>
      </c>
      <c r="J1429">
        <v>0.83792527519486903</v>
      </c>
      <c r="K1429">
        <v>0.94590406641876001</v>
      </c>
      <c r="L1429">
        <v>1592.36959739708</v>
      </c>
      <c r="M1429">
        <v>34.730891339596198</v>
      </c>
      <c r="O1429">
        <v>45.697593262633099</v>
      </c>
      <c r="P1429">
        <v>-5.5623970083504601E-2</v>
      </c>
      <c r="Q1429">
        <v>0.70724940253204704</v>
      </c>
      <c r="R1429">
        <v>0.46287764746278598</v>
      </c>
      <c r="S1429" t="s">
        <v>6980</v>
      </c>
      <c r="T1429" t="s">
        <v>11100</v>
      </c>
      <c r="U1429" t="s">
        <v>11100</v>
      </c>
      <c r="V1429" t="s">
        <v>11100</v>
      </c>
      <c r="W1429" t="s">
        <v>12496</v>
      </c>
      <c r="X1429">
        <v>12</v>
      </c>
      <c r="Y1429" t="s">
        <v>17988</v>
      </c>
      <c r="Z1429" t="s">
        <v>23434</v>
      </c>
      <c r="AA1429">
        <v>0.79483516659720366</v>
      </c>
      <c r="AB1429" t="str">
        <f>HYPERLINK("Melting_Curves/meltCurve_O60828_PQBP1.pdf", "Melting_Curves/meltCurve_O60828_PQBP1.pdf")</f>
        <v>Melting_Curves/meltCurve_O60828_PQBP1.pdf</v>
      </c>
    </row>
    <row r="1430" spans="1:28" x14ac:dyDescent="0.25">
      <c r="A1430" t="s">
        <v>1434</v>
      </c>
      <c r="B1430">
        <v>0.99299721793515405</v>
      </c>
      <c r="C1430">
        <v>1.02253360657162</v>
      </c>
      <c r="D1430">
        <v>1.3781146199756</v>
      </c>
      <c r="E1430">
        <v>0.96206276571311999</v>
      </c>
      <c r="F1430">
        <v>0.80377327284211297</v>
      </c>
      <c r="G1430">
        <v>0.79076488734731198</v>
      </c>
      <c r="H1430">
        <v>0.604330580481374</v>
      </c>
      <c r="I1430">
        <v>0.61515227779534298</v>
      </c>
      <c r="J1430">
        <v>0.79200842255264103</v>
      </c>
      <c r="K1430">
        <v>0.66632556646506802</v>
      </c>
      <c r="L1430">
        <v>1626.5612582950901</v>
      </c>
      <c r="M1430">
        <v>32.562089434083397</v>
      </c>
      <c r="O1430">
        <v>49.765334318795098</v>
      </c>
      <c r="P1430">
        <v>-5.1807315137480998E-2</v>
      </c>
      <c r="Q1430">
        <v>0.68328859826311406</v>
      </c>
      <c r="R1430">
        <v>0.647599353767363</v>
      </c>
      <c r="S1430" t="s">
        <v>6981</v>
      </c>
      <c r="T1430" t="s">
        <v>11100</v>
      </c>
      <c r="U1430" t="s">
        <v>11100</v>
      </c>
      <c r="V1430" t="s">
        <v>11100</v>
      </c>
      <c r="W1430" t="s">
        <v>12497</v>
      </c>
      <c r="X1430">
        <v>6</v>
      </c>
      <c r="Y1430" t="s">
        <v>17989</v>
      </c>
      <c r="Z1430" t="s">
        <v>23435</v>
      </c>
      <c r="AA1430">
        <v>0.82168018328832404</v>
      </c>
      <c r="AB1430" t="str">
        <f>HYPERLINK("Melting_Curves/meltCurve_O60830_TIMM17B.pdf", "Melting_Curves/meltCurve_O60830_TIMM17B.pdf")</f>
        <v>Melting_Curves/meltCurve_O60830_TIMM17B.pdf</v>
      </c>
    </row>
    <row r="1431" spans="1:28" x14ac:dyDescent="0.25">
      <c r="A1431" t="s">
        <v>1435</v>
      </c>
      <c r="B1431">
        <v>0.99299721793515405</v>
      </c>
      <c r="C1431">
        <v>1.07272669804205</v>
      </c>
      <c r="D1431">
        <v>0.86468792120399096</v>
      </c>
      <c r="E1431">
        <v>0.87175292359749801</v>
      </c>
      <c r="F1431">
        <v>0.74135171544342204</v>
      </c>
      <c r="G1431">
        <v>0.53301469861286699</v>
      </c>
      <c r="H1431">
        <v>0.54692585457653797</v>
      </c>
      <c r="I1431">
        <v>0.73675901095553198</v>
      </c>
      <c r="J1431">
        <v>0.99214920035250398</v>
      </c>
      <c r="K1431">
        <v>0.76691986759898201</v>
      </c>
      <c r="L1431">
        <v>1119.62472667628</v>
      </c>
      <c r="M1431">
        <v>24.813254341827701</v>
      </c>
      <c r="O1431">
        <v>44.8320353529488</v>
      </c>
      <c r="P1431">
        <v>-3.8657726731074198E-2</v>
      </c>
      <c r="Q1431">
        <v>0.72062020123525805</v>
      </c>
      <c r="R1431">
        <v>0.46742605866706699</v>
      </c>
      <c r="S1431" t="s">
        <v>6982</v>
      </c>
      <c r="T1431" t="s">
        <v>11100</v>
      </c>
      <c r="U1431" t="s">
        <v>11100</v>
      </c>
      <c r="V1431" t="s">
        <v>11100</v>
      </c>
      <c r="W1431" t="s">
        <v>12498</v>
      </c>
      <c r="X1431">
        <v>6</v>
      </c>
      <c r="Y1431" t="s">
        <v>17990</v>
      </c>
      <c r="Z1431" t="s">
        <v>23436</v>
      </c>
      <c r="AA1431">
        <v>0.79858957129409414</v>
      </c>
      <c r="AB1431" t="str">
        <f>HYPERLINK("Melting_Curves/meltCurve_O60831_PRAF2.pdf", "Melting_Curves/meltCurve_O60831_PRAF2.pdf")</f>
        <v>Melting_Curves/meltCurve_O60831_PRAF2.pdf</v>
      </c>
    </row>
    <row r="1432" spans="1:28" x14ac:dyDescent="0.25">
      <c r="A1432" t="s">
        <v>1436</v>
      </c>
      <c r="B1432">
        <v>0.99299721793515405</v>
      </c>
      <c r="C1432">
        <v>0.94320869730162704</v>
      </c>
      <c r="D1432">
        <v>0.93452030658734597</v>
      </c>
      <c r="E1432">
        <v>0.91584210484759798</v>
      </c>
      <c r="F1432">
        <v>0.62100819174760602</v>
      </c>
      <c r="G1432">
        <v>0.62474846422282404</v>
      </c>
      <c r="H1432">
        <v>0.65318300848466404</v>
      </c>
      <c r="I1432">
        <v>0.67083105251127495</v>
      </c>
      <c r="J1432">
        <v>0.65709529142129897</v>
      </c>
      <c r="K1432">
        <v>0.62741798376860003</v>
      </c>
      <c r="L1432">
        <v>11704.916506691599</v>
      </c>
      <c r="M1432">
        <v>250</v>
      </c>
      <c r="O1432">
        <v>46.816669880745401</v>
      </c>
      <c r="P1432">
        <v>-0.47741987325191498</v>
      </c>
      <c r="Q1432">
        <v>0.64238066282621498</v>
      </c>
      <c r="R1432">
        <v>0.95739306511020605</v>
      </c>
      <c r="S1432" t="s">
        <v>6983</v>
      </c>
      <c r="T1432" t="s">
        <v>11100</v>
      </c>
      <c r="U1432" t="s">
        <v>11100</v>
      </c>
      <c r="V1432" t="s">
        <v>11100</v>
      </c>
      <c r="W1432" t="s">
        <v>12499</v>
      </c>
      <c r="X1432">
        <v>2</v>
      </c>
      <c r="Y1432" t="s">
        <v>17991</v>
      </c>
      <c r="Z1432" t="s">
        <v>23437</v>
      </c>
      <c r="AA1432">
        <v>0.75946679614038559</v>
      </c>
      <c r="AB1432" t="str">
        <f>HYPERLINK("Melting_Curves/meltCurve_O60832_DKC1.pdf", "Melting_Curves/meltCurve_O60832_DKC1.pdf")</f>
        <v>Melting_Curves/meltCurve_O60832_DKC1.pdf</v>
      </c>
    </row>
    <row r="1433" spans="1:28" x14ac:dyDescent="0.25">
      <c r="A1433" t="s">
        <v>1437</v>
      </c>
      <c r="B1433">
        <v>0.99299721793515405</v>
      </c>
      <c r="C1433">
        <v>0.96012740308252598</v>
      </c>
      <c r="D1433">
        <v>1.06817951057315</v>
      </c>
      <c r="E1433">
        <v>0.83814703696464499</v>
      </c>
      <c r="F1433">
        <v>0.64238901438676399</v>
      </c>
      <c r="G1433">
        <v>0.37237930752724802</v>
      </c>
      <c r="H1433">
        <v>0.22009336943871999</v>
      </c>
      <c r="I1433">
        <v>0.199451889560989</v>
      </c>
      <c r="J1433">
        <v>0.19443080870163201</v>
      </c>
      <c r="K1433">
        <v>0.13032113993827199</v>
      </c>
      <c r="L1433">
        <v>991.978170876744</v>
      </c>
      <c r="M1433">
        <v>19.502639853589301</v>
      </c>
      <c r="N1433">
        <v>51.832930950227102</v>
      </c>
      <c r="O1433">
        <v>50.338068584801</v>
      </c>
      <c r="P1433">
        <v>-8.2063296697407195E-2</v>
      </c>
      <c r="Q1433">
        <v>0.15277944797245699</v>
      </c>
      <c r="R1433">
        <v>0.98950326935865396</v>
      </c>
      <c r="S1433" t="s">
        <v>6984</v>
      </c>
      <c r="T1433" t="s">
        <v>11100</v>
      </c>
      <c r="U1433" t="s">
        <v>11100</v>
      </c>
      <c r="V1433" t="s">
        <v>11100</v>
      </c>
      <c r="W1433" t="s">
        <v>12500</v>
      </c>
      <c r="X1433">
        <v>20</v>
      </c>
      <c r="Y1433" t="s">
        <v>17992</v>
      </c>
      <c r="Z1433" t="s">
        <v>23438</v>
      </c>
      <c r="AA1433">
        <v>0.55588355341381812</v>
      </c>
      <c r="AB1433" t="str">
        <f>HYPERLINK("Melting_Curves/meltCurve_O60841_EIF5B.pdf", "Melting_Curves/meltCurve_O60841_EIF5B.pdf")</f>
        <v>Melting_Curves/meltCurve_O60841_EIF5B.pdf</v>
      </c>
    </row>
    <row r="1434" spans="1:28" x14ac:dyDescent="0.25">
      <c r="A1434" t="s">
        <v>1438</v>
      </c>
      <c r="B1434">
        <v>0.99299721793515405</v>
      </c>
      <c r="C1434">
        <v>0.95662133395683802</v>
      </c>
      <c r="D1434">
        <v>1.0828066331856101</v>
      </c>
      <c r="E1434">
        <v>0.81661208631455096</v>
      </c>
      <c r="F1434">
        <v>0.71422701396107902</v>
      </c>
      <c r="G1434">
        <v>0.492894373628322</v>
      </c>
      <c r="H1434">
        <v>0.56766328547411804</v>
      </c>
      <c r="I1434">
        <v>0.89985178736576599</v>
      </c>
      <c r="J1434">
        <v>1.2691010614776901</v>
      </c>
      <c r="K1434">
        <v>1.66605622998154</v>
      </c>
      <c r="L1434">
        <v>15000</v>
      </c>
      <c r="M1434">
        <v>234.16262550693901</v>
      </c>
      <c r="O1434">
        <v>64.053380052834598</v>
      </c>
      <c r="P1434">
        <v>0.45696779230562301</v>
      </c>
      <c r="Q1434">
        <v>1.5</v>
      </c>
      <c r="R1434">
        <v>0.43117571992981002</v>
      </c>
      <c r="S1434" t="s">
        <v>6985</v>
      </c>
      <c r="T1434" t="s">
        <v>11100</v>
      </c>
      <c r="U1434" t="s">
        <v>11100</v>
      </c>
      <c r="V1434" t="s">
        <v>11100</v>
      </c>
      <c r="W1434" t="s">
        <v>12501</v>
      </c>
      <c r="X1434">
        <v>19</v>
      </c>
      <c r="Y1434" t="s">
        <v>17993</v>
      </c>
      <c r="Z1434" t="s">
        <v>23439</v>
      </c>
      <c r="AA1434">
        <v>1.0489686827903559</v>
      </c>
      <c r="AB1434" t="str">
        <f>HYPERLINK("Melting_Curves/meltCurve_O60869_EDF1.pdf", "Melting_Curves/meltCurve_O60869_EDF1.pdf")</f>
        <v>Melting_Curves/meltCurve_O60869_EDF1.pdf</v>
      </c>
    </row>
    <row r="1435" spans="1:28" x14ac:dyDescent="0.25">
      <c r="A1435" t="s">
        <v>1439</v>
      </c>
      <c r="B1435">
        <v>0.99299721793515405</v>
      </c>
      <c r="C1435">
        <v>0.94463377248533198</v>
      </c>
      <c r="D1435">
        <v>0.96718589662449905</v>
      </c>
      <c r="E1435">
        <v>0.72845063700044099</v>
      </c>
      <c r="F1435">
        <v>0.66428186574072201</v>
      </c>
      <c r="G1435">
        <v>0.540059483764323</v>
      </c>
      <c r="H1435">
        <v>0.42108390442933202</v>
      </c>
      <c r="I1435">
        <v>0.28323165576129</v>
      </c>
      <c r="J1435">
        <v>0.14250948128610799</v>
      </c>
      <c r="K1435">
        <v>0.101930631725776</v>
      </c>
      <c r="L1435">
        <v>493.51338602065198</v>
      </c>
      <c r="M1435">
        <v>9.1290348001603299</v>
      </c>
      <c r="N1435">
        <v>54.059757510716601</v>
      </c>
      <c r="O1435">
        <v>51.655214995135701</v>
      </c>
      <c r="P1435">
        <v>-4.4212944616733703E-2</v>
      </c>
      <c r="Q1435">
        <v>0</v>
      </c>
      <c r="R1435">
        <v>0.98158992023895897</v>
      </c>
      <c r="S1435" t="s">
        <v>6986</v>
      </c>
      <c r="T1435" t="s">
        <v>11100</v>
      </c>
      <c r="U1435" t="s">
        <v>11100</v>
      </c>
      <c r="V1435" t="s">
        <v>11100</v>
      </c>
      <c r="W1435" t="s">
        <v>12502</v>
      </c>
      <c r="X1435">
        <v>8</v>
      </c>
      <c r="Y1435" t="s">
        <v>17994</v>
      </c>
      <c r="Z1435" t="s">
        <v>23440</v>
      </c>
      <c r="AA1435">
        <v>0.58501833305037654</v>
      </c>
      <c r="AB1435" t="str">
        <f>HYPERLINK("Melting_Curves/meltCurve_O60884_DNAJA2.pdf", "Melting_Curves/meltCurve_O60884_DNAJA2.pdf")</f>
        <v>Melting_Curves/meltCurve_O60884_DNAJA2.pdf</v>
      </c>
    </row>
    <row r="1436" spans="1:28" x14ac:dyDescent="0.25">
      <c r="A1436" t="s">
        <v>1440</v>
      </c>
      <c r="B1436">
        <v>0.99299721793515405</v>
      </c>
      <c r="C1436">
        <v>1.01476392808456</v>
      </c>
      <c r="D1436">
        <v>0.92536344975885798</v>
      </c>
      <c r="E1436">
        <v>0.80963186995176095</v>
      </c>
      <c r="F1436">
        <v>0.54939490650197798</v>
      </c>
      <c r="G1436">
        <v>0.381264464462018</v>
      </c>
      <c r="H1436">
        <v>0.26411391531544198</v>
      </c>
      <c r="I1436">
        <v>0.21190335478059699</v>
      </c>
      <c r="J1436">
        <v>0.187310925575983</v>
      </c>
      <c r="K1436">
        <v>0.152585337407738</v>
      </c>
      <c r="L1436">
        <v>764.63915680008199</v>
      </c>
      <c r="M1436">
        <v>15.263215065515199</v>
      </c>
      <c r="N1436">
        <v>51.319281294182801</v>
      </c>
      <c r="O1436">
        <v>49.260533003067202</v>
      </c>
      <c r="P1436">
        <v>-6.5662449004252804E-2</v>
      </c>
      <c r="Q1436">
        <v>0.152403474053943</v>
      </c>
      <c r="R1436">
        <v>0.998012240785772</v>
      </c>
      <c r="S1436" t="s">
        <v>6987</v>
      </c>
      <c r="T1436" t="s">
        <v>11100</v>
      </c>
      <c r="U1436" t="s">
        <v>11100</v>
      </c>
      <c r="V1436" t="s">
        <v>11100</v>
      </c>
      <c r="W1436" t="s">
        <v>12503</v>
      </c>
      <c r="X1436">
        <v>10</v>
      </c>
      <c r="Y1436" t="s">
        <v>17995</v>
      </c>
      <c r="Z1436" t="s">
        <v>23441</v>
      </c>
      <c r="AA1436">
        <v>0.53965454621000464</v>
      </c>
      <c r="AB1436" t="str">
        <f>HYPERLINK("Melting_Curves/meltCurve_O60885_BRD4.pdf", "Melting_Curves/meltCurve_O60885_BRD4.pdf")</f>
        <v>Melting_Curves/meltCurve_O60885_BRD4.pdf</v>
      </c>
    </row>
    <row r="1437" spans="1:28" x14ac:dyDescent="0.25">
      <c r="A1437" t="s">
        <v>1441</v>
      </c>
      <c r="B1437">
        <v>0.99299721793515405</v>
      </c>
      <c r="C1437">
        <v>1.0693454719929401</v>
      </c>
      <c r="D1437">
        <v>0.86218241751236802</v>
      </c>
      <c r="E1437">
        <v>0.88530053523480101</v>
      </c>
      <c r="F1437">
        <v>0.88998757454539701</v>
      </c>
      <c r="G1437">
        <v>0.52292089937201902</v>
      </c>
      <c r="H1437">
        <v>0.65505469440958697</v>
      </c>
      <c r="I1437">
        <v>0.95841615174350203</v>
      </c>
      <c r="J1437">
        <v>0.81274717382041795</v>
      </c>
      <c r="K1437">
        <v>0.50298891159537695</v>
      </c>
      <c r="L1437">
        <v>814.08570879368199</v>
      </c>
      <c r="M1437">
        <v>17.248408981070099</v>
      </c>
      <c r="O1437">
        <v>46.576998442460599</v>
      </c>
      <c r="P1437">
        <v>-2.78586798217197E-2</v>
      </c>
      <c r="Q1437">
        <v>0.69910304914072696</v>
      </c>
      <c r="R1437">
        <v>0.43740752101325298</v>
      </c>
      <c r="S1437" t="s">
        <v>6988</v>
      </c>
      <c r="T1437" t="s">
        <v>11100</v>
      </c>
      <c r="U1437" t="s">
        <v>11100</v>
      </c>
      <c r="V1437" t="s">
        <v>11100</v>
      </c>
      <c r="W1437" t="s">
        <v>12504</v>
      </c>
      <c r="X1437">
        <v>2</v>
      </c>
      <c r="Y1437" t="s">
        <v>17996</v>
      </c>
      <c r="Z1437" t="s">
        <v>23442</v>
      </c>
      <c r="AA1437">
        <v>0.80661438489776149</v>
      </c>
      <c r="AB1437" t="str">
        <f>HYPERLINK("Melting_Curves/meltCurve_O60888_3_CUTA.pdf", "Melting_Curves/meltCurve_O60888_3_CUTA.pdf")</f>
        <v>Melting_Curves/meltCurve_O60888_3_CUTA.pdf</v>
      </c>
    </row>
    <row r="1438" spans="1:28" x14ac:dyDescent="0.25">
      <c r="A1438" t="s">
        <v>1442</v>
      </c>
      <c r="B1438">
        <v>0.99299721793515405</v>
      </c>
      <c r="C1438">
        <v>0.85811007006665696</v>
      </c>
      <c r="D1438">
        <v>0.85614070314345503</v>
      </c>
      <c r="E1438">
        <v>0.86457413148657503</v>
      </c>
      <c r="F1438">
        <v>0.76175083109189801</v>
      </c>
      <c r="G1438">
        <v>0.50085453304022098</v>
      </c>
      <c r="H1438">
        <v>0.58415063257137301</v>
      </c>
      <c r="I1438">
        <v>0.59886749830735897</v>
      </c>
      <c r="J1438">
        <v>0.58503805912889095</v>
      </c>
      <c r="K1438">
        <v>0.47882362546377899</v>
      </c>
      <c r="L1438">
        <v>410.49274245424999</v>
      </c>
      <c r="M1438">
        <v>8.3945408590784698</v>
      </c>
      <c r="O1438">
        <v>46.361204542452697</v>
      </c>
      <c r="P1438">
        <v>-2.4046918461824201E-2</v>
      </c>
      <c r="Q1438">
        <v>0.46927782156633502</v>
      </c>
      <c r="R1438">
        <v>0.86174644501450204</v>
      </c>
      <c r="S1438" t="s">
        <v>6989</v>
      </c>
      <c r="T1438" t="s">
        <v>11100</v>
      </c>
      <c r="U1438" t="s">
        <v>11100</v>
      </c>
      <c r="V1438" t="s">
        <v>11100</v>
      </c>
      <c r="W1438" t="s">
        <v>12505</v>
      </c>
      <c r="X1438">
        <v>5</v>
      </c>
      <c r="Y1438" t="s">
        <v>17997</v>
      </c>
      <c r="Z1438" t="s">
        <v>23443</v>
      </c>
      <c r="AA1438">
        <v>0.70363359560661221</v>
      </c>
      <c r="AB1438" t="str">
        <f>HYPERLINK("Melting_Curves/meltCurve_O60906_SMPD2.pdf", "Melting_Curves/meltCurve_O60906_SMPD2.pdf")</f>
        <v>Melting_Curves/meltCurve_O60906_SMPD2.pdf</v>
      </c>
    </row>
    <row r="1439" spans="1:28" x14ac:dyDescent="0.25">
      <c r="A1439" t="s">
        <v>1443</v>
      </c>
      <c r="B1439">
        <v>0.99299721793515405</v>
      </c>
      <c r="C1439">
        <v>0.92110853010782201</v>
      </c>
      <c r="D1439">
        <v>0.94769110270492596</v>
      </c>
      <c r="E1439">
        <v>0.870122960179738</v>
      </c>
      <c r="F1439">
        <v>0.81040423129497796</v>
      </c>
      <c r="G1439">
        <v>0.650847108003338</v>
      </c>
      <c r="H1439">
        <v>0.70891928513858404</v>
      </c>
      <c r="I1439">
        <v>0.85789755307354199</v>
      </c>
      <c r="J1439">
        <v>0.83673849843924197</v>
      </c>
      <c r="K1439">
        <v>0.71805629086613298</v>
      </c>
      <c r="L1439">
        <v>862.04795580169298</v>
      </c>
      <c r="M1439">
        <v>19.006336557236601</v>
      </c>
      <c r="O1439">
        <v>44.862672017273397</v>
      </c>
      <c r="P1439">
        <v>-2.5684948383527199E-2</v>
      </c>
      <c r="Q1439">
        <v>0.757502022463721</v>
      </c>
      <c r="R1439">
        <v>0.64721955695419997</v>
      </c>
      <c r="S1439" t="s">
        <v>6990</v>
      </c>
      <c r="T1439" t="s">
        <v>11100</v>
      </c>
      <c r="U1439" t="s">
        <v>11100</v>
      </c>
      <c r="V1439" t="s">
        <v>11100</v>
      </c>
      <c r="W1439" t="s">
        <v>12506</v>
      </c>
      <c r="X1439">
        <v>9</v>
      </c>
      <c r="Y1439" t="s">
        <v>17998</v>
      </c>
      <c r="Z1439" t="s">
        <v>23444</v>
      </c>
      <c r="AA1439">
        <v>0.82857554594358718</v>
      </c>
      <c r="AB1439" t="str">
        <f>HYPERLINK("Melting_Curves/meltCurve_O60925_PFDN1.pdf", "Melting_Curves/meltCurve_O60925_PFDN1.pdf")</f>
        <v>Melting_Curves/meltCurve_O60925_PFDN1.pdf</v>
      </c>
    </row>
    <row r="1440" spans="1:28" x14ac:dyDescent="0.25">
      <c r="A1440" t="s">
        <v>1444</v>
      </c>
      <c r="B1440">
        <v>0.99299721793515405</v>
      </c>
      <c r="C1440">
        <v>0.825237232760893</v>
      </c>
      <c r="D1440">
        <v>1.12341673265831</v>
      </c>
      <c r="E1440">
        <v>1.02542867539358</v>
      </c>
      <c r="F1440">
        <v>0.87649903087473702</v>
      </c>
      <c r="G1440">
        <v>0.72407981752177797</v>
      </c>
      <c r="H1440">
        <v>0.74866318597347803</v>
      </c>
      <c r="I1440">
        <v>0.96560320890764595</v>
      </c>
      <c r="J1440">
        <v>1.15560018762915</v>
      </c>
      <c r="K1440">
        <v>1.42835193095316</v>
      </c>
      <c r="L1440">
        <v>15000</v>
      </c>
      <c r="M1440">
        <v>233.447972147255</v>
      </c>
      <c r="O1440">
        <v>64.249438957348403</v>
      </c>
      <c r="P1440">
        <v>0.38912759547522002</v>
      </c>
      <c r="Q1440">
        <v>1.42838198146674</v>
      </c>
      <c r="R1440">
        <v>0.504521546756873</v>
      </c>
      <c r="S1440" t="s">
        <v>6991</v>
      </c>
      <c r="T1440" t="s">
        <v>11100</v>
      </c>
      <c r="U1440" t="s">
        <v>11100</v>
      </c>
      <c r="V1440" t="s">
        <v>11100</v>
      </c>
      <c r="W1440" t="s">
        <v>12507</v>
      </c>
      <c r="X1440">
        <v>9</v>
      </c>
      <c r="Y1440" t="s">
        <v>17999</v>
      </c>
      <c r="Z1440" t="s">
        <v>23445</v>
      </c>
      <c r="AA1440">
        <v>1.0391540516344679</v>
      </c>
      <c r="AB1440" t="str">
        <f>HYPERLINK("Melting_Curves/meltCurve_O60927_PPP1R11.pdf", "Melting_Curves/meltCurve_O60927_PPP1R11.pdf")</f>
        <v>Melting_Curves/meltCurve_O60927_PPP1R11.pdf</v>
      </c>
    </row>
    <row r="1441" spans="1:28" x14ac:dyDescent="0.25">
      <c r="A1441" t="s">
        <v>1445</v>
      </c>
      <c r="B1441">
        <v>0.99299721793515405</v>
      </c>
      <c r="C1441">
        <v>0.96005498182896198</v>
      </c>
      <c r="D1441">
        <v>0.98345766853530503</v>
      </c>
      <c r="E1441">
        <v>0.82367429783897905</v>
      </c>
      <c r="F1441">
        <v>0.68951052283667302</v>
      </c>
      <c r="G1441">
        <v>0.247984124785782</v>
      </c>
      <c r="H1441">
        <v>0.21863982940495999</v>
      </c>
      <c r="I1441">
        <v>0.235074504976542</v>
      </c>
      <c r="J1441">
        <v>0.206370673766577</v>
      </c>
      <c r="K1441">
        <v>0.158199641566239</v>
      </c>
      <c r="L1441">
        <v>1226.1918259383201</v>
      </c>
      <c r="M1441">
        <v>24.319248595927601</v>
      </c>
      <c r="N1441">
        <v>51.365580378138198</v>
      </c>
      <c r="O1441">
        <v>50.083393367529901</v>
      </c>
      <c r="P1441">
        <v>-9.9501493032444793E-2</v>
      </c>
      <c r="Q1441">
        <v>0.18035301987093899</v>
      </c>
      <c r="R1441">
        <v>0.98136277705779196</v>
      </c>
      <c r="S1441" t="s">
        <v>6992</v>
      </c>
      <c r="T1441" t="s">
        <v>11100</v>
      </c>
      <c r="U1441" t="s">
        <v>11100</v>
      </c>
      <c r="V1441" t="s">
        <v>11100</v>
      </c>
      <c r="W1441" t="s">
        <v>12508</v>
      </c>
      <c r="X1441">
        <v>11</v>
      </c>
      <c r="Y1441" t="s">
        <v>18000</v>
      </c>
      <c r="Z1441" t="s">
        <v>23446</v>
      </c>
      <c r="AA1441">
        <v>0.5546067739644901</v>
      </c>
      <c r="AB1441" t="str">
        <f>HYPERLINK("Melting_Curves/meltCurve_O60934_NBN.pdf", "Melting_Curves/meltCurve_O60934_NBN.pdf")</f>
        <v>Melting_Curves/meltCurve_O60934_NBN.pdf</v>
      </c>
    </row>
    <row r="1442" spans="1:28" x14ac:dyDescent="0.25">
      <c r="A1442" t="s">
        <v>1446</v>
      </c>
      <c r="B1442">
        <v>0.99299721793515405</v>
      </c>
      <c r="C1442">
        <v>0.94142796248055405</v>
      </c>
      <c r="D1442">
        <v>0.99518684084107101</v>
      </c>
      <c r="E1442">
        <v>0.86828034097043005</v>
      </c>
      <c r="F1442">
        <v>0.71536217306408501</v>
      </c>
      <c r="G1442">
        <v>0.32126390952682898</v>
      </c>
      <c r="H1442">
        <v>0.25410208101408099</v>
      </c>
      <c r="I1442">
        <v>0.25483673053968398</v>
      </c>
      <c r="J1442">
        <v>0.27426729239348102</v>
      </c>
      <c r="K1442">
        <v>0.23980633285865099</v>
      </c>
      <c r="L1442">
        <v>1436.52239330885</v>
      </c>
      <c r="M1442">
        <v>28.357376620449099</v>
      </c>
      <c r="N1442">
        <v>51.8666032738533</v>
      </c>
      <c r="O1442">
        <v>50.407880047299798</v>
      </c>
      <c r="P1442">
        <v>-0.10663302729848501</v>
      </c>
      <c r="Q1442">
        <v>0.24180548925827999</v>
      </c>
      <c r="R1442">
        <v>0.98707502376245704</v>
      </c>
      <c r="S1442" t="s">
        <v>6993</v>
      </c>
      <c r="T1442" t="s">
        <v>11100</v>
      </c>
      <c r="U1442" t="s">
        <v>11100</v>
      </c>
      <c r="V1442" t="s">
        <v>11100</v>
      </c>
      <c r="W1442" t="s">
        <v>12509</v>
      </c>
      <c r="X1442">
        <v>11</v>
      </c>
      <c r="Y1442" t="s">
        <v>18001</v>
      </c>
      <c r="Z1442" t="s">
        <v>23447</v>
      </c>
      <c r="AA1442">
        <v>0.59222665357826054</v>
      </c>
      <c r="AB1442" t="str">
        <f>HYPERLINK("Melting_Curves/meltCurve_O60942_RNGTT.pdf", "Melting_Curves/meltCurve_O60942_RNGTT.pdf")</f>
        <v>Melting_Curves/meltCurve_O60942_RNGTT.pdf</v>
      </c>
    </row>
    <row r="1443" spans="1:28" x14ac:dyDescent="0.25">
      <c r="A1443" t="s">
        <v>1447</v>
      </c>
      <c r="B1443">
        <v>0.99299721793515405</v>
      </c>
      <c r="C1443">
        <v>1.04351351061494</v>
      </c>
      <c r="D1443">
        <v>0.93549024718128604</v>
      </c>
      <c r="E1443">
        <v>0.89384376884030503</v>
      </c>
      <c r="F1443">
        <v>0.723245443169933</v>
      </c>
      <c r="G1443">
        <v>0.63836241136818095</v>
      </c>
      <c r="H1443">
        <v>0.371041400811914</v>
      </c>
      <c r="I1443">
        <v>0.20988631297848501</v>
      </c>
      <c r="J1443">
        <v>0.20134074463561699</v>
      </c>
      <c r="K1443">
        <v>0.16917157683298201</v>
      </c>
      <c r="L1443">
        <v>680.09694695682197</v>
      </c>
      <c r="M1443">
        <v>12.4844884086266</v>
      </c>
      <c r="N1443">
        <v>55.091435426811501</v>
      </c>
      <c r="O1443">
        <v>53.1343177661401</v>
      </c>
      <c r="P1443">
        <v>-5.4924494618040103E-2</v>
      </c>
      <c r="Q1443">
        <v>6.5152799584305796E-2</v>
      </c>
      <c r="R1443">
        <v>0.98789357965813196</v>
      </c>
      <c r="S1443" t="s">
        <v>6994</v>
      </c>
      <c r="T1443" t="s">
        <v>11100</v>
      </c>
      <c r="U1443" t="s">
        <v>11100</v>
      </c>
      <c r="V1443" t="s">
        <v>11100</v>
      </c>
      <c r="W1443" t="s">
        <v>12510</v>
      </c>
      <c r="X1443">
        <v>7</v>
      </c>
      <c r="Y1443" t="s">
        <v>18002</v>
      </c>
      <c r="Z1443" t="s">
        <v>23448</v>
      </c>
      <c r="AA1443">
        <v>0.62487193490482817</v>
      </c>
      <c r="AB1443" t="str">
        <f>HYPERLINK("Melting_Curves/meltCurve_O75027_ABCB7.pdf", "Melting_Curves/meltCurve_O75027_ABCB7.pdf")</f>
        <v>Melting_Curves/meltCurve_O75027_ABCB7.pdf</v>
      </c>
    </row>
    <row r="1444" spans="1:28" x14ac:dyDescent="0.25">
      <c r="A1444" t="s">
        <v>1448</v>
      </c>
      <c r="B1444">
        <v>0.99299721793515405</v>
      </c>
      <c r="C1444">
        <v>0.88587277142202303</v>
      </c>
      <c r="D1444">
        <v>0.90337178194179901</v>
      </c>
      <c r="E1444">
        <v>0.734684026770004</v>
      </c>
      <c r="F1444">
        <v>0.48352556680319297</v>
      </c>
      <c r="G1444">
        <v>0.31592851074546102</v>
      </c>
      <c r="H1444">
        <v>0.199335822191994</v>
      </c>
      <c r="I1444">
        <v>0.138242496220846</v>
      </c>
      <c r="J1444">
        <v>0.129806545253904</v>
      </c>
      <c r="K1444">
        <v>0.11578068468557801</v>
      </c>
      <c r="L1444">
        <v>646.54858791371805</v>
      </c>
      <c r="M1444">
        <v>13.0771282217378</v>
      </c>
      <c r="N1444">
        <v>50.089101775670798</v>
      </c>
      <c r="O1444">
        <v>48.327879256379497</v>
      </c>
      <c r="P1444">
        <v>-6.2394853895741002E-2</v>
      </c>
      <c r="Q1444">
        <v>7.7812602673476797E-2</v>
      </c>
      <c r="R1444">
        <v>0.99401861732728203</v>
      </c>
      <c r="S1444" t="s">
        <v>6995</v>
      </c>
      <c r="T1444" t="s">
        <v>11100</v>
      </c>
      <c r="U1444" t="s">
        <v>11100</v>
      </c>
      <c r="V1444" t="s">
        <v>11100</v>
      </c>
      <c r="W1444" t="s">
        <v>12511</v>
      </c>
      <c r="X1444">
        <v>9</v>
      </c>
      <c r="Y1444" t="s">
        <v>18003</v>
      </c>
      <c r="Z1444" t="s">
        <v>23449</v>
      </c>
      <c r="AA1444">
        <v>0.48413117613467732</v>
      </c>
      <c r="AB1444" t="str">
        <f>HYPERLINK("Melting_Curves/meltCurve_O75044_SRGAP2.pdf", "Melting_Curves/meltCurve_O75044_SRGAP2.pdf")</f>
        <v>Melting_Curves/meltCurve_O75044_SRGAP2.pdf</v>
      </c>
    </row>
    <row r="1445" spans="1:28" x14ac:dyDescent="0.25">
      <c r="A1445" t="s">
        <v>1449</v>
      </c>
      <c r="B1445">
        <v>0.99299721793515405</v>
      </c>
      <c r="C1445">
        <v>0.94837477499188405</v>
      </c>
      <c r="D1445">
        <v>0.90134291480457196</v>
      </c>
      <c r="E1445">
        <v>0.83138821387622597</v>
      </c>
      <c r="F1445">
        <v>0.69925052063854798</v>
      </c>
      <c r="G1445">
        <v>0.64610702958849398</v>
      </c>
      <c r="H1445">
        <v>0.544445599095149</v>
      </c>
      <c r="I1445">
        <v>0.22929881166643901</v>
      </c>
      <c r="J1445">
        <v>0.13581402112473701</v>
      </c>
      <c r="K1445">
        <v>0.143271245164801</v>
      </c>
      <c r="L1445">
        <v>553.22651344883604</v>
      </c>
      <c r="M1445">
        <v>9.9431644341325995</v>
      </c>
      <c r="N1445">
        <v>55.638870019279999</v>
      </c>
      <c r="O1445">
        <v>53.528709670608897</v>
      </c>
      <c r="P1445">
        <v>-4.6461549264024203E-2</v>
      </c>
      <c r="Q1445">
        <v>0</v>
      </c>
      <c r="R1445">
        <v>0.96413781392259901</v>
      </c>
      <c r="S1445" t="s">
        <v>6996</v>
      </c>
      <c r="T1445" t="s">
        <v>11100</v>
      </c>
      <c r="U1445" t="s">
        <v>11100</v>
      </c>
      <c r="V1445" t="s">
        <v>11100</v>
      </c>
      <c r="W1445" t="s">
        <v>12512</v>
      </c>
      <c r="X1445">
        <v>4</v>
      </c>
      <c r="Y1445" t="s">
        <v>18004</v>
      </c>
      <c r="Z1445" t="s">
        <v>23450</v>
      </c>
      <c r="AA1445">
        <v>0.62950992505126735</v>
      </c>
      <c r="AB1445" t="str">
        <f>HYPERLINK("Melting_Curves/meltCurve_O75051_PLXNA2.pdf", "Melting_Curves/meltCurve_O75051_PLXNA2.pdf")</f>
        <v>Melting_Curves/meltCurve_O75051_PLXNA2.pdf</v>
      </c>
    </row>
    <row r="1446" spans="1:28" x14ac:dyDescent="0.25">
      <c r="A1446" t="s">
        <v>1450</v>
      </c>
      <c r="B1446">
        <v>0.99299721793515405</v>
      </c>
      <c r="C1446">
        <v>0.992239734582128</v>
      </c>
      <c r="D1446">
        <v>1.2826451873073199</v>
      </c>
      <c r="E1446">
        <v>0.90819966794446705</v>
      </c>
      <c r="F1446">
        <v>0.77952649886480496</v>
      </c>
      <c r="G1446">
        <v>0.55371765132390605</v>
      </c>
      <c r="H1446">
        <v>0.27644439765568901</v>
      </c>
      <c r="I1446">
        <v>0.31227563903420602</v>
      </c>
      <c r="J1446">
        <v>0.286570373655268</v>
      </c>
      <c r="K1446">
        <v>0.22665279688377901</v>
      </c>
      <c r="L1446">
        <v>1212.81545875494</v>
      </c>
      <c r="M1446">
        <v>23.157134931861201</v>
      </c>
      <c r="N1446">
        <v>53.983953962313997</v>
      </c>
      <c r="O1446">
        <v>51.987422723499002</v>
      </c>
      <c r="P1446">
        <v>-8.3583261831593897E-2</v>
      </c>
      <c r="Q1446">
        <v>0.249440978226912</v>
      </c>
      <c r="R1446">
        <v>0.92741089202026195</v>
      </c>
      <c r="S1446" t="s">
        <v>6997</v>
      </c>
      <c r="T1446" t="s">
        <v>11100</v>
      </c>
      <c r="U1446" t="s">
        <v>11100</v>
      </c>
      <c r="V1446" t="s">
        <v>11100</v>
      </c>
      <c r="W1446" t="s">
        <v>12513</v>
      </c>
      <c r="X1446">
        <v>4</v>
      </c>
      <c r="Y1446" t="s">
        <v>18005</v>
      </c>
      <c r="Z1446" t="s">
        <v>23451</v>
      </c>
      <c r="AA1446">
        <v>0.64165319179599434</v>
      </c>
      <c r="AB1446" t="str">
        <f>HYPERLINK("Melting_Curves/meltCurve_O75063_FAM20B.pdf", "Melting_Curves/meltCurve_O75063_FAM20B.pdf")</f>
        <v>Melting_Curves/meltCurve_O75063_FAM20B.pdf</v>
      </c>
    </row>
    <row r="1447" spans="1:28" x14ac:dyDescent="0.25">
      <c r="A1447" t="s">
        <v>1451</v>
      </c>
      <c r="B1447">
        <v>0.99299721793515405</v>
      </c>
      <c r="C1447">
        <v>1.03593813481314</v>
      </c>
      <c r="D1447">
        <v>1.01237269410107</v>
      </c>
      <c r="E1447">
        <v>0.91793930095793197</v>
      </c>
      <c r="F1447">
        <v>0.71154496344328899</v>
      </c>
      <c r="G1447">
        <v>0.52172410930284197</v>
      </c>
      <c r="H1447">
        <v>0.21916525937869599</v>
      </c>
      <c r="I1447">
        <v>0.13269416554036101</v>
      </c>
      <c r="J1447">
        <v>0.12322894589330501</v>
      </c>
      <c r="K1447">
        <v>9.4238801315205803E-2</v>
      </c>
      <c r="L1447">
        <v>934.53181777306804</v>
      </c>
      <c r="M1447">
        <v>17.6383558863233</v>
      </c>
      <c r="N1447">
        <v>53.4006605675496</v>
      </c>
      <c r="O1447">
        <v>52.315970553299799</v>
      </c>
      <c r="P1447">
        <v>-7.8860076973546897E-2</v>
      </c>
      <c r="Q1447">
        <v>6.4443196632308006E-2</v>
      </c>
      <c r="R1447">
        <v>0.99455813713904795</v>
      </c>
      <c r="S1447" t="s">
        <v>6998</v>
      </c>
      <c r="T1447" t="s">
        <v>11100</v>
      </c>
      <c r="U1447" t="s">
        <v>11100</v>
      </c>
      <c r="V1447" t="s">
        <v>11100</v>
      </c>
      <c r="W1447" t="s">
        <v>12514</v>
      </c>
      <c r="X1447">
        <v>30</v>
      </c>
      <c r="Y1447" t="s">
        <v>18006</v>
      </c>
      <c r="Z1447" t="s">
        <v>23452</v>
      </c>
      <c r="AA1447">
        <v>0.57684395986293924</v>
      </c>
      <c r="AB1447" t="str">
        <f>HYPERLINK("Melting_Curves/meltCurve_O75083_WDR1.pdf", "Melting_Curves/meltCurve_O75083_WDR1.pdf")</f>
        <v>Melting_Curves/meltCurve_O75083_WDR1.pdf</v>
      </c>
    </row>
    <row r="1448" spans="1:28" x14ac:dyDescent="0.25">
      <c r="A1448" t="s">
        <v>1452</v>
      </c>
      <c r="B1448">
        <v>0.99299721793515405</v>
      </c>
      <c r="C1448">
        <v>0.89647668825392401</v>
      </c>
      <c r="D1448">
        <v>1.01491488165531</v>
      </c>
      <c r="E1448">
        <v>0.87941560733900004</v>
      </c>
      <c r="F1448">
        <v>0.75972636539832505</v>
      </c>
      <c r="G1448">
        <v>0.56582629295959397</v>
      </c>
      <c r="H1448">
        <v>0.49503257883158602</v>
      </c>
      <c r="I1448">
        <v>0.72100925022594398</v>
      </c>
      <c r="J1448">
        <v>0.57757445515410599</v>
      </c>
      <c r="K1448">
        <v>0.66610455856930095</v>
      </c>
      <c r="L1448">
        <v>1384.10184952702</v>
      </c>
      <c r="M1448">
        <v>28.5271266829699</v>
      </c>
      <c r="O1448">
        <v>48.282255790661203</v>
      </c>
      <c r="P1448">
        <v>-5.8277316266878702E-2</v>
      </c>
      <c r="Q1448">
        <v>0.60546498400680604</v>
      </c>
      <c r="R1448">
        <v>0.83978943230587</v>
      </c>
      <c r="S1448" t="s">
        <v>6999</v>
      </c>
      <c r="T1448" t="s">
        <v>11100</v>
      </c>
      <c r="U1448" t="s">
        <v>11100</v>
      </c>
      <c r="V1448" t="s">
        <v>11100</v>
      </c>
      <c r="W1448" t="s">
        <v>12515</v>
      </c>
      <c r="X1448">
        <v>3</v>
      </c>
      <c r="Y1448" t="s">
        <v>18007</v>
      </c>
      <c r="Z1448" t="s">
        <v>23453</v>
      </c>
      <c r="AA1448">
        <v>0.75955925797217294</v>
      </c>
      <c r="AB1448" t="str">
        <f>HYPERLINK("Melting_Curves/meltCurve_O75084_FZD7.pdf", "Melting_Curves/meltCurve_O75084_FZD7.pdf")</f>
        <v>Melting_Curves/meltCurve_O75084_FZD7.pdf</v>
      </c>
    </row>
    <row r="1449" spans="1:28" x14ac:dyDescent="0.25">
      <c r="A1449" t="s">
        <v>1453</v>
      </c>
      <c r="B1449">
        <v>0.99299721793515405</v>
      </c>
      <c r="C1449">
        <v>1.0408938870598801</v>
      </c>
      <c r="D1449">
        <v>1.1867208646734999</v>
      </c>
      <c r="E1449">
        <v>1.0279501437159499</v>
      </c>
      <c r="F1449">
        <v>0.848135675309731</v>
      </c>
      <c r="G1449">
        <v>1.2590747567991001</v>
      </c>
      <c r="H1449">
        <v>1.5025469825073099</v>
      </c>
      <c r="I1449">
        <v>1.4458513874424099</v>
      </c>
      <c r="J1449">
        <v>1.19076344978545</v>
      </c>
      <c r="K1449">
        <v>0.59851963088367099</v>
      </c>
      <c r="L1449">
        <v>15000</v>
      </c>
      <c r="M1449">
        <v>223.48120786907401</v>
      </c>
      <c r="Q1449">
        <v>0</v>
      </c>
      <c r="R1449">
        <v>6.3346212511607797E-2</v>
      </c>
      <c r="S1449" t="s">
        <v>7000</v>
      </c>
      <c r="T1449" t="s">
        <v>11100</v>
      </c>
      <c r="U1449" t="s">
        <v>11100</v>
      </c>
      <c r="V1449" t="s">
        <v>11100</v>
      </c>
      <c r="W1449" t="s">
        <v>12516</v>
      </c>
      <c r="X1449">
        <v>3</v>
      </c>
      <c r="Y1449" t="s">
        <v>18008</v>
      </c>
      <c r="Z1449" t="s">
        <v>23454</v>
      </c>
      <c r="AA1449">
        <v>0.99493115316939107</v>
      </c>
      <c r="AB1449" t="str">
        <f>HYPERLINK("Melting_Curves/meltCurve_O75110_ATP9A.pdf", "Melting_Curves/meltCurve_O75110_ATP9A.pdf")</f>
        <v>Melting_Curves/meltCurve_O75110_ATP9A.pdf</v>
      </c>
    </row>
    <row r="1450" spans="1:28" x14ac:dyDescent="0.25">
      <c r="A1450" t="s">
        <v>1454</v>
      </c>
      <c r="B1450">
        <v>0.99299721793515405</v>
      </c>
      <c r="C1450">
        <v>0.87889753848431695</v>
      </c>
      <c r="D1450">
        <v>0.90495448869153805</v>
      </c>
      <c r="E1450">
        <v>0.80498700745260199</v>
      </c>
      <c r="F1450">
        <v>0.67815877013824</v>
      </c>
      <c r="G1450">
        <v>0.33152906325508102</v>
      </c>
      <c r="H1450">
        <v>0.24665664027825199</v>
      </c>
      <c r="I1450">
        <v>0.20739969393753599</v>
      </c>
      <c r="J1450">
        <v>0.21143827431416801</v>
      </c>
      <c r="K1450">
        <v>0.19082564723419601</v>
      </c>
      <c r="L1450">
        <v>765.47814566406601</v>
      </c>
      <c r="M1450">
        <v>15.161581536451999</v>
      </c>
      <c r="N1450">
        <v>51.755246212907998</v>
      </c>
      <c r="O1450">
        <v>49.634135018149003</v>
      </c>
      <c r="P1450">
        <v>-6.4531699862022798E-2</v>
      </c>
      <c r="Q1450">
        <v>0.155057831222917</v>
      </c>
      <c r="R1450">
        <v>0.97528774321933098</v>
      </c>
      <c r="S1450" t="s">
        <v>7001</v>
      </c>
      <c r="T1450" t="s">
        <v>11100</v>
      </c>
      <c r="U1450" t="s">
        <v>11100</v>
      </c>
      <c r="V1450" t="s">
        <v>11100</v>
      </c>
      <c r="W1450" t="s">
        <v>12517</v>
      </c>
      <c r="X1450">
        <v>6</v>
      </c>
      <c r="Y1450" t="s">
        <v>18009</v>
      </c>
      <c r="Z1450" t="s">
        <v>23455</v>
      </c>
      <c r="AA1450">
        <v>0.55205195322825062</v>
      </c>
      <c r="AB1450" t="str">
        <f>HYPERLINK("Melting_Curves/meltCurve_O75113_N4BP1.pdf", "Melting_Curves/meltCurve_O75113_N4BP1.pdf")</f>
        <v>Melting_Curves/meltCurve_O75113_N4BP1.pdf</v>
      </c>
    </row>
    <row r="1451" spans="1:28" x14ac:dyDescent="0.25">
      <c r="A1451" t="s">
        <v>1455</v>
      </c>
      <c r="B1451">
        <v>0.99299721793515405</v>
      </c>
      <c r="C1451">
        <v>0.96322729177721</v>
      </c>
      <c r="D1451">
        <v>0.88983411286020997</v>
      </c>
      <c r="E1451">
        <v>0.85087557684360204</v>
      </c>
      <c r="F1451">
        <v>0.71805954272106398</v>
      </c>
      <c r="G1451">
        <v>0.343469476972944</v>
      </c>
      <c r="H1451">
        <v>0.20721365360605001</v>
      </c>
      <c r="I1451">
        <v>0.166323765019914</v>
      </c>
      <c r="J1451">
        <v>0.15345898462463001</v>
      </c>
      <c r="K1451">
        <v>0.126503475859992</v>
      </c>
      <c r="L1451">
        <v>932.26694064373703</v>
      </c>
      <c r="M1451">
        <v>18.140084475235501</v>
      </c>
      <c r="N1451">
        <v>52.118133082219899</v>
      </c>
      <c r="O1451">
        <v>50.780281243435198</v>
      </c>
      <c r="P1451">
        <v>-7.9346005857806406E-2</v>
      </c>
      <c r="Q1451">
        <v>0.111576118147428</v>
      </c>
      <c r="R1451">
        <v>0.98688076980389605</v>
      </c>
      <c r="S1451" t="s">
        <v>7002</v>
      </c>
      <c r="T1451" t="s">
        <v>11100</v>
      </c>
      <c r="U1451" t="s">
        <v>11100</v>
      </c>
      <c r="V1451" t="s">
        <v>11100</v>
      </c>
      <c r="W1451" t="s">
        <v>12518</v>
      </c>
      <c r="X1451">
        <v>20</v>
      </c>
      <c r="Y1451" t="s">
        <v>18010</v>
      </c>
      <c r="Z1451" t="s">
        <v>23456</v>
      </c>
      <c r="AA1451">
        <v>0.55130368058192514</v>
      </c>
      <c r="AB1451" t="str">
        <f>HYPERLINK("Melting_Curves/meltCurve_O75116_ROCK2.pdf", "Melting_Curves/meltCurve_O75116_ROCK2.pdf")</f>
        <v>Melting_Curves/meltCurve_O75116_ROCK2.pdf</v>
      </c>
    </row>
    <row r="1452" spans="1:28" x14ac:dyDescent="0.25">
      <c r="A1452" t="s">
        <v>1456</v>
      </c>
      <c r="B1452">
        <v>0.99299721793515405</v>
      </c>
      <c r="C1452">
        <v>1.1169817540039599</v>
      </c>
      <c r="D1452">
        <v>1.1529459185819999</v>
      </c>
      <c r="E1452">
        <v>1.0026854330531001</v>
      </c>
      <c r="F1452">
        <v>0.82986886609508703</v>
      </c>
      <c r="G1452">
        <v>0.59503912634112099</v>
      </c>
      <c r="H1452">
        <v>0.17834263892758601</v>
      </c>
      <c r="I1452">
        <v>0.13165947335424</v>
      </c>
      <c r="J1452">
        <v>0.11453972970468999</v>
      </c>
      <c r="K1452">
        <v>0.10663782679034201</v>
      </c>
      <c r="L1452">
        <v>1469.5546781051601</v>
      </c>
      <c r="M1452">
        <v>27.315356463147399</v>
      </c>
      <c r="N1452">
        <v>54.202926276593601</v>
      </c>
      <c r="O1452">
        <v>53.513710440634597</v>
      </c>
      <c r="P1452">
        <v>-0.11587412689306301</v>
      </c>
      <c r="Q1452">
        <v>9.1969269606714296E-2</v>
      </c>
      <c r="R1452">
        <v>0.97439146358392004</v>
      </c>
      <c r="S1452" t="s">
        <v>7003</v>
      </c>
      <c r="T1452" t="s">
        <v>11100</v>
      </c>
      <c r="U1452" t="s">
        <v>11100</v>
      </c>
      <c r="V1452" t="s">
        <v>11100</v>
      </c>
      <c r="W1452" t="s">
        <v>12519</v>
      </c>
      <c r="X1452">
        <v>29</v>
      </c>
      <c r="Y1452" t="s">
        <v>18011</v>
      </c>
      <c r="Z1452" t="s">
        <v>23457</v>
      </c>
      <c r="AA1452">
        <v>0.6073031899413206</v>
      </c>
      <c r="AB1452" t="str">
        <f>HYPERLINK("Melting_Curves/meltCurve_O75131_CPNE3.pdf", "Melting_Curves/meltCurve_O75131_CPNE3.pdf")</f>
        <v>Melting_Curves/meltCurve_O75131_CPNE3.pdf</v>
      </c>
    </row>
    <row r="1453" spans="1:28" x14ac:dyDescent="0.25">
      <c r="A1453" t="s">
        <v>1457</v>
      </c>
      <c r="B1453">
        <v>0.99299721793515405</v>
      </c>
      <c r="C1453">
        <v>1.0790656374849901</v>
      </c>
      <c r="D1453">
        <v>1.0089244452555199</v>
      </c>
      <c r="E1453">
        <v>0.88429552366531305</v>
      </c>
      <c r="F1453">
        <v>0.81028253795350502</v>
      </c>
      <c r="G1453">
        <v>0.51124714326723497</v>
      </c>
      <c r="H1453">
        <v>0.52566520350822898</v>
      </c>
      <c r="I1453">
        <v>0.64154450902511895</v>
      </c>
      <c r="J1453">
        <v>0.80039509703379097</v>
      </c>
      <c r="K1453">
        <v>0.59636661527753798</v>
      </c>
      <c r="L1453">
        <v>1577.8715178381599</v>
      </c>
      <c r="M1453">
        <v>32.158739873340998</v>
      </c>
      <c r="O1453">
        <v>48.876536181137404</v>
      </c>
      <c r="P1453">
        <v>-6.2698691367062798E-2</v>
      </c>
      <c r="Q1453">
        <v>0.61883089687831805</v>
      </c>
      <c r="R1453">
        <v>0.80951113936873598</v>
      </c>
      <c r="S1453" t="s">
        <v>7004</v>
      </c>
      <c r="T1453" t="s">
        <v>11100</v>
      </c>
      <c r="U1453" t="s">
        <v>11100</v>
      </c>
      <c r="V1453" t="s">
        <v>11100</v>
      </c>
      <c r="W1453" t="s">
        <v>12520</v>
      </c>
      <c r="X1453">
        <v>4</v>
      </c>
      <c r="Y1453" t="s">
        <v>18012</v>
      </c>
      <c r="Z1453" t="s">
        <v>23458</v>
      </c>
      <c r="AA1453">
        <v>0.77412908295330063</v>
      </c>
      <c r="AB1453" t="str">
        <f>HYPERLINK("Melting_Curves/meltCurve_O75143_2_ATG13.pdf", "Melting_Curves/meltCurve_O75143_2_ATG13.pdf")</f>
        <v>Melting_Curves/meltCurve_O75143_2_ATG13.pdf</v>
      </c>
    </row>
    <row r="1454" spans="1:28" x14ac:dyDescent="0.25">
      <c r="A1454" t="s">
        <v>1458</v>
      </c>
      <c r="B1454">
        <v>0.99299721793515405</v>
      </c>
      <c r="C1454">
        <v>0.98984920300063095</v>
      </c>
      <c r="D1454">
        <v>0.94787662421800101</v>
      </c>
      <c r="E1454">
        <v>0.81444819119211598</v>
      </c>
      <c r="F1454">
        <v>0.673012041834543</v>
      </c>
      <c r="G1454">
        <v>0.356308182561339</v>
      </c>
      <c r="H1454">
        <v>0.16967084871654101</v>
      </c>
      <c r="I1454">
        <v>0.15459778411634201</v>
      </c>
      <c r="J1454">
        <v>0.110107787879182</v>
      </c>
      <c r="K1454">
        <v>0.109483767314126</v>
      </c>
      <c r="L1454">
        <v>862.373226173494</v>
      </c>
      <c r="M1454">
        <v>16.8150549492903</v>
      </c>
      <c r="N1454">
        <v>51.814196329419403</v>
      </c>
      <c r="O1454">
        <v>50.576893896164997</v>
      </c>
      <c r="P1454">
        <v>-7.6572423647832205E-2</v>
      </c>
      <c r="Q1454">
        <v>7.8790802835681906E-2</v>
      </c>
      <c r="R1454">
        <v>0.99489141792852498</v>
      </c>
      <c r="S1454" t="s">
        <v>7005</v>
      </c>
      <c r="T1454" t="s">
        <v>11100</v>
      </c>
      <c r="U1454" t="s">
        <v>11100</v>
      </c>
      <c r="V1454" t="s">
        <v>11100</v>
      </c>
      <c r="W1454" t="s">
        <v>12521</v>
      </c>
      <c r="X1454">
        <v>19</v>
      </c>
      <c r="Y1454" t="s">
        <v>18013</v>
      </c>
      <c r="Z1454" t="s">
        <v>23459</v>
      </c>
      <c r="AA1454">
        <v>0.53315964186642995</v>
      </c>
      <c r="AB1454" t="str">
        <f>HYPERLINK("Melting_Curves/meltCurve_O75146_HIP1R.pdf", "Melting_Curves/meltCurve_O75146_HIP1R.pdf")</f>
        <v>Melting_Curves/meltCurve_O75146_HIP1R.pdf</v>
      </c>
    </row>
    <row r="1455" spans="1:28" x14ac:dyDescent="0.25">
      <c r="A1455" t="s">
        <v>1459</v>
      </c>
      <c r="B1455">
        <v>0.99299721793515405</v>
      </c>
      <c r="C1455">
        <v>1.0228067541347201</v>
      </c>
      <c r="D1455">
        <v>1.18864386341619</v>
      </c>
      <c r="E1455">
        <v>0.89581093745209395</v>
      </c>
      <c r="F1455">
        <v>0.52734268436379195</v>
      </c>
      <c r="G1455">
        <v>0.31569574496483499</v>
      </c>
      <c r="H1455">
        <v>0.23763223367945799</v>
      </c>
      <c r="I1455">
        <v>0.24640099983960301</v>
      </c>
      <c r="J1455">
        <v>0.21511995722159399</v>
      </c>
      <c r="K1455">
        <v>0.19511062612462601</v>
      </c>
      <c r="L1455">
        <v>1568.22667168817</v>
      </c>
      <c r="M1455">
        <v>31.635937425439302</v>
      </c>
      <c r="N1455">
        <v>50.530778416727998</v>
      </c>
      <c r="O1455">
        <v>49.374241598862397</v>
      </c>
      <c r="P1455">
        <v>-0.12401067147931701</v>
      </c>
      <c r="Q1455">
        <v>0.225829730150474</v>
      </c>
      <c r="R1455">
        <v>0.97100885436461704</v>
      </c>
      <c r="S1455" t="s">
        <v>7006</v>
      </c>
      <c r="T1455" t="s">
        <v>11100</v>
      </c>
      <c r="U1455" t="s">
        <v>11100</v>
      </c>
      <c r="V1455" t="s">
        <v>11100</v>
      </c>
      <c r="W1455" t="s">
        <v>12522</v>
      </c>
      <c r="X1455">
        <v>27</v>
      </c>
      <c r="Y1455" t="s">
        <v>18014</v>
      </c>
      <c r="Z1455" t="s">
        <v>23460</v>
      </c>
      <c r="AA1455">
        <v>0.55447794363486136</v>
      </c>
      <c r="AB1455" t="str">
        <f>HYPERLINK("Melting_Curves/meltCurve_O75150_RNF40.pdf", "Melting_Curves/meltCurve_O75150_RNF40.pdf")</f>
        <v>Melting_Curves/meltCurve_O75150_RNF40.pdf</v>
      </c>
    </row>
    <row r="1456" spans="1:28" x14ac:dyDescent="0.25">
      <c r="A1456" t="s">
        <v>1460</v>
      </c>
      <c r="B1456">
        <v>0.99299721793515405</v>
      </c>
      <c r="C1456">
        <v>0.841997827597599</v>
      </c>
      <c r="D1456">
        <v>0.79676531206714996</v>
      </c>
      <c r="E1456">
        <v>0.77630542116448398</v>
      </c>
      <c r="F1456">
        <v>0.72754914124956505</v>
      </c>
      <c r="G1456">
        <v>0.392633237577521</v>
      </c>
      <c r="H1456">
        <v>0.309762063343276</v>
      </c>
      <c r="I1456">
        <v>0.26455096962796698</v>
      </c>
      <c r="J1456">
        <v>0.27176989969009202</v>
      </c>
      <c r="K1456">
        <v>0.28431114630794602</v>
      </c>
      <c r="L1456">
        <v>441.08438894173997</v>
      </c>
      <c r="M1456">
        <v>8.6568247982493904</v>
      </c>
      <c r="N1456">
        <v>52.834291471924097</v>
      </c>
      <c r="O1456">
        <v>48.4521888251736</v>
      </c>
      <c r="P1456">
        <v>-3.8772988234192E-2</v>
      </c>
      <c r="Q1456">
        <v>0.13268091316011699</v>
      </c>
      <c r="R1456">
        <v>0.93887867653135104</v>
      </c>
      <c r="S1456" t="s">
        <v>7007</v>
      </c>
      <c r="T1456" t="s">
        <v>11100</v>
      </c>
      <c r="U1456" t="s">
        <v>11100</v>
      </c>
      <c r="V1456" t="s">
        <v>11100</v>
      </c>
      <c r="W1456" t="s">
        <v>12046</v>
      </c>
      <c r="X1456">
        <v>19</v>
      </c>
      <c r="Y1456" t="s">
        <v>17540</v>
      </c>
      <c r="Z1456" t="s">
        <v>23461</v>
      </c>
      <c r="AA1456">
        <v>0.56527776607449742</v>
      </c>
      <c r="AB1456" t="str">
        <f>HYPERLINK("Melting_Curves/meltCurve_O75153_CLUH.pdf", "Melting_Curves/meltCurve_O75153_CLUH.pdf")</f>
        <v>Melting_Curves/meltCurve_O75153_CLUH.pdf</v>
      </c>
    </row>
    <row r="1457" spans="1:28" x14ac:dyDescent="0.25">
      <c r="A1457" t="s">
        <v>1461</v>
      </c>
      <c r="B1457">
        <v>0.99299721793515405</v>
      </c>
      <c r="C1457">
        <v>0.94556107415489599</v>
      </c>
      <c r="D1457">
        <v>0.908355432206716</v>
      </c>
      <c r="E1457">
        <v>0.79958930268366901</v>
      </c>
      <c r="F1457">
        <v>0.68176062101730495</v>
      </c>
      <c r="G1457">
        <v>0.274718025783389</v>
      </c>
      <c r="H1457">
        <v>0.17205715892805401</v>
      </c>
      <c r="I1457">
        <v>0.11029949947984299</v>
      </c>
      <c r="J1457">
        <v>8.3234101152597204E-2</v>
      </c>
      <c r="K1457">
        <v>8.8115182809025805E-2</v>
      </c>
      <c r="L1457">
        <v>846.35680372736397</v>
      </c>
      <c r="M1457">
        <v>16.5705266811404</v>
      </c>
      <c r="N1457">
        <v>51.3999615771653</v>
      </c>
      <c r="O1457">
        <v>50.349554772833798</v>
      </c>
      <c r="P1457">
        <v>-7.8203495485170096E-2</v>
      </c>
      <c r="Q1457">
        <v>4.9579478769223001E-2</v>
      </c>
      <c r="R1457">
        <v>0.98666771587914004</v>
      </c>
      <c r="S1457" t="s">
        <v>7008</v>
      </c>
      <c r="T1457" t="s">
        <v>11100</v>
      </c>
      <c r="U1457" t="s">
        <v>11100</v>
      </c>
      <c r="V1457" t="s">
        <v>11100</v>
      </c>
      <c r="W1457" t="s">
        <v>12523</v>
      </c>
      <c r="X1457">
        <v>12</v>
      </c>
      <c r="Y1457" t="s">
        <v>18015</v>
      </c>
      <c r="Z1457" t="s">
        <v>23462</v>
      </c>
      <c r="AA1457">
        <v>0.51216166334996749</v>
      </c>
      <c r="AB1457" t="str">
        <f>HYPERLINK("Melting_Curves/meltCurve_O75155_CAND2.pdf", "Melting_Curves/meltCurve_O75155_CAND2.pdf")</f>
        <v>Melting_Curves/meltCurve_O75155_CAND2.pdf</v>
      </c>
    </row>
    <row r="1458" spans="1:28" x14ac:dyDescent="0.25">
      <c r="A1458" t="s">
        <v>1462</v>
      </c>
      <c r="B1458">
        <v>0.99299721793515405</v>
      </c>
      <c r="C1458">
        <v>0.90513362350326299</v>
      </c>
      <c r="D1458">
        <v>0.83742273305514003</v>
      </c>
      <c r="E1458">
        <v>0.82610812471087802</v>
      </c>
      <c r="F1458">
        <v>0.69798831013031104</v>
      </c>
      <c r="G1458">
        <v>0.54496618745053105</v>
      </c>
      <c r="H1458">
        <v>0.55612605880530197</v>
      </c>
      <c r="I1458">
        <v>0.56840808509756202</v>
      </c>
      <c r="J1458">
        <v>0.66187135378928796</v>
      </c>
      <c r="K1458">
        <v>0.52924259543830399</v>
      </c>
      <c r="L1458">
        <v>539.59047335907405</v>
      </c>
      <c r="M1458">
        <v>11.6745716373084</v>
      </c>
      <c r="O1458">
        <v>44.925673025186001</v>
      </c>
      <c r="P1458">
        <v>-2.93646416864277E-2</v>
      </c>
      <c r="Q1458">
        <v>0.54812125893764396</v>
      </c>
      <c r="R1458">
        <v>0.90539485872528203</v>
      </c>
      <c r="S1458" t="s">
        <v>7009</v>
      </c>
      <c r="T1458" t="s">
        <v>11100</v>
      </c>
      <c r="U1458" t="s">
        <v>11100</v>
      </c>
      <c r="V1458" t="s">
        <v>11100</v>
      </c>
      <c r="W1458" t="s">
        <v>12524</v>
      </c>
      <c r="X1458">
        <v>6</v>
      </c>
      <c r="Y1458" t="s">
        <v>18016</v>
      </c>
      <c r="Z1458" t="s">
        <v>23463</v>
      </c>
      <c r="AA1458">
        <v>0.7031303819014274</v>
      </c>
      <c r="AB1458" t="str">
        <f>HYPERLINK("Melting_Curves/meltCurve_O75157_2_TSC22D2.pdf", "Melting_Curves/meltCurve_O75157_2_TSC22D2.pdf")</f>
        <v>Melting_Curves/meltCurve_O75157_2_TSC22D2.pdf</v>
      </c>
    </row>
    <row r="1459" spans="1:28" x14ac:dyDescent="0.25">
      <c r="A1459" t="s">
        <v>1463</v>
      </c>
      <c r="B1459">
        <v>0.99299721793515405</v>
      </c>
      <c r="C1459">
        <v>0.95905281896622496</v>
      </c>
      <c r="D1459">
        <v>0.91906094595606402</v>
      </c>
      <c r="E1459">
        <v>0.79319564986674296</v>
      </c>
      <c r="F1459">
        <v>0.54872006743837998</v>
      </c>
      <c r="G1459">
        <v>0.37868700079414802</v>
      </c>
      <c r="H1459">
        <v>0.19453228554101801</v>
      </c>
      <c r="I1459">
        <v>0.19269947765770501</v>
      </c>
      <c r="J1459">
        <v>0.14122299592488799</v>
      </c>
      <c r="K1459">
        <v>0.15090116122393499</v>
      </c>
      <c r="L1459">
        <v>735.36088042821405</v>
      </c>
      <c r="M1459">
        <v>14.6589332975063</v>
      </c>
      <c r="N1459">
        <v>51.077710233839603</v>
      </c>
      <c r="O1459">
        <v>49.258852002873397</v>
      </c>
      <c r="P1459">
        <v>-6.5829980074812902E-2</v>
      </c>
      <c r="Q1459">
        <v>0.115255741355756</v>
      </c>
      <c r="R1459">
        <v>0.99697405002670003</v>
      </c>
      <c r="S1459" t="s">
        <v>7010</v>
      </c>
      <c r="T1459" t="s">
        <v>11100</v>
      </c>
      <c r="U1459" t="s">
        <v>11100</v>
      </c>
      <c r="V1459" t="s">
        <v>11100</v>
      </c>
      <c r="W1459" t="s">
        <v>12525</v>
      </c>
      <c r="X1459">
        <v>4</v>
      </c>
      <c r="Y1459" t="s">
        <v>18017</v>
      </c>
      <c r="Z1459" t="s">
        <v>23464</v>
      </c>
      <c r="AA1459">
        <v>0.52250119333084399</v>
      </c>
      <c r="AB1459" t="str">
        <f>HYPERLINK("Melting_Curves/meltCurve_O75164_KDM4A.pdf", "Melting_Curves/meltCurve_O75164_KDM4A.pdf")</f>
        <v>Melting_Curves/meltCurve_O75164_KDM4A.pdf</v>
      </c>
    </row>
    <row r="1460" spans="1:28" x14ac:dyDescent="0.25">
      <c r="A1460" t="s">
        <v>1464</v>
      </c>
      <c r="B1460">
        <v>0.99299721793515405</v>
      </c>
      <c r="C1460">
        <v>1.0451537232375601</v>
      </c>
      <c r="D1460">
        <v>0.84868643866422799</v>
      </c>
      <c r="E1460">
        <v>0.97485943379172202</v>
      </c>
      <c r="F1460">
        <v>0.79242376368798195</v>
      </c>
      <c r="G1460">
        <v>0.62529487038124798</v>
      </c>
      <c r="H1460">
        <v>0.93289154408097796</v>
      </c>
      <c r="I1460">
        <v>0.59785105683390605</v>
      </c>
      <c r="J1460">
        <v>0.18236108225865499</v>
      </c>
      <c r="K1460">
        <v>0.137507920779876</v>
      </c>
      <c r="L1460">
        <v>913.36760204334303</v>
      </c>
      <c r="M1460">
        <v>15.017786880955899</v>
      </c>
      <c r="N1460">
        <v>60.819054789066797</v>
      </c>
      <c r="O1460">
        <v>59.771246210491903</v>
      </c>
      <c r="P1460">
        <v>-6.2819932773437906E-2</v>
      </c>
      <c r="Q1460">
        <v>0</v>
      </c>
      <c r="R1460">
        <v>0.793152479248877</v>
      </c>
      <c r="S1460" t="s">
        <v>7011</v>
      </c>
      <c r="T1460" t="s">
        <v>11100</v>
      </c>
      <c r="U1460" t="s">
        <v>11100</v>
      </c>
      <c r="V1460" t="s">
        <v>11100</v>
      </c>
      <c r="W1460" t="s">
        <v>12526</v>
      </c>
      <c r="X1460">
        <v>3</v>
      </c>
      <c r="Y1460" t="s">
        <v>18018</v>
      </c>
      <c r="Z1460" t="s">
        <v>23465</v>
      </c>
      <c r="AA1460">
        <v>0.78149745054030861</v>
      </c>
      <c r="AB1460" t="str">
        <f>HYPERLINK("Melting_Curves/meltCurve_O75170_6_PPP6R2.pdf", "Melting_Curves/meltCurve_O75170_6_PPP6R2.pdf")</f>
        <v>Melting_Curves/meltCurve_O75170_6_PPP6R2.pdf</v>
      </c>
    </row>
    <row r="1461" spans="1:28" x14ac:dyDescent="0.25">
      <c r="A1461" t="s">
        <v>1465</v>
      </c>
      <c r="B1461">
        <v>0.99299721793515405</v>
      </c>
      <c r="C1461">
        <v>0.92462654775131903</v>
      </c>
      <c r="D1461">
        <v>0.99729346991039702</v>
      </c>
      <c r="E1461">
        <v>0.82335518681448205</v>
      </c>
      <c r="F1461">
        <v>0.64897847333092695</v>
      </c>
      <c r="G1461">
        <v>0.47975348829308501</v>
      </c>
      <c r="H1461">
        <v>0.29698384410593598</v>
      </c>
      <c r="I1461">
        <v>0.26147369905135998</v>
      </c>
      <c r="J1461">
        <v>0.18732363186513201</v>
      </c>
      <c r="K1461">
        <v>0.18015136605537899</v>
      </c>
      <c r="L1461">
        <v>687.54252129752103</v>
      </c>
      <c r="M1461">
        <v>13.289008819940801</v>
      </c>
      <c r="N1461">
        <v>53.025097351588599</v>
      </c>
      <c r="O1461">
        <v>50.608206764060697</v>
      </c>
      <c r="P1461">
        <v>-5.6603906917271601E-2</v>
      </c>
      <c r="Q1461">
        <v>0.13788671973614799</v>
      </c>
      <c r="R1461">
        <v>0.99228210255647398</v>
      </c>
      <c r="S1461" t="s">
        <v>7012</v>
      </c>
      <c r="T1461" t="s">
        <v>11100</v>
      </c>
      <c r="U1461" t="s">
        <v>11100</v>
      </c>
      <c r="V1461" t="s">
        <v>11100</v>
      </c>
      <c r="W1461" t="s">
        <v>12527</v>
      </c>
      <c r="X1461">
        <v>5</v>
      </c>
      <c r="Y1461" t="s">
        <v>18019</v>
      </c>
      <c r="Z1461" t="s">
        <v>23466</v>
      </c>
      <c r="AA1461">
        <v>0.58053832479721146</v>
      </c>
      <c r="AB1461" t="str">
        <f>HYPERLINK("Melting_Curves/meltCurve_O75175_CNOT3.pdf", "Melting_Curves/meltCurve_O75175_CNOT3.pdf")</f>
        <v>Melting_Curves/meltCurve_O75175_CNOT3.pdf</v>
      </c>
    </row>
    <row r="1462" spans="1:28" x14ac:dyDescent="0.25">
      <c r="A1462" t="s">
        <v>1466</v>
      </c>
      <c r="B1462">
        <v>0.99299721793515405</v>
      </c>
      <c r="C1462">
        <v>1.02954926989354</v>
      </c>
      <c r="D1462">
        <v>0.94650584486508804</v>
      </c>
      <c r="E1462">
        <v>0.88313434737303098</v>
      </c>
      <c r="F1462">
        <v>0.72653187024244203</v>
      </c>
      <c r="G1462">
        <v>0.26092787075250101</v>
      </c>
      <c r="H1462">
        <v>0.19740445294855599</v>
      </c>
      <c r="I1462">
        <v>0.156204051263373</v>
      </c>
      <c r="J1462">
        <v>0.139206749090003</v>
      </c>
      <c r="K1462">
        <v>0.12527731438985601</v>
      </c>
      <c r="L1462">
        <v>1488.3066521319399</v>
      </c>
      <c r="M1462">
        <v>29.089280829787601</v>
      </c>
      <c r="N1462">
        <v>51.731346747554298</v>
      </c>
      <c r="O1462">
        <v>50.923439196042303</v>
      </c>
      <c r="P1462">
        <v>-0.12328871612808499</v>
      </c>
      <c r="Q1462">
        <v>0.136693791463876</v>
      </c>
      <c r="R1462">
        <v>0.99113624112042997</v>
      </c>
      <c r="S1462" t="s">
        <v>7013</v>
      </c>
      <c r="T1462" t="s">
        <v>11100</v>
      </c>
      <c r="U1462" t="s">
        <v>11100</v>
      </c>
      <c r="V1462" t="s">
        <v>11100</v>
      </c>
      <c r="W1462" t="s">
        <v>12528</v>
      </c>
      <c r="X1462">
        <v>21</v>
      </c>
      <c r="Y1462" t="s">
        <v>18020</v>
      </c>
      <c r="Z1462" t="s">
        <v>23467</v>
      </c>
      <c r="AA1462">
        <v>0.54999507374218359</v>
      </c>
      <c r="AB1462" t="str">
        <f>HYPERLINK("Melting_Curves/meltCurve_O75179_2_ANKRD17.pdf", "Melting_Curves/meltCurve_O75179_2_ANKRD17.pdf")</f>
        <v>Melting_Curves/meltCurve_O75179_2_ANKRD17.pdf</v>
      </c>
    </row>
    <row r="1463" spans="1:28" x14ac:dyDescent="0.25">
      <c r="A1463" t="s">
        <v>1467</v>
      </c>
      <c r="B1463">
        <v>0.99299721793515405</v>
      </c>
      <c r="C1463">
        <v>0.98625364154402495</v>
      </c>
      <c r="D1463">
        <v>0.99222515683688095</v>
      </c>
      <c r="E1463">
        <v>0.87435676543495899</v>
      </c>
      <c r="F1463">
        <v>0.67513036047963004</v>
      </c>
      <c r="G1463">
        <v>0.30376720200445401</v>
      </c>
      <c r="H1463">
        <v>0.219158885118724</v>
      </c>
      <c r="I1463">
        <v>0.23167280328500101</v>
      </c>
      <c r="J1463">
        <v>0.17624777938021899</v>
      </c>
      <c r="K1463">
        <v>0.108663368875126</v>
      </c>
      <c r="L1463">
        <v>1164.3894698762001</v>
      </c>
      <c r="M1463">
        <v>22.9017741048193</v>
      </c>
      <c r="N1463">
        <v>51.694369266157103</v>
      </c>
      <c r="O1463">
        <v>50.459876460556202</v>
      </c>
      <c r="P1463">
        <v>-9.5637443724055998E-2</v>
      </c>
      <c r="Q1463">
        <v>0.15713757467255601</v>
      </c>
      <c r="R1463">
        <v>0.99226896231408901</v>
      </c>
      <c r="S1463" t="s">
        <v>7014</v>
      </c>
      <c r="T1463" t="s">
        <v>11100</v>
      </c>
      <c r="U1463" t="s">
        <v>11100</v>
      </c>
      <c r="V1463" t="s">
        <v>11100</v>
      </c>
      <c r="W1463" t="s">
        <v>12529</v>
      </c>
      <c r="X1463">
        <v>6</v>
      </c>
      <c r="Y1463" t="s">
        <v>18021</v>
      </c>
      <c r="Z1463" t="s">
        <v>23468</v>
      </c>
      <c r="AA1463">
        <v>0.55478051120509975</v>
      </c>
      <c r="AB1463" t="str">
        <f>HYPERLINK("Melting_Curves/meltCurve_O75191_XYLB.pdf", "Melting_Curves/meltCurve_O75191_XYLB.pdf")</f>
        <v>Melting_Curves/meltCurve_O75191_XYLB.pdf</v>
      </c>
    </row>
    <row r="1464" spans="1:28" x14ac:dyDescent="0.25">
      <c r="A1464" t="s">
        <v>1468</v>
      </c>
      <c r="B1464">
        <v>0.99299721793515405</v>
      </c>
      <c r="C1464">
        <v>0.98601830200113405</v>
      </c>
      <c r="D1464">
        <v>0.89429679854698596</v>
      </c>
      <c r="E1464">
        <v>0.86996738801357398</v>
      </c>
      <c r="F1464">
        <v>0.67345506804230404</v>
      </c>
      <c r="G1464">
        <v>0.576936174949921</v>
      </c>
      <c r="H1464">
        <v>0.41920773703703601</v>
      </c>
      <c r="I1464">
        <v>0.34410633500362903</v>
      </c>
      <c r="J1464">
        <v>0.306842694771497</v>
      </c>
      <c r="K1464">
        <v>0.142610319360818</v>
      </c>
      <c r="L1464">
        <v>459.63649846153203</v>
      </c>
      <c r="M1464">
        <v>8.2617716768541296</v>
      </c>
      <c r="N1464">
        <v>55.634132291049397</v>
      </c>
      <c r="O1464">
        <v>52.660287953199898</v>
      </c>
      <c r="P1464">
        <v>-3.9261344587496597E-2</v>
      </c>
      <c r="Q1464">
        <v>0</v>
      </c>
      <c r="R1464">
        <v>0.98748952754227104</v>
      </c>
      <c r="S1464" t="s">
        <v>7015</v>
      </c>
      <c r="T1464" t="s">
        <v>11100</v>
      </c>
      <c r="U1464" t="s">
        <v>11100</v>
      </c>
      <c r="V1464" t="s">
        <v>11100</v>
      </c>
      <c r="W1464" t="s">
        <v>12530</v>
      </c>
      <c r="X1464">
        <v>4</v>
      </c>
      <c r="Y1464" t="s">
        <v>18022</v>
      </c>
      <c r="Z1464" t="s">
        <v>23469</v>
      </c>
      <c r="AA1464">
        <v>0.62381185040931597</v>
      </c>
      <c r="AB1464" t="str">
        <f>HYPERLINK("Melting_Curves/meltCurve_O75208_COQ9.pdf", "Melting_Curves/meltCurve_O75208_COQ9.pdf")</f>
        <v>Melting_Curves/meltCurve_O75208_COQ9.pdf</v>
      </c>
    </row>
    <row r="1465" spans="1:28" x14ac:dyDescent="0.25">
      <c r="A1465" t="s">
        <v>1469</v>
      </c>
      <c r="B1465">
        <v>0.99299721793515405</v>
      </c>
      <c r="C1465">
        <v>1.00435003127105</v>
      </c>
      <c r="D1465">
        <v>0.90914684571242099</v>
      </c>
      <c r="E1465">
        <v>0.83166738390501704</v>
      </c>
      <c r="F1465">
        <v>0.65401550240029604</v>
      </c>
      <c r="G1465">
        <v>0.53317434432502497</v>
      </c>
      <c r="H1465">
        <v>0.45144533646602703</v>
      </c>
      <c r="I1465">
        <v>0.31557198480859</v>
      </c>
      <c r="J1465">
        <v>0.193626365910016</v>
      </c>
      <c r="K1465">
        <v>0.14697670937895399</v>
      </c>
      <c r="L1465">
        <v>480.62610790627002</v>
      </c>
      <c r="M1465">
        <v>8.7634232671126906</v>
      </c>
      <c r="N1465">
        <v>54.8445618212223</v>
      </c>
      <c r="O1465">
        <v>52.213538488275901</v>
      </c>
      <c r="P1465">
        <v>-4.1993228489443299E-2</v>
      </c>
      <c r="Q1465">
        <v>0</v>
      </c>
      <c r="R1465">
        <v>0.99219967133960996</v>
      </c>
      <c r="S1465" t="s">
        <v>7016</v>
      </c>
      <c r="T1465" t="s">
        <v>11100</v>
      </c>
      <c r="U1465" t="s">
        <v>11100</v>
      </c>
      <c r="V1465" t="s">
        <v>11100</v>
      </c>
      <c r="W1465" t="s">
        <v>12531</v>
      </c>
      <c r="X1465">
        <v>10</v>
      </c>
      <c r="Y1465" t="s">
        <v>18023</v>
      </c>
      <c r="Z1465" t="s">
        <v>23470</v>
      </c>
      <c r="AA1465">
        <v>0.60528779311679237</v>
      </c>
      <c r="AB1465" t="str">
        <f>HYPERLINK("Melting_Curves/meltCurve_O75223_GGCT.pdf", "Melting_Curves/meltCurve_O75223_GGCT.pdf")</f>
        <v>Melting_Curves/meltCurve_O75223_GGCT.pdf</v>
      </c>
    </row>
    <row r="1466" spans="1:28" x14ac:dyDescent="0.25">
      <c r="A1466" t="s">
        <v>1470</v>
      </c>
      <c r="B1466">
        <v>0.99299721793515405</v>
      </c>
      <c r="C1466">
        <v>1.0767813461965501</v>
      </c>
      <c r="D1466">
        <v>0.966287007416616</v>
      </c>
      <c r="E1466">
        <v>0.96243080067578601</v>
      </c>
      <c r="F1466">
        <v>0.83206276250822597</v>
      </c>
      <c r="G1466">
        <v>0.94900202614220297</v>
      </c>
      <c r="H1466">
        <v>0.83675323009534197</v>
      </c>
      <c r="I1466">
        <v>0.48200980411284799</v>
      </c>
      <c r="J1466">
        <v>0.224617328614762</v>
      </c>
      <c r="K1466">
        <v>0.138470852988859</v>
      </c>
      <c r="L1466">
        <v>1551.2567105210401</v>
      </c>
      <c r="M1466">
        <v>25.6092217102272</v>
      </c>
      <c r="N1466">
        <v>60.839863438255797</v>
      </c>
      <c r="O1466">
        <v>60.208408124256302</v>
      </c>
      <c r="P1466">
        <v>-0.100711038786508</v>
      </c>
      <c r="Q1466">
        <v>5.2907223455152003E-2</v>
      </c>
      <c r="R1466">
        <v>0.96505627442837805</v>
      </c>
      <c r="S1466" t="s">
        <v>7017</v>
      </c>
      <c r="T1466" t="s">
        <v>11100</v>
      </c>
      <c r="U1466" t="s">
        <v>11100</v>
      </c>
      <c r="V1466" t="s">
        <v>11100</v>
      </c>
      <c r="W1466" t="s">
        <v>12532</v>
      </c>
      <c r="X1466">
        <v>9</v>
      </c>
      <c r="Y1466" t="s">
        <v>18024</v>
      </c>
      <c r="Z1466" t="s">
        <v>23471</v>
      </c>
      <c r="AA1466">
        <v>0.79865631569183193</v>
      </c>
      <c r="AB1466" t="str">
        <f>HYPERLINK("Melting_Curves/meltCurve_O75306_2_NDUFS2.pdf", "Melting_Curves/meltCurve_O75306_2_NDUFS2.pdf")</f>
        <v>Melting_Curves/meltCurve_O75306_2_NDUFS2.pdf</v>
      </c>
    </row>
    <row r="1467" spans="1:28" x14ac:dyDescent="0.25">
      <c r="A1467" t="s">
        <v>1471</v>
      </c>
      <c r="B1467">
        <v>0.99299721793515405</v>
      </c>
      <c r="C1467">
        <v>0.987338593660541</v>
      </c>
      <c r="D1467">
        <v>0.982672783687773</v>
      </c>
      <c r="E1467">
        <v>0.86694242789371201</v>
      </c>
      <c r="F1467">
        <v>0.78792012369707198</v>
      </c>
      <c r="G1467">
        <v>0.57088519962080897</v>
      </c>
      <c r="H1467">
        <v>0.35584210757704998</v>
      </c>
      <c r="I1467">
        <v>0.27766398040981999</v>
      </c>
      <c r="J1467">
        <v>0.25427290695772498</v>
      </c>
      <c r="K1467">
        <v>0.20256684720086701</v>
      </c>
      <c r="L1467">
        <v>777.44086494445298</v>
      </c>
      <c r="M1467">
        <v>14.576204987390801</v>
      </c>
      <c r="N1467">
        <v>54.863141390067</v>
      </c>
      <c r="O1467">
        <v>52.362573776421499</v>
      </c>
      <c r="P1467">
        <v>-5.7996036808540603E-2</v>
      </c>
      <c r="Q1467">
        <v>0.16673001703142301</v>
      </c>
      <c r="R1467">
        <v>0.99572459101747002</v>
      </c>
      <c r="S1467" t="s">
        <v>7018</v>
      </c>
      <c r="T1467" t="s">
        <v>11100</v>
      </c>
      <c r="U1467" t="s">
        <v>11100</v>
      </c>
      <c r="V1467" t="s">
        <v>11100</v>
      </c>
      <c r="W1467" t="s">
        <v>12533</v>
      </c>
      <c r="X1467">
        <v>22</v>
      </c>
      <c r="Y1467" t="s">
        <v>18025</v>
      </c>
      <c r="Z1467" t="s">
        <v>23472</v>
      </c>
      <c r="AA1467">
        <v>0.63528809897609384</v>
      </c>
      <c r="AB1467" t="str">
        <f>HYPERLINK("Melting_Curves/meltCurve_O75312_ZNF259.pdf", "Melting_Curves/meltCurve_O75312_ZNF259.pdf")</f>
        <v>Melting_Curves/meltCurve_O75312_ZNF259.pdf</v>
      </c>
    </row>
    <row r="1468" spans="1:28" x14ac:dyDescent="0.25">
      <c r="A1468" t="s">
        <v>1472</v>
      </c>
      <c r="B1468">
        <v>0.99299721793515405</v>
      </c>
      <c r="C1468">
        <v>1.01918541661199</v>
      </c>
      <c r="D1468">
        <v>0.95090095148033904</v>
      </c>
      <c r="E1468">
        <v>0.865989931738953</v>
      </c>
      <c r="F1468">
        <v>0.76490884992576702</v>
      </c>
      <c r="G1468">
        <v>0.82041658347990398</v>
      </c>
      <c r="H1468">
        <v>0.40455405372956998</v>
      </c>
      <c r="I1468">
        <v>0.18393600430891099</v>
      </c>
      <c r="J1468">
        <v>0.123428049919403</v>
      </c>
      <c r="K1468">
        <v>0.10523606412416001</v>
      </c>
      <c r="L1468">
        <v>863.00354096211504</v>
      </c>
      <c r="M1468">
        <v>15.309844123211599</v>
      </c>
      <c r="N1468">
        <v>56.369192381151798</v>
      </c>
      <c r="O1468">
        <v>55.433719074199999</v>
      </c>
      <c r="P1468">
        <v>-6.9052157988531399E-2</v>
      </c>
      <c r="Q1468">
        <v>0</v>
      </c>
      <c r="R1468">
        <v>0.96293861903352096</v>
      </c>
      <c r="S1468" t="s">
        <v>7019</v>
      </c>
      <c r="T1468" t="s">
        <v>11100</v>
      </c>
      <c r="U1468" t="s">
        <v>11100</v>
      </c>
      <c r="V1468" t="s">
        <v>11100</v>
      </c>
      <c r="W1468" t="s">
        <v>12534</v>
      </c>
      <c r="X1468">
        <v>14</v>
      </c>
      <c r="Y1468" t="s">
        <v>18026</v>
      </c>
      <c r="Z1468" t="s">
        <v>23473</v>
      </c>
      <c r="AA1468">
        <v>0.65605215246891957</v>
      </c>
      <c r="AB1468" t="str">
        <f>HYPERLINK("Melting_Curves/meltCurve_O75323_GBAS.pdf", "Melting_Curves/meltCurve_O75323_GBAS.pdf")</f>
        <v>Melting_Curves/meltCurve_O75323_GBAS.pdf</v>
      </c>
    </row>
    <row r="1469" spans="1:28" x14ac:dyDescent="0.25">
      <c r="A1469" t="s">
        <v>1473</v>
      </c>
      <c r="B1469">
        <v>0.99299721793515405</v>
      </c>
      <c r="C1469">
        <v>0.89621447806861299</v>
      </c>
      <c r="D1469">
        <v>0.91753849954453504</v>
      </c>
      <c r="E1469">
        <v>0.823789899058192</v>
      </c>
      <c r="F1469">
        <v>0.57755879824970802</v>
      </c>
      <c r="G1469">
        <v>0.26621351557518902</v>
      </c>
      <c r="H1469">
        <v>0.226918085002005</v>
      </c>
      <c r="I1469">
        <v>0.176545014264056</v>
      </c>
      <c r="J1469">
        <v>0.15656868930908799</v>
      </c>
      <c r="K1469">
        <v>0.167871965560658</v>
      </c>
      <c r="L1469">
        <v>920.77858220857502</v>
      </c>
      <c r="M1469">
        <v>18.484152880666699</v>
      </c>
      <c r="N1469">
        <v>50.764928085571697</v>
      </c>
      <c r="O1469">
        <v>49.242417477259799</v>
      </c>
      <c r="P1469">
        <v>-8.0119805270508104E-2</v>
      </c>
      <c r="Q1469">
        <v>0.14627029647932499</v>
      </c>
      <c r="R1469">
        <v>0.98676073466034797</v>
      </c>
      <c r="S1469" t="s">
        <v>7020</v>
      </c>
      <c r="T1469" t="s">
        <v>11100</v>
      </c>
      <c r="U1469" t="s">
        <v>11100</v>
      </c>
      <c r="V1469" t="s">
        <v>11100</v>
      </c>
      <c r="W1469" t="s">
        <v>12535</v>
      </c>
      <c r="X1469">
        <v>13</v>
      </c>
      <c r="Y1469" t="s">
        <v>18027</v>
      </c>
      <c r="Z1469" t="s">
        <v>23474</v>
      </c>
      <c r="AA1469">
        <v>0.52383096060582279</v>
      </c>
      <c r="AB1469" t="str">
        <f>HYPERLINK("Melting_Curves/meltCurve_O75330_2_HMMR.pdf", "Melting_Curves/meltCurve_O75330_2_HMMR.pdf")</f>
        <v>Melting_Curves/meltCurve_O75330_2_HMMR.pdf</v>
      </c>
    </row>
    <row r="1470" spans="1:28" x14ac:dyDescent="0.25">
      <c r="A1470" t="s">
        <v>1474</v>
      </c>
      <c r="B1470">
        <v>0.99299721793515405</v>
      </c>
      <c r="C1470">
        <v>1.0679963994442301</v>
      </c>
      <c r="D1470">
        <v>0.948582036096843</v>
      </c>
      <c r="E1470">
        <v>0.86060546559364903</v>
      </c>
      <c r="F1470">
        <v>0.82600030927732404</v>
      </c>
      <c r="G1470">
        <v>0.55648375616658097</v>
      </c>
      <c r="H1470">
        <v>0.43371871489090502</v>
      </c>
      <c r="I1470">
        <v>0.20249415996141101</v>
      </c>
      <c r="J1470">
        <v>0.15496770864079801</v>
      </c>
      <c r="K1470">
        <v>0.104235918400824</v>
      </c>
      <c r="L1470">
        <v>690.55392735823295</v>
      </c>
      <c r="M1470">
        <v>12.479844807971199</v>
      </c>
      <c r="N1470">
        <v>55.333534891599299</v>
      </c>
      <c r="O1470">
        <v>53.970397852286403</v>
      </c>
      <c r="P1470">
        <v>-5.7820719216493899E-2</v>
      </c>
      <c r="Q1470">
        <v>0</v>
      </c>
      <c r="R1470">
        <v>0.98773185972741295</v>
      </c>
      <c r="S1470" t="s">
        <v>7021</v>
      </c>
      <c r="T1470" t="s">
        <v>11100</v>
      </c>
      <c r="U1470" t="s">
        <v>11100</v>
      </c>
      <c r="V1470" t="s">
        <v>11100</v>
      </c>
      <c r="W1470" t="s">
        <v>12536</v>
      </c>
      <c r="X1470">
        <v>7</v>
      </c>
      <c r="Y1470" t="s">
        <v>18028</v>
      </c>
      <c r="Z1470" t="s">
        <v>23475</v>
      </c>
      <c r="AA1470">
        <v>0.62419642878617454</v>
      </c>
      <c r="AB1470" t="str">
        <f>HYPERLINK("Melting_Curves/meltCurve_O75340_PDCD6.pdf", "Melting_Curves/meltCurve_O75340_PDCD6.pdf")</f>
        <v>Melting_Curves/meltCurve_O75340_PDCD6.pdf</v>
      </c>
    </row>
    <row r="1471" spans="1:28" x14ac:dyDescent="0.25">
      <c r="A1471" t="s">
        <v>1475</v>
      </c>
      <c r="B1471">
        <v>0.99299721793515405</v>
      </c>
      <c r="C1471">
        <v>0.93920235346893099</v>
      </c>
      <c r="D1471">
        <v>0.97005264140556802</v>
      </c>
      <c r="E1471">
        <v>0.932534175811226</v>
      </c>
      <c r="F1471">
        <v>0.78861294673071303</v>
      </c>
      <c r="G1471">
        <v>0.59693028164285999</v>
      </c>
      <c r="H1471">
        <v>0.66481479809394195</v>
      </c>
      <c r="I1471">
        <v>0.84167525989371295</v>
      </c>
      <c r="J1471">
        <v>1.04834512795392</v>
      </c>
      <c r="K1471">
        <v>0.99741689825382696</v>
      </c>
      <c r="L1471">
        <v>11672.597587442</v>
      </c>
      <c r="M1471">
        <v>250</v>
      </c>
      <c r="O1471">
        <v>46.687402776556603</v>
      </c>
      <c r="P1471">
        <v>-0.23699395584392599</v>
      </c>
      <c r="Q1471">
        <v>0.82296588499934198</v>
      </c>
      <c r="R1471">
        <v>0.20415182904658</v>
      </c>
      <c r="S1471" t="s">
        <v>7022</v>
      </c>
      <c r="T1471" t="s">
        <v>11100</v>
      </c>
      <c r="U1471" t="s">
        <v>11100</v>
      </c>
      <c r="V1471" t="s">
        <v>11100</v>
      </c>
      <c r="W1471" t="s">
        <v>12537</v>
      </c>
      <c r="X1471">
        <v>20</v>
      </c>
      <c r="Y1471" t="s">
        <v>18029</v>
      </c>
      <c r="Z1471" t="s">
        <v>23476</v>
      </c>
      <c r="AA1471">
        <v>0.88016471398827945</v>
      </c>
      <c r="AB1471" t="str">
        <f>HYPERLINK("Melting_Curves/meltCurve_O75347_TBCA.pdf", "Melting_Curves/meltCurve_O75347_TBCA.pdf")</f>
        <v>Melting_Curves/meltCurve_O75347_TBCA.pdf</v>
      </c>
    </row>
    <row r="1472" spans="1:28" x14ac:dyDescent="0.25">
      <c r="A1472" t="s">
        <v>1476</v>
      </c>
      <c r="B1472">
        <v>0.99299721793515405</v>
      </c>
      <c r="C1472">
        <v>0.86458370812205698</v>
      </c>
      <c r="D1472">
        <v>0.89745231586423702</v>
      </c>
      <c r="E1472">
        <v>0.78827136492535499</v>
      </c>
      <c r="F1472">
        <v>0.701249026054795</v>
      </c>
      <c r="G1472">
        <v>0.62473708583259002</v>
      </c>
      <c r="H1472">
        <v>0.60771290305696901</v>
      </c>
      <c r="I1472">
        <v>0.54671829193542698</v>
      </c>
      <c r="J1472">
        <v>0.52000300928392695</v>
      </c>
      <c r="K1472">
        <v>0.40522490785154303</v>
      </c>
      <c r="L1472">
        <v>280.91766961842399</v>
      </c>
      <c r="M1472">
        <v>4.9413242402151196</v>
      </c>
      <c r="N1472">
        <v>62.879930315591999</v>
      </c>
      <c r="O1472">
        <v>49.479996940406103</v>
      </c>
      <c r="P1472">
        <v>-2.0384780761160799E-2</v>
      </c>
      <c r="Q1472">
        <v>0.18868375034579801</v>
      </c>
      <c r="R1472">
        <v>0.96551953702751703</v>
      </c>
      <c r="S1472" t="s">
        <v>7023</v>
      </c>
      <c r="T1472" t="s">
        <v>11100</v>
      </c>
      <c r="U1472" t="s">
        <v>11100</v>
      </c>
      <c r="V1472" t="s">
        <v>11100</v>
      </c>
      <c r="W1472" t="s">
        <v>12538</v>
      </c>
      <c r="X1472">
        <v>10</v>
      </c>
      <c r="Y1472" t="s">
        <v>18030</v>
      </c>
      <c r="Z1472" t="s">
        <v>23477</v>
      </c>
      <c r="AA1472">
        <v>0.69257260504610696</v>
      </c>
      <c r="AB1472" t="str">
        <f>HYPERLINK("Melting_Curves/meltCurve_O75348_ATP6V1G1.pdf", "Melting_Curves/meltCurve_O75348_ATP6V1G1.pdf")</f>
        <v>Melting_Curves/meltCurve_O75348_ATP6V1G1.pdf</v>
      </c>
    </row>
    <row r="1473" spans="1:28" x14ac:dyDescent="0.25">
      <c r="A1473" t="s">
        <v>1477</v>
      </c>
      <c r="B1473">
        <v>0.99299721793515405</v>
      </c>
      <c r="C1473">
        <v>0.93346261797178198</v>
      </c>
      <c r="D1473">
        <v>0.93033306526897397</v>
      </c>
      <c r="E1473">
        <v>0.83876730685159295</v>
      </c>
      <c r="F1473">
        <v>0.70699641880350195</v>
      </c>
      <c r="G1473">
        <v>0.39993009357620002</v>
      </c>
      <c r="H1473">
        <v>0.244855850961017</v>
      </c>
      <c r="I1473">
        <v>0.223216313374963</v>
      </c>
      <c r="J1473">
        <v>0.20241990547476099</v>
      </c>
      <c r="K1473">
        <v>0.14203659765391399</v>
      </c>
      <c r="L1473">
        <v>802.901852249223</v>
      </c>
      <c r="M1473">
        <v>15.5984985368985</v>
      </c>
      <c r="N1473">
        <v>52.533684835696199</v>
      </c>
      <c r="O1473">
        <v>50.6492969050433</v>
      </c>
      <c r="P1473">
        <v>-6.6598099137568603E-2</v>
      </c>
      <c r="Q1473">
        <v>0.135082236483305</v>
      </c>
      <c r="R1473">
        <v>0.98999877525153601</v>
      </c>
      <c r="S1473" t="s">
        <v>7024</v>
      </c>
      <c r="T1473" t="s">
        <v>11100</v>
      </c>
      <c r="U1473" t="s">
        <v>11100</v>
      </c>
      <c r="V1473" t="s">
        <v>11100</v>
      </c>
      <c r="W1473" t="s">
        <v>12539</v>
      </c>
      <c r="X1473">
        <v>16</v>
      </c>
      <c r="Y1473" t="s">
        <v>18031</v>
      </c>
      <c r="Z1473" t="s">
        <v>23478</v>
      </c>
      <c r="AA1473">
        <v>0.56855689828146394</v>
      </c>
      <c r="AB1473" t="str">
        <f>HYPERLINK("Melting_Curves/meltCurve_O75351_VPS4B.pdf", "Melting_Curves/meltCurve_O75351_VPS4B.pdf")</f>
        <v>Melting_Curves/meltCurve_O75351_VPS4B.pdf</v>
      </c>
    </row>
    <row r="1474" spans="1:28" x14ac:dyDescent="0.25">
      <c r="A1474" t="s">
        <v>1478</v>
      </c>
      <c r="B1474">
        <v>0.99299721793515405</v>
      </c>
      <c r="C1474">
        <v>1.1373700753432301</v>
      </c>
      <c r="D1474">
        <v>1.1018801711577599</v>
      </c>
      <c r="E1474">
        <v>0.98851706754433799</v>
      </c>
      <c r="F1474">
        <v>0.76399635781016395</v>
      </c>
      <c r="G1474">
        <v>0.62657786322331699</v>
      </c>
      <c r="H1474">
        <v>0.53173299841326205</v>
      </c>
      <c r="I1474">
        <v>0.543660517484018</v>
      </c>
      <c r="J1474">
        <v>0.465343668894519</v>
      </c>
      <c r="K1474">
        <v>0.39242576130030599</v>
      </c>
      <c r="L1474">
        <v>1102.5436075007699</v>
      </c>
      <c r="M1474">
        <v>21.373470485412099</v>
      </c>
      <c r="N1474">
        <v>58.471480157899897</v>
      </c>
      <c r="O1474">
        <v>51.139482676135998</v>
      </c>
      <c r="P1474">
        <v>-5.64589805559206E-2</v>
      </c>
      <c r="Q1474">
        <v>0.45966459009966698</v>
      </c>
      <c r="R1474">
        <v>0.93735625744266804</v>
      </c>
      <c r="S1474" t="s">
        <v>7025</v>
      </c>
      <c r="T1474" t="s">
        <v>11100</v>
      </c>
      <c r="U1474" t="s">
        <v>11100</v>
      </c>
      <c r="V1474" t="s">
        <v>11100</v>
      </c>
      <c r="W1474" t="s">
        <v>12540</v>
      </c>
      <c r="X1474">
        <v>5</v>
      </c>
      <c r="Y1474" t="s">
        <v>18032</v>
      </c>
      <c r="Z1474" t="s">
        <v>23479</v>
      </c>
      <c r="AA1474">
        <v>0.72864995784196396</v>
      </c>
      <c r="AB1474" t="str">
        <f>HYPERLINK("Melting_Curves/meltCurve_O75368_SH3BGRL.pdf", "Melting_Curves/meltCurve_O75368_SH3BGRL.pdf")</f>
        <v>Melting_Curves/meltCurve_O75368_SH3BGRL.pdf</v>
      </c>
    </row>
    <row r="1475" spans="1:28" x14ac:dyDescent="0.25">
      <c r="A1475" t="s">
        <v>1479</v>
      </c>
      <c r="B1475">
        <v>0.99299721793515405</v>
      </c>
      <c r="C1475">
        <v>0.97439778248825304</v>
      </c>
      <c r="D1475">
        <v>0.92181365332850396</v>
      </c>
      <c r="E1475">
        <v>0.81645530066979399</v>
      </c>
      <c r="F1475">
        <v>0.70191599679400096</v>
      </c>
      <c r="G1475">
        <v>0.59459044883483803</v>
      </c>
      <c r="H1475">
        <v>0.30694997807937702</v>
      </c>
      <c r="I1475">
        <v>0.182637708579415</v>
      </c>
      <c r="J1475">
        <v>0.14845291816739001</v>
      </c>
      <c r="K1475">
        <v>0.12986125239080401</v>
      </c>
      <c r="L1475">
        <v>594.52845915523403</v>
      </c>
      <c r="M1475">
        <v>10.992731202878501</v>
      </c>
      <c r="N1475">
        <v>54.083779724752503</v>
      </c>
      <c r="O1475">
        <v>52.386404168009598</v>
      </c>
      <c r="P1475">
        <v>-5.2477586311514501E-2</v>
      </c>
      <c r="Q1475">
        <v>0</v>
      </c>
      <c r="R1475">
        <v>0.989340182965597</v>
      </c>
      <c r="S1475" t="s">
        <v>7026</v>
      </c>
      <c r="T1475" t="s">
        <v>11100</v>
      </c>
      <c r="U1475" t="s">
        <v>11100</v>
      </c>
      <c r="V1475" t="s">
        <v>11100</v>
      </c>
      <c r="W1475" t="s">
        <v>12541</v>
      </c>
      <c r="X1475">
        <v>91</v>
      </c>
      <c r="Y1475" t="s">
        <v>18033</v>
      </c>
      <c r="Z1475" t="s">
        <v>23480</v>
      </c>
      <c r="AA1475">
        <v>0.58708970974122143</v>
      </c>
      <c r="AB1475" t="str">
        <f>HYPERLINK("Melting_Curves/meltCurve_O75369_8_FLNB.pdf", "Melting_Curves/meltCurve_O75369_8_FLNB.pdf")</f>
        <v>Melting_Curves/meltCurve_O75369_8_FLNB.pdf</v>
      </c>
    </row>
    <row r="1476" spans="1:28" x14ac:dyDescent="0.25">
      <c r="A1476" t="s">
        <v>1480</v>
      </c>
      <c r="B1476">
        <v>0.99299721793515405</v>
      </c>
      <c r="C1476">
        <v>0.92249558747689897</v>
      </c>
      <c r="D1476">
        <v>0.87643172115527601</v>
      </c>
      <c r="E1476">
        <v>0.74132214766137705</v>
      </c>
      <c r="F1476">
        <v>0.50665133845917198</v>
      </c>
      <c r="G1476">
        <v>0.383979018768555</v>
      </c>
      <c r="H1476">
        <v>0.29885607241942702</v>
      </c>
      <c r="I1476">
        <v>0.24245004472076601</v>
      </c>
      <c r="J1476">
        <v>0.195886902757822</v>
      </c>
      <c r="K1476">
        <v>0.150119744770674</v>
      </c>
      <c r="L1476">
        <v>553.19483310801002</v>
      </c>
      <c r="M1476">
        <v>11.1353159735531</v>
      </c>
      <c r="N1476">
        <v>51.004827239611103</v>
      </c>
      <c r="O1476">
        <v>48.157851418411802</v>
      </c>
      <c r="P1476">
        <v>-5.0559935125789199E-2</v>
      </c>
      <c r="Q1476">
        <v>0.125637952535229</v>
      </c>
      <c r="R1476">
        <v>0.99643510635711297</v>
      </c>
      <c r="S1476" t="s">
        <v>7027</v>
      </c>
      <c r="T1476" t="s">
        <v>11100</v>
      </c>
      <c r="U1476" t="s">
        <v>11100</v>
      </c>
      <c r="V1476" t="s">
        <v>11100</v>
      </c>
      <c r="W1476" t="s">
        <v>12542</v>
      </c>
      <c r="X1476">
        <v>12</v>
      </c>
      <c r="Y1476" t="s">
        <v>18034</v>
      </c>
      <c r="Z1476" t="s">
        <v>23481</v>
      </c>
      <c r="AA1476">
        <v>0.52245499441101884</v>
      </c>
      <c r="AB1476" t="str">
        <f>HYPERLINK("Melting_Curves/meltCurve_O75376_NCOR1.pdf", "Melting_Curves/meltCurve_O75376_NCOR1.pdf")</f>
        <v>Melting_Curves/meltCurve_O75376_NCOR1.pdf</v>
      </c>
    </row>
    <row r="1477" spans="1:28" x14ac:dyDescent="0.25">
      <c r="A1477" t="s">
        <v>1481</v>
      </c>
      <c r="B1477">
        <v>0.99299721793515405</v>
      </c>
      <c r="C1477">
        <v>0.71400629990533104</v>
      </c>
      <c r="D1477">
        <v>0.94822690910739305</v>
      </c>
      <c r="E1477">
        <v>0.72313687977277297</v>
      </c>
      <c r="F1477">
        <v>0.67640164013424198</v>
      </c>
      <c r="G1477">
        <v>0.57261768442504402</v>
      </c>
      <c r="H1477">
        <v>0.42914282850352797</v>
      </c>
      <c r="I1477">
        <v>0.50915301070301</v>
      </c>
      <c r="J1477">
        <v>0.46364934114752099</v>
      </c>
      <c r="K1477">
        <v>0.32373912562323598</v>
      </c>
      <c r="L1477">
        <v>269.17482652815698</v>
      </c>
      <c r="M1477">
        <v>4.8714675641570304</v>
      </c>
      <c r="N1477">
        <v>58.039667280804501</v>
      </c>
      <c r="O1477">
        <v>47.927379225128398</v>
      </c>
      <c r="P1477">
        <v>-2.2915383138954502E-2</v>
      </c>
      <c r="Q1477">
        <v>0.10419805013979699</v>
      </c>
      <c r="R1477">
        <v>0.84924218472754698</v>
      </c>
      <c r="S1477" t="s">
        <v>7028</v>
      </c>
      <c r="T1477" t="s">
        <v>11100</v>
      </c>
      <c r="U1477" t="s">
        <v>11100</v>
      </c>
      <c r="V1477" t="s">
        <v>11100</v>
      </c>
      <c r="W1477" t="s">
        <v>12543</v>
      </c>
      <c r="X1477">
        <v>5</v>
      </c>
      <c r="Y1477" t="s">
        <v>18035</v>
      </c>
      <c r="Z1477" t="s">
        <v>23482</v>
      </c>
      <c r="AA1477">
        <v>0.63282221752739243</v>
      </c>
      <c r="AB1477" t="str">
        <f>HYPERLINK("Melting_Curves/meltCurve_O75379_VAMP4.pdf", "Melting_Curves/meltCurve_O75379_VAMP4.pdf")</f>
        <v>Melting_Curves/meltCurve_O75379_VAMP4.pdf</v>
      </c>
    </row>
    <row r="1478" spans="1:28" x14ac:dyDescent="0.25">
      <c r="A1478" t="s">
        <v>1482</v>
      </c>
      <c r="B1478">
        <v>0.99299721793515405</v>
      </c>
      <c r="C1478">
        <v>0.91577294060303405</v>
      </c>
      <c r="D1478">
        <v>1.01706764622461</v>
      </c>
      <c r="E1478">
        <v>0.85341276196132299</v>
      </c>
      <c r="F1478">
        <v>0.69018108963222202</v>
      </c>
      <c r="G1478">
        <v>0.663854964798263</v>
      </c>
      <c r="H1478">
        <v>1.00808393854161</v>
      </c>
      <c r="I1478">
        <v>1.39129082242145</v>
      </c>
      <c r="J1478">
        <v>1.9081328152880499</v>
      </c>
      <c r="K1478">
        <v>2.0108886312084202</v>
      </c>
      <c r="L1478">
        <v>15000</v>
      </c>
      <c r="M1478">
        <v>247.18246820838499</v>
      </c>
      <c r="O1478">
        <v>60.6799606208521</v>
      </c>
      <c r="P1478">
        <v>0.50919310353462399</v>
      </c>
      <c r="Q1478">
        <v>1.5</v>
      </c>
      <c r="R1478">
        <v>0.67164827408116301</v>
      </c>
      <c r="S1478" t="s">
        <v>7029</v>
      </c>
      <c r="T1478" t="s">
        <v>11100</v>
      </c>
      <c r="U1478" t="s">
        <v>11100</v>
      </c>
      <c r="V1478" t="s">
        <v>11100</v>
      </c>
      <c r="W1478" t="s">
        <v>12544</v>
      </c>
      <c r="X1478">
        <v>7</v>
      </c>
      <c r="Y1478" t="s">
        <v>18036</v>
      </c>
      <c r="Z1478" t="s">
        <v>23483</v>
      </c>
      <c r="AA1478">
        <v>1.1052136051327539</v>
      </c>
      <c r="AB1478" t="str">
        <f>HYPERLINK("Melting_Curves/meltCurve_O75380_NDUFS6.pdf", "Melting_Curves/meltCurve_O75380_NDUFS6.pdf")</f>
        <v>Melting_Curves/meltCurve_O75380_NDUFS6.pdf</v>
      </c>
    </row>
    <row r="1479" spans="1:28" x14ac:dyDescent="0.25">
      <c r="A1479" t="s">
        <v>1483</v>
      </c>
      <c r="B1479">
        <v>0.99299721793515405</v>
      </c>
      <c r="C1479">
        <v>0.93278033178268005</v>
      </c>
      <c r="D1479">
        <v>0.96082654998375805</v>
      </c>
      <c r="E1479">
        <v>0.90686787754100495</v>
      </c>
      <c r="F1479">
        <v>0.75398105207291999</v>
      </c>
      <c r="G1479">
        <v>0.52799685112509998</v>
      </c>
      <c r="H1479">
        <v>0.426722843574389</v>
      </c>
      <c r="I1479">
        <v>0.436280271321417</v>
      </c>
      <c r="J1479">
        <v>0.43346168955556202</v>
      </c>
      <c r="K1479">
        <v>0.44071514272534401</v>
      </c>
      <c r="L1479">
        <v>1139.8245051709</v>
      </c>
      <c r="M1479">
        <v>22.5657523607305</v>
      </c>
      <c r="N1479">
        <v>55.0110273322464</v>
      </c>
      <c r="O1479">
        <v>50.119596804124797</v>
      </c>
      <c r="P1479">
        <v>-6.51673846957182E-2</v>
      </c>
      <c r="Q1479">
        <v>0.42105240651989601</v>
      </c>
      <c r="R1479">
        <v>0.98683122496914</v>
      </c>
      <c r="S1479" t="s">
        <v>7030</v>
      </c>
      <c r="T1479" t="s">
        <v>11100</v>
      </c>
      <c r="U1479" t="s">
        <v>11100</v>
      </c>
      <c r="V1479" t="s">
        <v>11100</v>
      </c>
      <c r="W1479" t="s">
        <v>12545</v>
      </c>
      <c r="X1479">
        <v>8</v>
      </c>
      <c r="Y1479" t="s">
        <v>18037</v>
      </c>
      <c r="Z1479" t="s">
        <v>23484</v>
      </c>
      <c r="AA1479">
        <v>0.68794568505637332</v>
      </c>
      <c r="AB1479" t="str">
        <f>HYPERLINK("Melting_Curves/meltCurve_O75391_SPAG7.pdf", "Melting_Curves/meltCurve_O75391_SPAG7.pdf")</f>
        <v>Melting_Curves/meltCurve_O75391_SPAG7.pdf</v>
      </c>
    </row>
    <row r="1480" spans="1:28" x14ac:dyDescent="0.25">
      <c r="A1480" t="s">
        <v>1484</v>
      </c>
      <c r="B1480">
        <v>0.99299721793515405</v>
      </c>
      <c r="C1480">
        <v>1.0595389380885101</v>
      </c>
      <c r="D1480">
        <v>1.0910671303369099</v>
      </c>
      <c r="E1480">
        <v>0.93766239083260705</v>
      </c>
      <c r="F1480">
        <v>0.85306416395513096</v>
      </c>
      <c r="G1480">
        <v>0.62854507941072701</v>
      </c>
      <c r="H1480">
        <v>0.29695982721512998</v>
      </c>
      <c r="I1480">
        <v>0.17426135598717099</v>
      </c>
      <c r="J1480">
        <v>0.142839969013181</v>
      </c>
      <c r="K1480">
        <v>0.113694358346279</v>
      </c>
      <c r="L1480">
        <v>1167.2563980981399</v>
      </c>
      <c r="M1480">
        <v>21.463405016999999</v>
      </c>
      <c r="N1480">
        <v>54.941944021884296</v>
      </c>
      <c r="O1480">
        <v>53.9180779137073</v>
      </c>
      <c r="P1480">
        <v>-8.9768769319883396E-2</v>
      </c>
      <c r="Q1480">
        <v>9.7992076907248496E-2</v>
      </c>
      <c r="R1480">
        <v>0.98956355183423195</v>
      </c>
      <c r="S1480" t="s">
        <v>7031</v>
      </c>
      <c r="T1480" t="s">
        <v>11100</v>
      </c>
      <c r="U1480" t="s">
        <v>11100</v>
      </c>
      <c r="V1480" t="s">
        <v>11100</v>
      </c>
      <c r="W1480" t="s">
        <v>12546</v>
      </c>
      <c r="X1480">
        <v>13</v>
      </c>
      <c r="Y1480" t="s">
        <v>18038</v>
      </c>
      <c r="Z1480" t="s">
        <v>23485</v>
      </c>
      <c r="AA1480">
        <v>0.63041916221356309</v>
      </c>
      <c r="AB1480" t="str">
        <f>HYPERLINK("Melting_Curves/meltCurve_O75396_SEC22B.pdf", "Melting_Curves/meltCurve_O75396_SEC22B.pdf")</f>
        <v>Melting_Curves/meltCurve_O75396_SEC22B.pdf</v>
      </c>
    </row>
    <row r="1481" spans="1:28" x14ac:dyDescent="0.25">
      <c r="A1481" t="s">
        <v>1485</v>
      </c>
      <c r="B1481">
        <v>0.99299721793515405</v>
      </c>
      <c r="C1481">
        <v>0.91488322268955402</v>
      </c>
      <c r="D1481">
        <v>0.7590001296137</v>
      </c>
      <c r="E1481">
        <v>0.71903999012191999</v>
      </c>
      <c r="F1481">
        <v>0.51113996253911798</v>
      </c>
      <c r="G1481">
        <v>0.36260398379540598</v>
      </c>
      <c r="H1481">
        <v>0.27872211221452797</v>
      </c>
      <c r="I1481">
        <v>0.26232805487981797</v>
      </c>
      <c r="J1481">
        <v>0.17539906896802099</v>
      </c>
      <c r="K1481">
        <v>0.12738101410416799</v>
      </c>
      <c r="L1481">
        <v>436.43444134020001</v>
      </c>
      <c r="M1481">
        <v>8.7370889319837399</v>
      </c>
      <c r="N1481">
        <v>50.651222612628402</v>
      </c>
      <c r="O1481">
        <v>47.542294263209001</v>
      </c>
      <c r="P1481">
        <v>-4.3368567183494897E-2</v>
      </c>
      <c r="Q1481">
        <v>5.6817401111350002E-2</v>
      </c>
      <c r="R1481">
        <v>0.98905483012929396</v>
      </c>
      <c r="S1481" t="s">
        <v>7032</v>
      </c>
      <c r="T1481" t="s">
        <v>11100</v>
      </c>
      <c r="U1481" t="s">
        <v>11100</v>
      </c>
      <c r="V1481" t="s">
        <v>11100</v>
      </c>
      <c r="W1481" t="s">
        <v>12547</v>
      </c>
      <c r="X1481">
        <v>3</v>
      </c>
      <c r="Y1481" t="s">
        <v>18039</v>
      </c>
      <c r="Z1481" t="s">
        <v>23486</v>
      </c>
      <c r="AA1481">
        <v>0.50021794453845625</v>
      </c>
      <c r="AB1481" t="str">
        <f>HYPERLINK("Melting_Curves/meltCurve_O75400_2_PRPF40A.pdf", "Melting_Curves/meltCurve_O75400_2_PRPF40A.pdf")</f>
        <v>Melting_Curves/meltCurve_O75400_2_PRPF40A.pdf</v>
      </c>
    </row>
    <row r="1482" spans="1:28" x14ac:dyDescent="0.25">
      <c r="A1482" t="s">
        <v>1486</v>
      </c>
      <c r="B1482">
        <v>0.99299721793515405</v>
      </c>
      <c r="C1482">
        <v>0.98301117659742798</v>
      </c>
      <c r="D1482">
        <v>0.87014995359023695</v>
      </c>
      <c r="E1482">
        <v>0.79832133590632104</v>
      </c>
      <c r="F1482">
        <v>0.529338733076963</v>
      </c>
      <c r="G1482">
        <v>0.23388058504735099</v>
      </c>
      <c r="H1482">
        <v>0.199659444066174</v>
      </c>
      <c r="I1482">
        <v>0.166443821107809</v>
      </c>
      <c r="J1482">
        <v>0.124460585744297</v>
      </c>
      <c r="K1482">
        <v>0.100060722232579</v>
      </c>
      <c r="L1482">
        <v>830.97040234908695</v>
      </c>
      <c r="M1482">
        <v>16.766084903555399</v>
      </c>
      <c r="N1482">
        <v>50.248273079804001</v>
      </c>
      <c r="O1482">
        <v>48.873598685371498</v>
      </c>
      <c r="P1482">
        <v>-7.6998059914146197E-2</v>
      </c>
      <c r="Q1482">
        <v>0.10225273796710201</v>
      </c>
      <c r="R1482">
        <v>0.992000272435962</v>
      </c>
      <c r="S1482" t="s">
        <v>7033</v>
      </c>
      <c r="T1482" t="s">
        <v>11100</v>
      </c>
      <c r="U1482" t="s">
        <v>11100</v>
      </c>
      <c r="V1482" t="s">
        <v>11100</v>
      </c>
      <c r="W1482" t="s">
        <v>12548</v>
      </c>
      <c r="X1482">
        <v>5</v>
      </c>
      <c r="Y1482" t="s">
        <v>18040</v>
      </c>
      <c r="Z1482" t="s">
        <v>23487</v>
      </c>
      <c r="AA1482">
        <v>0.49417039599430712</v>
      </c>
      <c r="AB1482" t="str">
        <f>HYPERLINK("Melting_Curves/meltCurve_O75419_2_CDC45.pdf", "Melting_Curves/meltCurve_O75419_2_CDC45.pdf")</f>
        <v>Melting_Curves/meltCurve_O75419_2_CDC45.pdf</v>
      </c>
    </row>
    <row r="1483" spans="1:28" x14ac:dyDescent="0.25">
      <c r="A1483" t="s">
        <v>1487</v>
      </c>
      <c r="B1483">
        <v>0.99299721793515405</v>
      </c>
      <c r="C1483">
        <v>0.83211589966342203</v>
      </c>
      <c r="D1483">
        <v>0.86687342540581602</v>
      </c>
      <c r="E1483">
        <v>0.73831021409167896</v>
      </c>
      <c r="F1483">
        <v>0.51410419552763198</v>
      </c>
      <c r="G1483">
        <v>0.36053157048093298</v>
      </c>
      <c r="H1483">
        <v>0.25701178391186202</v>
      </c>
      <c r="I1483">
        <v>0.24155245796427299</v>
      </c>
      <c r="J1483">
        <v>0.30938587216757901</v>
      </c>
      <c r="K1483">
        <v>0.21428800078330601</v>
      </c>
      <c r="L1483">
        <v>575.26043782698798</v>
      </c>
      <c r="M1483">
        <v>11.890441109108901</v>
      </c>
      <c r="N1483">
        <v>50.495337420186097</v>
      </c>
      <c r="O1483">
        <v>47.072536247932</v>
      </c>
      <c r="P1483">
        <v>-5.0775087498307898E-2</v>
      </c>
      <c r="Q1483">
        <v>0.19615593553176799</v>
      </c>
      <c r="R1483">
        <v>0.97120297657788202</v>
      </c>
      <c r="S1483" t="s">
        <v>7034</v>
      </c>
      <c r="T1483" t="s">
        <v>11100</v>
      </c>
      <c r="U1483" t="s">
        <v>11100</v>
      </c>
      <c r="V1483" t="s">
        <v>11100</v>
      </c>
      <c r="W1483" t="s">
        <v>12549</v>
      </c>
      <c r="X1483">
        <v>5</v>
      </c>
      <c r="Y1483" t="s">
        <v>18041</v>
      </c>
      <c r="Z1483" t="s">
        <v>23488</v>
      </c>
      <c r="AA1483">
        <v>0.5260928357951834</v>
      </c>
      <c r="AB1483" t="str">
        <f>HYPERLINK("Melting_Curves/meltCurve_O75420_GIGYF1.pdf", "Melting_Curves/meltCurve_O75420_GIGYF1.pdf")</f>
        <v>Melting_Curves/meltCurve_O75420_GIGYF1.pdf</v>
      </c>
    </row>
    <row r="1484" spans="1:28" x14ac:dyDescent="0.25">
      <c r="A1484" t="s">
        <v>1488</v>
      </c>
      <c r="B1484">
        <v>0.99299721793515405</v>
      </c>
      <c r="C1484">
        <v>0.97627580447304296</v>
      </c>
      <c r="D1484">
        <v>0.96443614417727896</v>
      </c>
      <c r="E1484">
        <v>0.89626238381149204</v>
      </c>
      <c r="F1484">
        <v>0.61692887451467904</v>
      </c>
      <c r="G1484">
        <v>0.45866341062960703</v>
      </c>
      <c r="H1484">
        <v>0.34933929379392498</v>
      </c>
      <c r="I1484">
        <v>0.39131314981592802</v>
      </c>
      <c r="J1484">
        <v>0.28011134057102799</v>
      </c>
      <c r="K1484">
        <v>0.17106203249808899</v>
      </c>
      <c r="L1484">
        <v>781.89690796300999</v>
      </c>
      <c r="M1484">
        <v>15.3717820624254</v>
      </c>
      <c r="N1484">
        <v>53.105381224089697</v>
      </c>
      <c r="O1484">
        <v>50.028189371489702</v>
      </c>
      <c r="P1484">
        <v>-5.8498205770084202E-2</v>
      </c>
      <c r="Q1484">
        <v>0.238529154888173</v>
      </c>
      <c r="R1484">
        <v>0.97717573065843699</v>
      </c>
      <c r="S1484" t="s">
        <v>7035</v>
      </c>
      <c r="T1484" t="s">
        <v>11100</v>
      </c>
      <c r="U1484" t="s">
        <v>11100</v>
      </c>
      <c r="V1484" t="s">
        <v>11100</v>
      </c>
      <c r="W1484" t="s">
        <v>12550</v>
      </c>
      <c r="X1484">
        <v>2</v>
      </c>
      <c r="Y1484" t="s">
        <v>18042</v>
      </c>
      <c r="Z1484" t="s">
        <v>23489</v>
      </c>
      <c r="AA1484">
        <v>0.60539200137244253</v>
      </c>
      <c r="AB1484" t="str">
        <f>HYPERLINK("Melting_Curves/meltCurve_O75427_LRCH4.pdf", "Melting_Curves/meltCurve_O75427_LRCH4.pdf")</f>
        <v>Melting_Curves/meltCurve_O75427_LRCH4.pdf</v>
      </c>
    </row>
    <row r="1485" spans="1:28" x14ac:dyDescent="0.25">
      <c r="A1485" t="s">
        <v>1489</v>
      </c>
      <c r="B1485">
        <v>0.99299721793515405</v>
      </c>
      <c r="C1485">
        <v>1.0702534618410799</v>
      </c>
      <c r="D1485">
        <v>0.94762207178492097</v>
      </c>
      <c r="E1485">
        <v>0.96308569184814596</v>
      </c>
      <c r="F1485">
        <v>0.82084590901023702</v>
      </c>
      <c r="G1485">
        <v>0.76484922457120297</v>
      </c>
      <c r="H1485">
        <v>0.62615985260218199</v>
      </c>
      <c r="I1485">
        <v>0.39971837342486799</v>
      </c>
      <c r="J1485">
        <v>0.229814400942288</v>
      </c>
      <c r="K1485">
        <v>0.21660091298117501</v>
      </c>
      <c r="L1485">
        <v>683.54301287955104</v>
      </c>
      <c r="M1485">
        <v>11.5995815166401</v>
      </c>
      <c r="N1485">
        <v>58.9282477557337</v>
      </c>
      <c r="O1485">
        <v>57.258520253947097</v>
      </c>
      <c r="P1485">
        <v>-5.0659579662467501E-2</v>
      </c>
      <c r="Q1485">
        <v>0</v>
      </c>
      <c r="R1485">
        <v>0.98200277473669695</v>
      </c>
      <c r="S1485" t="s">
        <v>7036</v>
      </c>
      <c r="T1485" t="s">
        <v>11100</v>
      </c>
      <c r="U1485" t="s">
        <v>11100</v>
      </c>
      <c r="V1485" t="s">
        <v>11100</v>
      </c>
      <c r="W1485" t="s">
        <v>12551</v>
      </c>
      <c r="X1485">
        <v>9</v>
      </c>
      <c r="Y1485" t="s">
        <v>18043</v>
      </c>
      <c r="Z1485" t="s">
        <v>23490</v>
      </c>
      <c r="AA1485">
        <v>0.72174037375452371</v>
      </c>
      <c r="AB1485" t="str">
        <f>HYPERLINK("Melting_Curves/meltCurve_O75436_VPS26A.pdf", "Melting_Curves/meltCurve_O75436_VPS26A.pdf")</f>
        <v>Melting_Curves/meltCurve_O75436_VPS26A.pdf</v>
      </c>
    </row>
    <row r="1486" spans="1:28" x14ac:dyDescent="0.25">
      <c r="A1486" t="s">
        <v>1490</v>
      </c>
      <c r="B1486">
        <v>0.99299721793515405</v>
      </c>
      <c r="C1486">
        <v>0.87500062300569104</v>
      </c>
      <c r="D1486">
        <v>0.92950230307740001</v>
      </c>
      <c r="E1486">
        <v>0.89144695788949302</v>
      </c>
      <c r="F1486">
        <v>0.75136861425228896</v>
      </c>
      <c r="G1486">
        <v>0.53259789827382198</v>
      </c>
      <c r="H1486">
        <v>0.67036997872793702</v>
      </c>
      <c r="I1486">
        <v>0.92557984556572304</v>
      </c>
      <c r="J1486">
        <v>1.4755805317595601</v>
      </c>
      <c r="K1486">
        <v>1.8613258259790599</v>
      </c>
      <c r="L1486">
        <v>15000</v>
      </c>
      <c r="M1486">
        <v>236.970180868131</v>
      </c>
      <c r="O1486">
        <v>63.294595339232401</v>
      </c>
      <c r="P1486">
        <v>0.46799055438081399</v>
      </c>
      <c r="Q1486">
        <v>1.5</v>
      </c>
      <c r="R1486">
        <v>0.60011402235035805</v>
      </c>
      <c r="S1486" t="s">
        <v>7037</v>
      </c>
      <c r="T1486" t="s">
        <v>11100</v>
      </c>
      <c r="U1486" t="s">
        <v>11100</v>
      </c>
      <c r="V1486" t="s">
        <v>11100</v>
      </c>
      <c r="W1486" t="s">
        <v>12552</v>
      </c>
      <c r="X1486">
        <v>5</v>
      </c>
      <c r="Y1486" t="s">
        <v>18044</v>
      </c>
      <c r="Z1486" t="s">
        <v>23491</v>
      </c>
      <c r="AA1486">
        <v>1.061619796920388</v>
      </c>
      <c r="AB1486" t="str">
        <f>HYPERLINK("Melting_Curves/meltCurve_O75438_NDUFB1.pdf", "Melting_Curves/meltCurve_O75438_NDUFB1.pdf")</f>
        <v>Melting_Curves/meltCurve_O75438_NDUFB1.pdf</v>
      </c>
    </row>
    <row r="1487" spans="1:28" x14ac:dyDescent="0.25">
      <c r="A1487" t="s">
        <v>1491</v>
      </c>
      <c r="B1487">
        <v>0.99299721793515405</v>
      </c>
      <c r="C1487">
        <v>0.98085038140654401</v>
      </c>
      <c r="D1487">
        <v>0.90518122520965105</v>
      </c>
      <c r="E1487">
        <v>0.85170614920736598</v>
      </c>
      <c r="F1487">
        <v>0.721180391704491</v>
      </c>
      <c r="G1487">
        <v>0.55909676525775898</v>
      </c>
      <c r="H1487">
        <v>0.27426479175976898</v>
      </c>
      <c r="I1487">
        <v>0.109229510974286</v>
      </c>
      <c r="J1487">
        <v>8.1574380367213303E-2</v>
      </c>
      <c r="K1487">
        <v>7.1239191853968695E-2</v>
      </c>
      <c r="L1487">
        <v>739.21101872681902</v>
      </c>
      <c r="M1487">
        <v>13.7722547344635</v>
      </c>
      <c r="N1487">
        <v>53.673905439865102</v>
      </c>
      <c r="O1487">
        <v>52.580259086427901</v>
      </c>
      <c r="P1487">
        <v>-6.5491303233034606E-2</v>
      </c>
      <c r="Q1487">
        <v>0</v>
      </c>
      <c r="R1487">
        <v>0.99011744706018501</v>
      </c>
      <c r="S1487" t="s">
        <v>7038</v>
      </c>
      <c r="T1487" t="s">
        <v>11100</v>
      </c>
      <c r="U1487" t="s">
        <v>11100</v>
      </c>
      <c r="V1487" t="s">
        <v>11100</v>
      </c>
      <c r="W1487" t="s">
        <v>12553</v>
      </c>
      <c r="X1487">
        <v>21</v>
      </c>
      <c r="Y1487" t="s">
        <v>18045</v>
      </c>
      <c r="Z1487" t="s">
        <v>23492</v>
      </c>
      <c r="AA1487">
        <v>0.57363241428467593</v>
      </c>
      <c r="AB1487" t="str">
        <f>HYPERLINK("Melting_Curves/meltCurve_O75439_PMPCB.pdf", "Melting_Curves/meltCurve_O75439_PMPCB.pdf")</f>
        <v>Melting_Curves/meltCurve_O75439_PMPCB.pdf</v>
      </c>
    </row>
    <row r="1488" spans="1:28" x14ac:dyDescent="0.25">
      <c r="A1488" t="s">
        <v>1492</v>
      </c>
      <c r="B1488">
        <v>0.99299721793515405</v>
      </c>
      <c r="C1488">
        <v>1.0563603671539299</v>
      </c>
      <c r="D1488">
        <v>1.2656238346898001</v>
      </c>
      <c r="E1488">
        <v>0.945713016205462</v>
      </c>
      <c r="F1488">
        <v>0.71615617494095896</v>
      </c>
      <c r="G1488">
        <v>0.43930748065247999</v>
      </c>
      <c r="H1488">
        <v>0.27159748858440103</v>
      </c>
      <c r="I1488">
        <v>0.221040622033289</v>
      </c>
      <c r="J1488">
        <v>0.18301201939570499</v>
      </c>
      <c r="K1488">
        <v>0.20213172441584101</v>
      </c>
      <c r="L1488">
        <v>1269.44515415973</v>
      </c>
      <c r="M1488">
        <v>24.538058328777801</v>
      </c>
      <c r="N1488">
        <v>52.812363551128499</v>
      </c>
      <c r="O1488">
        <v>51.3938196840068</v>
      </c>
      <c r="P1488">
        <v>-9.5839445582833097E-2</v>
      </c>
      <c r="Q1488">
        <v>0.197086879814241</v>
      </c>
      <c r="R1488">
        <v>0.94912689526515803</v>
      </c>
      <c r="S1488" t="s">
        <v>7039</v>
      </c>
      <c r="T1488" t="s">
        <v>11100</v>
      </c>
      <c r="U1488" t="s">
        <v>11100</v>
      </c>
      <c r="V1488" t="s">
        <v>11100</v>
      </c>
      <c r="W1488" t="s">
        <v>12554</v>
      </c>
      <c r="X1488">
        <v>8</v>
      </c>
      <c r="Y1488" t="s">
        <v>18046</v>
      </c>
      <c r="Z1488" t="s">
        <v>23493</v>
      </c>
      <c r="AA1488">
        <v>0.59876994318556576</v>
      </c>
      <c r="AB1488" t="str">
        <f>HYPERLINK("Melting_Curves/meltCurve_O75449_KATNA1.pdf", "Melting_Curves/meltCurve_O75449_KATNA1.pdf")</f>
        <v>Melting_Curves/meltCurve_O75449_KATNA1.pdf</v>
      </c>
    </row>
    <row r="1489" spans="1:28" x14ac:dyDescent="0.25">
      <c r="A1489" t="s">
        <v>1493</v>
      </c>
      <c r="B1489">
        <v>0.99299721793515405</v>
      </c>
      <c r="C1489">
        <v>0.85552266134745902</v>
      </c>
      <c r="D1489">
        <v>0.97723796096631699</v>
      </c>
      <c r="E1489">
        <v>0.84179467672002295</v>
      </c>
      <c r="F1489">
        <v>0.63076729872421899</v>
      </c>
      <c r="G1489">
        <v>0.46007585256130001</v>
      </c>
      <c r="H1489">
        <v>0.32073599989586599</v>
      </c>
      <c r="I1489">
        <v>0.23400570570458801</v>
      </c>
      <c r="J1489">
        <v>0.278681857666636</v>
      </c>
      <c r="K1489">
        <v>0.206600935801587</v>
      </c>
      <c r="L1489">
        <v>712.02808519854705</v>
      </c>
      <c r="M1489">
        <v>13.973587725074699</v>
      </c>
      <c r="N1489">
        <v>52.769843736985301</v>
      </c>
      <c r="O1489">
        <v>49.945735910205997</v>
      </c>
      <c r="P1489">
        <v>-5.6608732780479697E-2</v>
      </c>
      <c r="Q1489">
        <v>0.190762456594809</v>
      </c>
      <c r="R1489">
        <v>0.97688021793569202</v>
      </c>
      <c r="S1489" t="s">
        <v>7040</v>
      </c>
      <c r="T1489" t="s">
        <v>11100</v>
      </c>
      <c r="U1489" t="s">
        <v>11100</v>
      </c>
      <c r="V1489" t="s">
        <v>11100</v>
      </c>
      <c r="W1489" t="s">
        <v>12555</v>
      </c>
      <c r="X1489">
        <v>9</v>
      </c>
      <c r="Y1489" t="s">
        <v>18047</v>
      </c>
      <c r="Z1489" t="s">
        <v>23494</v>
      </c>
      <c r="AA1489">
        <v>0.58505671902489709</v>
      </c>
      <c r="AB1489" t="str">
        <f>HYPERLINK("Melting_Curves/meltCurve_O75475_PSIP1.pdf", "Melting_Curves/meltCurve_O75475_PSIP1.pdf")</f>
        <v>Melting_Curves/meltCurve_O75475_PSIP1.pdf</v>
      </c>
    </row>
    <row r="1490" spans="1:28" x14ac:dyDescent="0.25">
      <c r="A1490" t="s">
        <v>1494</v>
      </c>
      <c r="B1490">
        <v>0.99299721793515405</v>
      </c>
      <c r="C1490">
        <v>0.91569172971253698</v>
      </c>
      <c r="D1490">
        <v>1.0162575513273699</v>
      </c>
      <c r="E1490">
        <v>0.81849734382393402</v>
      </c>
      <c r="F1490">
        <v>0.82944626231114205</v>
      </c>
      <c r="G1490">
        <v>1.0424603691788801</v>
      </c>
      <c r="H1490">
        <v>0.81797931649006295</v>
      </c>
      <c r="I1490">
        <v>0.63942118132974701</v>
      </c>
      <c r="J1490">
        <v>0.35362895209093098</v>
      </c>
      <c r="K1490">
        <v>0.19287430714634801</v>
      </c>
      <c r="L1490">
        <v>1269.26130462643</v>
      </c>
      <c r="M1490">
        <v>20.350181635390399</v>
      </c>
      <c r="N1490">
        <v>62.371005045443901</v>
      </c>
      <c r="O1490">
        <v>61.778098137621697</v>
      </c>
      <c r="P1490">
        <v>-8.2354429263546303E-2</v>
      </c>
      <c r="Q1490">
        <v>0</v>
      </c>
      <c r="R1490">
        <v>0.89784259719847903</v>
      </c>
      <c r="S1490" t="s">
        <v>7041</v>
      </c>
      <c r="T1490" t="s">
        <v>11100</v>
      </c>
      <c r="U1490" t="s">
        <v>11100</v>
      </c>
      <c r="V1490" t="s">
        <v>11100</v>
      </c>
      <c r="W1490" t="s">
        <v>12556</v>
      </c>
      <c r="X1490">
        <v>8</v>
      </c>
      <c r="Y1490" t="s">
        <v>18048</v>
      </c>
      <c r="Z1490" t="s">
        <v>23495</v>
      </c>
      <c r="AA1490">
        <v>0.83347769968672081</v>
      </c>
      <c r="AB1490" t="str">
        <f>HYPERLINK("Melting_Curves/meltCurve_O75489_NDUFS3.pdf", "Melting_Curves/meltCurve_O75489_NDUFS3.pdf")</f>
        <v>Melting_Curves/meltCurve_O75489_NDUFS3.pdf</v>
      </c>
    </row>
    <row r="1491" spans="1:28" x14ac:dyDescent="0.25">
      <c r="A1491" t="s">
        <v>1495</v>
      </c>
      <c r="B1491">
        <v>0.99299721793515405</v>
      </c>
      <c r="C1491">
        <v>0.94791895924566405</v>
      </c>
      <c r="D1491">
        <v>0.94374792128516205</v>
      </c>
      <c r="E1491">
        <v>0.89984562807396895</v>
      </c>
      <c r="F1491">
        <v>0.77496365242910303</v>
      </c>
      <c r="G1491">
        <v>0.59983277290385495</v>
      </c>
      <c r="H1491">
        <v>0.51472308314099802</v>
      </c>
      <c r="I1491">
        <v>0.57181266141048603</v>
      </c>
      <c r="J1491">
        <v>0.66757140251554403</v>
      </c>
      <c r="K1491">
        <v>0.54146549479338402</v>
      </c>
      <c r="L1491">
        <v>1123.75236283911</v>
      </c>
      <c r="M1491">
        <v>22.7800761174753</v>
      </c>
      <c r="O1491">
        <v>48.955062419040502</v>
      </c>
      <c r="P1491">
        <v>-5.03782308723984E-2</v>
      </c>
      <c r="Q1491">
        <v>0.56695116939601897</v>
      </c>
      <c r="R1491">
        <v>0.93329817007938698</v>
      </c>
      <c r="S1491" t="s">
        <v>7042</v>
      </c>
      <c r="T1491" t="s">
        <v>11100</v>
      </c>
      <c r="U1491" t="s">
        <v>11100</v>
      </c>
      <c r="V1491" t="s">
        <v>11100</v>
      </c>
      <c r="W1491" t="s">
        <v>12557</v>
      </c>
      <c r="X1491">
        <v>3</v>
      </c>
      <c r="Y1491" t="s">
        <v>18049</v>
      </c>
      <c r="Z1491" t="s">
        <v>23496</v>
      </c>
      <c r="AA1491">
        <v>0.74942981259442409</v>
      </c>
      <c r="AB1491" t="str">
        <f>HYPERLINK("Melting_Curves/meltCurve_O75506_HSBP1.pdf", "Melting_Curves/meltCurve_O75506_HSBP1.pdf")</f>
        <v>Melting_Curves/meltCurve_O75506_HSBP1.pdf</v>
      </c>
    </row>
    <row r="1492" spans="1:28" x14ac:dyDescent="0.25">
      <c r="A1492" t="s">
        <v>1496</v>
      </c>
      <c r="B1492">
        <v>0.99299721793515405</v>
      </c>
      <c r="C1492">
        <v>1.0180068207546999</v>
      </c>
      <c r="D1492">
        <v>1.0472143293665599</v>
      </c>
      <c r="E1492">
        <v>0.92339926223359503</v>
      </c>
      <c r="F1492">
        <v>0.81782770039544905</v>
      </c>
      <c r="G1492">
        <v>0.60167125012411005</v>
      </c>
      <c r="H1492">
        <v>0.41212547267913302</v>
      </c>
      <c r="I1492">
        <v>0.32865656852782299</v>
      </c>
      <c r="J1492">
        <v>0.16881659390944401</v>
      </c>
      <c r="K1492">
        <v>0.12729757683424101</v>
      </c>
      <c r="L1492">
        <v>732.28166154746202</v>
      </c>
      <c r="M1492">
        <v>13.1856444135116</v>
      </c>
      <c r="N1492">
        <v>55.979615724818899</v>
      </c>
      <c r="O1492">
        <v>54.305487950484803</v>
      </c>
      <c r="P1492">
        <v>-5.7701408014693402E-2</v>
      </c>
      <c r="Q1492">
        <v>4.9578598542828402E-2</v>
      </c>
      <c r="R1492">
        <v>0.991944851886431</v>
      </c>
      <c r="S1492" t="s">
        <v>7043</v>
      </c>
      <c r="T1492" t="s">
        <v>11100</v>
      </c>
      <c r="U1492" t="s">
        <v>11100</v>
      </c>
      <c r="V1492" t="s">
        <v>11100</v>
      </c>
      <c r="W1492" t="s">
        <v>12558</v>
      </c>
      <c r="X1492">
        <v>16</v>
      </c>
      <c r="Y1492" t="s">
        <v>18050</v>
      </c>
      <c r="Z1492" t="s">
        <v>23497</v>
      </c>
      <c r="AA1492">
        <v>0.64880077582444984</v>
      </c>
      <c r="AB1492" t="str">
        <f>HYPERLINK("Melting_Curves/meltCurve_O75521_2_ECI2.pdf", "Melting_Curves/meltCurve_O75521_2_ECI2.pdf")</f>
        <v>Melting_Curves/meltCurve_O75521_2_ECI2.pdf</v>
      </c>
    </row>
    <row r="1493" spans="1:28" x14ac:dyDescent="0.25">
      <c r="A1493" t="s">
        <v>1497</v>
      </c>
      <c r="B1493">
        <v>0.99299721793515405</v>
      </c>
      <c r="C1493">
        <v>0.92327587483630202</v>
      </c>
      <c r="D1493">
        <v>0.947837952610324</v>
      </c>
      <c r="E1493">
        <v>1.0171705191345</v>
      </c>
      <c r="F1493">
        <v>0.85952105369208698</v>
      </c>
      <c r="G1493">
        <v>0.66050961573866296</v>
      </c>
      <c r="H1493">
        <v>0.99036126953105397</v>
      </c>
      <c r="I1493">
        <v>0.65642156593008205</v>
      </c>
      <c r="J1493">
        <v>0.83274976204348705</v>
      </c>
      <c r="K1493">
        <v>0.92029737455859395</v>
      </c>
      <c r="L1493">
        <v>12495.517165167001</v>
      </c>
      <c r="M1493">
        <v>250</v>
      </c>
      <c r="O1493">
        <v>49.978873963149702</v>
      </c>
      <c r="P1493">
        <v>-0.23501441736057299</v>
      </c>
      <c r="Q1493">
        <v>0.81206791946327495</v>
      </c>
      <c r="R1493">
        <v>0.344521231449053</v>
      </c>
      <c r="S1493" t="s">
        <v>7044</v>
      </c>
      <c r="T1493" t="s">
        <v>11100</v>
      </c>
      <c r="U1493" t="s">
        <v>11100</v>
      </c>
      <c r="V1493" t="s">
        <v>11100</v>
      </c>
      <c r="W1493" t="s">
        <v>12559</v>
      </c>
      <c r="X1493">
        <v>2</v>
      </c>
      <c r="Y1493" t="s">
        <v>18051</v>
      </c>
      <c r="Z1493" t="s">
        <v>23498</v>
      </c>
      <c r="AA1493">
        <v>0.89340931021202086</v>
      </c>
      <c r="AB1493" t="str">
        <f>HYPERLINK("Melting_Curves/meltCurve_O75526_RBMXL2.pdf", "Melting_Curves/meltCurve_O75526_RBMXL2.pdf")</f>
        <v>Melting_Curves/meltCurve_O75526_RBMXL2.pdf</v>
      </c>
    </row>
    <row r="1494" spans="1:28" x14ac:dyDescent="0.25">
      <c r="A1494" t="s">
        <v>1498</v>
      </c>
      <c r="B1494">
        <v>0.99299721793515405</v>
      </c>
      <c r="C1494">
        <v>1.0042069789794501</v>
      </c>
      <c r="D1494">
        <v>0.88883787484360499</v>
      </c>
      <c r="E1494">
        <v>0.88002178330070902</v>
      </c>
      <c r="F1494">
        <v>0.74950013866242904</v>
      </c>
      <c r="G1494">
        <v>0.63284183864945798</v>
      </c>
      <c r="H1494">
        <v>0.48113800860593697</v>
      </c>
      <c r="I1494">
        <v>0.50160808769821796</v>
      </c>
      <c r="J1494">
        <v>0.46654607754857502</v>
      </c>
      <c r="K1494">
        <v>0.39070841980044602</v>
      </c>
      <c r="L1494">
        <v>563.17971184666305</v>
      </c>
      <c r="M1494">
        <v>10.843815541141099</v>
      </c>
      <c r="N1494">
        <v>59.0878935274621</v>
      </c>
      <c r="O1494">
        <v>50.262922985575798</v>
      </c>
      <c r="P1494">
        <v>-3.4237503661602699E-2</v>
      </c>
      <c r="Q1494">
        <v>0.36543968043859598</v>
      </c>
      <c r="R1494">
        <v>0.98161139416630205</v>
      </c>
      <c r="S1494" t="s">
        <v>7045</v>
      </c>
      <c r="T1494" t="s">
        <v>11100</v>
      </c>
      <c r="U1494" t="s">
        <v>11100</v>
      </c>
      <c r="V1494" t="s">
        <v>11100</v>
      </c>
      <c r="W1494" t="s">
        <v>12560</v>
      </c>
      <c r="X1494">
        <v>1</v>
      </c>
      <c r="Y1494" t="s">
        <v>18052</v>
      </c>
      <c r="Z1494" t="s">
        <v>23499</v>
      </c>
      <c r="AA1494">
        <v>0.69767266114351179</v>
      </c>
      <c r="AB1494" t="str">
        <f>HYPERLINK("Melting_Curves/meltCurve_O75528_TADA3.pdf", "Melting_Curves/meltCurve_O75528_TADA3.pdf")</f>
        <v>Melting_Curves/meltCurve_O75528_TADA3.pdf</v>
      </c>
    </row>
    <row r="1495" spans="1:28" x14ac:dyDescent="0.25">
      <c r="A1495" t="s">
        <v>1499</v>
      </c>
      <c r="B1495">
        <v>0.99299721793515405</v>
      </c>
      <c r="C1495">
        <v>1.0271920374097501</v>
      </c>
      <c r="D1495">
        <v>1.0032150636306301</v>
      </c>
      <c r="E1495">
        <v>1.1927193549245201</v>
      </c>
      <c r="F1495">
        <v>1.9812644883323101</v>
      </c>
      <c r="G1495">
        <v>1.2728518029570799</v>
      </c>
      <c r="H1495">
        <v>0.54511247961054998</v>
      </c>
      <c r="I1495">
        <v>0.29666137726335801</v>
      </c>
      <c r="J1495">
        <v>0.20353134116522001</v>
      </c>
      <c r="K1495">
        <v>0.21806287029522001</v>
      </c>
      <c r="L1495">
        <v>14327.185533137999</v>
      </c>
      <c r="M1495">
        <v>250</v>
      </c>
      <c r="N1495">
        <v>57.458523427548201</v>
      </c>
      <c r="O1495">
        <v>57.305069664896102</v>
      </c>
      <c r="P1495">
        <v>-0.82953119897682104</v>
      </c>
      <c r="Q1495">
        <v>0.239418442918056</v>
      </c>
      <c r="R1495">
        <v>0.62257882521527097</v>
      </c>
      <c r="S1495" t="s">
        <v>7046</v>
      </c>
      <c r="T1495" t="s">
        <v>11100</v>
      </c>
      <c r="U1495" t="s">
        <v>11100</v>
      </c>
      <c r="V1495" t="s">
        <v>11100</v>
      </c>
      <c r="W1495" t="s">
        <v>12561</v>
      </c>
      <c r="X1495">
        <v>10</v>
      </c>
      <c r="Y1495" t="s">
        <v>18053</v>
      </c>
      <c r="Z1495" t="s">
        <v>23500</v>
      </c>
      <c r="AA1495">
        <v>0.75437676291617739</v>
      </c>
      <c r="AB1495" t="str">
        <f>HYPERLINK("Melting_Curves/meltCurve_O75531_BANF1.pdf", "Melting_Curves/meltCurve_O75531_BANF1.pdf")</f>
        <v>Melting_Curves/meltCurve_O75531_BANF1.pdf</v>
      </c>
    </row>
    <row r="1496" spans="1:28" x14ac:dyDescent="0.25">
      <c r="A1496" t="s">
        <v>1500</v>
      </c>
      <c r="B1496">
        <v>0.99299721793515405</v>
      </c>
      <c r="C1496">
        <v>1.0047994696121501</v>
      </c>
      <c r="D1496">
        <v>1.14001396628383</v>
      </c>
      <c r="E1496">
        <v>0.91771222954149201</v>
      </c>
      <c r="F1496">
        <v>0.762173954095833</v>
      </c>
      <c r="G1496">
        <v>0.72584517304365104</v>
      </c>
      <c r="H1496">
        <v>0.56628524782621403</v>
      </c>
      <c r="I1496">
        <v>0.44724504623700201</v>
      </c>
      <c r="J1496">
        <v>0.49754371686517701</v>
      </c>
      <c r="K1496">
        <v>0.42593232316241197</v>
      </c>
      <c r="L1496">
        <v>807.88616488748198</v>
      </c>
      <c r="M1496">
        <v>15.2434222281033</v>
      </c>
      <c r="N1496">
        <v>60.2396298597845</v>
      </c>
      <c r="O1496">
        <v>52.112011682121498</v>
      </c>
      <c r="P1496">
        <v>-4.2420538375895399E-2</v>
      </c>
      <c r="Q1496">
        <v>0.41997040513212802</v>
      </c>
      <c r="R1496">
        <v>0.94156300006590299</v>
      </c>
      <c r="S1496" t="s">
        <v>7047</v>
      </c>
      <c r="T1496" t="s">
        <v>11100</v>
      </c>
      <c r="U1496" t="s">
        <v>11100</v>
      </c>
      <c r="V1496" t="s">
        <v>11100</v>
      </c>
      <c r="W1496" t="s">
        <v>12562</v>
      </c>
      <c r="X1496">
        <v>10</v>
      </c>
      <c r="Y1496" t="s">
        <v>18054</v>
      </c>
      <c r="Z1496" t="s">
        <v>23501</v>
      </c>
      <c r="AA1496">
        <v>0.73949210802374898</v>
      </c>
      <c r="AB1496" t="str">
        <f>HYPERLINK("Melting_Curves/meltCurve_O75533_SF3B1.pdf", "Melting_Curves/meltCurve_O75533_SF3B1.pdf")</f>
        <v>Melting_Curves/meltCurve_O75533_SF3B1.pdf</v>
      </c>
    </row>
    <row r="1497" spans="1:28" x14ac:dyDescent="0.25">
      <c r="A1497" t="s">
        <v>1501</v>
      </c>
      <c r="B1497">
        <v>0.99299721793515405</v>
      </c>
      <c r="C1497">
        <v>0.94844018737620295</v>
      </c>
      <c r="D1497">
        <v>0.96443747767863797</v>
      </c>
      <c r="E1497">
        <v>0.83698452652765298</v>
      </c>
      <c r="F1497">
        <v>0.48433826469404101</v>
      </c>
      <c r="G1497">
        <v>0.22977860532253599</v>
      </c>
      <c r="H1497">
        <v>0.17485863235031099</v>
      </c>
      <c r="I1497">
        <v>0.16453636707793001</v>
      </c>
      <c r="J1497">
        <v>0.16890364384614201</v>
      </c>
      <c r="K1497">
        <v>0.14934329432847701</v>
      </c>
      <c r="L1497">
        <v>1239.23458277294</v>
      </c>
      <c r="M1497">
        <v>25.166724935102302</v>
      </c>
      <c r="N1497">
        <v>49.972265729324398</v>
      </c>
      <c r="O1497">
        <v>48.933247970585498</v>
      </c>
      <c r="P1497">
        <v>-0.108772567245352</v>
      </c>
      <c r="Q1497">
        <v>0.154037660061912</v>
      </c>
      <c r="R1497">
        <v>0.99759108429441901</v>
      </c>
      <c r="S1497" t="s">
        <v>7048</v>
      </c>
      <c r="T1497" t="s">
        <v>11100</v>
      </c>
      <c r="U1497" t="s">
        <v>11100</v>
      </c>
      <c r="V1497" t="s">
        <v>11100</v>
      </c>
      <c r="W1497" t="s">
        <v>12563</v>
      </c>
      <c r="X1497">
        <v>23</v>
      </c>
      <c r="Y1497" t="s">
        <v>18055</v>
      </c>
      <c r="Z1497" t="s">
        <v>23502</v>
      </c>
      <c r="AA1497">
        <v>0.50645748537987645</v>
      </c>
      <c r="AB1497" t="str">
        <f>HYPERLINK("Melting_Curves/meltCurve_O75534_2_CSDE1.pdf", "Melting_Curves/meltCurve_O75534_2_CSDE1.pdf")</f>
        <v>Melting_Curves/meltCurve_O75534_2_CSDE1.pdf</v>
      </c>
    </row>
    <row r="1498" spans="1:28" x14ac:dyDescent="0.25">
      <c r="A1498" t="s">
        <v>1502</v>
      </c>
      <c r="B1498">
        <v>0.99299721793515405</v>
      </c>
      <c r="C1498">
        <v>1.0533695462741901</v>
      </c>
      <c r="D1498">
        <v>1.1474156641725901</v>
      </c>
      <c r="E1498">
        <v>0.97094722709201398</v>
      </c>
      <c r="F1498">
        <v>0.78684223529612196</v>
      </c>
      <c r="G1498">
        <v>0.63065716092405999</v>
      </c>
      <c r="H1498">
        <v>0.55891749690177694</v>
      </c>
      <c r="I1498">
        <v>0.518857623923204</v>
      </c>
      <c r="J1498">
        <v>0.50617364013113797</v>
      </c>
      <c r="K1498">
        <v>0.68246335346614595</v>
      </c>
      <c r="L1498">
        <v>1721.2989316632199</v>
      </c>
      <c r="M1498">
        <v>34.203001784252201</v>
      </c>
      <c r="O1498">
        <v>50.154857896495002</v>
      </c>
      <c r="P1498">
        <v>-7.3576604319434497E-2</v>
      </c>
      <c r="Q1498">
        <v>0.568434385928546</v>
      </c>
      <c r="R1498">
        <v>0.91236620462367002</v>
      </c>
      <c r="S1498" t="s">
        <v>7049</v>
      </c>
      <c r="T1498" t="s">
        <v>11100</v>
      </c>
      <c r="U1498" t="s">
        <v>11100</v>
      </c>
      <c r="V1498" t="s">
        <v>11100</v>
      </c>
      <c r="W1498" t="s">
        <v>12564</v>
      </c>
      <c r="X1498">
        <v>5</v>
      </c>
      <c r="Y1498" t="s">
        <v>18056</v>
      </c>
      <c r="Z1498" t="s">
        <v>23503</v>
      </c>
      <c r="AA1498">
        <v>0.7621877835394677</v>
      </c>
      <c r="AB1498" t="str">
        <f>HYPERLINK("Melting_Curves/meltCurve_O75554_WBP4.pdf", "Melting_Curves/meltCurve_O75554_WBP4.pdf")</f>
        <v>Melting_Curves/meltCurve_O75554_WBP4.pdf</v>
      </c>
    </row>
    <row r="1499" spans="1:28" x14ac:dyDescent="0.25">
      <c r="A1499" t="s">
        <v>1503</v>
      </c>
      <c r="B1499">
        <v>0.99299721793515405</v>
      </c>
      <c r="C1499">
        <v>1.01014633716827</v>
      </c>
      <c r="D1499">
        <v>0.85402762084980499</v>
      </c>
      <c r="E1499">
        <v>0.72027629378604696</v>
      </c>
      <c r="F1499">
        <v>0.61456628982486905</v>
      </c>
      <c r="G1499">
        <v>0.45220901559590199</v>
      </c>
      <c r="H1499">
        <v>0.50278848446522795</v>
      </c>
      <c r="I1499">
        <v>0.30971028392584998</v>
      </c>
      <c r="J1499">
        <v>0.280480182552724</v>
      </c>
      <c r="K1499">
        <v>0.23794545589580701</v>
      </c>
      <c r="L1499">
        <v>451.78403398596203</v>
      </c>
      <c r="M1499">
        <v>8.8246551390600203</v>
      </c>
      <c r="N1499">
        <v>53.663326906984302</v>
      </c>
      <c r="O1499">
        <v>48.771033915712202</v>
      </c>
      <c r="P1499">
        <v>-3.7720411862308602E-2</v>
      </c>
      <c r="Q1499">
        <v>0.16677738353288199</v>
      </c>
      <c r="R1499">
        <v>0.97221436095704195</v>
      </c>
      <c r="S1499" t="s">
        <v>7050</v>
      </c>
      <c r="T1499" t="s">
        <v>11100</v>
      </c>
      <c r="U1499" t="s">
        <v>11100</v>
      </c>
      <c r="V1499" t="s">
        <v>11100</v>
      </c>
      <c r="W1499" t="s">
        <v>12565</v>
      </c>
      <c r="X1499">
        <v>2</v>
      </c>
      <c r="Y1499" t="s">
        <v>18057</v>
      </c>
      <c r="Z1499" t="s">
        <v>23504</v>
      </c>
      <c r="AA1499">
        <v>0.58781378805578488</v>
      </c>
      <c r="AB1499" t="str">
        <f>HYPERLINK("Melting_Curves/meltCurve_O75570_MTRF1.pdf", "Melting_Curves/meltCurve_O75570_MTRF1.pdf")</f>
        <v>Melting_Curves/meltCurve_O75570_MTRF1.pdf</v>
      </c>
    </row>
    <row r="1500" spans="1:28" x14ac:dyDescent="0.25">
      <c r="A1500" t="s">
        <v>1504</v>
      </c>
      <c r="B1500">
        <v>0.99299721793515405</v>
      </c>
      <c r="C1500">
        <v>1.1997962382823799</v>
      </c>
      <c r="D1500">
        <v>0.98255229552293599</v>
      </c>
      <c r="E1500">
        <v>1.1667892815015899</v>
      </c>
      <c r="F1500">
        <v>0.82407430837732798</v>
      </c>
      <c r="G1500">
        <v>0.31541853319181701</v>
      </c>
      <c r="H1500">
        <v>0.28797883983662198</v>
      </c>
      <c r="I1500">
        <v>0.197341488871904</v>
      </c>
      <c r="J1500">
        <v>0.19830331403993701</v>
      </c>
      <c r="K1500">
        <v>0.151001743091118</v>
      </c>
      <c r="L1500">
        <v>2379.81103498623</v>
      </c>
      <c r="M1500">
        <v>46.0664342251116</v>
      </c>
      <c r="N1500">
        <v>52.262818855865703</v>
      </c>
      <c r="O1500">
        <v>51.563349551739798</v>
      </c>
      <c r="P1500">
        <v>-0.17734210277378201</v>
      </c>
      <c r="Q1500">
        <v>0.20598665546477901</v>
      </c>
      <c r="R1500">
        <v>0.95440013824667402</v>
      </c>
      <c r="S1500" t="s">
        <v>7051</v>
      </c>
      <c r="T1500" t="s">
        <v>11100</v>
      </c>
      <c r="U1500" t="s">
        <v>11100</v>
      </c>
      <c r="V1500" t="s">
        <v>11100</v>
      </c>
      <c r="W1500" t="s">
        <v>12566</v>
      </c>
      <c r="X1500">
        <v>4</v>
      </c>
      <c r="Y1500" t="s">
        <v>18058</v>
      </c>
      <c r="Z1500" t="s">
        <v>23505</v>
      </c>
      <c r="AA1500">
        <v>0.59613776534080709</v>
      </c>
      <c r="AB1500" t="str">
        <f>HYPERLINK("Melting_Curves/meltCurve_O75582_RPS6KA5.pdf", "Melting_Curves/meltCurve_O75582_RPS6KA5.pdf")</f>
        <v>Melting_Curves/meltCurve_O75582_RPS6KA5.pdf</v>
      </c>
    </row>
    <row r="1501" spans="1:28" x14ac:dyDescent="0.25">
      <c r="A1501" t="s">
        <v>1505</v>
      </c>
      <c r="B1501">
        <v>0.99299721793515405</v>
      </c>
      <c r="C1501">
        <v>0.94074192852282001</v>
      </c>
      <c r="D1501">
        <v>1.0661494035534</v>
      </c>
      <c r="E1501">
        <v>0.83186965306981497</v>
      </c>
      <c r="F1501">
        <v>0.70748030333058098</v>
      </c>
      <c r="G1501">
        <v>0.61989010599095495</v>
      </c>
      <c r="H1501">
        <v>0.35918337447315402</v>
      </c>
      <c r="I1501">
        <v>0.32050582135301497</v>
      </c>
      <c r="J1501">
        <v>0.118270861043975</v>
      </c>
      <c r="K1501">
        <v>3.0963573439609801E-2</v>
      </c>
      <c r="L1501">
        <v>647.52501421124805</v>
      </c>
      <c r="M1501">
        <v>11.777462437369101</v>
      </c>
      <c r="N1501">
        <v>54.980013748574997</v>
      </c>
      <c r="O1501">
        <v>53.466747042546999</v>
      </c>
      <c r="P1501">
        <v>-5.5083372769685598E-2</v>
      </c>
      <c r="Q1501">
        <v>0</v>
      </c>
      <c r="R1501">
        <v>0.97081730999331295</v>
      </c>
      <c r="S1501" t="s">
        <v>7052</v>
      </c>
      <c r="T1501" t="s">
        <v>11100</v>
      </c>
      <c r="U1501" t="s">
        <v>11100</v>
      </c>
      <c r="V1501" t="s">
        <v>11100</v>
      </c>
      <c r="W1501" t="s">
        <v>12567</v>
      </c>
      <c r="X1501">
        <v>4</v>
      </c>
      <c r="Y1501" t="s">
        <v>18059</v>
      </c>
      <c r="Z1501" t="s">
        <v>23506</v>
      </c>
      <c r="AA1501">
        <v>0.61348940368353444</v>
      </c>
      <c r="AB1501" t="str">
        <f>HYPERLINK("Melting_Curves/meltCurve_O75600_GCAT.pdf", "Melting_Curves/meltCurve_O75600_GCAT.pdf")</f>
        <v>Melting_Curves/meltCurve_O75600_GCAT.pdf</v>
      </c>
    </row>
    <row r="1502" spans="1:28" x14ac:dyDescent="0.25">
      <c r="A1502" t="s">
        <v>1506</v>
      </c>
      <c r="B1502">
        <v>0.99299721793515405</v>
      </c>
      <c r="C1502">
        <v>0.797961660805657</v>
      </c>
      <c r="D1502">
        <v>0.794565447930489</v>
      </c>
      <c r="E1502">
        <v>0.66817474279966405</v>
      </c>
      <c r="F1502">
        <v>0.70613607661470701</v>
      </c>
      <c r="G1502">
        <v>0.40534641337454302</v>
      </c>
      <c r="H1502">
        <v>0.47444844595848501</v>
      </c>
      <c r="I1502">
        <v>0.49112236698553902</v>
      </c>
      <c r="J1502">
        <v>0.52092740526132797</v>
      </c>
      <c r="K1502">
        <v>0.42074401028525099</v>
      </c>
      <c r="L1502">
        <v>415.40506458437397</v>
      </c>
      <c r="M1502">
        <v>9.1577545814171799</v>
      </c>
      <c r="N1502">
        <v>56.836064409295197</v>
      </c>
      <c r="O1502">
        <v>43.355115023114102</v>
      </c>
      <c r="P1502">
        <v>-3.0580153765546202E-2</v>
      </c>
      <c r="Q1502">
        <v>0.42129691492218402</v>
      </c>
      <c r="R1502">
        <v>0.87200072070978496</v>
      </c>
      <c r="S1502" t="s">
        <v>7053</v>
      </c>
      <c r="T1502" t="s">
        <v>11100</v>
      </c>
      <c r="U1502" t="s">
        <v>11100</v>
      </c>
      <c r="V1502" t="s">
        <v>11100</v>
      </c>
      <c r="W1502" t="s">
        <v>12568</v>
      </c>
      <c r="X1502">
        <v>1</v>
      </c>
      <c r="Y1502" t="s">
        <v>18060</v>
      </c>
      <c r="Z1502" t="s">
        <v>23507</v>
      </c>
      <c r="AA1502">
        <v>0.61454183822864061</v>
      </c>
      <c r="AB1502" t="str">
        <f>HYPERLINK("Melting_Curves/meltCurve_O75607_NPM3.pdf", "Melting_Curves/meltCurve_O75607_NPM3.pdf")</f>
        <v>Melting_Curves/meltCurve_O75607_NPM3.pdf</v>
      </c>
    </row>
    <row r="1503" spans="1:28" x14ac:dyDescent="0.25">
      <c r="A1503" t="s">
        <v>1507</v>
      </c>
      <c r="B1503">
        <v>0.99299721793515405</v>
      </c>
      <c r="C1503">
        <v>1.08469654380201</v>
      </c>
      <c r="D1503">
        <v>0.86717998688894604</v>
      </c>
      <c r="E1503">
        <v>0.87363994654648003</v>
      </c>
      <c r="F1503">
        <v>0.764550906747819</v>
      </c>
      <c r="G1503">
        <v>0.66157222096241597</v>
      </c>
      <c r="H1503">
        <v>0.54030230852644101</v>
      </c>
      <c r="I1503">
        <v>0.52147846300197398</v>
      </c>
      <c r="J1503">
        <v>0.195936518326596</v>
      </c>
      <c r="K1503">
        <v>9.3602718753112907E-2</v>
      </c>
      <c r="L1503">
        <v>553.427242874939</v>
      </c>
      <c r="M1503">
        <v>9.6159568440422891</v>
      </c>
      <c r="N1503">
        <v>57.553027783123099</v>
      </c>
      <c r="O1503">
        <v>55.2291354882638</v>
      </c>
      <c r="P1503">
        <v>-4.35521384655062E-2</v>
      </c>
      <c r="Q1503">
        <v>0</v>
      </c>
      <c r="R1503">
        <v>0.93277212862422698</v>
      </c>
      <c r="S1503" t="s">
        <v>7054</v>
      </c>
      <c r="T1503" t="s">
        <v>11100</v>
      </c>
      <c r="U1503" t="s">
        <v>11100</v>
      </c>
      <c r="V1503" t="s">
        <v>11100</v>
      </c>
      <c r="W1503" t="s">
        <v>12569</v>
      </c>
      <c r="X1503">
        <v>7</v>
      </c>
      <c r="Y1503" t="s">
        <v>18061</v>
      </c>
      <c r="Z1503" t="s">
        <v>23508</v>
      </c>
      <c r="AA1503">
        <v>0.67837469303847464</v>
      </c>
      <c r="AB1503" t="str">
        <f>HYPERLINK("Melting_Curves/meltCurve_O75608_2_LYPLA1.pdf", "Melting_Curves/meltCurve_O75608_2_LYPLA1.pdf")</f>
        <v>Melting_Curves/meltCurve_O75608_2_LYPLA1.pdf</v>
      </c>
    </row>
    <row r="1504" spans="1:28" x14ac:dyDescent="0.25">
      <c r="A1504" t="s">
        <v>1508</v>
      </c>
      <c r="B1504">
        <v>0.99299721793515405</v>
      </c>
      <c r="C1504">
        <v>1.0641807987393099</v>
      </c>
      <c r="D1504">
        <v>0.92636821451818196</v>
      </c>
      <c r="E1504">
        <v>0.84554676941701001</v>
      </c>
      <c r="F1504">
        <v>0.39057443201167502</v>
      </c>
      <c r="G1504">
        <v>0.14060785353629501</v>
      </c>
      <c r="H1504">
        <v>0.12309152885447899</v>
      </c>
      <c r="I1504">
        <v>0.111048026322184</v>
      </c>
      <c r="J1504">
        <v>0.118864881152103</v>
      </c>
      <c r="K1504">
        <v>0.114854799580192</v>
      </c>
      <c r="L1504">
        <v>1506.9715866343099</v>
      </c>
      <c r="M1504">
        <v>30.820407605798401</v>
      </c>
      <c r="N1504">
        <v>49.293095896167799</v>
      </c>
      <c r="O1504">
        <v>48.690788351122301</v>
      </c>
      <c r="P1504">
        <v>-0.14082148758786001</v>
      </c>
      <c r="Q1504">
        <v>0.110113118652192</v>
      </c>
      <c r="R1504">
        <v>0.994625107209825</v>
      </c>
      <c r="S1504" t="s">
        <v>7055</v>
      </c>
      <c r="T1504" t="s">
        <v>11100</v>
      </c>
      <c r="U1504" t="s">
        <v>11100</v>
      </c>
      <c r="V1504" t="s">
        <v>11100</v>
      </c>
      <c r="W1504" t="s">
        <v>12570</v>
      </c>
      <c r="X1504">
        <v>2</v>
      </c>
      <c r="Y1504" t="s">
        <v>18062</v>
      </c>
      <c r="Z1504" t="s">
        <v>23509</v>
      </c>
      <c r="AA1504">
        <v>0.46803730451106762</v>
      </c>
      <c r="AB1504" t="str">
        <f>HYPERLINK("Melting_Curves/meltCurve_O75616_ERAL1.pdf", "Melting_Curves/meltCurve_O75616_ERAL1.pdf")</f>
        <v>Melting_Curves/meltCurve_O75616_ERAL1.pdf</v>
      </c>
    </row>
    <row r="1505" spans="1:28" x14ac:dyDescent="0.25">
      <c r="A1505" t="s">
        <v>1509</v>
      </c>
      <c r="B1505">
        <v>0.99299721793515405</v>
      </c>
      <c r="C1505">
        <v>0.81032865533953502</v>
      </c>
      <c r="D1505">
        <v>0.82709771966439605</v>
      </c>
      <c r="E1505">
        <v>0.63850639513930096</v>
      </c>
      <c r="F1505">
        <v>0.779514159072068</v>
      </c>
      <c r="G1505">
        <v>0.47724014424421701</v>
      </c>
      <c r="H1505">
        <v>0.559787431997117</v>
      </c>
      <c r="I1505">
        <v>0.69349474666670996</v>
      </c>
      <c r="J1505">
        <v>0.622834947584753</v>
      </c>
      <c r="K1505">
        <v>0.54876620942826004</v>
      </c>
      <c r="L1505">
        <v>524.31606666083701</v>
      </c>
      <c r="M1505">
        <v>12.3041726022124</v>
      </c>
      <c r="O1505">
        <v>41.534171389856397</v>
      </c>
      <c r="P1505">
        <v>-3.06258828947963E-2</v>
      </c>
      <c r="Q1505">
        <v>0.58656548569934497</v>
      </c>
      <c r="R1505">
        <v>0.71305857859939203</v>
      </c>
      <c r="S1505" t="s">
        <v>7056</v>
      </c>
      <c r="T1505" t="s">
        <v>11100</v>
      </c>
      <c r="U1505" t="s">
        <v>11100</v>
      </c>
      <c r="V1505" t="s">
        <v>11100</v>
      </c>
      <c r="W1505" t="s">
        <v>12571</v>
      </c>
      <c r="X1505">
        <v>2</v>
      </c>
      <c r="Y1505" t="s">
        <v>18063</v>
      </c>
      <c r="Z1505" t="s">
        <v>23510</v>
      </c>
      <c r="AA1505">
        <v>0.68082264187627506</v>
      </c>
      <c r="AB1505" t="str">
        <f>HYPERLINK("Melting_Curves/meltCurve_O75629_CREG1.pdf", "Melting_Curves/meltCurve_O75629_CREG1.pdf")</f>
        <v>Melting_Curves/meltCurve_O75629_CREG1.pdf</v>
      </c>
    </row>
    <row r="1506" spans="1:28" x14ac:dyDescent="0.25">
      <c r="A1506" t="s">
        <v>1510</v>
      </c>
      <c r="B1506">
        <v>0.99299721793515405</v>
      </c>
      <c r="C1506">
        <v>0.83426205783624496</v>
      </c>
      <c r="D1506">
        <v>0.91874309724740599</v>
      </c>
      <c r="E1506">
        <v>0.84947929006922496</v>
      </c>
      <c r="F1506">
        <v>0.672002092407884</v>
      </c>
      <c r="G1506">
        <v>0.52779696102129903</v>
      </c>
      <c r="H1506">
        <v>0.35040029289678798</v>
      </c>
      <c r="I1506">
        <v>0.36066334889493001</v>
      </c>
      <c r="J1506">
        <v>0.25711561534488703</v>
      </c>
      <c r="K1506">
        <v>0.22455182051449499</v>
      </c>
      <c r="L1506">
        <v>461.77958155645899</v>
      </c>
      <c r="M1506">
        <v>8.6479661445446094</v>
      </c>
      <c r="N1506">
        <v>54.6109319347891</v>
      </c>
      <c r="O1506">
        <v>50.772540377586601</v>
      </c>
      <c r="P1506">
        <v>-3.8892570329026502E-2</v>
      </c>
      <c r="Q1506">
        <v>8.74116208917637E-2</v>
      </c>
      <c r="R1506">
        <v>0.97020687954999496</v>
      </c>
      <c r="S1506" t="s">
        <v>7057</v>
      </c>
      <c r="T1506" t="s">
        <v>11100</v>
      </c>
      <c r="U1506" t="s">
        <v>11100</v>
      </c>
      <c r="V1506" t="s">
        <v>11100</v>
      </c>
      <c r="W1506" t="s">
        <v>12572</v>
      </c>
      <c r="X1506">
        <v>1</v>
      </c>
      <c r="Y1506" t="s">
        <v>18064</v>
      </c>
      <c r="Z1506" t="s">
        <v>23511</v>
      </c>
      <c r="AA1506">
        <v>0.60434412239050306</v>
      </c>
      <c r="AB1506" t="str">
        <f>HYPERLINK("Melting_Curves/meltCurve_O75643_SNRNP200.pdf", "Melting_Curves/meltCurve_O75643_SNRNP200.pdf")</f>
        <v>Melting_Curves/meltCurve_O75643_SNRNP200.pdf</v>
      </c>
    </row>
    <row r="1507" spans="1:28" x14ac:dyDescent="0.25">
      <c r="A1507" t="s">
        <v>1511</v>
      </c>
      <c r="B1507">
        <v>0.99299721793515405</v>
      </c>
      <c r="C1507">
        <v>0.94807886840906097</v>
      </c>
      <c r="D1507">
        <v>0.94766594996460396</v>
      </c>
      <c r="E1507">
        <v>0.99030038448767599</v>
      </c>
      <c r="F1507">
        <v>0.79281497306346804</v>
      </c>
      <c r="G1507">
        <v>0.49705279588637202</v>
      </c>
      <c r="H1507">
        <v>0.35937899538777002</v>
      </c>
      <c r="I1507">
        <v>0.28115371924187499</v>
      </c>
      <c r="J1507">
        <v>0.25469905409668098</v>
      </c>
      <c r="K1507">
        <v>0.114960921957386</v>
      </c>
      <c r="L1507">
        <v>948.53611968596999</v>
      </c>
      <c r="M1507">
        <v>17.848525122997899</v>
      </c>
      <c r="N1507">
        <v>54.403434170417697</v>
      </c>
      <c r="O1507">
        <v>52.490027051321903</v>
      </c>
      <c r="P1507">
        <v>-7.0623453138462897E-2</v>
      </c>
      <c r="Q1507">
        <v>0.16926740796254999</v>
      </c>
      <c r="R1507">
        <v>0.98355781021880795</v>
      </c>
      <c r="S1507" t="s">
        <v>7058</v>
      </c>
      <c r="T1507" t="s">
        <v>11100</v>
      </c>
      <c r="U1507" t="s">
        <v>11100</v>
      </c>
      <c r="V1507" t="s">
        <v>11100</v>
      </c>
      <c r="W1507" t="s">
        <v>12573</v>
      </c>
      <c r="X1507">
        <v>3</v>
      </c>
      <c r="Y1507" t="s">
        <v>18065</v>
      </c>
      <c r="Z1507" t="s">
        <v>23512</v>
      </c>
      <c r="AA1507">
        <v>0.62842531452499117</v>
      </c>
      <c r="AB1507" t="str">
        <f>HYPERLINK("Melting_Curves/meltCurve_O75648_TRMU.pdf", "Melting_Curves/meltCurve_O75648_TRMU.pdf")</f>
        <v>Melting_Curves/meltCurve_O75648_TRMU.pdf</v>
      </c>
    </row>
    <row r="1508" spans="1:28" x14ac:dyDescent="0.25">
      <c r="A1508" t="s">
        <v>1512</v>
      </c>
      <c r="B1508">
        <v>0.99299721793515405</v>
      </c>
      <c r="C1508">
        <v>1.0111617046376999</v>
      </c>
      <c r="D1508">
        <v>0.93922922282657295</v>
      </c>
      <c r="E1508">
        <v>0.919601051299197</v>
      </c>
      <c r="F1508">
        <v>0.817916342285257</v>
      </c>
      <c r="G1508">
        <v>0.46647293806107198</v>
      </c>
      <c r="H1508">
        <v>0.23175982137910101</v>
      </c>
      <c r="I1508">
        <v>0.16346723610596001</v>
      </c>
      <c r="J1508">
        <v>0.13498311170229299</v>
      </c>
      <c r="K1508">
        <v>9.8776117883888001E-2</v>
      </c>
      <c r="L1508">
        <v>1152.5534120357499</v>
      </c>
      <c r="M1508">
        <v>21.767854008274998</v>
      </c>
      <c r="N1508">
        <v>53.514826070061702</v>
      </c>
      <c r="O1508">
        <v>52.5067214977974</v>
      </c>
      <c r="P1508">
        <v>-9.2966186818418894E-2</v>
      </c>
      <c r="Q1508">
        <v>0.103037721430045</v>
      </c>
      <c r="R1508">
        <v>0.99573903035803302</v>
      </c>
      <c r="S1508" t="s">
        <v>7059</v>
      </c>
      <c r="T1508" t="s">
        <v>11100</v>
      </c>
      <c r="U1508" t="s">
        <v>11100</v>
      </c>
      <c r="V1508" t="s">
        <v>11100</v>
      </c>
      <c r="W1508" t="s">
        <v>12574</v>
      </c>
      <c r="X1508">
        <v>10</v>
      </c>
      <c r="Y1508" t="s">
        <v>18066</v>
      </c>
      <c r="Z1508" t="s">
        <v>23513</v>
      </c>
      <c r="AA1508">
        <v>0.58980799276269524</v>
      </c>
      <c r="AB1508" t="str">
        <f>HYPERLINK("Melting_Curves/meltCurve_O75663_TIPRL.pdf", "Melting_Curves/meltCurve_O75663_TIPRL.pdf")</f>
        <v>Melting_Curves/meltCurve_O75663_TIPRL.pdf</v>
      </c>
    </row>
    <row r="1509" spans="1:28" x14ac:dyDescent="0.25">
      <c r="A1509" t="s">
        <v>1513</v>
      </c>
      <c r="B1509">
        <v>0.99299721793515405</v>
      </c>
      <c r="C1509">
        <v>1.0219322047786501</v>
      </c>
      <c r="D1509">
        <v>0.99697105543271503</v>
      </c>
      <c r="E1509">
        <v>0.96542177061226497</v>
      </c>
      <c r="F1509">
        <v>0.80626449620344998</v>
      </c>
      <c r="G1509">
        <v>0.54467791956595502</v>
      </c>
      <c r="H1509">
        <v>0.239050916795739</v>
      </c>
      <c r="I1509">
        <v>0.207702215716912</v>
      </c>
      <c r="J1509">
        <v>0.14409106749342601</v>
      </c>
      <c r="K1509">
        <v>0.13809788626057001</v>
      </c>
      <c r="L1509">
        <v>1180.8743847104499</v>
      </c>
      <c r="M1509">
        <v>22.164036089903799</v>
      </c>
      <c r="N1509">
        <v>54.010979767412401</v>
      </c>
      <c r="O1509">
        <v>52.850820728972401</v>
      </c>
      <c r="P1509">
        <v>-9.12408100421956E-2</v>
      </c>
      <c r="Q1509">
        <v>0.12975287516086101</v>
      </c>
      <c r="R1509">
        <v>0.99725166709259505</v>
      </c>
      <c r="S1509" t="s">
        <v>7060</v>
      </c>
      <c r="T1509" t="s">
        <v>11100</v>
      </c>
      <c r="U1509" t="s">
        <v>11100</v>
      </c>
      <c r="V1509" t="s">
        <v>11100</v>
      </c>
      <c r="W1509" t="s">
        <v>12575</v>
      </c>
      <c r="X1509">
        <v>13</v>
      </c>
      <c r="Y1509" t="s">
        <v>18067</v>
      </c>
      <c r="Z1509" t="s">
        <v>23514</v>
      </c>
      <c r="AA1509">
        <v>0.61130279350154781</v>
      </c>
      <c r="AB1509" t="str">
        <f>HYPERLINK("Melting_Curves/meltCurve_O75688_PPM1B.pdf", "Melting_Curves/meltCurve_O75688_PPM1B.pdf")</f>
        <v>Melting_Curves/meltCurve_O75688_PPM1B.pdf</v>
      </c>
    </row>
    <row r="1510" spans="1:28" x14ac:dyDescent="0.25">
      <c r="A1510" t="s">
        <v>1514</v>
      </c>
      <c r="B1510">
        <v>0.99299721793515405</v>
      </c>
      <c r="C1510">
        <v>0.94761989141090297</v>
      </c>
      <c r="D1510">
        <v>0.84629092491058799</v>
      </c>
      <c r="E1510">
        <v>0.90972773139927798</v>
      </c>
      <c r="F1510">
        <v>0.97322347733472903</v>
      </c>
      <c r="G1510">
        <v>0.68247388735405301</v>
      </c>
      <c r="H1510">
        <v>0.35054555868945197</v>
      </c>
      <c r="I1510">
        <v>0.39899637027009599</v>
      </c>
      <c r="J1510">
        <v>0.17016948102952001</v>
      </c>
      <c r="K1510">
        <v>0.18313687708233001</v>
      </c>
      <c r="L1510">
        <v>1230.1329383299701</v>
      </c>
      <c r="M1510">
        <v>22.414237653252901</v>
      </c>
      <c r="N1510">
        <v>56.103264169365801</v>
      </c>
      <c r="O1510">
        <v>54.450518083459698</v>
      </c>
      <c r="P1510">
        <v>-8.3043038607161598E-2</v>
      </c>
      <c r="Q1510">
        <v>0.19307668359677499</v>
      </c>
      <c r="R1510">
        <v>0.94168763695403102</v>
      </c>
      <c r="S1510" t="s">
        <v>7061</v>
      </c>
      <c r="T1510" t="s">
        <v>11100</v>
      </c>
      <c r="U1510" t="s">
        <v>11100</v>
      </c>
      <c r="V1510" t="s">
        <v>11100</v>
      </c>
      <c r="W1510" t="s">
        <v>12576</v>
      </c>
      <c r="X1510">
        <v>1</v>
      </c>
      <c r="Y1510" t="s">
        <v>18068</v>
      </c>
      <c r="Z1510" t="s">
        <v>23515</v>
      </c>
      <c r="AA1510">
        <v>0.68208929025141196</v>
      </c>
      <c r="AB1510" t="str">
        <f>HYPERLINK("Melting_Curves/meltCurve_O75689_ADAP1.pdf", "Melting_Curves/meltCurve_O75689_ADAP1.pdf")</f>
        <v>Melting_Curves/meltCurve_O75689_ADAP1.pdf</v>
      </c>
    </row>
    <row r="1511" spans="1:28" x14ac:dyDescent="0.25">
      <c r="A1511" t="s">
        <v>1515</v>
      </c>
      <c r="B1511">
        <v>0.99299721793515405</v>
      </c>
      <c r="C1511">
        <v>0.963395667687719</v>
      </c>
      <c r="D1511">
        <v>0.95190644861485596</v>
      </c>
      <c r="E1511">
        <v>0.81611715363828696</v>
      </c>
      <c r="F1511">
        <v>0.80863705035379196</v>
      </c>
      <c r="G1511">
        <v>0.53456876518457097</v>
      </c>
      <c r="H1511">
        <v>0.205035863818265</v>
      </c>
      <c r="I1511">
        <v>0.143654061656838</v>
      </c>
      <c r="J1511">
        <v>0.106473986864626</v>
      </c>
      <c r="K1511">
        <v>7.8802105891129806E-2</v>
      </c>
      <c r="L1511">
        <v>852.309721108693</v>
      </c>
      <c r="M1511">
        <v>15.909738155408601</v>
      </c>
      <c r="N1511">
        <v>53.740342226892601</v>
      </c>
      <c r="O1511">
        <v>52.746638636338801</v>
      </c>
      <c r="P1511">
        <v>-7.3574815993725895E-2</v>
      </c>
      <c r="Q1511">
        <v>2.4367898451454501E-2</v>
      </c>
      <c r="R1511">
        <v>0.98356632134233801</v>
      </c>
      <c r="S1511" t="s">
        <v>7062</v>
      </c>
      <c r="T1511" t="s">
        <v>11100</v>
      </c>
      <c r="U1511" t="s">
        <v>11100</v>
      </c>
      <c r="V1511" t="s">
        <v>11100</v>
      </c>
      <c r="W1511" t="s">
        <v>12577</v>
      </c>
      <c r="X1511">
        <v>4</v>
      </c>
      <c r="Y1511" t="s">
        <v>18069</v>
      </c>
      <c r="Z1511" t="s">
        <v>23516</v>
      </c>
      <c r="AA1511">
        <v>0.57898926058425459</v>
      </c>
      <c r="AB1511" t="str">
        <f>HYPERLINK("Melting_Curves/meltCurve_O75695_RP2.pdf", "Melting_Curves/meltCurve_O75695_RP2.pdf")</f>
        <v>Melting_Curves/meltCurve_O75695_RP2.pdf</v>
      </c>
    </row>
    <row r="1512" spans="1:28" x14ac:dyDescent="0.25">
      <c r="A1512" t="s">
        <v>1516</v>
      </c>
      <c r="B1512">
        <v>0.99299721793515405</v>
      </c>
      <c r="C1512">
        <v>0.91667520877383901</v>
      </c>
      <c r="D1512">
        <v>0.862961188737013</v>
      </c>
      <c r="E1512">
        <v>0.81138504244186505</v>
      </c>
      <c r="F1512">
        <v>0.672303511731702</v>
      </c>
      <c r="G1512">
        <v>0.39390178187913999</v>
      </c>
      <c r="H1512">
        <v>0.288151107438331</v>
      </c>
      <c r="I1512">
        <v>0.24365147807756499</v>
      </c>
      <c r="J1512">
        <v>0.21940083328132001</v>
      </c>
      <c r="K1512">
        <v>0.17563027031976899</v>
      </c>
      <c r="L1512">
        <v>589.22114557936504</v>
      </c>
      <c r="M1512">
        <v>11.501293985304899</v>
      </c>
      <c r="N1512">
        <v>52.461588905146598</v>
      </c>
      <c r="O1512">
        <v>49.755496736942099</v>
      </c>
      <c r="P1512">
        <v>-5.0970465485966503E-2</v>
      </c>
      <c r="Q1512">
        <v>0.118241634007095</v>
      </c>
      <c r="R1512">
        <v>0.98636584341086697</v>
      </c>
      <c r="S1512" t="s">
        <v>7063</v>
      </c>
      <c r="T1512" t="s">
        <v>11100</v>
      </c>
      <c r="U1512" t="s">
        <v>11100</v>
      </c>
      <c r="V1512" t="s">
        <v>11100</v>
      </c>
      <c r="W1512" t="s">
        <v>12578</v>
      </c>
      <c r="X1512">
        <v>11</v>
      </c>
      <c r="Y1512" t="s">
        <v>18070</v>
      </c>
      <c r="Z1512" t="s">
        <v>23517</v>
      </c>
      <c r="AA1512">
        <v>0.55992678321359801</v>
      </c>
      <c r="AB1512" t="str">
        <f>HYPERLINK("Melting_Curves/meltCurve_O75717_WDHD1.pdf", "Melting_Curves/meltCurve_O75717_WDHD1.pdf")</f>
        <v>Melting_Curves/meltCurve_O75717_WDHD1.pdf</v>
      </c>
    </row>
    <row r="1513" spans="1:28" x14ac:dyDescent="0.25">
      <c r="A1513" t="s">
        <v>1517</v>
      </c>
      <c r="B1513">
        <v>0.99299721793515405</v>
      </c>
      <c r="C1513">
        <v>1.0092652553649</v>
      </c>
      <c r="D1513">
        <v>1.0026656634509501</v>
      </c>
      <c r="E1513">
        <v>0.931180626964763</v>
      </c>
      <c r="F1513">
        <v>0.74944196872451097</v>
      </c>
      <c r="G1513">
        <v>0.69489556393538598</v>
      </c>
      <c r="H1513">
        <v>0.71038698100708297</v>
      </c>
      <c r="I1513">
        <v>0.77908629093724002</v>
      </c>
      <c r="J1513">
        <v>0.87168361507206504</v>
      </c>
      <c r="K1513">
        <v>0.63914185262650303</v>
      </c>
      <c r="L1513">
        <v>2917.8167038769602</v>
      </c>
      <c r="M1513">
        <v>61.5853087957478</v>
      </c>
      <c r="O1513">
        <v>47.3285806709209</v>
      </c>
      <c r="P1513">
        <v>-8.47722637899814E-2</v>
      </c>
      <c r="Q1513">
        <v>0.73940870280387705</v>
      </c>
      <c r="R1513">
        <v>0.81950027053263397</v>
      </c>
      <c r="S1513" t="s">
        <v>7064</v>
      </c>
      <c r="T1513" t="s">
        <v>11100</v>
      </c>
      <c r="U1513" t="s">
        <v>11100</v>
      </c>
      <c r="V1513" t="s">
        <v>11100</v>
      </c>
      <c r="W1513" t="s">
        <v>12579</v>
      </c>
      <c r="X1513">
        <v>15</v>
      </c>
      <c r="Y1513" t="s">
        <v>18071</v>
      </c>
      <c r="Z1513" t="s">
        <v>23518</v>
      </c>
      <c r="AA1513">
        <v>0.82991815146409786</v>
      </c>
      <c r="AB1513" t="str">
        <f>HYPERLINK("Melting_Curves/meltCurve_O75746_SLC25A12.pdf", "Melting_Curves/meltCurve_O75746_SLC25A12.pdf")</f>
        <v>Melting_Curves/meltCurve_O75746_SLC25A12.pdf</v>
      </c>
    </row>
    <row r="1514" spans="1:28" x14ac:dyDescent="0.25">
      <c r="A1514" t="s">
        <v>1518</v>
      </c>
      <c r="B1514">
        <v>0.99299721793515405</v>
      </c>
      <c r="C1514">
        <v>0.900235791236498</v>
      </c>
      <c r="D1514">
        <v>0.99090920654777404</v>
      </c>
      <c r="E1514">
        <v>0.85813808604488795</v>
      </c>
      <c r="F1514">
        <v>0.74668396640201296</v>
      </c>
      <c r="G1514">
        <v>0.476061347836222</v>
      </c>
      <c r="H1514">
        <v>0.50640054842410198</v>
      </c>
      <c r="I1514">
        <v>0.57902954051209199</v>
      </c>
      <c r="J1514">
        <v>0.65680178988596205</v>
      </c>
      <c r="K1514">
        <v>0.54892004207807099</v>
      </c>
      <c r="L1514">
        <v>1309.0776746256099</v>
      </c>
      <c r="M1514">
        <v>26.989656098290101</v>
      </c>
      <c r="O1514">
        <v>48.239036451541701</v>
      </c>
      <c r="P1514">
        <v>-6.2261609792746003E-2</v>
      </c>
      <c r="Q1514">
        <v>0.55488000748978905</v>
      </c>
      <c r="R1514">
        <v>0.88733566061493896</v>
      </c>
      <c r="S1514" t="s">
        <v>7065</v>
      </c>
      <c r="T1514" t="s">
        <v>11100</v>
      </c>
      <c r="U1514" t="s">
        <v>11100</v>
      </c>
      <c r="V1514" t="s">
        <v>11100</v>
      </c>
      <c r="W1514" t="s">
        <v>12580</v>
      </c>
      <c r="X1514">
        <v>6</v>
      </c>
      <c r="Y1514" t="s">
        <v>18072</v>
      </c>
      <c r="Z1514" t="s">
        <v>23519</v>
      </c>
      <c r="AA1514">
        <v>0.72883785183353988</v>
      </c>
      <c r="AB1514" t="str">
        <f>HYPERLINK("Melting_Curves/meltCurve_O75781_PALM.pdf", "Melting_Curves/meltCurve_O75781_PALM.pdf")</f>
        <v>Melting_Curves/meltCurve_O75781_PALM.pdf</v>
      </c>
    </row>
    <row r="1515" spans="1:28" x14ac:dyDescent="0.25">
      <c r="A1515" t="s">
        <v>1519</v>
      </c>
      <c r="B1515">
        <v>0.99299721793515405</v>
      </c>
      <c r="C1515">
        <v>1.00978389079037</v>
      </c>
      <c r="D1515">
        <v>1.0275756212423901</v>
      </c>
      <c r="E1515">
        <v>0.88263830191491999</v>
      </c>
      <c r="F1515">
        <v>0.66512308262365605</v>
      </c>
      <c r="G1515">
        <v>0.43814044142818298</v>
      </c>
      <c r="H1515">
        <v>0.243107976055875</v>
      </c>
      <c r="I1515">
        <v>0.17649768765597601</v>
      </c>
      <c r="J1515">
        <v>0.16240102829623601</v>
      </c>
      <c r="K1515">
        <v>0.13940312591810899</v>
      </c>
      <c r="L1515">
        <v>930.185094367999</v>
      </c>
      <c r="M1515">
        <v>17.988458183138299</v>
      </c>
      <c r="N1515">
        <v>52.576029178327701</v>
      </c>
      <c r="O1515">
        <v>51.083756214551499</v>
      </c>
      <c r="P1515">
        <v>-7.6751430061704207E-2</v>
      </c>
      <c r="Q1515">
        <v>0.12820602585619201</v>
      </c>
      <c r="R1515">
        <v>0.99722678768425199</v>
      </c>
      <c r="S1515" t="s">
        <v>7066</v>
      </c>
      <c r="T1515" t="s">
        <v>11100</v>
      </c>
      <c r="U1515" t="s">
        <v>11100</v>
      </c>
      <c r="V1515" t="s">
        <v>11100</v>
      </c>
      <c r="W1515" t="s">
        <v>12581</v>
      </c>
      <c r="X1515">
        <v>11</v>
      </c>
      <c r="Y1515" t="s">
        <v>18073</v>
      </c>
      <c r="Z1515" t="s">
        <v>23520</v>
      </c>
      <c r="AA1515">
        <v>0.56898664747335703</v>
      </c>
      <c r="AB1515" t="str">
        <f>HYPERLINK("Melting_Curves/meltCurve_O75792_RNASEH2A.pdf", "Melting_Curves/meltCurve_O75792_RNASEH2A.pdf")</f>
        <v>Melting_Curves/meltCurve_O75792_RNASEH2A.pdf</v>
      </c>
    </row>
    <row r="1516" spans="1:28" x14ac:dyDescent="0.25">
      <c r="A1516" t="s">
        <v>1520</v>
      </c>
      <c r="B1516">
        <v>0.99299721793515405</v>
      </c>
      <c r="C1516">
        <v>0.960041938634972</v>
      </c>
      <c r="D1516">
        <v>1.0713374605295001</v>
      </c>
      <c r="E1516">
        <v>0.69887610845697001</v>
      </c>
      <c r="F1516">
        <v>0.55271715543546196</v>
      </c>
      <c r="G1516">
        <v>0.27494948429865101</v>
      </c>
      <c r="H1516">
        <v>0.17902158608905799</v>
      </c>
      <c r="I1516">
        <v>0.11215210298084</v>
      </c>
      <c r="J1516">
        <v>9.2401552018657601E-2</v>
      </c>
      <c r="K1516">
        <v>7.6527910646839503E-2</v>
      </c>
      <c r="L1516">
        <v>837.63462715701598</v>
      </c>
      <c r="M1516">
        <v>16.7710462485677</v>
      </c>
      <c r="N1516">
        <v>50.407779308258498</v>
      </c>
      <c r="O1516">
        <v>49.251382826989797</v>
      </c>
      <c r="P1516">
        <v>-7.9064282429449795E-2</v>
      </c>
      <c r="Q1516">
        <v>7.1311028723965497E-2</v>
      </c>
      <c r="R1516">
        <v>0.98187293226698102</v>
      </c>
      <c r="S1516" t="s">
        <v>7067</v>
      </c>
      <c r="T1516" t="s">
        <v>11100</v>
      </c>
      <c r="U1516" t="s">
        <v>11100</v>
      </c>
      <c r="V1516" t="s">
        <v>11100</v>
      </c>
      <c r="W1516" t="s">
        <v>12582</v>
      </c>
      <c r="X1516">
        <v>7</v>
      </c>
      <c r="Y1516" t="s">
        <v>18074</v>
      </c>
      <c r="Z1516" t="s">
        <v>23521</v>
      </c>
      <c r="AA1516">
        <v>0.48846510681693378</v>
      </c>
      <c r="AB1516" t="str">
        <f>HYPERLINK("Melting_Curves/meltCurve_O75794_CDC123.pdf", "Melting_Curves/meltCurve_O75794_CDC123.pdf")</f>
        <v>Melting_Curves/meltCurve_O75794_CDC123.pdf</v>
      </c>
    </row>
    <row r="1517" spans="1:28" x14ac:dyDescent="0.25">
      <c r="A1517" t="s">
        <v>1521</v>
      </c>
      <c r="B1517">
        <v>0.99299721793515405</v>
      </c>
      <c r="C1517">
        <v>0.83461619021185796</v>
      </c>
      <c r="D1517">
        <v>1.0092540998544</v>
      </c>
      <c r="E1517">
        <v>0.82861855064832302</v>
      </c>
      <c r="F1517">
        <v>0.76744646800393401</v>
      </c>
      <c r="G1517">
        <v>0.29054185481488398</v>
      </c>
      <c r="H1517">
        <v>0.17869543543790001</v>
      </c>
      <c r="I1517">
        <v>0.19094012595441601</v>
      </c>
      <c r="J1517">
        <v>0.22192109329442</v>
      </c>
      <c r="K1517">
        <v>0.36525836062161499</v>
      </c>
      <c r="L1517">
        <v>2122.0896705554901</v>
      </c>
      <c r="M1517">
        <v>41.594756915026899</v>
      </c>
      <c r="N1517">
        <v>51.801958624811697</v>
      </c>
      <c r="O1517">
        <v>50.900698155637002</v>
      </c>
      <c r="P1517">
        <v>-0.156586899208429</v>
      </c>
      <c r="Q1517">
        <v>0.23352178229998399</v>
      </c>
      <c r="R1517">
        <v>0.929535929181868</v>
      </c>
      <c r="S1517" t="s">
        <v>7068</v>
      </c>
      <c r="T1517" t="s">
        <v>11100</v>
      </c>
      <c r="U1517" t="s">
        <v>11100</v>
      </c>
      <c r="V1517" t="s">
        <v>11100</v>
      </c>
      <c r="W1517" t="s">
        <v>12583</v>
      </c>
      <c r="X1517">
        <v>1</v>
      </c>
      <c r="Y1517" t="s">
        <v>18075</v>
      </c>
      <c r="Z1517" t="s">
        <v>23522</v>
      </c>
      <c r="AA1517">
        <v>0.59417256020176168</v>
      </c>
      <c r="AB1517" t="str">
        <f>HYPERLINK("Melting_Curves/meltCurve_O75808_SOLH.pdf", "Melting_Curves/meltCurve_O75808_SOLH.pdf")</f>
        <v>Melting_Curves/meltCurve_O75808_SOLH.pdf</v>
      </c>
    </row>
    <row r="1518" spans="1:28" x14ac:dyDescent="0.25">
      <c r="A1518" t="s">
        <v>1522</v>
      </c>
      <c r="B1518">
        <v>0.99299721793515405</v>
      </c>
      <c r="C1518">
        <v>0.93233510871826797</v>
      </c>
      <c r="D1518">
        <v>0.99305181815405597</v>
      </c>
      <c r="E1518">
        <v>0.70476591822629597</v>
      </c>
      <c r="F1518">
        <v>0.80704832401369497</v>
      </c>
      <c r="G1518">
        <v>0.64664369960352697</v>
      </c>
      <c r="H1518">
        <v>1.2954100267297</v>
      </c>
      <c r="I1518">
        <v>1.24134791182155</v>
      </c>
      <c r="J1518">
        <v>0.99777331993002605</v>
      </c>
      <c r="K1518">
        <v>0.53574798981498595</v>
      </c>
      <c r="L1518">
        <v>1109.2655154073</v>
      </c>
      <c r="M1518">
        <v>27.659746130379201</v>
      </c>
      <c r="O1518">
        <v>39.896100104215797</v>
      </c>
      <c r="P1518">
        <v>-1.7552425502781702E-2</v>
      </c>
      <c r="Q1518">
        <v>0.89873124947877703</v>
      </c>
      <c r="R1518">
        <v>1.5683790565738698E-2</v>
      </c>
      <c r="S1518" t="s">
        <v>7069</v>
      </c>
      <c r="T1518" t="s">
        <v>11100</v>
      </c>
      <c r="U1518" t="s">
        <v>11100</v>
      </c>
      <c r="V1518" t="s">
        <v>11100</v>
      </c>
      <c r="W1518" t="s">
        <v>12584</v>
      </c>
      <c r="X1518">
        <v>1</v>
      </c>
      <c r="Y1518" t="s">
        <v>18076</v>
      </c>
      <c r="Z1518" t="s">
        <v>23523</v>
      </c>
      <c r="AA1518">
        <v>0.91016805209475493</v>
      </c>
      <c r="AB1518" t="str">
        <f>HYPERLINK("Melting_Curves/meltCurve_O75818_2_RPP40.pdf", "Melting_Curves/meltCurve_O75818_2_RPP40.pdf")</f>
        <v>Melting_Curves/meltCurve_O75818_2_RPP40.pdf</v>
      </c>
    </row>
    <row r="1519" spans="1:28" x14ac:dyDescent="0.25">
      <c r="A1519" t="s">
        <v>1523</v>
      </c>
      <c r="B1519">
        <v>0.99299721793515405</v>
      </c>
      <c r="C1519">
        <v>0.96293217748642501</v>
      </c>
      <c r="D1519">
        <v>0.96928381637267402</v>
      </c>
      <c r="E1519">
        <v>0.87517690259079906</v>
      </c>
      <c r="F1519">
        <v>0.71814257741478205</v>
      </c>
      <c r="G1519">
        <v>0.673863734387395</v>
      </c>
      <c r="H1519">
        <v>0.44188592891025602</v>
      </c>
      <c r="I1519">
        <v>0.34312835754364601</v>
      </c>
      <c r="J1519">
        <v>0.24871727560148399</v>
      </c>
      <c r="K1519">
        <v>0.26154230067289802</v>
      </c>
      <c r="L1519">
        <v>557.29689798361403</v>
      </c>
      <c r="M1519">
        <v>10.0985076298709</v>
      </c>
      <c r="N1519">
        <v>56.461538842319598</v>
      </c>
      <c r="O1519">
        <v>53.153098649547402</v>
      </c>
      <c r="P1519">
        <v>-4.2673107807459601E-2</v>
      </c>
      <c r="Q1519">
        <v>0.101987471917399</v>
      </c>
      <c r="R1519">
        <v>0.98913496958735803</v>
      </c>
      <c r="S1519" t="s">
        <v>7070</v>
      </c>
      <c r="T1519" t="s">
        <v>11100</v>
      </c>
      <c r="U1519" t="s">
        <v>11100</v>
      </c>
      <c r="V1519" t="s">
        <v>11100</v>
      </c>
      <c r="W1519" t="s">
        <v>12585</v>
      </c>
      <c r="X1519">
        <v>9</v>
      </c>
      <c r="Y1519" t="s">
        <v>18077</v>
      </c>
      <c r="Z1519" t="s">
        <v>23524</v>
      </c>
      <c r="AA1519">
        <v>0.65648312371467843</v>
      </c>
      <c r="AB1519" t="str">
        <f>HYPERLINK("Melting_Curves/meltCurve_O75821_EIF3G.pdf", "Melting_Curves/meltCurve_O75821_EIF3G.pdf")</f>
        <v>Melting_Curves/meltCurve_O75821_EIF3G.pdf</v>
      </c>
    </row>
    <row r="1520" spans="1:28" x14ac:dyDescent="0.25">
      <c r="A1520" t="s">
        <v>1524</v>
      </c>
      <c r="B1520">
        <v>0.99299721793515405</v>
      </c>
      <c r="C1520">
        <v>1.0370961814867801</v>
      </c>
      <c r="D1520">
        <v>1.2137738747511</v>
      </c>
      <c r="E1520">
        <v>0.91648819392812597</v>
      </c>
      <c r="F1520">
        <v>0.89525390714946995</v>
      </c>
      <c r="G1520">
        <v>1.48678715393552</v>
      </c>
      <c r="H1520">
        <v>0.78471712255033499</v>
      </c>
      <c r="I1520">
        <v>0.48119180405960099</v>
      </c>
      <c r="J1520">
        <v>0.42070726374462297</v>
      </c>
      <c r="K1520">
        <v>0.41297263407713602</v>
      </c>
      <c r="L1520">
        <v>11707.928871243501</v>
      </c>
      <c r="M1520">
        <v>203.495135092525</v>
      </c>
      <c r="N1520">
        <v>58.131849200411999</v>
      </c>
      <c r="O1520">
        <v>57.5286388597901</v>
      </c>
      <c r="P1520">
        <v>-0.496733431984343</v>
      </c>
      <c r="Q1520">
        <v>0.43828832845904098</v>
      </c>
      <c r="R1520">
        <v>0.72619929974838504</v>
      </c>
      <c r="S1520" t="s">
        <v>7071</v>
      </c>
      <c r="T1520" t="s">
        <v>11100</v>
      </c>
      <c r="U1520" t="s">
        <v>11100</v>
      </c>
      <c r="V1520" t="s">
        <v>11100</v>
      </c>
      <c r="W1520" t="s">
        <v>12586</v>
      </c>
      <c r="X1520">
        <v>6</v>
      </c>
      <c r="Y1520" t="s">
        <v>18078</v>
      </c>
      <c r="Z1520" t="s">
        <v>23525</v>
      </c>
      <c r="AA1520">
        <v>0.82285051486973382</v>
      </c>
      <c r="AB1520" t="str">
        <f>HYPERLINK("Melting_Curves/meltCurve_O75822_EIF3J.pdf", "Melting_Curves/meltCurve_O75822_EIF3J.pdf")</f>
        <v>Melting_Curves/meltCurve_O75822_EIF3J.pdf</v>
      </c>
    </row>
    <row r="1521" spans="1:28" x14ac:dyDescent="0.25">
      <c r="A1521" t="s">
        <v>1525</v>
      </c>
      <c r="B1521">
        <v>0.99299721793515405</v>
      </c>
      <c r="C1521">
        <v>0.97930449544426301</v>
      </c>
      <c r="D1521">
        <v>0.90009827617185001</v>
      </c>
      <c r="E1521">
        <v>0.88727735445</v>
      </c>
      <c r="F1521">
        <v>0.73100136485244704</v>
      </c>
      <c r="G1521">
        <v>0.54140198065935496</v>
      </c>
      <c r="H1521">
        <v>0.302262420402511</v>
      </c>
      <c r="I1521">
        <v>0.17590791968883199</v>
      </c>
      <c r="J1521">
        <v>0.136113885170563</v>
      </c>
      <c r="K1521">
        <v>0.12777900165346001</v>
      </c>
      <c r="L1521">
        <v>701.25147077853296</v>
      </c>
      <c r="M1521">
        <v>13.059195399159499</v>
      </c>
      <c r="N1521">
        <v>53.995440989954098</v>
      </c>
      <c r="O1521">
        <v>52.485565491038301</v>
      </c>
      <c r="P1521">
        <v>-6.0054682789412603E-2</v>
      </c>
      <c r="Q1521">
        <v>3.4716339407680499E-2</v>
      </c>
      <c r="R1521">
        <v>0.99408473798743802</v>
      </c>
      <c r="S1521" t="s">
        <v>7072</v>
      </c>
      <c r="T1521" t="s">
        <v>11100</v>
      </c>
      <c r="U1521" t="s">
        <v>11100</v>
      </c>
      <c r="V1521" t="s">
        <v>11100</v>
      </c>
      <c r="W1521" t="s">
        <v>12587</v>
      </c>
      <c r="X1521">
        <v>11</v>
      </c>
      <c r="Y1521" t="s">
        <v>18079</v>
      </c>
      <c r="Z1521" t="s">
        <v>23526</v>
      </c>
      <c r="AA1521">
        <v>0.58966598546808124</v>
      </c>
      <c r="AB1521" t="str">
        <f>HYPERLINK("Melting_Curves/meltCurve_O75828_CBR3.pdf", "Melting_Curves/meltCurve_O75828_CBR3.pdf")</f>
        <v>Melting_Curves/meltCurve_O75828_CBR3.pdf</v>
      </c>
    </row>
    <row r="1522" spans="1:28" x14ac:dyDescent="0.25">
      <c r="A1522" t="s">
        <v>1526</v>
      </c>
      <c r="B1522">
        <v>0.99299721793515405</v>
      </c>
      <c r="C1522">
        <v>0.87257414733480398</v>
      </c>
      <c r="D1522">
        <v>1.00449730957484</v>
      </c>
      <c r="E1522">
        <v>0.76596417156235397</v>
      </c>
      <c r="F1522">
        <v>0.74009256347589603</v>
      </c>
      <c r="G1522">
        <v>0.340783491907174</v>
      </c>
      <c r="H1522">
        <v>0.25140159439521897</v>
      </c>
      <c r="I1522">
        <v>0.22241451190776701</v>
      </c>
      <c r="J1522">
        <v>0.26384283813827097</v>
      </c>
      <c r="K1522">
        <v>0.15062245442279301</v>
      </c>
      <c r="L1522">
        <v>843.96799604114904</v>
      </c>
      <c r="M1522">
        <v>16.590916504337201</v>
      </c>
      <c r="N1522">
        <v>52.166105875296402</v>
      </c>
      <c r="O1522">
        <v>50.147475065935097</v>
      </c>
      <c r="P1522">
        <v>-6.8738551012592006E-2</v>
      </c>
      <c r="Q1522">
        <v>0.168983695479586</v>
      </c>
      <c r="R1522">
        <v>0.95665332234846701</v>
      </c>
      <c r="S1522" t="s">
        <v>7073</v>
      </c>
      <c r="T1522" t="s">
        <v>11100</v>
      </c>
      <c r="U1522" t="s">
        <v>11100</v>
      </c>
      <c r="V1522" t="s">
        <v>11100</v>
      </c>
      <c r="W1522" t="s">
        <v>12588</v>
      </c>
      <c r="X1522">
        <v>2</v>
      </c>
      <c r="Y1522" t="s">
        <v>18080</v>
      </c>
      <c r="Z1522" t="s">
        <v>23527</v>
      </c>
      <c r="AA1522">
        <v>0.56778584301782431</v>
      </c>
      <c r="AB1522" t="str">
        <f>HYPERLINK("Melting_Curves/meltCurve_O75832_PSMD10.pdf", "Melting_Curves/meltCurve_O75832_PSMD10.pdf")</f>
        <v>Melting_Curves/meltCurve_O75832_PSMD10.pdf</v>
      </c>
    </row>
    <row r="1523" spans="1:28" x14ac:dyDescent="0.25">
      <c r="A1523" t="s">
        <v>1527</v>
      </c>
      <c r="B1523">
        <v>0.99299721793515405</v>
      </c>
      <c r="C1523">
        <v>1.02971930765527</v>
      </c>
      <c r="D1523">
        <v>0.91669975957782102</v>
      </c>
      <c r="E1523">
        <v>0.83790721340848995</v>
      </c>
      <c r="F1523">
        <v>0.64622638075110606</v>
      </c>
      <c r="G1523">
        <v>0.55085199666180595</v>
      </c>
      <c r="H1523">
        <v>0.61635460954096999</v>
      </c>
      <c r="I1523">
        <v>0.64000638417147104</v>
      </c>
      <c r="J1523">
        <v>0.596386480534291</v>
      </c>
      <c r="K1523">
        <v>0.23016718137351999</v>
      </c>
      <c r="L1523">
        <v>341.82978171650097</v>
      </c>
      <c r="M1523">
        <v>6.03662172679363</v>
      </c>
      <c r="N1523">
        <v>61.370041986656403</v>
      </c>
      <c r="O1523">
        <v>51.351621155246299</v>
      </c>
      <c r="P1523">
        <v>-2.3984981293289898E-2</v>
      </c>
      <c r="Q1523">
        <v>0.18644785313960499</v>
      </c>
      <c r="R1523">
        <v>0.80356443903102404</v>
      </c>
      <c r="S1523" t="s">
        <v>7074</v>
      </c>
      <c r="T1523" t="s">
        <v>11100</v>
      </c>
      <c r="U1523" t="s">
        <v>11100</v>
      </c>
      <c r="V1523" t="s">
        <v>11100</v>
      </c>
      <c r="W1523" t="s">
        <v>12589</v>
      </c>
      <c r="X1523">
        <v>6</v>
      </c>
      <c r="Y1523" t="s">
        <v>18081</v>
      </c>
      <c r="Z1523" t="s">
        <v>23528</v>
      </c>
      <c r="AA1523">
        <v>0.69943795295780142</v>
      </c>
      <c r="AB1523" t="str">
        <f>HYPERLINK("Melting_Curves/meltCurve_O75844_ZMPSTE24.pdf", "Melting_Curves/meltCurve_O75844_ZMPSTE24.pdf")</f>
        <v>Melting_Curves/meltCurve_O75844_ZMPSTE24.pdf</v>
      </c>
    </row>
    <row r="1524" spans="1:28" x14ac:dyDescent="0.25">
      <c r="A1524" t="s">
        <v>1528</v>
      </c>
      <c r="B1524">
        <v>0.99299721793515405</v>
      </c>
      <c r="C1524">
        <v>0.98664511118521703</v>
      </c>
      <c r="D1524">
        <v>0.98045675225176498</v>
      </c>
      <c r="E1524">
        <v>0.83164105830748902</v>
      </c>
      <c r="F1524">
        <v>0.74097819120862296</v>
      </c>
      <c r="G1524">
        <v>0.625029829986819</v>
      </c>
      <c r="H1524">
        <v>0.51201502404312604</v>
      </c>
      <c r="I1524">
        <v>0.36078953140730402</v>
      </c>
      <c r="J1524">
        <v>0.14688540215651399</v>
      </c>
      <c r="K1524">
        <v>0.129491457191802</v>
      </c>
      <c r="L1524">
        <v>566.694886917443</v>
      </c>
      <c r="M1524">
        <v>10.075357565558299</v>
      </c>
      <c r="N1524">
        <v>56.245611820831897</v>
      </c>
      <c r="O1524">
        <v>54.164699791752398</v>
      </c>
      <c r="P1524">
        <v>-4.6525317171495502E-2</v>
      </c>
      <c r="Q1524">
        <v>0</v>
      </c>
      <c r="R1524">
        <v>0.98150214480773001</v>
      </c>
      <c r="S1524" t="s">
        <v>7075</v>
      </c>
      <c r="T1524" t="s">
        <v>11100</v>
      </c>
      <c r="U1524" t="s">
        <v>11100</v>
      </c>
      <c r="V1524" t="s">
        <v>11100</v>
      </c>
      <c r="W1524" t="s">
        <v>12590</v>
      </c>
      <c r="X1524">
        <v>19</v>
      </c>
      <c r="Y1524" t="s">
        <v>18082</v>
      </c>
      <c r="Z1524" t="s">
        <v>23529</v>
      </c>
      <c r="AA1524">
        <v>0.6461759363766576</v>
      </c>
      <c r="AB1524" t="str">
        <f>HYPERLINK("Melting_Curves/meltCurve_O75874_IDH1.pdf", "Melting_Curves/meltCurve_O75874_IDH1.pdf")</f>
        <v>Melting_Curves/meltCurve_O75874_IDH1.pdf</v>
      </c>
    </row>
    <row r="1525" spans="1:28" x14ac:dyDescent="0.25">
      <c r="A1525" t="s">
        <v>1529</v>
      </c>
      <c r="B1525">
        <v>0.99299721793515405</v>
      </c>
      <c r="C1525">
        <v>0.97167556918216602</v>
      </c>
      <c r="D1525">
        <v>0.92580915220756999</v>
      </c>
      <c r="E1525">
        <v>0.86618129692670298</v>
      </c>
      <c r="F1525">
        <v>0.69969368151597799</v>
      </c>
      <c r="G1525">
        <v>0.56776872595759398</v>
      </c>
      <c r="H1525">
        <v>0.38206020071486302</v>
      </c>
      <c r="I1525">
        <v>0.26011631500121302</v>
      </c>
      <c r="J1525">
        <v>0.211282151632433</v>
      </c>
      <c r="K1525">
        <v>0.192740944295621</v>
      </c>
      <c r="L1525">
        <v>583.21145570744795</v>
      </c>
      <c r="M1525">
        <v>10.828667154002099</v>
      </c>
      <c r="N1525">
        <v>54.706070820800697</v>
      </c>
      <c r="O1525">
        <v>52.118948802094202</v>
      </c>
      <c r="P1525">
        <v>-4.7946335028227802E-2</v>
      </c>
      <c r="Q1525">
        <v>7.7257857725632095E-2</v>
      </c>
      <c r="R1525">
        <v>0.99781062043611701</v>
      </c>
      <c r="S1525" t="s">
        <v>7076</v>
      </c>
      <c r="T1525" t="s">
        <v>11100</v>
      </c>
      <c r="U1525" t="s">
        <v>11100</v>
      </c>
      <c r="V1525" t="s">
        <v>11100</v>
      </c>
      <c r="W1525" t="s">
        <v>12591</v>
      </c>
      <c r="X1525">
        <v>3</v>
      </c>
      <c r="Y1525" t="s">
        <v>18083</v>
      </c>
      <c r="Z1525" t="s">
        <v>23530</v>
      </c>
      <c r="AA1525">
        <v>0.61290971570683406</v>
      </c>
      <c r="AB1525" t="str">
        <f>HYPERLINK("Melting_Curves/meltCurve_O75884_RBBP9.pdf", "Melting_Curves/meltCurve_O75884_RBBP9.pdf")</f>
        <v>Melting_Curves/meltCurve_O75884_RBBP9.pdf</v>
      </c>
    </row>
    <row r="1526" spans="1:28" x14ac:dyDescent="0.25">
      <c r="A1526" t="s">
        <v>1530</v>
      </c>
      <c r="B1526">
        <v>0.99299721793515405</v>
      </c>
      <c r="C1526">
        <v>1.1262600869617001</v>
      </c>
      <c r="D1526">
        <v>0.92261973250738605</v>
      </c>
      <c r="E1526">
        <v>0.94265273898663404</v>
      </c>
      <c r="F1526">
        <v>0.78845737526841098</v>
      </c>
      <c r="G1526">
        <v>0.42481529437638099</v>
      </c>
      <c r="H1526">
        <v>0.20450931019192201</v>
      </c>
      <c r="I1526">
        <v>0.17515321547544599</v>
      </c>
      <c r="J1526">
        <v>0.13633202771507899</v>
      </c>
      <c r="K1526">
        <v>0.101171148679601</v>
      </c>
      <c r="L1526">
        <v>1250.44548756412</v>
      </c>
      <c r="M1526">
        <v>23.8417165630893</v>
      </c>
      <c r="N1526">
        <v>53.044105923082</v>
      </c>
      <c r="O1526">
        <v>52.0829940319908</v>
      </c>
      <c r="P1526">
        <v>-0.10098966572227</v>
      </c>
      <c r="Q1526">
        <v>0.117553676350377</v>
      </c>
      <c r="R1526">
        <v>0.98463394726882403</v>
      </c>
      <c r="S1526" t="s">
        <v>7077</v>
      </c>
      <c r="T1526" t="s">
        <v>11100</v>
      </c>
      <c r="U1526" t="s">
        <v>11100</v>
      </c>
      <c r="V1526" t="s">
        <v>11100</v>
      </c>
      <c r="W1526" t="s">
        <v>12592</v>
      </c>
      <c r="X1526">
        <v>7</v>
      </c>
      <c r="Y1526" t="s">
        <v>18084</v>
      </c>
      <c r="Z1526" t="s">
        <v>23531</v>
      </c>
      <c r="AA1526">
        <v>0.58043878688438688</v>
      </c>
      <c r="AB1526" t="str">
        <f>HYPERLINK("Melting_Curves/meltCurve_O75886_STAM2.pdf", "Melting_Curves/meltCurve_O75886_STAM2.pdf")</f>
        <v>Melting_Curves/meltCurve_O75886_STAM2.pdf</v>
      </c>
    </row>
    <row r="1527" spans="1:28" x14ac:dyDescent="0.25">
      <c r="A1527" t="s">
        <v>1531</v>
      </c>
      <c r="B1527">
        <v>0.99299721793515405</v>
      </c>
      <c r="C1527">
        <v>0.85513604974546598</v>
      </c>
      <c r="D1527">
        <v>0.85681506478819902</v>
      </c>
      <c r="E1527">
        <v>0.88219444783335299</v>
      </c>
      <c r="F1527">
        <v>0.80825042757843502</v>
      </c>
      <c r="G1527">
        <v>0.64909139803973803</v>
      </c>
      <c r="H1527">
        <v>0.62018477935854499</v>
      </c>
      <c r="I1527">
        <v>0.68212210358026404</v>
      </c>
      <c r="J1527">
        <v>0.65660402597755496</v>
      </c>
      <c r="K1527">
        <v>0.43554032699884798</v>
      </c>
      <c r="L1527">
        <v>225.77202073585701</v>
      </c>
      <c r="M1527">
        <v>3.25352224216816</v>
      </c>
      <c r="O1527">
        <v>52.8786794250966</v>
      </c>
      <c r="P1527">
        <v>-1.57567045293363E-2</v>
      </c>
      <c r="Q1527">
        <v>0</v>
      </c>
      <c r="R1527">
        <v>0.83736810368370795</v>
      </c>
      <c r="S1527" t="s">
        <v>7078</v>
      </c>
      <c r="T1527" t="s">
        <v>11100</v>
      </c>
      <c r="U1527" t="s">
        <v>11100</v>
      </c>
      <c r="V1527" t="s">
        <v>11100</v>
      </c>
      <c r="W1527" t="s">
        <v>12593</v>
      </c>
      <c r="X1527">
        <v>8</v>
      </c>
      <c r="Y1527" t="s">
        <v>18085</v>
      </c>
      <c r="Z1527" t="s">
        <v>23532</v>
      </c>
      <c r="AA1527">
        <v>0.74506948850075394</v>
      </c>
      <c r="AB1527" t="str">
        <f>HYPERLINK("Melting_Curves/meltCurve_O75915_ARL6IP5.pdf", "Melting_Curves/meltCurve_O75915_ARL6IP5.pdf")</f>
        <v>Melting_Curves/meltCurve_O75915_ARL6IP5.pdf</v>
      </c>
    </row>
    <row r="1528" spans="1:28" x14ac:dyDescent="0.25">
      <c r="A1528" t="s">
        <v>1532</v>
      </c>
      <c r="B1528">
        <v>0.99299721793515405</v>
      </c>
      <c r="C1528">
        <v>0.91123100721911299</v>
      </c>
      <c r="D1528">
        <v>2.3961306804165501</v>
      </c>
      <c r="E1528">
        <v>1.1738006686785001</v>
      </c>
      <c r="F1528">
        <v>0.99596071477815795</v>
      </c>
      <c r="G1528">
        <v>1.29887106025773</v>
      </c>
      <c r="H1528">
        <v>0.258451527918718</v>
      </c>
      <c r="I1528">
        <v>0.323286082478148</v>
      </c>
      <c r="J1528">
        <v>0.42992994583178901</v>
      </c>
      <c r="K1528">
        <v>0.42674221820311298</v>
      </c>
      <c r="L1528">
        <v>5309.39369403005</v>
      </c>
      <c r="M1528">
        <v>95.120440768790999</v>
      </c>
      <c r="N1528">
        <v>56.548160588344302</v>
      </c>
      <c r="O1528">
        <v>55.792932031816299</v>
      </c>
      <c r="P1528">
        <v>-0.275469262331414</v>
      </c>
      <c r="Q1528">
        <v>0.35369363694144501</v>
      </c>
      <c r="R1528">
        <v>0.423447909094677</v>
      </c>
      <c r="S1528" t="s">
        <v>7079</v>
      </c>
      <c r="T1528" t="s">
        <v>11100</v>
      </c>
      <c r="U1528" t="s">
        <v>11100</v>
      </c>
      <c r="V1528" t="s">
        <v>11100</v>
      </c>
      <c r="W1528" t="s">
        <v>12594</v>
      </c>
      <c r="X1528">
        <v>1</v>
      </c>
      <c r="Y1528" t="s">
        <v>18086</v>
      </c>
      <c r="Z1528" t="s">
        <v>23533</v>
      </c>
      <c r="AA1528">
        <v>0.75952913317366311</v>
      </c>
      <c r="AB1528" t="str">
        <f>HYPERLINK("Melting_Curves/meltCurve_O75920_2_SERF1A.pdf", "Melting_Curves/meltCurve_O75920_2_SERF1A.pdf")</f>
        <v>Melting_Curves/meltCurve_O75920_2_SERF1A.pdf</v>
      </c>
    </row>
    <row r="1529" spans="1:28" x14ac:dyDescent="0.25">
      <c r="A1529" t="s">
        <v>1533</v>
      </c>
      <c r="B1529">
        <v>0.99299721793515405</v>
      </c>
      <c r="C1529">
        <v>1.11397303091136</v>
      </c>
      <c r="D1529">
        <v>0.917225100512715</v>
      </c>
      <c r="E1529">
        <v>0.99384776667396801</v>
      </c>
      <c r="F1529">
        <v>0.60803786092906598</v>
      </c>
      <c r="G1529">
        <v>0.31976541844700701</v>
      </c>
      <c r="H1529">
        <v>0.293080753998187</v>
      </c>
      <c r="I1529">
        <v>0.28720765640465801</v>
      </c>
      <c r="J1529">
        <v>0.20469784614188599</v>
      </c>
      <c r="K1529">
        <v>0.199392761744041</v>
      </c>
      <c r="L1529">
        <v>1828.7354953458</v>
      </c>
      <c r="M1529">
        <v>36.438144284582798</v>
      </c>
      <c r="N1529">
        <v>51.136360567749797</v>
      </c>
      <c r="O1529">
        <v>50.036952127119697</v>
      </c>
      <c r="P1529">
        <v>-0.137320403286597</v>
      </c>
      <c r="Q1529">
        <v>0.24572736447362001</v>
      </c>
      <c r="R1529">
        <v>0.97747377480201303</v>
      </c>
      <c r="S1529" t="s">
        <v>7080</v>
      </c>
      <c r="T1529" t="s">
        <v>11100</v>
      </c>
      <c r="U1529" t="s">
        <v>11100</v>
      </c>
      <c r="V1529" t="s">
        <v>11100</v>
      </c>
      <c r="W1529" t="s">
        <v>12595</v>
      </c>
      <c r="X1529">
        <v>1</v>
      </c>
      <c r="Y1529" t="s">
        <v>18087</v>
      </c>
      <c r="Z1529" t="s">
        <v>23534</v>
      </c>
      <c r="AA1529">
        <v>0.58044317519993516</v>
      </c>
      <c r="AB1529" t="str">
        <f>HYPERLINK("Melting_Curves/meltCurve_O75928_3_PIAS2.pdf", "Melting_Curves/meltCurve_O75928_3_PIAS2.pdf")</f>
        <v>Melting_Curves/meltCurve_O75928_3_PIAS2.pdf</v>
      </c>
    </row>
    <row r="1530" spans="1:28" x14ac:dyDescent="0.25">
      <c r="A1530" t="s">
        <v>1534</v>
      </c>
      <c r="B1530">
        <v>0.99299721793515405</v>
      </c>
      <c r="C1530">
        <v>0.97930431395148099</v>
      </c>
      <c r="D1530">
        <v>1.1205263576049</v>
      </c>
      <c r="E1530">
        <v>0.86610516153543904</v>
      </c>
      <c r="F1530">
        <v>0.85998282438505802</v>
      </c>
      <c r="G1530">
        <v>0.95511538258328099</v>
      </c>
      <c r="H1530">
        <v>0.86052195846536805</v>
      </c>
      <c r="I1530">
        <v>0.67788700510778699</v>
      </c>
      <c r="J1530">
        <v>0.47186176417185899</v>
      </c>
      <c r="K1530">
        <v>0.53515532505394703</v>
      </c>
      <c r="S1530" t="s">
        <v>7081</v>
      </c>
      <c r="T1530" t="s">
        <v>11100</v>
      </c>
      <c r="U1530" t="s">
        <v>11101</v>
      </c>
      <c r="V1530" t="s">
        <v>11100</v>
      </c>
      <c r="W1530" t="s">
        <v>12596</v>
      </c>
      <c r="X1530">
        <v>6</v>
      </c>
      <c r="Y1530" t="s">
        <v>18088</v>
      </c>
      <c r="Z1530" t="s">
        <v>23535</v>
      </c>
      <c r="AB1530" t="str">
        <f>HYPERLINK("Melting_Curves/meltCurve_O75934_BCAS2.pdf", "Melting_Curves/meltCurve_O75934_BCAS2.pdf")</f>
        <v>Melting_Curves/meltCurve_O75934_BCAS2.pdf</v>
      </c>
    </row>
    <row r="1531" spans="1:28" x14ac:dyDescent="0.25">
      <c r="A1531" t="s">
        <v>1535</v>
      </c>
      <c r="B1531">
        <v>0.99299721793515405</v>
      </c>
      <c r="C1531">
        <v>1.1182236169500199</v>
      </c>
      <c r="D1531">
        <v>1.1621157403523701</v>
      </c>
      <c r="E1531">
        <v>0.954098449301786</v>
      </c>
      <c r="F1531">
        <v>0.766867559762069</v>
      </c>
      <c r="G1531">
        <v>0.44692281567675501</v>
      </c>
      <c r="H1531">
        <v>0.23126751284511801</v>
      </c>
      <c r="I1531">
        <v>0.18966261941581899</v>
      </c>
      <c r="J1531">
        <v>0.17018659599435201</v>
      </c>
      <c r="K1531">
        <v>0.15094612443998301</v>
      </c>
      <c r="L1531">
        <v>1306.5717200461299</v>
      </c>
      <c r="M1531">
        <v>24.991771890559001</v>
      </c>
      <c r="N1531">
        <v>53.084453535197198</v>
      </c>
      <c r="O1531">
        <v>51.948792905808602</v>
      </c>
      <c r="P1531">
        <v>-0.101315054110322</v>
      </c>
      <c r="Q1531">
        <v>0.15762292871877301</v>
      </c>
      <c r="R1531">
        <v>0.97364650670404496</v>
      </c>
      <c r="S1531" t="s">
        <v>7082</v>
      </c>
      <c r="T1531" t="s">
        <v>11100</v>
      </c>
      <c r="U1531" t="s">
        <v>11100</v>
      </c>
      <c r="V1531" t="s">
        <v>11100</v>
      </c>
      <c r="W1531" t="s">
        <v>12597</v>
      </c>
      <c r="X1531">
        <v>20</v>
      </c>
      <c r="Y1531" t="s">
        <v>18089</v>
      </c>
      <c r="Z1531" t="s">
        <v>23536</v>
      </c>
      <c r="AA1531">
        <v>0.59414351018050993</v>
      </c>
      <c r="AB1531" t="str">
        <f>HYPERLINK("Melting_Curves/meltCurve_O75937_DNAJC8.pdf", "Melting_Curves/meltCurve_O75937_DNAJC8.pdf")</f>
        <v>Melting_Curves/meltCurve_O75937_DNAJC8.pdf</v>
      </c>
    </row>
    <row r="1532" spans="1:28" x14ac:dyDescent="0.25">
      <c r="A1532" t="s">
        <v>1536</v>
      </c>
      <c r="B1532">
        <v>0.99299721793515405</v>
      </c>
      <c r="C1532">
        <v>1.0627356504652099</v>
      </c>
      <c r="D1532">
        <v>1.0010541549862799</v>
      </c>
      <c r="E1532">
        <v>0.93196504856125795</v>
      </c>
      <c r="F1532">
        <v>0.72151911753374998</v>
      </c>
      <c r="G1532">
        <v>0.476011592888267</v>
      </c>
      <c r="H1532">
        <v>0.77218150392183704</v>
      </c>
      <c r="I1532">
        <v>1.02847898465604</v>
      </c>
      <c r="J1532">
        <v>1.0797325666983</v>
      </c>
      <c r="K1532">
        <v>0.87617611179994903</v>
      </c>
      <c r="L1532">
        <v>11670.786938417001</v>
      </c>
      <c r="M1532">
        <v>250</v>
      </c>
      <c r="O1532">
        <v>46.680160496854697</v>
      </c>
      <c r="P1532">
        <v>-0.233392363057387</v>
      </c>
      <c r="Q1532">
        <v>0.82568331332296696</v>
      </c>
      <c r="R1532">
        <v>0.23251702889961801</v>
      </c>
      <c r="S1532" t="s">
        <v>7083</v>
      </c>
      <c r="T1532" t="s">
        <v>11100</v>
      </c>
      <c r="U1532" t="s">
        <v>11100</v>
      </c>
      <c r="V1532" t="s">
        <v>11100</v>
      </c>
      <c r="W1532" t="s">
        <v>12598</v>
      </c>
      <c r="X1532">
        <v>6</v>
      </c>
      <c r="Y1532" t="s">
        <v>18090</v>
      </c>
      <c r="Z1532" t="s">
        <v>23537</v>
      </c>
      <c r="AA1532">
        <v>0.88196206920907139</v>
      </c>
      <c r="AB1532" t="str">
        <f>HYPERLINK("Melting_Curves/meltCurve_O75940_SMNDC1.pdf", "Melting_Curves/meltCurve_O75940_SMNDC1.pdf")</f>
        <v>Melting_Curves/meltCurve_O75940_SMNDC1.pdf</v>
      </c>
    </row>
    <row r="1533" spans="1:28" x14ac:dyDescent="0.25">
      <c r="A1533" t="s">
        <v>1537</v>
      </c>
      <c r="B1533">
        <v>0.99299721793515405</v>
      </c>
      <c r="C1533">
        <v>0.92876630763444101</v>
      </c>
      <c r="D1533">
        <v>0.842432250220981</v>
      </c>
      <c r="E1533">
        <v>0.80156737700482705</v>
      </c>
      <c r="F1533">
        <v>0.70310809598830404</v>
      </c>
      <c r="G1533">
        <v>0.82594854723981204</v>
      </c>
      <c r="H1533">
        <v>1.3462652036621601</v>
      </c>
      <c r="I1533">
        <v>1.3399747124530801</v>
      </c>
      <c r="J1533">
        <v>1.28236957447043</v>
      </c>
      <c r="K1533">
        <v>1.3678129671152099</v>
      </c>
      <c r="L1533">
        <v>13960.510269083299</v>
      </c>
      <c r="M1533">
        <v>250</v>
      </c>
      <c r="O1533">
        <v>55.838459074814601</v>
      </c>
      <c r="P1533">
        <v>0.37406236927369901</v>
      </c>
      <c r="Q1533">
        <v>1.3341931112594001</v>
      </c>
      <c r="R1533">
        <v>0.69051519534836503</v>
      </c>
      <c r="S1533" t="s">
        <v>7084</v>
      </c>
      <c r="T1533" t="s">
        <v>11100</v>
      </c>
      <c r="U1533" t="s">
        <v>11100</v>
      </c>
      <c r="V1533" t="s">
        <v>11100</v>
      </c>
      <c r="W1533" t="s">
        <v>12599</v>
      </c>
      <c r="X1533">
        <v>10</v>
      </c>
      <c r="Y1533" t="s">
        <v>18091</v>
      </c>
      <c r="Z1533" t="s">
        <v>23538</v>
      </c>
      <c r="AA1533">
        <v>1.1242643487026129</v>
      </c>
      <c r="AB1533" t="str">
        <f>HYPERLINK("Melting_Curves/meltCurve_O75947_ATP5H.pdf", "Melting_Curves/meltCurve_O75947_ATP5H.pdf")</f>
        <v>Melting_Curves/meltCurve_O75947_ATP5H.pdf</v>
      </c>
    </row>
    <row r="1534" spans="1:28" x14ac:dyDescent="0.25">
      <c r="A1534" t="s">
        <v>1538</v>
      </c>
      <c r="B1534">
        <v>0.99299721793515405</v>
      </c>
      <c r="C1534">
        <v>0.91643084250529006</v>
      </c>
      <c r="D1534">
        <v>0.82887603881229499</v>
      </c>
      <c r="E1534">
        <v>0.70124670761091601</v>
      </c>
      <c r="F1534">
        <v>0.59222290109013198</v>
      </c>
      <c r="G1534">
        <v>0.57068708536148205</v>
      </c>
      <c r="H1534">
        <v>0.84746915769043796</v>
      </c>
      <c r="I1534">
        <v>0.82995180664846702</v>
      </c>
      <c r="J1534">
        <v>0.72812780076484995</v>
      </c>
      <c r="K1534">
        <v>0.52047508649671503</v>
      </c>
      <c r="L1534">
        <v>1083.63359804219</v>
      </c>
      <c r="M1534">
        <v>25.671898374606702</v>
      </c>
      <c r="O1534">
        <v>41.957256240627999</v>
      </c>
      <c r="P1534">
        <v>-4.8727036758526E-2</v>
      </c>
      <c r="Q1534">
        <v>0.68145278116602404</v>
      </c>
      <c r="R1534">
        <v>0.546822599103575</v>
      </c>
      <c r="S1534" t="s">
        <v>7085</v>
      </c>
      <c r="T1534" t="s">
        <v>11100</v>
      </c>
      <c r="U1534" t="s">
        <v>11100</v>
      </c>
      <c r="V1534" t="s">
        <v>11100</v>
      </c>
      <c r="W1534" t="s">
        <v>12600</v>
      </c>
      <c r="X1534">
        <v>4</v>
      </c>
      <c r="Y1534" t="s">
        <v>18092</v>
      </c>
      <c r="Z1534" t="s">
        <v>23539</v>
      </c>
      <c r="AA1534">
        <v>0.73940002321280585</v>
      </c>
      <c r="AB1534" t="str">
        <f>HYPERLINK("Melting_Curves/meltCurve_O75964_ATP5L.pdf", "Melting_Curves/meltCurve_O75964_ATP5L.pdf")</f>
        <v>Melting_Curves/meltCurve_O75964_ATP5L.pdf</v>
      </c>
    </row>
    <row r="1535" spans="1:28" x14ac:dyDescent="0.25">
      <c r="A1535" t="s">
        <v>1539</v>
      </c>
      <c r="B1535">
        <v>0.99299721793515405</v>
      </c>
      <c r="C1535">
        <v>1.0000954247162399</v>
      </c>
      <c r="D1535">
        <v>0.95287642395129102</v>
      </c>
      <c r="E1535">
        <v>0.90748353170616003</v>
      </c>
      <c r="F1535">
        <v>0.71792055182152803</v>
      </c>
      <c r="G1535">
        <v>0.54179627827601995</v>
      </c>
      <c r="H1535">
        <v>0.44453322874784701</v>
      </c>
      <c r="I1535">
        <v>0.30625308340122998</v>
      </c>
      <c r="J1535">
        <v>0.23279143347905701</v>
      </c>
      <c r="K1535">
        <v>0.20262359251794701</v>
      </c>
      <c r="L1535">
        <v>629.35942086922296</v>
      </c>
      <c r="M1535">
        <v>11.6885412866495</v>
      </c>
      <c r="N1535">
        <v>55.215435186377803</v>
      </c>
      <c r="O1535">
        <v>52.340522178174197</v>
      </c>
      <c r="P1535">
        <v>-4.8809131236765203E-2</v>
      </c>
      <c r="Q1535">
        <v>0.12597659243479001</v>
      </c>
      <c r="R1535">
        <v>0.99652930062589795</v>
      </c>
      <c r="S1535" t="s">
        <v>7086</v>
      </c>
      <c r="T1535" t="s">
        <v>11100</v>
      </c>
      <c r="U1535" t="s">
        <v>11100</v>
      </c>
      <c r="V1535" t="s">
        <v>11100</v>
      </c>
      <c r="W1535" t="s">
        <v>12601</v>
      </c>
      <c r="X1535">
        <v>25</v>
      </c>
      <c r="Y1535" t="s">
        <v>18093</v>
      </c>
      <c r="Z1535" t="s">
        <v>23540</v>
      </c>
      <c r="AA1535">
        <v>0.63292009742812116</v>
      </c>
      <c r="AB1535" t="str">
        <f>HYPERLINK("Melting_Curves/meltCurve_O75976_CPD.pdf", "Melting_Curves/meltCurve_O75976_CPD.pdf")</f>
        <v>Melting_Curves/meltCurve_O75976_CPD.pdf</v>
      </c>
    </row>
    <row r="1536" spans="1:28" x14ac:dyDescent="0.25">
      <c r="A1536" t="s">
        <v>1540</v>
      </c>
      <c r="B1536">
        <v>0.99299721793515405</v>
      </c>
      <c r="C1536">
        <v>1.0732002334153301</v>
      </c>
      <c r="D1536">
        <v>1.2020024041141399</v>
      </c>
      <c r="E1536">
        <v>1.02257258741917</v>
      </c>
      <c r="F1536">
        <v>0.83781416762537897</v>
      </c>
      <c r="G1536">
        <v>0.49353156222920402</v>
      </c>
      <c r="H1536">
        <v>0.25951593235190101</v>
      </c>
      <c r="I1536">
        <v>0.19810052011085399</v>
      </c>
      <c r="J1536">
        <v>0.15009910349507499</v>
      </c>
      <c r="K1536">
        <v>0.120512271846063</v>
      </c>
      <c r="L1536">
        <v>1409.8900652981299</v>
      </c>
      <c r="M1536">
        <v>26.546330035010399</v>
      </c>
      <c r="N1536">
        <v>53.8034422179365</v>
      </c>
      <c r="O1536">
        <v>52.811905081741699</v>
      </c>
      <c r="P1536">
        <v>-0.107472054024934</v>
      </c>
      <c r="Q1536">
        <v>0.144779143024719</v>
      </c>
      <c r="R1536">
        <v>0.96999896344174397</v>
      </c>
      <c r="S1536" t="s">
        <v>7087</v>
      </c>
      <c r="T1536" t="s">
        <v>11100</v>
      </c>
      <c r="U1536" t="s">
        <v>11100</v>
      </c>
      <c r="V1536" t="s">
        <v>11100</v>
      </c>
      <c r="W1536" t="s">
        <v>12602</v>
      </c>
      <c r="X1536">
        <v>14</v>
      </c>
      <c r="Y1536" t="s">
        <v>18094</v>
      </c>
      <c r="Z1536" t="s">
        <v>23541</v>
      </c>
      <c r="AA1536">
        <v>0.61085161916106023</v>
      </c>
      <c r="AB1536" t="str">
        <f>HYPERLINK("Melting_Curves/meltCurve_O76003_GLRX3.pdf", "Melting_Curves/meltCurve_O76003_GLRX3.pdf")</f>
        <v>Melting_Curves/meltCurve_O76003_GLRX3.pdf</v>
      </c>
    </row>
    <row r="1537" spans="1:28" x14ac:dyDescent="0.25">
      <c r="A1537" t="s">
        <v>1541</v>
      </c>
      <c r="B1537">
        <v>0.99299721793515405</v>
      </c>
      <c r="C1537">
        <v>0.87051657522461501</v>
      </c>
      <c r="D1537">
        <v>0.84330199062037103</v>
      </c>
      <c r="E1537">
        <v>0.75560795261229996</v>
      </c>
      <c r="F1537">
        <v>0.66311962093499699</v>
      </c>
      <c r="G1537">
        <v>0.49227044508043699</v>
      </c>
      <c r="H1537">
        <v>0.258537631109647</v>
      </c>
      <c r="I1537">
        <v>0.177245948759789</v>
      </c>
      <c r="J1537">
        <v>0.116541543121953</v>
      </c>
      <c r="K1537">
        <v>9.26265391500984E-2</v>
      </c>
      <c r="L1537">
        <v>510.90681596139899</v>
      </c>
      <c r="M1537">
        <v>9.7535442222177196</v>
      </c>
      <c r="N1537">
        <v>52.381657810638501</v>
      </c>
      <c r="O1537">
        <v>50.322039477449401</v>
      </c>
      <c r="P1537">
        <v>-4.84815529798691E-2</v>
      </c>
      <c r="Q1537">
        <v>0</v>
      </c>
      <c r="R1537">
        <v>0.98138716773149304</v>
      </c>
      <c r="S1537" t="s">
        <v>7088</v>
      </c>
      <c r="T1537" t="s">
        <v>11100</v>
      </c>
      <c r="U1537" t="s">
        <v>11100</v>
      </c>
      <c r="V1537" t="s">
        <v>11100</v>
      </c>
      <c r="W1537" t="s">
        <v>12603</v>
      </c>
      <c r="X1537">
        <v>4</v>
      </c>
      <c r="Y1537" t="s">
        <v>18095</v>
      </c>
      <c r="Z1537" t="s">
        <v>23542</v>
      </c>
      <c r="AA1537">
        <v>0.53802697076247874</v>
      </c>
      <c r="AB1537" t="str">
        <f>HYPERLINK("Melting_Curves/meltCurve_O76024_WFS1.pdf", "Melting_Curves/meltCurve_O76024_WFS1.pdf")</f>
        <v>Melting_Curves/meltCurve_O76024_WFS1.pdf</v>
      </c>
    </row>
    <row r="1538" spans="1:28" x14ac:dyDescent="0.25">
      <c r="A1538" t="s">
        <v>1542</v>
      </c>
      <c r="B1538">
        <v>0.99299721793515405</v>
      </c>
      <c r="C1538">
        <v>1.04814435336845</v>
      </c>
      <c r="D1538">
        <v>0.94552362755553299</v>
      </c>
      <c r="E1538">
        <v>0.85745655552018196</v>
      </c>
      <c r="F1538">
        <v>0.6385317090632</v>
      </c>
      <c r="G1538">
        <v>0.381770710611956</v>
      </c>
      <c r="H1538">
        <v>0.194995016837748</v>
      </c>
      <c r="I1538">
        <v>0.17989392704047499</v>
      </c>
      <c r="J1538">
        <v>0.15767825478025899</v>
      </c>
      <c r="K1538">
        <v>0.127281512756694</v>
      </c>
      <c r="L1538">
        <v>919.25948151156399</v>
      </c>
      <c r="M1538">
        <v>18.0018953892206</v>
      </c>
      <c r="N1538">
        <v>51.868989089727201</v>
      </c>
      <c r="O1538">
        <v>50.446945600566799</v>
      </c>
      <c r="P1538">
        <v>-7.8350307667475694E-2</v>
      </c>
      <c r="Q1538">
        <v>0.121794606634911</v>
      </c>
      <c r="R1538">
        <v>0.99597187920589203</v>
      </c>
      <c r="S1538" t="s">
        <v>7089</v>
      </c>
      <c r="T1538" t="s">
        <v>11100</v>
      </c>
      <c r="U1538" t="s">
        <v>11100</v>
      </c>
      <c r="V1538" t="s">
        <v>11100</v>
      </c>
      <c r="W1538" t="s">
        <v>12604</v>
      </c>
      <c r="X1538">
        <v>15</v>
      </c>
      <c r="Y1538" t="s">
        <v>18096</v>
      </c>
      <c r="Z1538" t="s">
        <v>23543</v>
      </c>
      <c r="AA1538">
        <v>0.54711486336102622</v>
      </c>
      <c r="AB1538" t="str">
        <f>HYPERLINK("Melting_Curves/meltCurve_O76031_CLPX.pdf", "Melting_Curves/meltCurve_O76031_CLPX.pdf")</f>
        <v>Melting_Curves/meltCurve_O76031_CLPX.pdf</v>
      </c>
    </row>
    <row r="1539" spans="1:28" x14ac:dyDescent="0.25">
      <c r="A1539" t="s">
        <v>1543</v>
      </c>
      <c r="B1539">
        <v>0.99299721793515405</v>
      </c>
      <c r="C1539">
        <v>0.98256986072068897</v>
      </c>
      <c r="D1539">
        <v>0.98373390794850102</v>
      </c>
      <c r="E1539">
        <v>0.85213638276598602</v>
      </c>
      <c r="F1539">
        <v>0.79393809894909295</v>
      </c>
      <c r="G1539">
        <v>0.49906546854804301</v>
      </c>
      <c r="H1539">
        <v>0.45361693745667803</v>
      </c>
      <c r="I1539">
        <v>0.58945657773607896</v>
      </c>
      <c r="J1539">
        <v>0.65318386288708596</v>
      </c>
      <c r="K1539">
        <v>0.58976078693489697</v>
      </c>
      <c r="L1539">
        <v>1275.6407008527799</v>
      </c>
      <c r="M1539">
        <v>26.0534482581708</v>
      </c>
      <c r="O1539">
        <v>48.676722970758497</v>
      </c>
      <c r="P1539">
        <v>-5.9228838380443703E-2</v>
      </c>
      <c r="Q1539">
        <v>0.55736641042535495</v>
      </c>
      <c r="R1539">
        <v>0.88862977880112903</v>
      </c>
      <c r="S1539" t="s">
        <v>7090</v>
      </c>
      <c r="T1539" t="s">
        <v>11100</v>
      </c>
      <c r="U1539" t="s">
        <v>11100</v>
      </c>
      <c r="V1539" t="s">
        <v>11100</v>
      </c>
      <c r="W1539" t="s">
        <v>12605</v>
      </c>
      <c r="X1539">
        <v>7</v>
      </c>
      <c r="Y1539" t="s">
        <v>18097</v>
      </c>
      <c r="Z1539" t="s">
        <v>23544</v>
      </c>
      <c r="AA1539">
        <v>0.73739277721161733</v>
      </c>
      <c r="AB1539" t="str">
        <f>HYPERLINK("Melting_Curves/meltCurve_O76041_2_NEBL.pdf", "Melting_Curves/meltCurve_O76041_2_NEBL.pdf")</f>
        <v>Melting_Curves/meltCurve_O76041_2_NEBL.pdf</v>
      </c>
    </row>
    <row r="1540" spans="1:28" x14ac:dyDescent="0.25">
      <c r="A1540" t="s">
        <v>1544</v>
      </c>
      <c r="B1540">
        <v>0.99299721793515405</v>
      </c>
      <c r="C1540">
        <v>0.97864920648103804</v>
      </c>
      <c r="D1540">
        <v>1.0986029675116999</v>
      </c>
      <c r="E1540">
        <v>0.83628659716500797</v>
      </c>
      <c r="F1540">
        <v>0.78940769424463797</v>
      </c>
      <c r="G1540">
        <v>0.53245707443335499</v>
      </c>
      <c r="H1540">
        <v>0.49535856961823699</v>
      </c>
      <c r="I1540">
        <v>0.45366552842118502</v>
      </c>
      <c r="J1540">
        <v>0.62208656289518505</v>
      </c>
      <c r="K1540">
        <v>0.61916216382133205</v>
      </c>
      <c r="L1540">
        <v>1281.3191850870601</v>
      </c>
      <c r="M1540">
        <v>25.963193847431299</v>
      </c>
      <c r="O1540">
        <v>49.061375972694101</v>
      </c>
      <c r="P1540">
        <v>-6.0980735401567801E-2</v>
      </c>
      <c r="Q1540">
        <v>0.53907601025406504</v>
      </c>
      <c r="R1540">
        <v>0.89311735398263403</v>
      </c>
      <c r="S1540" t="s">
        <v>7091</v>
      </c>
      <c r="T1540" t="s">
        <v>11100</v>
      </c>
      <c r="U1540" t="s">
        <v>11100</v>
      </c>
      <c r="V1540" t="s">
        <v>11100</v>
      </c>
      <c r="W1540" t="s">
        <v>12606</v>
      </c>
      <c r="X1540">
        <v>3</v>
      </c>
      <c r="Y1540" t="s">
        <v>18098</v>
      </c>
      <c r="Z1540" t="s">
        <v>23545</v>
      </c>
      <c r="AA1540">
        <v>0.73256219108069964</v>
      </c>
      <c r="AB1540" t="str">
        <f>HYPERLINK("Melting_Curves/meltCurve_O76070_SNCG.pdf", "Melting_Curves/meltCurve_O76070_SNCG.pdf")</f>
        <v>Melting_Curves/meltCurve_O76070_SNCG.pdf</v>
      </c>
    </row>
    <row r="1541" spans="1:28" x14ac:dyDescent="0.25">
      <c r="A1541" t="s">
        <v>1545</v>
      </c>
      <c r="B1541">
        <v>0.99299721793515405</v>
      </c>
      <c r="C1541">
        <v>0.92478748434452795</v>
      </c>
      <c r="D1541">
        <v>0.94196726730325897</v>
      </c>
      <c r="E1541">
        <v>0.78505665990476403</v>
      </c>
      <c r="F1541">
        <v>0.74446887360429304</v>
      </c>
      <c r="G1541">
        <v>0.57341705935821996</v>
      </c>
      <c r="H1541">
        <v>0.30965035828273202</v>
      </c>
      <c r="I1541">
        <v>0.27408943880726699</v>
      </c>
      <c r="J1541">
        <v>0.20870406894420701</v>
      </c>
      <c r="K1541">
        <v>0.1147769993839</v>
      </c>
      <c r="L1541">
        <v>533.62428232235504</v>
      </c>
      <c r="M1541">
        <v>9.7957874469613095</v>
      </c>
      <c r="N1541">
        <v>54.474873497283497</v>
      </c>
      <c r="O1541">
        <v>52.350216553748098</v>
      </c>
      <c r="P1541">
        <v>-4.6804695637108401E-2</v>
      </c>
      <c r="Q1541">
        <v>0</v>
      </c>
      <c r="R1541">
        <v>0.98483242365578505</v>
      </c>
      <c r="S1541" t="s">
        <v>7092</v>
      </c>
      <c r="T1541" t="s">
        <v>11100</v>
      </c>
      <c r="U1541" t="s">
        <v>11100</v>
      </c>
      <c r="V1541" t="s">
        <v>11100</v>
      </c>
      <c r="W1541" t="s">
        <v>12607</v>
      </c>
      <c r="X1541">
        <v>8</v>
      </c>
      <c r="Y1541" t="s">
        <v>18099</v>
      </c>
      <c r="Z1541" t="s">
        <v>23546</v>
      </c>
      <c r="AA1541">
        <v>0.59734104014609035</v>
      </c>
      <c r="AB1541" t="str">
        <f>HYPERLINK("Melting_Curves/meltCurve_O76071_CIAO1.pdf", "Melting_Curves/meltCurve_O76071_CIAO1.pdf")</f>
        <v>Melting_Curves/meltCurve_O76071_CIAO1.pdf</v>
      </c>
    </row>
    <row r="1542" spans="1:28" x14ac:dyDescent="0.25">
      <c r="A1542" t="s">
        <v>1546</v>
      </c>
      <c r="B1542">
        <v>0.99299721793515405</v>
      </c>
      <c r="C1542">
        <v>1.3216115433114899</v>
      </c>
      <c r="D1542">
        <v>2.7475830925634699</v>
      </c>
      <c r="E1542">
        <v>1.5196448116705199</v>
      </c>
      <c r="F1542">
        <v>1.27234504876147</v>
      </c>
      <c r="G1542">
        <v>1.86973789190867</v>
      </c>
      <c r="H1542">
        <v>0.58335004234837196</v>
      </c>
      <c r="I1542">
        <v>0.35568485648078901</v>
      </c>
      <c r="J1542">
        <v>0.316852486132563</v>
      </c>
      <c r="K1542">
        <v>0.35329168508679498</v>
      </c>
      <c r="L1542">
        <v>14318.6734397619</v>
      </c>
      <c r="M1542">
        <v>250</v>
      </c>
      <c r="N1542">
        <v>57.539756001670199</v>
      </c>
      <c r="O1542">
        <v>57.271047788136798</v>
      </c>
      <c r="P1542">
        <v>-0.71813917396267202</v>
      </c>
      <c r="Q1542">
        <v>0.34194289335695199</v>
      </c>
      <c r="R1542">
        <v>0.23315994648876301</v>
      </c>
      <c r="S1542" t="s">
        <v>7093</v>
      </c>
      <c r="T1542" t="s">
        <v>11100</v>
      </c>
      <c r="U1542" t="s">
        <v>11100</v>
      </c>
      <c r="V1542" t="s">
        <v>11100</v>
      </c>
      <c r="W1542" t="s">
        <v>12608</v>
      </c>
      <c r="X1542">
        <v>3</v>
      </c>
      <c r="Y1542" t="s">
        <v>18100</v>
      </c>
      <c r="Z1542" t="s">
        <v>23547</v>
      </c>
      <c r="AA1542">
        <v>0.7867392491925902</v>
      </c>
      <c r="AB1542" t="str">
        <f>HYPERLINK("Melting_Curves/meltCurve_O76075_2_DFFB.pdf", "Melting_Curves/meltCurve_O76075_2_DFFB.pdf")</f>
        <v>Melting_Curves/meltCurve_O76075_2_DFFB.pdf</v>
      </c>
    </row>
    <row r="1543" spans="1:28" x14ac:dyDescent="0.25">
      <c r="A1543" t="s">
        <v>1547</v>
      </c>
      <c r="B1543">
        <v>0.99299721793515405</v>
      </c>
      <c r="C1543">
        <v>0.82315520336967896</v>
      </c>
      <c r="D1543">
        <v>0.966488468329741</v>
      </c>
      <c r="E1543">
        <v>0.817538104161315</v>
      </c>
      <c r="F1543">
        <v>0.72774881157496796</v>
      </c>
      <c r="G1543">
        <v>0.56924798732119697</v>
      </c>
      <c r="H1543">
        <v>0.707409532781755</v>
      </c>
      <c r="I1543">
        <v>0.87297225078541896</v>
      </c>
      <c r="J1543">
        <v>0.98599630240935099</v>
      </c>
      <c r="K1543">
        <v>0.89266402178547199</v>
      </c>
      <c r="L1543">
        <v>690.52075490964796</v>
      </c>
      <c r="M1543">
        <v>17.179759788373499</v>
      </c>
      <c r="O1543">
        <v>39.661111109285699</v>
      </c>
      <c r="P1543">
        <v>-2.1578024681288801E-2</v>
      </c>
      <c r="Q1543">
        <v>0.80075211443515903</v>
      </c>
      <c r="R1543">
        <v>0.174497139271657</v>
      </c>
      <c r="S1543" t="s">
        <v>7094</v>
      </c>
      <c r="T1543" t="s">
        <v>11100</v>
      </c>
      <c r="U1543" t="s">
        <v>11100</v>
      </c>
      <c r="V1543" t="s">
        <v>11100</v>
      </c>
      <c r="W1543" t="s">
        <v>12609</v>
      </c>
      <c r="X1543">
        <v>7</v>
      </c>
      <c r="Y1543" t="s">
        <v>18101</v>
      </c>
      <c r="Z1543" t="s">
        <v>23548</v>
      </c>
      <c r="AA1543">
        <v>0.82747150290418581</v>
      </c>
      <c r="AB1543" t="str">
        <f>HYPERLINK("Melting_Curves/meltCurve_O76080_ZFAND5.pdf", "Melting_Curves/meltCurve_O76080_ZFAND5.pdf")</f>
        <v>Melting_Curves/meltCurve_O76080_ZFAND5.pdf</v>
      </c>
    </row>
    <row r="1544" spans="1:28" x14ac:dyDescent="0.25">
      <c r="A1544" t="s">
        <v>1548</v>
      </c>
      <c r="B1544">
        <v>0.99299721793515405</v>
      </c>
      <c r="C1544">
        <v>0.87463759260270202</v>
      </c>
      <c r="D1544">
        <v>0.64409639673566599</v>
      </c>
      <c r="E1544">
        <v>0.70021085466152999</v>
      </c>
      <c r="F1544">
        <v>0.64513369172678703</v>
      </c>
      <c r="G1544">
        <v>0.293780913640313</v>
      </c>
      <c r="H1544">
        <v>0.27117770995801899</v>
      </c>
      <c r="I1544">
        <v>0.216235489154607</v>
      </c>
      <c r="J1544">
        <v>0.20234109402509701</v>
      </c>
      <c r="K1544">
        <v>0.17538949350778199</v>
      </c>
      <c r="L1544">
        <v>368.76134958850599</v>
      </c>
      <c r="M1544">
        <v>7.3433185107186203</v>
      </c>
      <c r="N1544">
        <v>50.498030956366399</v>
      </c>
      <c r="O1544">
        <v>46.895806013863698</v>
      </c>
      <c r="P1544">
        <v>-3.84235562469738E-2</v>
      </c>
      <c r="Q1544">
        <v>2.0003355617895999E-2</v>
      </c>
      <c r="R1544">
        <v>0.93512269356423205</v>
      </c>
      <c r="S1544" t="s">
        <v>7095</v>
      </c>
      <c r="T1544" t="s">
        <v>11100</v>
      </c>
      <c r="U1544" t="s">
        <v>11100</v>
      </c>
      <c r="V1544" t="s">
        <v>11100</v>
      </c>
      <c r="W1544" t="s">
        <v>12610</v>
      </c>
      <c r="X1544">
        <v>1</v>
      </c>
      <c r="Y1544" t="s">
        <v>18102</v>
      </c>
      <c r="Z1544" t="s">
        <v>23549</v>
      </c>
      <c r="AA1544">
        <v>0.492545995468327</v>
      </c>
      <c r="AB1544" t="str">
        <f>HYPERLINK("Melting_Curves/meltCurve_O76094_SRP72.pdf", "Melting_Curves/meltCurve_O76094_SRP72.pdf")</f>
        <v>Melting_Curves/meltCurve_O76094_SRP72.pdf</v>
      </c>
    </row>
    <row r="1545" spans="1:28" x14ac:dyDescent="0.25">
      <c r="A1545" t="s">
        <v>1549</v>
      </c>
      <c r="B1545">
        <v>0.99299721793515405</v>
      </c>
      <c r="C1545">
        <v>0.95928897467388197</v>
      </c>
      <c r="D1545">
        <v>0.89040363490446806</v>
      </c>
      <c r="E1545">
        <v>0.846124936000067</v>
      </c>
      <c r="F1545">
        <v>0.67797266399604905</v>
      </c>
      <c r="G1545">
        <v>0.56749741814133503</v>
      </c>
      <c r="H1545">
        <v>0.637207274034015</v>
      </c>
      <c r="I1545">
        <v>0.74934447765588497</v>
      </c>
      <c r="J1545">
        <v>0.78644195686357898</v>
      </c>
      <c r="K1545">
        <v>0.60343798647379898</v>
      </c>
      <c r="L1545">
        <v>953.24852365475101</v>
      </c>
      <c r="M1545">
        <v>21.001128790402198</v>
      </c>
      <c r="O1545">
        <v>44.984806926393603</v>
      </c>
      <c r="P1545">
        <v>-3.89304623346486E-2</v>
      </c>
      <c r="Q1545">
        <v>0.66644988912390901</v>
      </c>
      <c r="R1545">
        <v>0.78236524844782096</v>
      </c>
      <c r="S1545" t="s">
        <v>7096</v>
      </c>
      <c r="T1545" t="s">
        <v>11100</v>
      </c>
      <c r="U1545" t="s">
        <v>11100</v>
      </c>
      <c r="V1545" t="s">
        <v>11100</v>
      </c>
      <c r="W1545" t="s">
        <v>12611</v>
      </c>
      <c r="X1545">
        <v>3</v>
      </c>
      <c r="Y1545" t="s">
        <v>18103</v>
      </c>
      <c r="Z1545" t="s">
        <v>23550</v>
      </c>
      <c r="AA1545">
        <v>0.76368419112462549</v>
      </c>
      <c r="AB1545" t="str">
        <f>HYPERLINK("Melting_Curves/meltCurve_O76095_2_JTB.pdf", "Melting_Curves/meltCurve_O76095_2_JTB.pdf")</f>
        <v>Melting_Curves/meltCurve_O76095_2_JTB.pdf</v>
      </c>
    </row>
    <row r="1546" spans="1:28" x14ac:dyDescent="0.25">
      <c r="A1546" t="s">
        <v>1550</v>
      </c>
      <c r="B1546">
        <v>0.99299721793515405</v>
      </c>
      <c r="C1546">
        <v>0.84802011150908896</v>
      </c>
      <c r="D1546">
        <v>0.99362563435109097</v>
      </c>
      <c r="E1546">
        <v>0.82264681795499495</v>
      </c>
      <c r="F1546">
        <v>0.70334800384857299</v>
      </c>
      <c r="G1546">
        <v>0.55093823836719902</v>
      </c>
      <c r="H1546">
        <v>0.491112611042123</v>
      </c>
      <c r="I1546">
        <v>0.48916738468592702</v>
      </c>
      <c r="J1546">
        <v>0.29649115091878597</v>
      </c>
      <c r="K1546">
        <v>0.15711899697991399</v>
      </c>
      <c r="L1546">
        <v>411.39444174771302</v>
      </c>
      <c r="M1546">
        <v>7.2560651146711601</v>
      </c>
      <c r="N1546">
        <v>56.696652962458302</v>
      </c>
      <c r="O1546">
        <v>52.865755093080899</v>
      </c>
      <c r="P1546">
        <v>-3.4369375836825498E-2</v>
      </c>
      <c r="Q1546">
        <v>0</v>
      </c>
      <c r="R1546">
        <v>0.94233010341596102</v>
      </c>
      <c r="S1546" t="s">
        <v>7097</v>
      </c>
      <c r="T1546" t="s">
        <v>11100</v>
      </c>
      <c r="U1546" t="s">
        <v>11100</v>
      </c>
      <c r="V1546" t="s">
        <v>11100</v>
      </c>
      <c r="W1546" t="s">
        <v>12612</v>
      </c>
      <c r="X1546">
        <v>12</v>
      </c>
      <c r="Y1546" t="s">
        <v>18104</v>
      </c>
      <c r="Z1546" t="s">
        <v>23551</v>
      </c>
      <c r="AA1546">
        <v>0.64330963501686633</v>
      </c>
      <c r="AB1546" t="str">
        <f>HYPERLINK("Melting_Curves/meltCurve_O94760_DDAH1.pdf", "Melting_Curves/meltCurve_O94760_DDAH1.pdf")</f>
        <v>Melting_Curves/meltCurve_O94760_DDAH1.pdf</v>
      </c>
    </row>
    <row r="1547" spans="1:28" x14ac:dyDescent="0.25">
      <c r="A1547" t="s">
        <v>1551</v>
      </c>
      <c r="B1547">
        <v>0.99299721793515405</v>
      </c>
      <c r="C1547">
        <v>0.83079174901790998</v>
      </c>
      <c r="D1547">
        <v>0.926374263780957</v>
      </c>
      <c r="E1547">
        <v>0.89723491756575102</v>
      </c>
      <c r="F1547">
        <v>0.73444454327034303</v>
      </c>
      <c r="G1547">
        <v>0.172702137052687</v>
      </c>
      <c r="H1547">
        <v>0.12383565914561</v>
      </c>
      <c r="I1547">
        <v>0.29724907009846202</v>
      </c>
      <c r="J1547">
        <v>0.111809524862113</v>
      </c>
      <c r="K1547">
        <v>0.31944092077598002</v>
      </c>
      <c r="L1547">
        <v>12584.637527037199</v>
      </c>
      <c r="M1547">
        <v>250</v>
      </c>
      <c r="N1547">
        <v>50.445019174063397</v>
      </c>
      <c r="O1547">
        <v>50.335349898200299</v>
      </c>
      <c r="P1547">
        <v>-0.98712049084389297</v>
      </c>
      <c r="Q1547">
        <v>0.20500744759400999</v>
      </c>
      <c r="R1547">
        <v>0.93137999144244099</v>
      </c>
      <c r="S1547" t="s">
        <v>7098</v>
      </c>
      <c r="T1547" t="s">
        <v>11100</v>
      </c>
      <c r="U1547" t="s">
        <v>11100</v>
      </c>
      <c r="V1547" t="s">
        <v>11100</v>
      </c>
      <c r="W1547" t="s">
        <v>12613</v>
      </c>
      <c r="X1547">
        <v>1</v>
      </c>
      <c r="Y1547" t="s">
        <v>18105</v>
      </c>
      <c r="Z1547" t="s">
        <v>23552</v>
      </c>
      <c r="AA1547">
        <v>0.55854594644588373</v>
      </c>
      <c r="AB1547" t="str">
        <f>HYPERLINK("Melting_Curves/meltCurve_O94761_RECQL4.pdf", "Melting_Curves/meltCurve_O94761_RECQL4.pdf")</f>
        <v>Melting_Curves/meltCurve_O94761_RECQL4.pdf</v>
      </c>
    </row>
    <row r="1548" spans="1:28" x14ac:dyDescent="0.25">
      <c r="A1548" t="s">
        <v>1552</v>
      </c>
      <c r="B1548">
        <v>0.99299721793515405</v>
      </c>
      <c r="C1548">
        <v>0.98518331860659303</v>
      </c>
      <c r="D1548">
        <v>0.93388714936751904</v>
      </c>
      <c r="E1548">
        <v>0.82547926293285201</v>
      </c>
      <c r="F1548">
        <v>0.68282531367988797</v>
      </c>
      <c r="G1548">
        <v>0.61282383546073504</v>
      </c>
      <c r="H1548">
        <v>0.21198537240259999</v>
      </c>
      <c r="I1548">
        <v>0.14840865697095201</v>
      </c>
      <c r="J1548">
        <v>0.17263051385119299</v>
      </c>
      <c r="K1548">
        <v>0.14957281971781999</v>
      </c>
      <c r="L1548">
        <v>688.840028014871</v>
      </c>
      <c r="M1548">
        <v>12.9700240551958</v>
      </c>
      <c r="N1548">
        <v>53.563026447818103</v>
      </c>
      <c r="O1548">
        <v>51.895156410994304</v>
      </c>
      <c r="P1548">
        <v>-5.9247776547228397E-2</v>
      </c>
      <c r="Q1548">
        <v>5.1929246755343397E-2</v>
      </c>
      <c r="R1548">
        <v>0.97219691207715597</v>
      </c>
      <c r="S1548" t="s">
        <v>7099</v>
      </c>
      <c r="T1548" t="s">
        <v>11100</v>
      </c>
      <c r="U1548" t="s">
        <v>11100</v>
      </c>
      <c r="V1548" t="s">
        <v>11100</v>
      </c>
      <c r="W1548" t="s">
        <v>12614</v>
      </c>
      <c r="X1548">
        <v>3</v>
      </c>
      <c r="Y1548" t="s">
        <v>18106</v>
      </c>
      <c r="Z1548" t="s">
        <v>23553</v>
      </c>
      <c r="AA1548">
        <v>0.57987214882987792</v>
      </c>
      <c r="AB1548" t="str">
        <f>HYPERLINK("Melting_Curves/meltCurve_O94766_B3GAT3.pdf", "Melting_Curves/meltCurve_O94766_B3GAT3.pdf")</f>
        <v>Melting_Curves/meltCurve_O94766_B3GAT3.pdf</v>
      </c>
    </row>
    <row r="1549" spans="1:28" x14ac:dyDescent="0.25">
      <c r="A1549" t="s">
        <v>1553</v>
      </c>
      <c r="B1549">
        <v>0.99299721793515405</v>
      </c>
      <c r="C1549">
        <v>0.93142694127904302</v>
      </c>
      <c r="D1549">
        <v>0.84331190438505899</v>
      </c>
      <c r="E1549">
        <v>0.81850225870068805</v>
      </c>
      <c r="F1549">
        <v>0.71909881511059903</v>
      </c>
      <c r="G1549">
        <v>0.61549852843661601</v>
      </c>
      <c r="H1549">
        <v>0.33211663692531801</v>
      </c>
      <c r="I1549">
        <v>0.21279122882380799</v>
      </c>
      <c r="J1549">
        <v>0.18296727179911301</v>
      </c>
      <c r="K1549">
        <v>0.16503320841854999</v>
      </c>
      <c r="L1549">
        <v>516.29958663233901</v>
      </c>
      <c r="M1549">
        <v>9.4881561068671001</v>
      </c>
      <c r="N1549">
        <v>54.415150023811101</v>
      </c>
      <c r="O1549">
        <v>52.162433317848098</v>
      </c>
      <c r="P1549">
        <v>-4.5501114009389901E-2</v>
      </c>
      <c r="Q1549">
        <v>0</v>
      </c>
      <c r="R1549">
        <v>0.97679653955641099</v>
      </c>
      <c r="S1549" t="s">
        <v>7100</v>
      </c>
      <c r="T1549" t="s">
        <v>11100</v>
      </c>
      <c r="U1549" t="s">
        <v>11100</v>
      </c>
      <c r="V1549" t="s">
        <v>11100</v>
      </c>
      <c r="W1549" t="s">
        <v>12615</v>
      </c>
      <c r="X1549">
        <v>7</v>
      </c>
      <c r="Y1549" t="s">
        <v>18107</v>
      </c>
      <c r="Z1549" t="s">
        <v>23554</v>
      </c>
      <c r="AA1549">
        <v>0.59526115704647276</v>
      </c>
      <c r="AB1549" t="str">
        <f>HYPERLINK("Melting_Curves/meltCurve_O94776_MTA2.pdf", "Melting_Curves/meltCurve_O94776_MTA2.pdf")</f>
        <v>Melting_Curves/meltCurve_O94776_MTA2.pdf</v>
      </c>
    </row>
    <row r="1550" spans="1:28" x14ac:dyDescent="0.25">
      <c r="A1550" t="s">
        <v>1554</v>
      </c>
      <c r="B1550">
        <v>0.99299721793515405</v>
      </c>
      <c r="C1550">
        <v>1.04634492065686</v>
      </c>
      <c r="D1550">
        <v>0.88867798234562401</v>
      </c>
      <c r="E1550">
        <v>0.81746819512617397</v>
      </c>
      <c r="F1550">
        <v>0.67457392257556703</v>
      </c>
      <c r="G1550">
        <v>0.320810083037395</v>
      </c>
      <c r="H1550">
        <v>0.34010290136014698</v>
      </c>
      <c r="I1550">
        <v>0.34666939424232002</v>
      </c>
      <c r="J1550">
        <v>0.32545291735189102</v>
      </c>
      <c r="K1550">
        <v>0.25762998832144501</v>
      </c>
      <c r="L1550">
        <v>931.13393309193498</v>
      </c>
      <c r="M1550">
        <v>18.794583779497401</v>
      </c>
      <c r="N1550">
        <v>51.869914253936798</v>
      </c>
      <c r="O1550">
        <v>48.992022708950202</v>
      </c>
      <c r="P1550">
        <v>-6.8590662750378603E-2</v>
      </c>
      <c r="Q1550">
        <v>0.28484599415679701</v>
      </c>
      <c r="R1550">
        <v>0.96958392652512504</v>
      </c>
      <c r="S1550" t="s">
        <v>7101</v>
      </c>
      <c r="T1550" t="s">
        <v>11100</v>
      </c>
      <c r="U1550" t="s">
        <v>11100</v>
      </c>
      <c r="V1550" t="s">
        <v>11100</v>
      </c>
      <c r="W1550" t="s">
        <v>12616</v>
      </c>
      <c r="X1550">
        <v>3</v>
      </c>
      <c r="Y1550" t="s">
        <v>18108</v>
      </c>
      <c r="Z1550" t="s">
        <v>23555</v>
      </c>
      <c r="AA1550">
        <v>0.59435797323444439</v>
      </c>
      <c r="AB1550" t="str">
        <f>HYPERLINK("Melting_Curves/meltCurve_O94782_USP1.pdf", "Melting_Curves/meltCurve_O94782_USP1.pdf")</f>
        <v>Melting_Curves/meltCurve_O94782_USP1.pdf</v>
      </c>
    </row>
    <row r="1551" spans="1:28" x14ac:dyDescent="0.25">
      <c r="A1551" t="s">
        <v>1555</v>
      </c>
      <c r="B1551">
        <v>0.99299721793515405</v>
      </c>
      <c r="C1551">
        <v>1.0230809665424601</v>
      </c>
      <c r="D1551">
        <v>0.827389662830599</v>
      </c>
      <c r="E1551">
        <v>0.822550631796369</v>
      </c>
      <c r="F1551">
        <v>0.87866040517365596</v>
      </c>
      <c r="G1551">
        <v>0.99822324810001895</v>
      </c>
      <c r="H1551">
        <v>0.616065272336631</v>
      </c>
      <c r="I1551">
        <v>0.189155885682284</v>
      </c>
      <c r="J1551">
        <v>0.118490363319502</v>
      </c>
      <c r="K1551">
        <v>0.161041366415479</v>
      </c>
      <c r="L1551">
        <v>3193.6416907043699</v>
      </c>
      <c r="M1551">
        <v>55.417282812710397</v>
      </c>
      <c r="N1551">
        <v>57.978291830256403</v>
      </c>
      <c r="O1551">
        <v>57.554097020260699</v>
      </c>
      <c r="P1551">
        <v>-0.20655341717089701</v>
      </c>
      <c r="Q1551">
        <v>0.14192931731443001</v>
      </c>
      <c r="R1551">
        <v>0.93642635218278003</v>
      </c>
      <c r="S1551" t="s">
        <v>7102</v>
      </c>
      <c r="T1551" t="s">
        <v>11100</v>
      </c>
      <c r="U1551" t="s">
        <v>11100</v>
      </c>
      <c r="V1551" t="s">
        <v>11100</v>
      </c>
      <c r="W1551" t="s">
        <v>12617</v>
      </c>
      <c r="X1551">
        <v>3</v>
      </c>
      <c r="Y1551" t="s">
        <v>18109</v>
      </c>
      <c r="Z1551" t="s">
        <v>23556</v>
      </c>
      <c r="AA1551">
        <v>0.73372256723297224</v>
      </c>
      <c r="AB1551" t="str">
        <f>HYPERLINK("Melting_Curves/meltCurve_O94788_2_ALDH1A2.pdf", "Melting_Curves/meltCurve_O94788_2_ALDH1A2.pdf")</f>
        <v>Melting_Curves/meltCurve_O94788_2_ALDH1A2.pdf</v>
      </c>
    </row>
    <row r="1552" spans="1:28" x14ac:dyDescent="0.25">
      <c r="A1552" t="s">
        <v>1556</v>
      </c>
      <c r="B1552">
        <v>0.99299721793515405</v>
      </c>
      <c r="C1552">
        <v>0.96892280600245495</v>
      </c>
      <c r="D1552">
        <v>0.88673383014179397</v>
      </c>
      <c r="E1552">
        <v>0.83108065473278203</v>
      </c>
      <c r="F1552">
        <v>0.43444667379679602</v>
      </c>
      <c r="G1552">
        <v>0.25873942273864398</v>
      </c>
      <c r="H1552">
        <v>0.158442027942643</v>
      </c>
      <c r="I1552">
        <v>0.144791018451433</v>
      </c>
      <c r="J1552">
        <v>0.13722511307596599</v>
      </c>
      <c r="K1552">
        <v>0.10174519035809</v>
      </c>
      <c r="L1552">
        <v>998.60331701776101</v>
      </c>
      <c r="M1552">
        <v>20.321825444362201</v>
      </c>
      <c r="N1552">
        <v>49.794606009417002</v>
      </c>
      <c r="O1552">
        <v>48.671045042440802</v>
      </c>
      <c r="P1552">
        <v>-9.2141218115680004E-2</v>
      </c>
      <c r="Q1552">
        <v>0.11730926304123999</v>
      </c>
      <c r="R1552">
        <v>0.99287120478996105</v>
      </c>
      <c r="S1552" t="s">
        <v>7103</v>
      </c>
      <c r="T1552" t="s">
        <v>11100</v>
      </c>
      <c r="U1552" t="s">
        <v>11100</v>
      </c>
      <c r="V1552" t="s">
        <v>11100</v>
      </c>
      <c r="W1552" t="s">
        <v>12618</v>
      </c>
      <c r="X1552">
        <v>27</v>
      </c>
      <c r="Y1552" t="s">
        <v>18110</v>
      </c>
      <c r="Z1552" t="s">
        <v>23557</v>
      </c>
      <c r="AA1552">
        <v>0.48578681763836079</v>
      </c>
      <c r="AB1552" t="str">
        <f>HYPERLINK("Melting_Curves/meltCurve_O94804_STK10.pdf", "Melting_Curves/meltCurve_O94804_STK10.pdf")</f>
        <v>Melting_Curves/meltCurve_O94804_STK10.pdf</v>
      </c>
    </row>
    <row r="1553" spans="1:28" x14ac:dyDescent="0.25">
      <c r="A1553" t="s">
        <v>1557</v>
      </c>
      <c r="B1553">
        <v>0.99299721793515405</v>
      </c>
      <c r="C1553">
        <v>0.96266899327299305</v>
      </c>
      <c r="D1553">
        <v>1.03840610469497</v>
      </c>
      <c r="E1553">
        <v>0.89912071549811501</v>
      </c>
      <c r="F1553">
        <v>0.75282488647839896</v>
      </c>
      <c r="G1553">
        <v>0.604093766250687</v>
      </c>
      <c r="H1553">
        <v>0.43813065263477802</v>
      </c>
      <c r="I1553">
        <v>0.39526480369698402</v>
      </c>
      <c r="J1553">
        <v>0.393268047744673</v>
      </c>
      <c r="K1553">
        <v>0.36135448084452898</v>
      </c>
      <c r="L1553">
        <v>879.05436027303097</v>
      </c>
      <c r="M1553">
        <v>16.958173739832901</v>
      </c>
      <c r="N1553">
        <v>55.873812216697502</v>
      </c>
      <c r="O1553">
        <v>51.131878608846399</v>
      </c>
      <c r="P1553">
        <v>-5.3634670519500001E-2</v>
      </c>
      <c r="Q1553">
        <v>0.353168304377322</v>
      </c>
      <c r="R1553">
        <v>0.99102211057279999</v>
      </c>
      <c r="S1553" t="s">
        <v>7104</v>
      </c>
      <c r="T1553" t="s">
        <v>11100</v>
      </c>
      <c r="U1553" t="s">
        <v>11100</v>
      </c>
      <c r="V1553" t="s">
        <v>11100</v>
      </c>
      <c r="W1553" t="s">
        <v>12619</v>
      </c>
      <c r="X1553">
        <v>10</v>
      </c>
      <c r="Y1553" t="s">
        <v>18111</v>
      </c>
      <c r="Z1553" t="s">
        <v>23558</v>
      </c>
      <c r="AA1553">
        <v>0.68374979751829701</v>
      </c>
      <c r="AB1553" t="str">
        <f>HYPERLINK("Melting_Curves/meltCurve_O94811_TPPP.pdf", "Melting_Curves/meltCurve_O94811_TPPP.pdf")</f>
        <v>Melting_Curves/meltCurve_O94811_TPPP.pdf</v>
      </c>
    </row>
    <row r="1554" spans="1:28" x14ac:dyDescent="0.25">
      <c r="A1554" t="s">
        <v>1558</v>
      </c>
      <c r="B1554">
        <v>0.99299721793515405</v>
      </c>
      <c r="C1554">
        <v>1.0243689183631199</v>
      </c>
      <c r="D1554">
        <v>1.3218539378568599</v>
      </c>
      <c r="E1554">
        <v>0.94517059350037003</v>
      </c>
      <c r="F1554">
        <v>0.67018774666629699</v>
      </c>
      <c r="G1554">
        <v>0.99404337927086595</v>
      </c>
      <c r="H1554">
        <v>0.95671252693988595</v>
      </c>
      <c r="I1554">
        <v>0.91673672101608195</v>
      </c>
      <c r="J1554">
        <v>2.1272275611368698</v>
      </c>
      <c r="K1554">
        <v>3.42690848706859</v>
      </c>
      <c r="L1554">
        <v>10253.390169299701</v>
      </c>
      <c r="M1554">
        <v>164.961316648999</v>
      </c>
      <c r="O1554">
        <v>62.147196528903102</v>
      </c>
      <c r="P1554">
        <v>0.33179557377160701</v>
      </c>
      <c r="Q1554">
        <v>1.5</v>
      </c>
      <c r="R1554">
        <v>0.305196469281248</v>
      </c>
      <c r="S1554" t="s">
        <v>7105</v>
      </c>
      <c r="T1554" t="s">
        <v>11100</v>
      </c>
      <c r="U1554" t="s">
        <v>11100</v>
      </c>
      <c r="V1554" t="s">
        <v>11100</v>
      </c>
      <c r="W1554" t="s">
        <v>12620</v>
      </c>
      <c r="X1554">
        <v>2</v>
      </c>
      <c r="Y1554" t="s">
        <v>18112</v>
      </c>
      <c r="Z1554" t="s">
        <v>23559</v>
      </c>
      <c r="AA1554">
        <v>1.0806025634874099</v>
      </c>
      <c r="AB1554" t="str">
        <f>HYPERLINK("Melting_Curves/meltCurve_O94813_3_SLIT2.pdf", "Melting_Curves/meltCurve_O94813_3_SLIT2.pdf")</f>
        <v>Melting_Curves/meltCurve_O94813_3_SLIT2.pdf</v>
      </c>
    </row>
    <row r="1555" spans="1:28" x14ac:dyDescent="0.25">
      <c r="A1555" t="s">
        <v>1559</v>
      </c>
      <c r="B1555">
        <v>0.99299721793515405</v>
      </c>
      <c r="C1555">
        <v>0.88067715798186696</v>
      </c>
      <c r="D1555">
        <v>0.83469070023728298</v>
      </c>
      <c r="E1555">
        <v>0.85597328260747796</v>
      </c>
      <c r="F1555">
        <v>0.69116010181376797</v>
      </c>
      <c r="G1555">
        <v>0.45469372285765502</v>
      </c>
      <c r="H1555">
        <v>0.25800370400851702</v>
      </c>
      <c r="I1555">
        <v>0.21425706909800399</v>
      </c>
      <c r="J1555">
        <v>0.210689461822272</v>
      </c>
      <c r="K1555">
        <v>0.15055590861635901</v>
      </c>
      <c r="L1555">
        <v>555.124782182015</v>
      </c>
      <c r="M1555">
        <v>10.5911628025518</v>
      </c>
      <c r="N1555">
        <v>52.993570785933002</v>
      </c>
      <c r="O1555">
        <v>50.648909498625201</v>
      </c>
      <c r="P1555">
        <v>-4.9437538387323399E-2</v>
      </c>
      <c r="Q1555">
        <v>5.4690966969659999E-2</v>
      </c>
      <c r="R1555">
        <v>0.97337546451828505</v>
      </c>
      <c r="S1555" t="s">
        <v>7106</v>
      </c>
      <c r="T1555" t="s">
        <v>11100</v>
      </c>
      <c r="U1555" t="s">
        <v>11100</v>
      </c>
      <c r="V1555" t="s">
        <v>11100</v>
      </c>
      <c r="W1555" t="s">
        <v>12621</v>
      </c>
      <c r="X1555">
        <v>5</v>
      </c>
      <c r="Y1555" t="s">
        <v>18113</v>
      </c>
      <c r="Z1555" t="s">
        <v>23560</v>
      </c>
      <c r="AA1555">
        <v>0.56343500163534732</v>
      </c>
      <c r="AB1555" t="str">
        <f>HYPERLINK("Melting_Curves/meltCurve_O94819_KBTBD11.pdf", "Melting_Curves/meltCurve_O94819_KBTBD11.pdf")</f>
        <v>Melting_Curves/meltCurve_O94819_KBTBD11.pdf</v>
      </c>
    </row>
    <row r="1556" spans="1:28" x14ac:dyDescent="0.25">
      <c r="A1556" t="s">
        <v>1560</v>
      </c>
      <c r="B1556">
        <v>0.99299721793515405</v>
      </c>
      <c r="C1556">
        <v>1.0227841757245899</v>
      </c>
      <c r="D1556">
        <v>0.93789688425240703</v>
      </c>
      <c r="E1556">
        <v>1.1374698425507199</v>
      </c>
      <c r="F1556">
        <v>0.781735608739064</v>
      </c>
      <c r="G1556">
        <v>0.36162812525730997</v>
      </c>
      <c r="H1556">
        <v>0.22960603906243099</v>
      </c>
      <c r="I1556">
        <v>0.19316969894348601</v>
      </c>
      <c r="J1556">
        <v>0.23324894238566499</v>
      </c>
      <c r="K1556">
        <v>0.209577917186234</v>
      </c>
      <c r="L1556">
        <v>2049.7988008171001</v>
      </c>
      <c r="M1556">
        <v>39.724825873475602</v>
      </c>
      <c r="N1556">
        <v>52.340941783616202</v>
      </c>
      <c r="O1556">
        <v>51.469701704960201</v>
      </c>
      <c r="P1556">
        <v>-0.151453202156554</v>
      </c>
      <c r="Q1556">
        <v>0.215076793646997</v>
      </c>
      <c r="R1556">
        <v>0.98009346509473505</v>
      </c>
      <c r="S1556" t="s">
        <v>7107</v>
      </c>
      <c r="T1556" t="s">
        <v>11100</v>
      </c>
      <c r="U1556" t="s">
        <v>11100</v>
      </c>
      <c r="V1556" t="s">
        <v>11100</v>
      </c>
      <c r="W1556" t="s">
        <v>12622</v>
      </c>
      <c r="X1556">
        <v>3</v>
      </c>
      <c r="Y1556" t="s">
        <v>18114</v>
      </c>
      <c r="Z1556" t="s">
        <v>23561</v>
      </c>
      <c r="AA1556">
        <v>0.59990434747414823</v>
      </c>
      <c r="AB1556" t="str">
        <f>HYPERLINK("Melting_Curves/meltCurve_O94822_LTN1.pdf", "Melting_Curves/meltCurve_O94822_LTN1.pdf")</f>
        <v>Melting_Curves/meltCurve_O94822_LTN1.pdf</v>
      </c>
    </row>
    <row r="1557" spans="1:28" x14ac:dyDescent="0.25">
      <c r="A1557" t="s">
        <v>1561</v>
      </c>
      <c r="B1557">
        <v>0.99299721793515405</v>
      </c>
      <c r="C1557">
        <v>0.97628623776219203</v>
      </c>
      <c r="D1557">
        <v>0.92325495390469003</v>
      </c>
      <c r="E1557">
        <v>0.83043643352406005</v>
      </c>
      <c r="F1557">
        <v>0.74774939024581899</v>
      </c>
      <c r="G1557">
        <v>0.30289561197808901</v>
      </c>
      <c r="H1557">
        <v>0.19087739038620599</v>
      </c>
      <c r="I1557">
        <v>0.168902781489597</v>
      </c>
      <c r="J1557">
        <v>0.15678735570925301</v>
      </c>
      <c r="K1557">
        <v>0.11855214690423301</v>
      </c>
      <c r="L1557">
        <v>1101.3815025045701</v>
      </c>
      <c r="M1557">
        <v>21.4639048578229</v>
      </c>
      <c r="N1557">
        <v>51.993197761432903</v>
      </c>
      <c r="O1557">
        <v>50.874010419259797</v>
      </c>
      <c r="P1557">
        <v>-9.2569912273465699E-2</v>
      </c>
      <c r="Q1557">
        <v>0.122380237954357</v>
      </c>
      <c r="R1557">
        <v>0.983004617119559</v>
      </c>
      <c r="S1557" t="s">
        <v>7108</v>
      </c>
      <c r="T1557" t="s">
        <v>11100</v>
      </c>
      <c r="U1557" t="s">
        <v>11100</v>
      </c>
      <c r="V1557" t="s">
        <v>11100</v>
      </c>
      <c r="W1557" t="s">
        <v>12623</v>
      </c>
      <c r="X1557">
        <v>29</v>
      </c>
      <c r="Y1557" t="s">
        <v>18115</v>
      </c>
      <c r="Z1557" t="s">
        <v>23562</v>
      </c>
      <c r="AA1557">
        <v>0.55127337266012333</v>
      </c>
      <c r="AB1557" t="str">
        <f>HYPERLINK("Melting_Curves/meltCurve_O94826_TOMM70A.pdf", "Melting_Curves/meltCurve_O94826_TOMM70A.pdf")</f>
        <v>Melting_Curves/meltCurve_O94826_TOMM70A.pdf</v>
      </c>
    </row>
    <row r="1558" spans="1:28" x14ac:dyDescent="0.25">
      <c r="A1558" t="s">
        <v>1562</v>
      </c>
      <c r="B1558">
        <v>0.99299721793515405</v>
      </c>
      <c r="C1558">
        <v>0.92865745853168202</v>
      </c>
      <c r="D1558">
        <v>0.91765402511210203</v>
      </c>
      <c r="E1558">
        <v>0.90231660637165401</v>
      </c>
      <c r="F1558">
        <v>0.78160953010575696</v>
      </c>
      <c r="G1558">
        <v>0.47290886309955599</v>
      </c>
      <c r="H1558">
        <v>0.22376192008201001</v>
      </c>
      <c r="I1558">
        <v>0.17184275122102999</v>
      </c>
      <c r="J1558">
        <v>0.17208629333453801</v>
      </c>
      <c r="K1558">
        <v>0.130056462453149</v>
      </c>
      <c r="L1558">
        <v>1046.3555098111301</v>
      </c>
      <c r="M1558">
        <v>19.8961022695254</v>
      </c>
      <c r="N1558">
        <v>53.333492680507099</v>
      </c>
      <c r="O1558">
        <v>52.068340187658002</v>
      </c>
      <c r="P1558">
        <v>-8.3975417699499899E-2</v>
      </c>
      <c r="Q1558">
        <v>0.12097043604853799</v>
      </c>
      <c r="R1558">
        <v>0.98837265002050501</v>
      </c>
      <c r="S1558" t="s">
        <v>7109</v>
      </c>
      <c r="T1558" t="s">
        <v>11100</v>
      </c>
      <c r="U1558" t="s">
        <v>11100</v>
      </c>
      <c r="V1558" t="s">
        <v>11100</v>
      </c>
      <c r="W1558" t="s">
        <v>12624</v>
      </c>
      <c r="X1558">
        <v>8</v>
      </c>
      <c r="Y1558" t="s">
        <v>18116</v>
      </c>
      <c r="Z1558" t="s">
        <v>23563</v>
      </c>
      <c r="AA1558">
        <v>0.58909306018976482</v>
      </c>
      <c r="AB1558" t="str">
        <f>HYPERLINK("Melting_Curves/meltCurve_O94829_IPO13.pdf", "Melting_Curves/meltCurve_O94829_IPO13.pdf")</f>
        <v>Melting_Curves/meltCurve_O94829_IPO13.pdf</v>
      </c>
    </row>
    <row r="1559" spans="1:28" x14ac:dyDescent="0.25">
      <c r="A1559" t="s">
        <v>1563</v>
      </c>
      <c r="B1559">
        <v>0.99299721793515405</v>
      </c>
      <c r="C1559">
        <v>0.969842472673486</v>
      </c>
      <c r="D1559">
        <v>1.20578533416161</v>
      </c>
      <c r="E1559">
        <v>0.90975334062644198</v>
      </c>
      <c r="F1559">
        <v>0.78280512639850597</v>
      </c>
      <c r="G1559">
        <v>0.99602196044646696</v>
      </c>
      <c r="H1559">
        <v>0.72704087179867605</v>
      </c>
      <c r="I1559">
        <v>0.578451695204524</v>
      </c>
      <c r="J1559">
        <v>0.29010295259089602</v>
      </c>
      <c r="K1559">
        <v>0.27352877374916501</v>
      </c>
      <c r="L1559">
        <v>890.99350655178</v>
      </c>
      <c r="M1559">
        <v>14.458629089245999</v>
      </c>
      <c r="N1559">
        <v>61.623650819747503</v>
      </c>
      <c r="O1559">
        <v>60.4808159822473</v>
      </c>
      <c r="P1559">
        <v>-5.9772324651881002E-2</v>
      </c>
      <c r="Q1559">
        <v>0</v>
      </c>
      <c r="R1559">
        <v>0.88085722313320403</v>
      </c>
      <c r="S1559" t="s">
        <v>7110</v>
      </c>
      <c r="T1559" t="s">
        <v>11100</v>
      </c>
      <c r="U1559" t="s">
        <v>11100</v>
      </c>
      <c r="V1559" t="s">
        <v>11100</v>
      </c>
      <c r="W1559" t="s">
        <v>12625</v>
      </c>
      <c r="X1559">
        <v>3</v>
      </c>
      <c r="Y1559" t="s">
        <v>18117</v>
      </c>
      <c r="Z1559" t="s">
        <v>23564</v>
      </c>
      <c r="AA1559">
        <v>0.79989827770966115</v>
      </c>
      <c r="AB1559" t="str">
        <f>HYPERLINK("Melting_Curves/meltCurve_O94830_DDHD2.pdf", "Melting_Curves/meltCurve_O94830_DDHD2.pdf")</f>
        <v>Melting_Curves/meltCurve_O94830_DDHD2.pdf</v>
      </c>
    </row>
    <row r="1560" spans="1:28" x14ac:dyDescent="0.25">
      <c r="A1560" t="s">
        <v>1564</v>
      </c>
      <c r="B1560">
        <v>0.99299721793515405</v>
      </c>
      <c r="C1560">
        <v>0.952122037135403</v>
      </c>
      <c r="D1560">
        <v>0.87722253827571595</v>
      </c>
      <c r="E1560">
        <v>0.73663492066788105</v>
      </c>
      <c r="F1560">
        <v>0.62311934615168396</v>
      </c>
      <c r="G1560">
        <v>0.303787771625321</v>
      </c>
      <c r="H1560">
        <v>0.19128822245003499</v>
      </c>
      <c r="I1560">
        <v>0.15798603849776</v>
      </c>
      <c r="J1560">
        <v>0.14871494704528501</v>
      </c>
      <c r="K1560">
        <v>0.120652847136401</v>
      </c>
      <c r="L1560">
        <v>659.24348381785398</v>
      </c>
      <c r="M1560">
        <v>13.1153117450148</v>
      </c>
      <c r="N1560">
        <v>50.899413397250001</v>
      </c>
      <c r="O1560">
        <v>49.139648268429902</v>
      </c>
      <c r="P1560">
        <v>-6.17051879622081E-2</v>
      </c>
      <c r="Q1560">
        <v>7.53845167506417E-2</v>
      </c>
      <c r="R1560">
        <v>0.98945984802060705</v>
      </c>
      <c r="S1560" t="s">
        <v>7111</v>
      </c>
      <c r="T1560" t="s">
        <v>11100</v>
      </c>
      <c r="U1560" t="s">
        <v>11100</v>
      </c>
      <c r="V1560" t="s">
        <v>11100</v>
      </c>
      <c r="W1560" t="s">
        <v>12626</v>
      </c>
      <c r="X1560">
        <v>24</v>
      </c>
      <c r="Y1560" t="s">
        <v>18118</v>
      </c>
      <c r="Z1560" t="s">
        <v>23565</v>
      </c>
      <c r="AA1560">
        <v>0.50711354726264468</v>
      </c>
      <c r="AB1560" t="str">
        <f>HYPERLINK("Melting_Curves/meltCurve_O94832_MYO1D.pdf", "Melting_Curves/meltCurve_O94832_MYO1D.pdf")</f>
        <v>Melting_Curves/meltCurve_O94832_MYO1D.pdf</v>
      </c>
    </row>
    <row r="1561" spans="1:28" x14ac:dyDescent="0.25">
      <c r="A1561" t="s">
        <v>1565</v>
      </c>
      <c r="B1561">
        <v>0.99299721793515405</v>
      </c>
      <c r="C1561">
        <v>0.85969052870567497</v>
      </c>
      <c r="D1561">
        <v>0.76428576160772899</v>
      </c>
      <c r="E1561">
        <v>0.57102670606588402</v>
      </c>
      <c r="F1561">
        <v>0.57341463804891801</v>
      </c>
      <c r="G1561">
        <v>0.34277911085684398</v>
      </c>
      <c r="H1561">
        <v>0</v>
      </c>
      <c r="I1561">
        <v>0</v>
      </c>
      <c r="J1561">
        <v>0</v>
      </c>
      <c r="K1561">
        <v>0</v>
      </c>
      <c r="L1561">
        <v>564.73331254443701</v>
      </c>
      <c r="M1561">
        <v>11.597015213455601</v>
      </c>
      <c r="N1561">
        <v>48.696436318224301</v>
      </c>
      <c r="O1561">
        <v>47.316057691876203</v>
      </c>
      <c r="P1561">
        <v>-6.1291081076248401E-2</v>
      </c>
      <c r="Q1561">
        <v>0</v>
      </c>
      <c r="R1561">
        <v>0.94272266916939595</v>
      </c>
      <c r="S1561" t="s">
        <v>7112</v>
      </c>
      <c r="T1561" t="s">
        <v>11100</v>
      </c>
      <c r="U1561" t="s">
        <v>11100</v>
      </c>
      <c r="V1561" t="s">
        <v>11100</v>
      </c>
      <c r="W1561" t="s">
        <v>12627</v>
      </c>
      <c r="X1561">
        <v>1</v>
      </c>
      <c r="Y1561" t="s">
        <v>18119</v>
      </c>
      <c r="Z1561" t="s">
        <v>23566</v>
      </c>
      <c r="AA1561">
        <v>0.42151770257062682</v>
      </c>
      <c r="AB1561" t="str">
        <f>HYPERLINK("Melting_Curves/meltCurve_O94851_5_MICAL2.pdf", "Melting_Curves/meltCurve_O94851_5_MICAL2.pdf")</f>
        <v>Melting_Curves/meltCurve_O94851_5_MICAL2.pdf</v>
      </c>
    </row>
    <row r="1562" spans="1:28" x14ac:dyDescent="0.25">
      <c r="A1562" t="s">
        <v>1566</v>
      </c>
      <c r="B1562">
        <v>0.99299721793515405</v>
      </c>
      <c r="C1562">
        <v>0.99515170406301001</v>
      </c>
      <c r="D1562">
        <v>0.86637133235766906</v>
      </c>
      <c r="E1562">
        <v>0.95047694129962701</v>
      </c>
      <c r="F1562">
        <v>0.74862217539750198</v>
      </c>
      <c r="G1562">
        <v>0.42514345835759398</v>
      </c>
      <c r="H1562">
        <v>0.27608317972630197</v>
      </c>
      <c r="I1562">
        <v>0.22933362628677001</v>
      </c>
      <c r="J1562">
        <v>0.22673740079764301</v>
      </c>
      <c r="K1562">
        <v>0.15787493529163199</v>
      </c>
      <c r="L1562">
        <v>1112.5540660571301</v>
      </c>
      <c r="M1562">
        <v>21.445224495903801</v>
      </c>
      <c r="N1562">
        <v>53.018220642453898</v>
      </c>
      <c r="O1562">
        <v>51.4340849745425</v>
      </c>
      <c r="P1562">
        <v>-8.49936705966646E-2</v>
      </c>
      <c r="Q1562">
        <v>0.18462710355730799</v>
      </c>
      <c r="R1562">
        <v>0.98375901404664001</v>
      </c>
      <c r="S1562" t="s">
        <v>7113</v>
      </c>
      <c r="T1562" t="s">
        <v>11100</v>
      </c>
      <c r="U1562" t="s">
        <v>11100</v>
      </c>
      <c r="V1562" t="s">
        <v>11100</v>
      </c>
      <c r="W1562" t="s">
        <v>12628</v>
      </c>
      <c r="X1562">
        <v>6</v>
      </c>
      <c r="Y1562" t="s">
        <v>18120</v>
      </c>
      <c r="Z1562" t="s">
        <v>23567</v>
      </c>
      <c r="AA1562">
        <v>0.5984468016377531</v>
      </c>
      <c r="AB1562" t="str">
        <f>HYPERLINK("Melting_Curves/meltCurve_O94855_SEC24D.pdf", "Melting_Curves/meltCurve_O94855_SEC24D.pdf")</f>
        <v>Melting_Curves/meltCurve_O94855_SEC24D.pdf</v>
      </c>
    </row>
    <row r="1563" spans="1:28" x14ac:dyDescent="0.25">
      <c r="A1563" t="s">
        <v>1567</v>
      </c>
      <c r="B1563">
        <v>0.99299721793515405</v>
      </c>
      <c r="C1563">
        <v>0.91763513729950796</v>
      </c>
      <c r="D1563">
        <v>0.96823333893430796</v>
      </c>
      <c r="E1563">
        <v>0.86205282052966004</v>
      </c>
      <c r="F1563">
        <v>0.67983092332241002</v>
      </c>
      <c r="G1563">
        <v>0.44540945970880302</v>
      </c>
      <c r="H1563">
        <v>0.35713025595213299</v>
      </c>
      <c r="I1563">
        <v>0.37273141086005002</v>
      </c>
      <c r="J1563">
        <v>0.29315351893272901</v>
      </c>
      <c r="K1563">
        <v>0.238807615604888</v>
      </c>
      <c r="L1563">
        <v>796.32827136274898</v>
      </c>
      <c r="M1563">
        <v>15.684677346363801</v>
      </c>
      <c r="N1563">
        <v>53.294265141157403</v>
      </c>
      <c r="O1563">
        <v>49.967285046008499</v>
      </c>
      <c r="P1563">
        <v>-5.7914805277872898E-2</v>
      </c>
      <c r="Q1563">
        <v>0.26205694906988197</v>
      </c>
      <c r="R1563">
        <v>0.98534825622145905</v>
      </c>
      <c r="S1563" t="s">
        <v>7114</v>
      </c>
      <c r="T1563" t="s">
        <v>11100</v>
      </c>
      <c r="U1563" t="s">
        <v>11100</v>
      </c>
      <c r="V1563" t="s">
        <v>11100</v>
      </c>
      <c r="W1563" t="s">
        <v>12629</v>
      </c>
      <c r="X1563">
        <v>4</v>
      </c>
      <c r="Y1563" t="s">
        <v>18121</v>
      </c>
      <c r="Z1563" t="s">
        <v>23568</v>
      </c>
      <c r="AA1563">
        <v>0.61490814893929935</v>
      </c>
      <c r="AB1563" t="str">
        <f>HYPERLINK("Melting_Curves/meltCurve_O94864_2_SUPT7L.pdf", "Melting_Curves/meltCurve_O94864_2_SUPT7L.pdf")</f>
        <v>Melting_Curves/meltCurve_O94864_2_SUPT7L.pdf</v>
      </c>
    </row>
    <row r="1564" spans="1:28" x14ac:dyDescent="0.25">
      <c r="A1564" t="s">
        <v>1568</v>
      </c>
      <c r="B1564">
        <v>0.99299721793515405</v>
      </c>
      <c r="C1564">
        <v>1.0542396328105801</v>
      </c>
      <c r="D1564">
        <v>1.0178399446806701</v>
      </c>
      <c r="E1564">
        <v>0.88676501799465002</v>
      </c>
      <c r="F1564">
        <v>0.74985607930657605</v>
      </c>
      <c r="G1564">
        <v>0.22953867233196301</v>
      </c>
      <c r="H1564">
        <v>0.18210430635647801</v>
      </c>
      <c r="I1564">
        <v>0.16636773817153699</v>
      </c>
      <c r="J1564">
        <v>0.15414563018437399</v>
      </c>
      <c r="K1564">
        <v>0.123651653304843</v>
      </c>
      <c r="L1564">
        <v>2041.8990863378101</v>
      </c>
      <c r="M1564">
        <v>39.9077769210338</v>
      </c>
      <c r="N1564">
        <v>51.622845004756499</v>
      </c>
      <c r="O1564">
        <v>51.0374844360379</v>
      </c>
      <c r="P1564">
        <v>-0.166370956054261</v>
      </c>
      <c r="Q1564">
        <v>0.14892423824732701</v>
      </c>
      <c r="R1564">
        <v>0.99025377161681905</v>
      </c>
      <c r="S1564" t="s">
        <v>7115</v>
      </c>
      <c r="T1564" t="s">
        <v>11100</v>
      </c>
      <c r="U1564" t="s">
        <v>11100</v>
      </c>
      <c r="V1564" t="s">
        <v>11100</v>
      </c>
      <c r="W1564" t="s">
        <v>12630</v>
      </c>
      <c r="X1564">
        <v>16</v>
      </c>
      <c r="Y1564" t="s">
        <v>18122</v>
      </c>
      <c r="Z1564" t="s">
        <v>23569</v>
      </c>
      <c r="AA1564">
        <v>0.55380597844601354</v>
      </c>
      <c r="AB1564" t="str">
        <f>HYPERLINK("Melting_Curves/meltCurve_O94874_UFL1.pdf", "Melting_Curves/meltCurve_O94874_UFL1.pdf")</f>
        <v>Melting_Curves/meltCurve_O94874_UFL1.pdf</v>
      </c>
    </row>
    <row r="1565" spans="1:28" x14ac:dyDescent="0.25">
      <c r="A1565" t="s">
        <v>1569</v>
      </c>
      <c r="B1565">
        <v>0.99299721793515405</v>
      </c>
      <c r="C1565">
        <v>0.78864226616028998</v>
      </c>
      <c r="D1565">
        <v>0.84477493337253995</v>
      </c>
      <c r="E1565">
        <v>0.71182352533528503</v>
      </c>
      <c r="F1565">
        <v>0.50597253578285395</v>
      </c>
      <c r="G1565">
        <v>0.234373072663911</v>
      </c>
      <c r="H1565">
        <v>0.21378195821937801</v>
      </c>
      <c r="I1565">
        <v>0.17428946562406999</v>
      </c>
      <c r="J1565">
        <v>0.22700376560945601</v>
      </c>
      <c r="K1565">
        <v>0.16498038984511301</v>
      </c>
      <c r="L1565">
        <v>559.99911712591904</v>
      </c>
      <c r="M1565">
        <v>11.601352401404201</v>
      </c>
      <c r="N1565">
        <v>49.445450794194798</v>
      </c>
      <c r="O1565">
        <v>46.902825635008</v>
      </c>
      <c r="P1565">
        <v>-5.4400653890780699E-2</v>
      </c>
      <c r="Q1565">
        <v>0.120501318307252</v>
      </c>
      <c r="R1565">
        <v>0.95846971322295504</v>
      </c>
      <c r="S1565" t="s">
        <v>7116</v>
      </c>
      <c r="T1565" t="s">
        <v>11100</v>
      </c>
      <c r="U1565" t="s">
        <v>11100</v>
      </c>
      <c r="V1565" t="s">
        <v>11100</v>
      </c>
      <c r="W1565" t="s">
        <v>12631</v>
      </c>
      <c r="X1565">
        <v>8</v>
      </c>
      <c r="Y1565" t="s">
        <v>18123</v>
      </c>
      <c r="Z1565" t="s">
        <v>23570</v>
      </c>
      <c r="AA1565">
        <v>0.47939335338365452</v>
      </c>
      <c r="AB1565" t="str">
        <f>HYPERLINK("Melting_Curves/meltCurve_O94885_SASH1.pdf", "Melting_Curves/meltCurve_O94885_SASH1.pdf")</f>
        <v>Melting_Curves/meltCurve_O94885_SASH1.pdf</v>
      </c>
    </row>
    <row r="1566" spans="1:28" x14ac:dyDescent="0.25">
      <c r="A1566" t="s">
        <v>1570</v>
      </c>
      <c r="B1566">
        <v>0.99299721793515405</v>
      </c>
      <c r="C1566">
        <v>0.99953320030038995</v>
      </c>
      <c r="D1566">
        <v>0.92813088442675595</v>
      </c>
      <c r="E1566">
        <v>0.93046672551091703</v>
      </c>
      <c r="F1566">
        <v>0.79162596645942795</v>
      </c>
      <c r="G1566">
        <v>0.59080729567461898</v>
      </c>
      <c r="H1566">
        <v>0.474586565030651</v>
      </c>
      <c r="I1566">
        <v>0.36483011787652098</v>
      </c>
      <c r="J1566">
        <v>0.263775391819073</v>
      </c>
      <c r="K1566">
        <v>0.178679075439139</v>
      </c>
      <c r="L1566">
        <v>568.50034078897897</v>
      </c>
      <c r="M1566">
        <v>10.0986674168417</v>
      </c>
      <c r="N1566">
        <v>56.729284640627</v>
      </c>
      <c r="O1566">
        <v>54.2208502867175</v>
      </c>
      <c r="P1566">
        <v>-4.4849966568135002E-2</v>
      </c>
      <c r="Q1566">
        <v>3.7233184306186003E-2</v>
      </c>
      <c r="R1566">
        <v>0.994389314378752</v>
      </c>
      <c r="S1566" t="s">
        <v>7117</v>
      </c>
      <c r="T1566" t="s">
        <v>11100</v>
      </c>
      <c r="U1566" t="s">
        <v>11100</v>
      </c>
      <c r="V1566" t="s">
        <v>11100</v>
      </c>
      <c r="W1566" t="s">
        <v>12632</v>
      </c>
      <c r="X1566">
        <v>13</v>
      </c>
      <c r="Y1566" t="s">
        <v>18124</v>
      </c>
      <c r="Z1566" t="s">
        <v>23571</v>
      </c>
      <c r="AA1566">
        <v>0.66067371013250054</v>
      </c>
      <c r="AB1566" t="str">
        <f>HYPERLINK("Melting_Curves/meltCurve_O94888_UBXN7.pdf", "Melting_Curves/meltCurve_O94888_UBXN7.pdf")</f>
        <v>Melting_Curves/meltCurve_O94888_UBXN7.pdf</v>
      </c>
    </row>
    <row r="1567" spans="1:28" x14ac:dyDescent="0.25">
      <c r="A1567" t="s">
        <v>1571</v>
      </c>
      <c r="B1567">
        <v>0.99299721793515405</v>
      </c>
      <c r="C1567">
        <v>0.88269426282768004</v>
      </c>
      <c r="D1567">
        <v>0.92637771784720802</v>
      </c>
      <c r="E1567">
        <v>0.695011386716611</v>
      </c>
      <c r="F1567">
        <v>0.70171194276342397</v>
      </c>
      <c r="G1567">
        <v>0.54653479889930201</v>
      </c>
      <c r="H1567">
        <v>0.46854253036878701</v>
      </c>
      <c r="I1567">
        <v>0.37333517547981998</v>
      </c>
      <c r="J1567">
        <v>0.25016899516885899</v>
      </c>
      <c r="K1567">
        <v>0.34565928551285702</v>
      </c>
      <c r="L1567">
        <v>387.25486771309801</v>
      </c>
      <c r="M1567">
        <v>7.2925925739533604</v>
      </c>
      <c r="N1567">
        <v>55.462243422479901</v>
      </c>
      <c r="O1567">
        <v>49.546486892360598</v>
      </c>
      <c r="P1567">
        <v>-3.1939709017854097E-2</v>
      </c>
      <c r="Q1567">
        <v>0.13337821466088901</v>
      </c>
      <c r="R1567">
        <v>0.96233015166773495</v>
      </c>
      <c r="S1567" t="s">
        <v>7118</v>
      </c>
      <c r="T1567" t="s">
        <v>11100</v>
      </c>
      <c r="U1567" t="s">
        <v>11100</v>
      </c>
      <c r="V1567" t="s">
        <v>11100</v>
      </c>
      <c r="W1567" t="s">
        <v>12633</v>
      </c>
      <c r="X1567">
        <v>2</v>
      </c>
      <c r="Y1567" t="s">
        <v>18125</v>
      </c>
      <c r="Z1567" t="s">
        <v>23572</v>
      </c>
      <c r="AA1567">
        <v>0.61591410373659694</v>
      </c>
      <c r="AB1567" t="str">
        <f>HYPERLINK("Melting_Curves/meltCurve_O94898_LRIG2.pdf", "Melting_Curves/meltCurve_O94898_LRIG2.pdf")</f>
        <v>Melting_Curves/meltCurve_O94898_LRIG2.pdf</v>
      </c>
    </row>
    <row r="1568" spans="1:28" x14ac:dyDescent="0.25">
      <c r="A1568" t="s">
        <v>1572</v>
      </c>
      <c r="B1568">
        <v>0.99299721793515405</v>
      </c>
      <c r="C1568">
        <v>1.0053827864812099</v>
      </c>
      <c r="D1568">
        <v>0.93925263748577303</v>
      </c>
      <c r="E1568">
        <v>0.84513351586402097</v>
      </c>
      <c r="F1568">
        <v>0.60416109281561403</v>
      </c>
      <c r="G1568">
        <v>0.34968435295604</v>
      </c>
      <c r="H1568">
        <v>0.25523567025250299</v>
      </c>
      <c r="I1568">
        <v>0.21495699993119</v>
      </c>
      <c r="J1568">
        <v>0.16815161074151699</v>
      </c>
      <c r="K1568">
        <v>0.160252272707299</v>
      </c>
      <c r="L1568">
        <v>883.09208319898801</v>
      </c>
      <c r="M1568">
        <v>17.508430801891901</v>
      </c>
      <c r="N1568">
        <v>51.547235265928997</v>
      </c>
      <c r="O1568">
        <v>49.793920547459301</v>
      </c>
      <c r="P1568">
        <v>-7.4112250244026401E-2</v>
      </c>
      <c r="Q1568">
        <v>0.15694639275554101</v>
      </c>
      <c r="R1568">
        <v>0.99854578931246796</v>
      </c>
      <c r="S1568" t="s">
        <v>7119</v>
      </c>
      <c r="T1568" t="s">
        <v>11100</v>
      </c>
      <c r="U1568" t="s">
        <v>11100</v>
      </c>
      <c r="V1568" t="s">
        <v>11100</v>
      </c>
      <c r="W1568" t="s">
        <v>12634</v>
      </c>
      <c r="X1568">
        <v>11</v>
      </c>
      <c r="Y1568" t="s">
        <v>18126</v>
      </c>
      <c r="Z1568" t="s">
        <v>23573</v>
      </c>
      <c r="AA1568">
        <v>0.54837972075938191</v>
      </c>
      <c r="AB1568" t="str">
        <f>HYPERLINK("Melting_Curves/meltCurve_O94903_PROSC.pdf", "Melting_Curves/meltCurve_O94903_PROSC.pdf")</f>
        <v>Melting_Curves/meltCurve_O94903_PROSC.pdf</v>
      </c>
    </row>
    <row r="1569" spans="1:28" x14ac:dyDescent="0.25">
      <c r="A1569" t="s">
        <v>1573</v>
      </c>
      <c r="B1569">
        <v>0.99299721793515405</v>
      </c>
      <c r="C1569">
        <v>0.96896911200583902</v>
      </c>
      <c r="D1569">
        <v>0.87655329073404997</v>
      </c>
      <c r="E1569">
        <v>0.86951278515767505</v>
      </c>
      <c r="F1569">
        <v>0.93670797036556896</v>
      </c>
      <c r="G1569">
        <v>0.74287667249001699</v>
      </c>
      <c r="H1569">
        <v>0.72967187474287498</v>
      </c>
      <c r="I1569">
        <v>0.46064803784679698</v>
      </c>
      <c r="J1569">
        <v>0.41016301542607098</v>
      </c>
      <c r="K1569">
        <v>0.45915477672885202</v>
      </c>
      <c r="L1569">
        <v>449.20869812454401</v>
      </c>
      <c r="M1569">
        <v>7.3081435853772403</v>
      </c>
      <c r="N1569">
        <v>62.692709548167997</v>
      </c>
      <c r="O1569">
        <v>57.366311852592901</v>
      </c>
      <c r="P1569">
        <v>-2.9775183905609699E-2</v>
      </c>
      <c r="Q1569">
        <v>6.6578506707264701E-2</v>
      </c>
      <c r="R1569">
        <v>0.91698330306067499</v>
      </c>
      <c r="S1569" t="s">
        <v>7120</v>
      </c>
      <c r="T1569" t="s">
        <v>11100</v>
      </c>
      <c r="U1569" t="s">
        <v>11100</v>
      </c>
      <c r="V1569" t="s">
        <v>11100</v>
      </c>
      <c r="W1569" t="s">
        <v>12635</v>
      </c>
      <c r="X1569">
        <v>3</v>
      </c>
      <c r="Y1569" t="s">
        <v>18127</v>
      </c>
      <c r="Z1569" t="s">
        <v>23574</v>
      </c>
      <c r="AA1569">
        <v>0.76163721585917443</v>
      </c>
      <c r="AB1569" t="str">
        <f>HYPERLINK("Melting_Curves/meltCurve_O94905_ERLIN2.pdf", "Melting_Curves/meltCurve_O94905_ERLIN2.pdf")</f>
        <v>Melting_Curves/meltCurve_O94905_ERLIN2.pdf</v>
      </c>
    </row>
    <row r="1570" spans="1:28" x14ac:dyDescent="0.25">
      <c r="A1570" t="s">
        <v>1574</v>
      </c>
      <c r="B1570">
        <v>0.99299721793515405</v>
      </c>
      <c r="C1570">
        <v>1.0090322083126699</v>
      </c>
      <c r="D1570">
        <v>0.88754477627693495</v>
      </c>
      <c r="E1570">
        <v>0.96327497029036901</v>
      </c>
      <c r="F1570">
        <v>0.78492608702553301</v>
      </c>
      <c r="G1570">
        <v>0.600370034720489</v>
      </c>
      <c r="H1570">
        <v>0.60338294869152298</v>
      </c>
      <c r="I1570">
        <v>0.659700828177615</v>
      </c>
      <c r="J1570">
        <v>0.58270029352286401</v>
      </c>
      <c r="K1570">
        <v>0.28897291017036503</v>
      </c>
      <c r="L1570">
        <v>351.35709642030298</v>
      </c>
      <c r="M1570">
        <v>5.5843994750350801</v>
      </c>
      <c r="N1570">
        <v>62.917615041788899</v>
      </c>
      <c r="O1570">
        <v>56.235761301384898</v>
      </c>
      <c r="P1570">
        <v>-2.4929501104042399E-2</v>
      </c>
      <c r="Q1570">
        <v>0</v>
      </c>
      <c r="R1570">
        <v>0.857808814011773</v>
      </c>
      <c r="S1570" t="s">
        <v>7121</v>
      </c>
      <c r="T1570" t="s">
        <v>11100</v>
      </c>
      <c r="U1570" t="s">
        <v>11100</v>
      </c>
      <c r="V1570" t="s">
        <v>11100</v>
      </c>
      <c r="W1570" t="s">
        <v>12636</v>
      </c>
      <c r="X1570">
        <v>9</v>
      </c>
      <c r="Y1570" t="s">
        <v>18128</v>
      </c>
      <c r="Z1570" t="s">
        <v>23575</v>
      </c>
      <c r="AA1570">
        <v>0.73996026875125265</v>
      </c>
      <c r="AB1570" t="str">
        <f>HYPERLINK("Melting_Curves/meltCurve_O94919_ENDOD1.pdf", "Melting_Curves/meltCurve_O94919_ENDOD1.pdf")</f>
        <v>Melting_Curves/meltCurve_O94919_ENDOD1.pdf</v>
      </c>
    </row>
    <row r="1571" spans="1:28" x14ac:dyDescent="0.25">
      <c r="A1571" t="s">
        <v>1575</v>
      </c>
      <c r="B1571">
        <v>0.99299721793515405</v>
      </c>
      <c r="C1571">
        <v>0.83931706585553201</v>
      </c>
      <c r="D1571">
        <v>0.85769857595268895</v>
      </c>
      <c r="E1571">
        <v>0.69124290119696596</v>
      </c>
      <c r="F1571">
        <v>0.57579766264646204</v>
      </c>
      <c r="G1571">
        <v>0.206522682632307</v>
      </c>
      <c r="H1571">
        <v>0.122903792575217</v>
      </c>
      <c r="I1571">
        <v>7.1963950510841507E-2</v>
      </c>
      <c r="J1571">
        <v>0.111219704718986</v>
      </c>
      <c r="K1571">
        <v>8.7780227789613099E-2</v>
      </c>
      <c r="L1571">
        <v>605.52695439695594</v>
      </c>
      <c r="M1571">
        <v>12.217028255154201</v>
      </c>
      <c r="N1571">
        <v>49.666938425070398</v>
      </c>
      <c r="O1571">
        <v>48.2923048869892</v>
      </c>
      <c r="P1571">
        <v>-6.2469810372496402E-2</v>
      </c>
      <c r="Q1571">
        <v>1.2482187908776801E-2</v>
      </c>
      <c r="R1571">
        <v>0.97051608107255005</v>
      </c>
      <c r="S1571" t="s">
        <v>7122</v>
      </c>
      <c r="T1571" t="s">
        <v>11100</v>
      </c>
      <c r="U1571" t="s">
        <v>11100</v>
      </c>
      <c r="V1571" t="s">
        <v>11100</v>
      </c>
      <c r="W1571" t="s">
        <v>12637</v>
      </c>
      <c r="X1571">
        <v>4</v>
      </c>
      <c r="Y1571" t="s">
        <v>18129</v>
      </c>
      <c r="Z1571" t="s">
        <v>23576</v>
      </c>
      <c r="AA1571">
        <v>0.45384052318302059</v>
      </c>
      <c r="AB1571" t="str">
        <f>HYPERLINK("Melting_Curves/meltCurve_O94921_CDK14.pdf", "Melting_Curves/meltCurve_O94921_CDK14.pdf")</f>
        <v>Melting_Curves/meltCurve_O94921_CDK14.pdf</v>
      </c>
    </row>
    <row r="1572" spans="1:28" x14ac:dyDescent="0.25">
      <c r="A1572" t="s">
        <v>1576</v>
      </c>
      <c r="B1572">
        <v>0.99299721793515405</v>
      </c>
      <c r="C1572">
        <v>1.06173118798419</v>
      </c>
      <c r="D1572">
        <v>0.94075451810537702</v>
      </c>
      <c r="E1572">
        <v>0.91914695620135001</v>
      </c>
      <c r="F1572">
        <v>0.71039874855302998</v>
      </c>
      <c r="G1572">
        <v>0.44036678266955298</v>
      </c>
      <c r="H1572">
        <v>0.185674104234473</v>
      </c>
      <c r="I1572">
        <v>0.140765659035364</v>
      </c>
      <c r="J1572">
        <v>0.106238671415783</v>
      </c>
      <c r="K1572">
        <v>7.7931621487745295E-2</v>
      </c>
      <c r="L1572">
        <v>984.92920474377001</v>
      </c>
      <c r="M1572">
        <v>18.802628604127001</v>
      </c>
      <c r="N1572">
        <v>52.788311856553896</v>
      </c>
      <c r="O1572">
        <v>51.800801172437801</v>
      </c>
      <c r="P1572">
        <v>-8.4642333853933993E-2</v>
      </c>
      <c r="Q1572">
        <v>6.72881674383915E-2</v>
      </c>
      <c r="R1572">
        <v>0.99476275423565597</v>
      </c>
      <c r="S1572" t="s">
        <v>7123</v>
      </c>
      <c r="T1572" t="s">
        <v>11100</v>
      </c>
      <c r="U1572" t="s">
        <v>11100</v>
      </c>
      <c r="V1572" t="s">
        <v>11100</v>
      </c>
      <c r="W1572" t="s">
        <v>12638</v>
      </c>
      <c r="X1572">
        <v>16</v>
      </c>
      <c r="Y1572" t="s">
        <v>18130</v>
      </c>
      <c r="Z1572" t="s">
        <v>23577</v>
      </c>
      <c r="AA1572">
        <v>0.55862926028412507</v>
      </c>
      <c r="AB1572" t="str">
        <f>HYPERLINK("Melting_Curves/meltCurve_O94925_3_GLS.pdf", "Melting_Curves/meltCurve_O94925_3_GLS.pdf")</f>
        <v>Melting_Curves/meltCurve_O94925_3_GLS.pdf</v>
      </c>
    </row>
    <row r="1573" spans="1:28" x14ac:dyDescent="0.25">
      <c r="A1573" t="s">
        <v>1577</v>
      </c>
      <c r="B1573">
        <v>0.99299721793515405</v>
      </c>
      <c r="C1573">
        <v>1.0716942909604701</v>
      </c>
      <c r="D1573">
        <v>1.05485957416111</v>
      </c>
      <c r="E1573">
        <v>0.79414633391796396</v>
      </c>
      <c r="F1573">
        <v>0.44658052215329502</v>
      </c>
      <c r="G1573">
        <v>0.46727471272339</v>
      </c>
      <c r="H1573">
        <v>0.211215157868748</v>
      </c>
      <c r="I1573">
        <v>0.16810717023682301</v>
      </c>
      <c r="J1573">
        <v>8.39518942940152E-2</v>
      </c>
      <c r="K1573">
        <v>8.4281902316525797E-2</v>
      </c>
      <c r="L1573">
        <v>758.65755545017805</v>
      </c>
      <c r="M1573">
        <v>14.980638417179399</v>
      </c>
      <c r="N1573">
        <v>51.234821079594902</v>
      </c>
      <c r="O1573">
        <v>49.765829381970697</v>
      </c>
      <c r="P1573">
        <v>-6.9279386152345301E-2</v>
      </c>
      <c r="Q1573">
        <v>7.9506287224248406E-2</v>
      </c>
      <c r="R1573">
        <v>0.96515878690230905</v>
      </c>
      <c r="S1573" t="s">
        <v>7124</v>
      </c>
      <c r="T1573" t="s">
        <v>11100</v>
      </c>
      <c r="U1573" t="s">
        <v>11100</v>
      </c>
      <c r="V1573" t="s">
        <v>11100</v>
      </c>
      <c r="W1573" t="s">
        <v>12639</v>
      </c>
      <c r="X1573">
        <v>3</v>
      </c>
      <c r="Y1573" t="s">
        <v>18131</v>
      </c>
      <c r="Z1573" t="s">
        <v>23578</v>
      </c>
      <c r="AA1573">
        <v>0.51694065212848972</v>
      </c>
      <c r="AB1573" t="str">
        <f>HYPERLINK("Melting_Curves/meltCurve_O94927_HAUS5.pdf", "Melting_Curves/meltCurve_O94927_HAUS5.pdf")</f>
        <v>Melting_Curves/meltCurve_O94927_HAUS5.pdf</v>
      </c>
    </row>
    <row r="1574" spans="1:28" x14ac:dyDescent="0.25">
      <c r="A1574" t="s">
        <v>1578</v>
      </c>
      <c r="B1574">
        <v>0.99299721793515405</v>
      </c>
      <c r="C1574">
        <v>0.84524988601052198</v>
      </c>
      <c r="D1574">
        <v>0.87134684912498594</v>
      </c>
      <c r="E1574">
        <v>1.0210347108334099</v>
      </c>
      <c r="F1574">
        <v>1.0119377144461099</v>
      </c>
      <c r="G1574">
        <v>0.92604446579369404</v>
      </c>
      <c r="H1574">
        <v>0.76718015741812795</v>
      </c>
      <c r="I1574">
        <v>0.51213824912081096</v>
      </c>
      <c r="J1574">
        <v>0.31398686191775299</v>
      </c>
      <c r="K1574">
        <v>0.20793309029597701</v>
      </c>
      <c r="L1574">
        <v>1224.7499147573301</v>
      </c>
      <c r="M1574">
        <v>20.2609264119187</v>
      </c>
      <c r="N1574">
        <v>61.114682224832102</v>
      </c>
      <c r="O1574">
        <v>59.869230756418197</v>
      </c>
      <c r="P1574">
        <v>-7.6228386094588499E-2</v>
      </c>
      <c r="Q1574">
        <v>9.9035517692955405E-2</v>
      </c>
      <c r="R1574">
        <v>0.94757685788182799</v>
      </c>
      <c r="S1574" t="s">
        <v>7125</v>
      </c>
      <c r="T1574" t="s">
        <v>11100</v>
      </c>
      <c r="U1574" t="s">
        <v>11100</v>
      </c>
      <c r="V1574" t="s">
        <v>11100</v>
      </c>
      <c r="W1574" t="s">
        <v>12640</v>
      </c>
      <c r="X1574">
        <v>1</v>
      </c>
      <c r="Y1574" t="s">
        <v>18132</v>
      </c>
      <c r="Z1574" t="s">
        <v>23579</v>
      </c>
      <c r="AA1574">
        <v>0.80215635046816258</v>
      </c>
      <c r="AB1574" t="str">
        <f>HYPERLINK("Melting_Curves/meltCurve_O94967_2_WDR47.pdf", "Melting_Curves/meltCurve_O94967_2_WDR47.pdf")</f>
        <v>Melting_Curves/meltCurve_O94967_2_WDR47.pdf</v>
      </c>
    </row>
    <row r="1575" spans="1:28" x14ac:dyDescent="0.25">
      <c r="A1575" t="s">
        <v>1579</v>
      </c>
      <c r="B1575">
        <v>0.99299721793515405</v>
      </c>
      <c r="C1575">
        <v>1.0113699438485899</v>
      </c>
      <c r="D1575">
        <v>1.10931724150925</v>
      </c>
      <c r="E1575">
        <v>0.87752071348804295</v>
      </c>
      <c r="F1575">
        <v>0.79319545727062502</v>
      </c>
      <c r="G1575">
        <v>0.76725001842866902</v>
      </c>
      <c r="H1575">
        <v>0.477622892148169</v>
      </c>
      <c r="I1575">
        <v>0.28833593717920297</v>
      </c>
      <c r="J1575">
        <v>0.21847547544901499</v>
      </c>
      <c r="K1575">
        <v>0.16889991258224599</v>
      </c>
      <c r="L1575">
        <v>729.983208741363</v>
      </c>
      <c r="M1575">
        <v>12.820517270302499</v>
      </c>
      <c r="N1575">
        <v>57.2174344881292</v>
      </c>
      <c r="O1575">
        <v>55.606730276194497</v>
      </c>
      <c r="P1575">
        <v>-5.5904620979195303E-2</v>
      </c>
      <c r="Q1575">
        <v>3.02754461150644E-2</v>
      </c>
      <c r="R1575">
        <v>0.971713161299536</v>
      </c>
      <c r="S1575" t="s">
        <v>7126</v>
      </c>
      <c r="T1575" t="s">
        <v>11100</v>
      </c>
      <c r="U1575" t="s">
        <v>11100</v>
      </c>
      <c r="V1575" t="s">
        <v>11100</v>
      </c>
      <c r="W1575" t="s">
        <v>12641</v>
      </c>
      <c r="X1575">
        <v>12</v>
      </c>
      <c r="Y1575" t="s">
        <v>18133</v>
      </c>
      <c r="Z1575" t="s">
        <v>23580</v>
      </c>
      <c r="AA1575">
        <v>0.68092705058558545</v>
      </c>
      <c r="AB1575" t="str">
        <f>HYPERLINK("Melting_Curves/meltCurve_O94973_AP2A2.pdf", "Melting_Curves/meltCurve_O94973_AP2A2.pdf")</f>
        <v>Melting_Curves/meltCurve_O94973_AP2A2.pdf</v>
      </c>
    </row>
    <row r="1576" spans="1:28" x14ac:dyDescent="0.25">
      <c r="A1576" t="s">
        <v>1580</v>
      </c>
      <c r="B1576">
        <v>0.99299721793515405</v>
      </c>
      <c r="C1576">
        <v>0.97294902916940296</v>
      </c>
      <c r="D1576">
        <v>0.83049176247398404</v>
      </c>
      <c r="E1576">
        <v>0.77982638889782896</v>
      </c>
      <c r="F1576">
        <v>0.72261215955285496</v>
      </c>
      <c r="G1576">
        <v>0.435036560972415</v>
      </c>
      <c r="H1576">
        <v>0.44077151284509802</v>
      </c>
      <c r="I1576">
        <v>0.34008359234147401</v>
      </c>
      <c r="J1576">
        <v>0.24665435683034201</v>
      </c>
      <c r="K1576">
        <v>0.20989364496339399</v>
      </c>
      <c r="L1576">
        <v>422.66889737734402</v>
      </c>
      <c r="M1576">
        <v>7.8647983193483899</v>
      </c>
      <c r="N1576">
        <v>54.468255010012399</v>
      </c>
      <c r="O1576">
        <v>50.600007334182202</v>
      </c>
      <c r="P1576">
        <v>-3.6967613414162E-2</v>
      </c>
      <c r="Q1576">
        <v>4.9786299150769001E-2</v>
      </c>
      <c r="R1576">
        <v>0.97680668917323699</v>
      </c>
      <c r="S1576" t="s">
        <v>7127</v>
      </c>
      <c r="T1576" t="s">
        <v>11100</v>
      </c>
      <c r="U1576" t="s">
        <v>11100</v>
      </c>
      <c r="V1576" t="s">
        <v>11100</v>
      </c>
      <c r="W1576" t="s">
        <v>12642</v>
      </c>
      <c r="X1576">
        <v>12</v>
      </c>
      <c r="Y1576" t="s">
        <v>18133</v>
      </c>
      <c r="Z1576" t="s">
        <v>23581</v>
      </c>
      <c r="AA1576">
        <v>0.59548472538039143</v>
      </c>
      <c r="AB1576" t="str">
        <f>HYPERLINK("Melting_Curves/meltCurve_O94973_2_AP2A2.pdf", "Melting_Curves/meltCurve_O94973_2_AP2A2.pdf")</f>
        <v>Melting_Curves/meltCurve_O94973_2_AP2A2.pdf</v>
      </c>
    </row>
    <row r="1577" spans="1:28" x14ac:dyDescent="0.25">
      <c r="A1577" t="s">
        <v>1581</v>
      </c>
      <c r="B1577">
        <v>0.99299721793515405</v>
      </c>
      <c r="C1577">
        <v>0.89910994648152698</v>
      </c>
      <c r="D1577">
        <v>0.92738396783912103</v>
      </c>
      <c r="E1577">
        <v>0.83430864970549001</v>
      </c>
      <c r="F1577">
        <v>0.71078746658165604</v>
      </c>
      <c r="G1577">
        <v>0.59815338034409504</v>
      </c>
      <c r="H1577">
        <v>0.78489198875307797</v>
      </c>
      <c r="I1577">
        <v>0.94666471399746099</v>
      </c>
      <c r="J1577">
        <v>1.0578569332687799</v>
      </c>
      <c r="K1577">
        <v>1.0938383136070799</v>
      </c>
      <c r="L1577">
        <v>1144.55098208463</v>
      </c>
      <c r="M1577">
        <v>29.164867200078898</v>
      </c>
      <c r="O1577">
        <v>39.061048748500902</v>
      </c>
      <c r="P1577">
        <v>-2.4965320438742802E-2</v>
      </c>
      <c r="Q1577">
        <v>0.86625489214990703</v>
      </c>
      <c r="R1577">
        <v>6.5665296051253597E-2</v>
      </c>
      <c r="S1577" t="s">
        <v>7128</v>
      </c>
      <c r="T1577" t="s">
        <v>11100</v>
      </c>
      <c r="U1577" t="s">
        <v>11100</v>
      </c>
      <c r="V1577" t="s">
        <v>11100</v>
      </c>
      <c r="W1577" t="s">
        <v>12643</v>
      </c>
      <c r="X1577">
        <v>14</v>
      </c>
      <c r="Y1577" t="s">
        <v>18134</v>
      </c>
      <c r="Z1577" t="s">
        <v>23582</v>
      </c>
      <c r="AA1577">
        <v>0.87773583455762361</v>
      </c>
      <c r="AB1577" t="str">
        <f>HYPERLINK("Melting_Curves/meltCurve_O94992_HEXIM1.pdf", "Melting_Curves/meltCurve_O94992_HEXIM1.pdf")</f>
        <v>Melting_Curves/meltCurve_O94992_HEXIM1.pdf</v>
      </c>
    </row>
    <row r="1578" spans="1:28" x14ac:dyDescent="0.25">
      <c r="A1578" t="s">
        <v>1582</v>
      </c>
      <c r="B1578">
        <v>0.99299721793515405</v>
      </c>
      <c r="C1578">
        <v>1.0335347513681199</v>
      </c>
      <c r="D1578">
        <v>0.92219720019664397</v>
      </c>
      <c r="E1578">
        <v>0.80457691503236595</v>
      </c>
      <c r="F1578">
        <v>0.518069022124516</v>
      </c>
      <c r="G1578">
        <v>0.35317232219397798</v>
      </c>
      <c r="H1578">
        <v>0.25369170233940402</v>
      </c>
      <c r="I1578">
        <v>0.21880426794493901</v>
      </c>
      <c r="J1578">
        <v>0.17537621238343701</v>
      </c>
      <c r="K1578">
        <v>0.15073340524923401</v>
      </c>
      <c r="L1578">
        <v>820.25934789645896</v>
      </c>
      <c r="M1578">
        <v>16.52514220254</v>
      </c>
      <c r="N1578">
        <v>50.837283730649702</v>
      </c>
      <c r="O1578">
        <v>48.927270648599503</v>
      </c>
      <c r="P1578">
        <v>-7.0803785126584903E-2</v>
      </c>
      <c r="Q1578">
        <v>0.16152126388622101</v>
      </c>
      <c r="R1578">
        <v>0.99601750211871798</v>
      </c>
      <c r="S1578" t="s">
        <v>7129</v>
      </c>
      <c r="T1578" t="s">
        <v>11100</v>
      </c>
      <c r="U1578" t="s">
        <v>11100</v>
      </c>
      <c r="V1578" t="s">
        <v>11100</v>
      </c>
      <c r="W1578" t="s">
        <v>12644</v>
      </c>
      <c r="X1578">
        <v>6</v>
      </c>
      <c r="Y1578" t="s">
        <v>18135</v>
      </c>
      <c r="Z1578" t="s">
        <v>23583</v>
      </c>
      <c r="AA1578">
        <v>0.52997860193998725</v>
      </c>
      <c r="AB1578" t="str">
        <f>HYPERLINK("Melting_Curves/meltCurve_O95067_CCNB2.pdf", "Melting_Curves/meltCurve_O95067_CCNB2.pdf")</f>
        <v>Melting_Curves/meltCurve_O95067_CCNB2.pdf</v>
      </c>
    </row>
    <row r="1579" spans="1:28" x14ac:dyDescent="0.25">
      <c r="A1579" t="s">
        <v>1583</v>
      </c>
      <c r="B1579">
        <v>0.99299721793515405</v>
      </c>
      <c r="C1579">
        <v>1.0211374243412401</v>
      </c>
      <c r="D1579">
        <v>0.86026534145823297</v>
      </c>
      <c r="E1579">
        <v>0.69377844508527398</v>
      </c>
      <c r="F1579">
        <v>0.623763959147564</v>
      </c>
      <c r="G1579">
        <v>0.22114566389823101</v>
      </c>
      <c r="H1579">
        <v>0.126750041630842</v>
      </c>
      <c r="I1579">
        <v>0.15006603843173</v>
      </c>
      <c r="J1579">
        <v>9.5987855181617496E-2</v>
      </c>
      <c r="K1579">
        <v>6.4503919837859497E-2</v>
      </c>
      <c r="L1579">
        <v>698.53941758373696</v>
      </c>
      <c r="M1579">
        <v>13.9802448709667</v>
      </c>
      <c r="N1579">
        <v>50.255626595879299</v>
      </c>
      <c r="O1579">
        <v>48.977142580384402</v>
      </c>
      <c r="P1579">
        <v>-6.8609835215518999E-2</v>
      </c>
      <c r="Q1579">
        <v>3.8681617191230602E-2</v>
      </c>
      <c r="R1579">
        <v>0.97720012853969795</v>
      </c>
      <c r="S1579" t="s">
        <v>7130</v>
      </c>
      <c r="T1579" t="s">
        <v>11100</v>
      </c>
      <c r="U1579" t="s">
        <v>11100</v>
      </c>
      <c r="V1579" t="s">
        <v>11100</v>
      </c>
      <c r="W1579" t="s">
        <v>12645</v>
      </c>
      <c r="X1579">
        <v>3</v>
      </c>
      <c r="Y1579" t="s">
        <v>18136</v>
      </c>
      <c r="Z1579" t="s">
        <v>23584</v>
      </c>
      <c r="AA1579">
        <v>0.47638201760187299</v>
      </c>
      <c r="AB1579" t="str">
        <f>HYPERLINK("Melting_Curves/meltCurve_O95081_AGFG2.pdf", "Melting_Curves/meltCurve_O95081_AGFG2.pdf")</f>
        <v>Melting_Curves/meltCurve_O95081_AGFG2.pdf</v>
      </c>
    </row>
    <row r="1580" spans="1:28" x14ac:dyDescent="0.25">
      <c r="A1580" t="s">
        <v>1584</v>
      </c>
      <c r="B1580">
        <v>0.99299721793515405</v>
      </c>
      <c r="C1580">
        <v>0.90163373537630098</v>
      </c>
      <c r="D1580">
        <v>0.94796502830240403</v>
      </c>
      <c r="E1580">
        <v>0.69678918976456194</v>
      </c>
      <c r="F1580">
        <v>0.59508322873919595</v>
      </c>
      <c r="G1580">
        <v>0.25940051479975801</v>
      </c>
      <c r="H1580">
        <v>0.173570839950412</v>
      </c>
      <c r="I1580">
        <v>0.16375729194420399</v>
      </c>
      <c r="J1580">
        <v>0.124660581971914</v>
      </c>
      <c r="K1580">
        <v>0.15263786153549</v>
      </c>
      <c r="L1580">
        <v>738.09852592523805</v>
      </c>
      <c r="M1580">
        <v>14.895596102851</v>
      </c>
      <c r="N1580">
        <v>50.320558252012297</v>
      </c>
      <c r="O1580">
        <v>48.684097597864898</v>
      </c>
      <c r="P1580">
        <v>-6.87111169232862E-2</v>
      </c>
      <c r="Q1580">
        <v>0.101803946072685</v>
      </c>
      <c r="R1580">
        <v>0.98152273217366603</v>
      </c>
      <c r="S1580" t="s">
        <v>7131</v>
      </c>
      <c r="T1580" t="s">
        <v>11100</v>
      </c>
      <c r="U1580" t="s">
        <v>11100</v>
      </c>
      <c r="V1580" t="s">
        <v>11100</v>
      </c>
      <c r="W1580" t="s">
        <v>12646</v>
      </c>
      <c r="X1580">
        <v>6</v>
      </c>
      <c r="Y1580" t="s">
        <v>18137</v>
      </c>
      <c r="Z1580" t="s">
        <v>23585</v>
      </c>
      <c r="AA1580">
        <v>0.49682832153496931</v>
      </c>
      <c r="AB1580" t="str">
        <f>HYPERLINK("Melting_Curves/meltCurve_O95104_3_SCAF4.pdf", "Melting_Curves/meltCurve_O95104_3_SCAF4.pdf")</f>
        <v>Melting_Curves/meltCurve_O95104_3_SCAF4.pdf</v>
      </c>
    </row>
    <row r="1581" spans="1:28" x14ac:dyDescent="0.25">
      <c r="A1581" t="s">
        <v>1585</v>
      </c>
      <c r="B1581">
        <v>0.99299721793515405</v>
      </c>
      <c r="C1581">
        <v>1.0723953418248</v>
      </c>
      <c r="D1581">
        <v>1.1469571225610999</v>
      </c>
      <c r="E1581">
        <v>1.1647517203386999</v>
      </c>
      <c r="F1581">
        <v>0.76063731309110305</v>
      </c>
      <c r="G1581">
        <v>0.703596048622943</v>
      </c>
      <c r="H1581">
        <v>0.65975933115435104</v>
      </c>
      <c r="I1581">
        <v>0.55344489260831298</v>
      </c>
      <c r="J1581">
        <v>0.545655715824231</v>
      </c>
      <c r="K1581">
        <v>0.43049134502341102</v>
      </c>
      <c r="L1581">
        <v>1050.52298550105</v>
      </c>
      <c r="M1581">
        <v>19.836950242522899</v>
      </c>
      <c r="O1581">
        <v>52.428514075466097</v>
      </c>
      <c r="P1581">
        <v>-4.7035803632677703E-2</v>
      </c>
      <c r="Q1581">
        <v>0.50275938367052497</v>
      </c>
      <c r="R1581">
        <v>0.85978777842800502</v>
      </c>
      <c r="S1581" t="s">
        <v>7132</v>
      </c>
      <c r="T1581" t="s">
        <v>11100</v>
      </c>
      <c r="U1581" t="s">
        <v>11100</v>
      </c>
      <c r="V1581" t="s">
        <v>11100</v>
      </c>
      <c r="W1581" t="s">
        <v>12647</v>
      </c>
      <c r="X1581">
        <v>1</v>
      </c>
      <c r="Y1581" t="s">
        <v>18138</v>
      </c>
      <c r="Z1581" t="s">
        <v>23586</v>
      </c>
      <c r="AA1581">
        <v>0.77360268394945852</v>
      </c>
      <c r="AB1581" t="str">
        <f>HYPERLINK("Melting_Curves/meltCurve_O95136_S1PR2.pdf", "Melting_Curves/meltCurve_O95136_S1PR2.pdf")</f>
        <v>Melting_Curves/meltCurve_O95136_S1PR2.pdf</v>
      </c>
    </row>
    <row r="1582" spans="1:28" x14ac:dyDescent="0.25">
      <c r="A1582" t="s">
        <v>1586</v>
      </c>
      <c r="B1582">
        <v>0.99299721793515405</v>
      </c>
      <c r="C1582">
        <v>0.94203896463703296</v>
      </c>
      <c r="D1582">
        <v>0.91668923598002905</v>
      </c>
      <c r="E1582">
        <v>0.90751758228773505</v>
      </c>
      <c r="F1582">
        <v>0.75636436269109897</v>
      </c>
      <c r="G1582">
        <v>0.60610771999539104</v>
      </c>
      <c r="H1582">
        <v>0.58708286981420399</v>
      </c>
      <c r="I1582">
        <v>0.83532385793013497</v>
      </c>
      <c r="J1582">
        <v>1.1021341431535301</v>
      </c>
      <c r="K1582">
        <v>0.98288236668053397</v>
      </c>
      <c r="L1582">
        <v>983.47752897422095</v>
      </c>
      <c r="M1582">
        <v>22.845269562465699</v>
      </c>
      <c r="O1582">
        <v>42.723704903905897</v>
      </c>
      <c r="P1582">
        <v>-2.4151602128473101E-2</v>
      </c>
      <c r="Q1582">
        <v>0.81933653607531698</v>
      </c>
      <c r="R1582">
        <v>0.144792303190211</v>
      </c>
      <c r="S1582" t="s">
        <v>7133</v>
      </c>
      <c r="T1582" t="s">
        <v>11100</v>
      </c>
      <c r="U1582" t="s">
        <v>11100</v>
      </c>
      <c r="V1582" t="s">
        <v>11100</v>
      </c>
      <c r="W1582" t="s">
        <v>12648</v>
      </c>
      <c r="X1582">
        <v>4</v>
      </c>
      <c r="Y1582" t="s">
        <v>18139</v>
      </c>
      <c r="Z1582" t="s">
        <v>23587</v>
      </c>
      <c r="AA1582">
        <v>0.8576228048879263</v>
      </c>
      <c r="AB1582" t="str">
        <f>HYPERLINK("Melting_Curves/meltCurve_O95139_NDUFB6.pdf", "Melting_Curves/meltCurve_O95139_NDUFB6.pdf")</f>
        <v>Melting_Curves/meltCurve_O95139_NDUFB6.pdf</v>
      </c>
    </row>
    <row r="1583" spans="1:28" x14ac:dyDescent="0.25">
      <c r="A1583" t="s">
        <v>1587</v>
      </c>
      <c r="B1583">
        <v>0.99299721793515405</v>
      </c>
      <c r="C1583">
        <v>0.97503049250659501</v>
      </c>
      <c r="D1583">
        <v>0.91937389399524205</v>
      </c>
      <c r="E1583">
        <v>0.85133107622172999</v>
      </c>
      <c r="F1583">
        <v>0.71304843288972297</v>
      </c>
      <c r="G1583">
        <v>0.457003234687125</v>
      </c>
      <c r="H1583">
        <v>0.48094540939178498</v>
      </c>
      <c r="I1583">
        <v>0.58696577480868695</v>
      </c>
      <c r="J1583">
        <v>0.52378665508005595</v>
      </c>
      <c r="K1583">
        <v>0.42588934734960299</v>
      </c>
      <c r="L1583">
        <v>997.63141411044899</v>
      </c>
      <c r="M1583">
        <v>20.521416793176201</v>
      </c>
      <c r="N1583">
        <v>58.367325570900498</v>
      </c>
      <c r="O1583">
        <v>48.159587685073497</v>
      </c>
      <c r="P1583">
        <v>-5.4992291066549098E-2</v>
      </c>
      <c r="Q1583">
        <v>0.48379234035950802</v>
      </c>
      <c r="R1583">
        <v>0.93900215952415</v>
      </c>
      <c r="S1583" t="s">
        <v>7134</v>
      </c>
      <c r="T1583" t="s">
        <v>11100</v>
      </c>
      <c r="U1583" t="s">
        <v>11100</v>
      </c>
      <c r="V1583" t="s">
        <v>11100</v>
      </c>
      <c r="W1583" t="s">
        <v>12649</v>
      </c>
      <c r="X1583">
        <v>16</v>
      </c>
      <c r="Y1583" t="s">
        <v>18140</v>
      </c>
      <c r="Z1583" t="s">
        <v>23588</v>
      </c>
      <c r="AA1583">
        <v>0.69011428940937924</v>
      </c>
      <c r="AB1583" t="str">
        <f>HYPERLINK("Melting_Curves/meltCurve_O95140_MFN2.pdf", "Melting_Curves/meltCurve_O95140_MFN2.pdf")</f>
        <v>Melting_Curves/meltCurve_O95140_MFN2.pdf</v>
      </c>
    </row>
    <row r="1584" spans="1:28" x14ac:dyDescent="0.25">
      <c r="A1584" t="s">
        <v>1588</v>
      </c>
      <c r="B1584">
        <v>0.99299721793515405</v>
      </c>
      <c r="C1584">
        <v>1.02449880554887</v>
      </c>
      <c r="D1584">
        <v>1.09913847379987</v>
      </c>
      <c r="E1584">
        <v>0.88352854205132503</v>
      </c>
      <c r="F1584">
        <v>0.745484024192133</v>
      </c>
      <c r="G1584">
        <v>0.58501419447674197</v>
      </c>
      <c r="H1584">
        <v>0.25244854233457198</v>
      </c>
      <c r="I1584">
        <v>0.20896965701084899</v>
      </c>
      <c r="J1584">
        <v>0.171512816455335</v>
      </c>
      <c r="K1584">
        <v>0.15348468891636699</v>
      </c>
      <c r="L1584">
        <v>938.88200433835698</v>
      </c>
      <c r="M1584">
        <v>17.643398427081799</v>
      </c>
      <c r="N1584">
        <v>54.0696406280491</v>
      </c>
      <c r="O1584">
        <v>52.544851155321197</v>
      </c>
      <c r="P1584">
        <v>-7.3727174016157193E-2</v>
      </c>
      <c r="Q1584">
        <v>0.121761809869693</v>
      </c>
      <c r="R1584">
        <v>0.981542651968213</v>
      </c>
      <c r="S1584" t="s">
        <v>7135</v>
      </c>
      <c r="T1584" t="s">
        <v>11100</v>
      </c>
      <c r="U1584" t="s">
        <v>11100</v>
      </c>
      <c r="V1584" t="s">
        <v>11100</v>
      </c>
      <c r="W1584" t="s">
        <v>12650</v>
      </c>
      <c r="X1584">
        <v>12</v>
      </c>
      <c r="Y1584" t="s">
        <v>18141</v>
      </c>
      <c r="Z1584" t="s">
        <v>23589</v>
      </c>
      <c r="AA1584">
        <v>0.60937968206009452</v>
      </c>
      <c r="AB1584" t="str">
        <f>HYPERLINK("Melting_Curves/meltCurve_O95155_2_UBE4B.pdf", "Melting_Curves/meltCurve_O95155_2_UBE4B.pdf")</f>
        <v>Melting_Curves/meltCurve_O95155_2_UBE4B.pdf</v>
      </c>
    </row>
    <row r="1585" spans="1:28" x14ac:dyDescent="0.25">
      <c r="A1585" t="s">
        <v>1589</v>
      </c>
      <c r="B1585">
        <v>0.99299721793515405</v>
      </c>
      <c r="C1585">
        <v>0.97300711333388101</v>
      </c>
      <c r="D1585">
        <v>0.95098393248602997</v>
      </c>
      <c r="E1585">
        <v>0.83390861913813996</v>
      </c>
      <c r="F1585">
        <v>0.72981117251156802</v>
      </c>
      <c r="G1585">
        <v>0.59993644689766101</v>
      </c>
      <c r="H1585">
        <v>0.26511012646575199</v>
      </c>
      <c r="I1585">
        <v>0.183364142833748</v>
      </c>
      <c r="J1585">
        <v>0.135577864766842</v>
      </c>
      <c r="K1585">
        <v>0.10564969463938099</v>
      </c>
      <c r="L1585">
        <v>666.66070626620399</v>
      </c>
      <c r="M1585">
        <v>12.311020644061101</v>
      </c>
      <c r="N1585">
        <v>54.151522901701703</v>
      </c>
      <c r="O1585">
        <v>52.782214435862798</v>
      </c>
      <c r="P1585">
        <v>-5.8323188443804498E-2</v>
      </c>
      <c r="Q1585">
        <v>0</v>
      </c>
      <c r="R1585">
        <v>0.988492646706018</v>
      </c>
      <c r="S1585" t="s">
        <v>7136</v>
      </c>
      <c r="T1585" t="s">
        <v>11100</v>
      </c>
      <c r="U1585" t="s">
        <v>11100</v>
      </c>
      <c r="V1585" t="s">
        <v>11100</v>
      </c>
      <c r="W1585" t="s">
        <v>12651</v>
      </c>
      <c r="X1585">
        <v>3</v>
      </c>
      <c r="Y1585" t="s">
        <v>18142</v>
      </c>
      <c r="Z1585" t="s">
        <v>23590</v>
      </c>
      <c r="AA1585">
        <v>0.58904670976265505</v>
      </c>
      <c r="AB1585" t="str">
        <f>HYPERLINK("Melting_Curves/meltCurve_O95159_ZFPL1.pdf", "Melting_Curves/meltCurve_O95159_ZFPL1.pdf")</f>
        <v>Melting_Curves/meltCurve_O95159_ZFPL1.pdf</v>
      </c>
    </row>
    <row r="1586" spans="1:28" x14ac:dyDescent="0.25">
      <c r="A1586" t="s">
        <v>1590</v>
      </c>
      <c r="B1586">
        <v>0.99299721793515405</v>
      </c>
      <c r="C1586">
        <v>0.877058484958264</v>
      </c>
      <c r="D1586">
        <v>0.77241325477720302</v>
      </c>
      <c r="E1586">
        <v>0.67862890462151404</v>
      </c>
      <c r="F1586">
        <v>0.50985519790917799</v>
      </c>
      <c r="G1586">
        <v>0.53385308458639003</v>
      </c>
      <c r="H1586">
        <v>0.98730261260128305</v>
      </c>
      <c r="I1586">
        <v>0.37728400554472002</v>
      </c>
      <c r="J1586">
        <v>0.17197838975857099</v>
      </c>
      <c r="K1586">
        <v>0.219865906942773</v>
      </c>
      <c r="L1586">
        <v>275.36999037364802</v>
      </c>
      <c r="M1586">
        <v>4.8726897871298096</v>
      </c>
      <c r="N1586">
        <v>56.512915509842699</v>
      </c>
      <c r="O1586">
        <v>49.021133075608901</v>
      </c>
      <c r="P1586">
        <v>-2.5016235502907599E-2</v>
      </c>
      <c r="Q1586">
        <v>0</v>
      </c>
      <c r="R1586">
        <v>0.58736899271861398</v>
      </c>
      <c r="S1586" t="s">
        <v>7137</v>
      </c>
      <c r="T1586" t="s">
        <v>11100</v>
      </c>
      <c r="U1586" t="s">
        <v>11100</v>
      </c>
      <c r="V1586" t="s">
        <v>11100</v>
      </c>
      <c r="W1586" t="s">
        <v>12652</v>
      </c>
      <c r="X1586">
        <v>2</v>
      </c>
      <c r="Y1586" t="s">
        <v>18143</v>
      </c>
      <c r="Z1586" t="s">
        <v>23591</v>
      </c>
      <c r="AA1586">
        <v>0.61380363881835331</v>
      </c>
      <c r="AB1586" t="str">
        <f>HYPERLINK("Melting_Curves/meltCurve_O95163_IKBKAP.pdf", "Melting_Curves/meltCurve_O95163_IKBKAP.pdf")</f>
        <v>Melting_Curves/meltCurve_O95163_IKBKAP.pdf</v>
      </c>
    </row>
    <row r="1587" spans="1:28" x14ac:dyDescent="0.25">
      <c r="A1587" t="s">
        <v>1591</v>
      </c>
      <c r="B1587">
        <v>0.99299721793515405</v>
      </c>
      <c r="C1587">
        <v>0.93259443709582102</v>
      </c>
      <c r="D1587">
        <v>0.90001157709976298</v>
      </c>
      <c r="E1587">
        <v>0.81618768079349002</v>
      </c>
      <c r="F1587">
        <v>0.73547553775116503</v>
      </c>
      <c r="G1587">
        <v>0.54827685222644296</v>
      </c>
      <c r="H1587">
        <v>0.88819065301519995</v>
      </c>
      <c r="I1587">
        <v>1.1920401682794499</v>
      </c>
      <c r="J1587">
        <v>1.7627828330313799</v>
      </c>
      <c r="K1587">
        <v>1.7347417909687901</v>
      </c>
      <c r="L1587">
        <v>15000</v>
      </c>
      <c r="M1587">
        <v>245.42947709572101</v>
      </c>
      <c r="O1587">
        <v>61.113274286943202</v>
      </c>
      <c r="P1587">
        <v>0.50199690029396404</v>
      </c>
      <c r="Q1587">
        <v>1.5</v>
      </c>
      <c r="R1587">
        <v>0.68731330542149605</v>
      </c>
      <c r="S1587" t="s">
        <v>7138</v>
      </c>
      <c r="T1587" t="s">
        <v>11100</v>
      </c>
      <c r="U1587" t="s">
        <v>11100</v>
      </c>
      <c r="V1587" t="s">
        <v>11100</v>
      </c>
      <c r="W1587" t="s">
        <v>12653</v>
      </c>
      <c r="X1587">
        <v>2</v>
      </c>
      <c r="Y1587" t="s">
        <v>18144</v>
      </c>
      <c r="Z1587" t="s">
        <v>23592</v>
      </c>
      <c r="AA1587">
        <v>1.0979884693536941</v>
      </c>
      <c r="AB1587" t="str">
        <f>HYPERLINK("Melting_Curves/meltCurve_O95167_NDUFA3.pdf", "Melting_Curves/meltCurve_O95167_NDUFA3.pdf")</f>
        <v>Melting_Curves/meltCurve_O95167_NDUFA3.pdf</v>
      </c>
    </row>
    <row r="1588" spans="1:28" x14ac:dyDescent="0.25">
      <c r="A1588" t="s">
        <v>1592</v>
      </c>
      <c r="B1588">
        <v>0.99299721793515405</v>
      </c>
      <c r="C1588">
        <v>0.934345967450953</v>
      </c>
      <c r="D1588">
        <v>1.04543452081082</v>
      </c>
      <c r="E1588">
        <v>0.77634762590799999</v>
      </c>
      <c r="F1588">
        <v>0.64814032882143502</v>
      </c>
      <c r="G1588">
        <v>0.70933112931152897</v>
      </c>
      <c r="H1588">
        <v>1.15562573812931</v>
      </c>
      <c r="I1588">
        <v>0.80041892757833</v>
      </c>
      <c r="J1588">
        <v>0.48553462136743297</v>
      </c>
      <c r="K1588">
        <v>0.44724404543888802</v>
      </c>
      <c r="L1588">
        <v>310.84041601825197</v>
      </c>
      <c r="M1588">
        <v>4.36928682150167</v>
      </c>
      <c r="O1588">
        <v>59.971302107499604</v>
      </c>
      <c r="P1588">
        <v>-1.83897219479526E-2</v>
      </c>
      <c r="Q1588">
        <v>0</v>
      </c>
      <c r="R1588">
        <v>0.38959731881598603</v>
      </c>
      <c r="S1588" t="s">
        <v>7139</v>
      </c>
      <c r="T1588" t="s">
        <v>11100</v>
      </c>
      <c r="U1588" t="s">
        <v>11100</v>
      </c>
      <c r="V1588" t="s">
        <v>11100</v>
      </c>
      <c r="W1588" t="s">
        <v>12654</v>
      </c>
      <c r="X1588">
        <v>4</v>
      </c>
      <c r="Y1588" t="s">
        <v>18145</v>
      </c>
      <c r="Z1588" t="s">
        <v>23593</v>
      </c>
      <c r="AA1588">
        <v>0.81243965709587074</v>
      </c>
      <c r="AB1588" t="str">
        <f>HYPERLINK("Melting_Curves/meltCurve_O95168_NDUFB4.pdf", "Melting_Curves/meltCurve_O95168_NDUFB4.pdf")</f>
        <v>Melting_Curves/meltCurve_O95168_NDUFB4.pdf</v>
      </c>
    </row>
    <row r="1589" spans="1:28" x14ac:dyDescent="0.25">
      <c r="A1589" t="s">
        <v>1593</v>
      </c>
      <c r="B1589">
        <v>0.99299721793515405</v>
      </c>
      <c r="C1589">
        <v>1.1073201900776799</v>
      </c>
      <c r="D1589">
        <v>1.2561864373140399</v>
      </c>
      <c r="E1589">
        <v>0.92870663214945504</v>
      </c>
      <c r="F1589">
        <v>0.76354431534743294</v>
      </c>
      <c r="G1589">
        <v>0.84502153746694797</v>
      </c>
      <c r="H1589">
        <v>0.54527437940341295</v>
      </c>
      <c r="I1589">
        <v>0.50513284280811799</v>
      </c>
      <c r="J1589">
        <v>0.43676783601885799</v>
      </c>
      <c r="K1589">
        <v>0.41865529353099701</v>
      </c>
      <c r="L1589">
        <v>827.91844177385701</v>
      </c>
      <c r="M1589">
        <v>15.045244947052201</v>
      </c>
      <c r="N1589">
        <v>60.641695388396698</v>
      </c>
      <c r="O1589">
        <v>54.083868937208798</v>
      </c>
      <c r="P1589">
        <v>-4.3415721145715E-2</v>
      </c>
      <c r="Q1589">
        <v>0.37578795971047901</v>
      </c>
      <c r="R1589">
        <v>0.85896051459372202</v>
      </c>
      <c r="S1589" t="s">
        <v>7140</v>
      </c>
      <c r="T1589" t="s">
        <v>11100</v>
      </c>
      <c r="U1589" t="s">
        <v>11100</v>
      </c>
      <c r="V1589" t="s">
        <v>11100</v>
      </c>
      <c r="W1589" t="s">
        <v>12655</v>
      </c>
      <c r="X1589">
        <v>3</v>
      </c>
      <c r="Y1589" t="s">
        <v>18146</v>
      </c>
      <c r="Z1589" t="s">
        <v>23594</v>
      </c>
      <c r="AA1589">
        <v>0.75965999687361996</v>
      </c>
      <c r="AB1589" t="str">
        <f>HYPERLINK("Melting_Curves/meltCurve_O95197_7_RTN3.pdf", "Melting_Curves/meltCurve_O95197_7_RTN3.pdf")</f>
        <v>Melting_Curves/meltCurve_O95197_7_RTN3.pdf</v>
      </c>
    </row>
    <row r="1590" spans="1:28" x14ac:dyDescent="0.25">
      <c r="A1590" t="s">
        <v>1594</v>
      </c>
      <c r="B1590">
        <v>0.99299721793515405</v>
      </c>
      <c r="C1590">
        <v>0.99899776677422503</v>
      </c>
      <c r="D1590">
        <v>1.0693205226492699</v>
      </c>
      <c r="E1590">
        <v>0.99501714723387003</v>
      </c>
      <c r="F1590">
        <v>0.83016450636042705</v>
      </c>
      <c r="G1590">
        <v>0.73213896556819902</v>
      </c>
      <c r="H1590">
        <v>0.34938789718612001</v>
      </c>
      <c r="I1590">
        <v>0.22889900772614699</v>
      </c>
      <c r="J1590">
        <v>0.16942758124766499</v>
      </c>
      <c r="K1590">
        <v>0.122859551950212</v>
      </c>
      <c r="L1590">
        <v>1116.5133960722701</v>
      </c>
      <c r="M1590">
        <v>20.201635706086801</v>
      </c>
      <c r="N1590">
        <v>55.9126427008053</v>
      </c>
      <c r="O1590">
        <v>54.735443983127197</v>
      </c>
      <c r="P1590">
        <v>-8.2692618387819605E-2</v>
      </c>
      <c r="Q1590">
        <v>0.103819977459278</v>
      </c>
      <c r="R1590">
        <v>0.98848260030747104</v>
      </c>
      <c r="S1590" t="s">
        <v>7141</v>
      </c>
      <c r="T1590" t="s">
        <v>11100</v>
      </c>
      <c r="U1590" t="s">
        <v>11100</v>
      </c>
      <c r="V1590" t="s">
        <v>11100</v>
      </c>
      <c r="W1590" t="s">
        <v>12656</v>
      </c>
      <c r="X1590">
        <v>27</v>
      </c>
      <c r="Y1590" t="s">
        <v>18147</v>
      </c>
      <c r="Z1590" t="s">
        <v>23595</v>
      </c>
      <c r="AA1590">
        <v>0.6593870720672802</v>
      </c>
      <c r="AB1590" t="str">
        <f>HYPERLINK("Melting_Curves/meltCurve_O95202_LETM1.pdf", "Melting_Curves/meltCurve_O95202_LETM1.pdf")</f>
        <v>Melting_Curves/meltCurve_O95202_LETM1.pdf</v>
      </c>
    </row>
    <row r="1591" spans="1:28" x14ac:dyDescent="0.25">
      <c r="A1591" t="s">
        <v>1595</v>
      </c>
      <c r="B1591">
        <v>0.99299721793515405</v>
      </c>
      <c r="C1591">
        <v>0.91031100967863698</v>
      </c>
      <c r="D1591">
        <v>1.0272400785115601</v>
      </c>
      <c r="E1591">
        <v>0.94561766937463998</v>
      </c>
      <c r="F1591">
        <v>0.83782723000417203</v>
      </c>
      <c r="G1591">
        <v>0.62723025886009898</v>
      </c>
      <c r="H1591">
        <v>0.67825056612382595</v>
      </c>
      <c r="I1591">
        <v>0.85158092100814198</v>
      </c>
      <c r="J1591">
        <v>1.0356445978857201</v>
      </c>
      <c r="K1591">
        <v>1.02543035995811</v>
      </c>
      <c r="L1591">
        <v>11679.7434870744</v>
      </c>
      <c r="M1591">
        <v>250</v>
      </c>
      <c r="O1591">
        <v>46.7159846383245</v>
      </c>
      <c r="P1591">
        <v>-0.21049988004078099</v>
      </c>
      <c r="Q1591">
        <v>0.84266065491519404</v>
      </c>
      <c r="R1591">
        <v>0.19664074971821399</v>
      </c>
      <c r="S1591" t="s">
        <v>7142</v>
      </c>
      <c r="T1591" t="s">
        <v>11100</v>
      </c>
      <c r="U1591" t="s">
        <v>11100</v>
      </c>
      <c r="V1591" t="s">
        <v>11100</v>
      </c>
      <c r="W1591" t="s">
        <v>12657</v>
      </c>
      <c r="X1591">
        <v>23</v>
      </c>
      <c r="Y1591" t="s">
        <v>18148</v>
      </c>
      <c r="Z1591" t="s">
        <v>23596</v>
      </c>
      <c r="AA1591">
        <v>0.8936461218675068</v>
      </c>
      <c r="AB1591" t="str">
        <f>HYPERLINK("Melting_Curves/meltCurve_O95218_2_ZRANB2.pdf", "Melting_Curves/meltCurve_O95218_2_ZRANB2.pdf")</f>
        <v>Melting_Curves/meltCurve_O95218_2_ZRANB2.pdf</v>
      </c>
    </row>
    <row r="1592" spans="1:28" x14ac:dyDescent="0.25">
      <c r="A1592" t="s">
        <v>1596</v>
      </c>
      <c r="B1592">
        <v>0.99299721793515405</v>
      </c>
      <c r="C1592">
        <v>1.0220368955749299</v>
      </c>
      <c r="D1592">
        <v>0.83933221729996699</v>
      </c>
      <c r="E1592">
        <v>0.83844426933993699</v>
      </c>
      <c r="F1592">
        <v>0.56001520738315902</v>
      </c>
      <c r="G1592">
        <v>0.20443557358269199</v>
      </c>
      <c r="H1592">
        <v>0.165008333047098</v>
      </c>
      <c r="I1592">
        <v>0.14007876369581901</v>
      </c>
      <c r="J1592">
        <v>0.13427337872749301</v>
      </c>
      <c r="K1592">
        <v>0.118582032627123</v>
      </c>
      <c r="L1592">
        <v>1015.94079447</v>
      </c>
      <c r="M1592">
        <v>20.411513412428299</v>
      </c>
      <c r="N1592">
        <v>50.382718421530001</v>
      </c>
      <c r="O1592">
        <v>49.302571768556199</v>
      </c>
      <c r="P1592">
        <v>-9.2176212698640098E-2</v>
      </c>
      <c r="Q1592">
        <v>0.10944612432536199</v>
      </c>
      <c r="R1592">
        <v>0.98277506677514803</v>
      </c>
      <c r="S1592" t="s">
        <v>7143</v>
      </c>
      <c r="T1592" t="s">
        <v>11100</v>
      </c>
      <c r="U1592" t="s">
        <v>11100</v>
      </c>
      <c r="V1592" t="s">
        <v>11100</v>
      </c>
      <c r="W1592" t="s">
        <v>12658</v>
      </c>
      <c r="X1592">
        <v>10</v>
      </c>
      <c r="Y1592" t="s">
        <v>18149</v>
      </c>
      <c r="Z1592" t="s">
        <v>23597</v>
      </c>
      <c r="AA1592">
        <v>0.49992877145438958</v>
      </c>
      <c r="AB1592" t="str">
        <f>HYPERLINK("Melting_Curves/meltCurve_O95219_SNX4.pdf", "Melting_Curves/meltCurve_O95219_SNX4.pdf")</f>
        <v>Melting_Curves/meltCurve_O95219_SNX4.pdf</v>
      </c>
    </row>
    <row r="1593" spans="1:28" x14ac:dyDescent="0.25">
      <c r="A1593" t="s">
        <v>1597</v>
      </c>
      <c r="B1593">
        <v>0.99299721793515405</v>
      </c>
      <c r="C1593">
        <v>0.99399546944636397</v>
      </c>
      <c r="D1593">
        <v>0.95504950620393603</v>
      </c>
      <c r="E1593">
        <v>0.78244840202925503</v>
      </c>
      <c r="F1593">
        <v>0.61975474953490595</v>
      </c>
      <c r="G1593">
        <v>0.36224587369322397</v>
      </c>
      <c r="H1593">
        <v>0.25529375586724901</v>
      </c>
      <c r="I1593">
        <v>0.30109661361996598</v>
      </c>
      <c r="J1593">
        <v>0.307487858349831</v>
      </c>
      <c r="K1593">
        <v>0.25860761760107798</v>
      </c>
      <c r="L1593">
        <v>927.55315482578499</v>
      </c>
      <c r="M1593">
        <v>18.8072083737414</v>
      </c>
      <c r="N1593">
        <v>51.326009685397402</v>
      </c>
      <c r="O1593">
        <v>48.7715802965661</v>
      </c>
      <c r="P1593">
        <v>-7.1308974363080493E-2</v>
      </c>
      <c r="Q1593">
        <v>0.26034593235277798</v>
      </c>
      <c r="R1593">
        <v>0.99026415745678598</v>
      </c>
      <c r="S1593" t="s">
        <v>7144</v>
      </c>
      <c r="T1593" t="s">
        <v>11100</v>
      </c>
      <c r="U1593" t="s">
        <v>11100</v>
      </c>
      <c r="V1593" t="s">
        <v>11100</v>
      </c>
      <c r="W1593" t="s">
        <v>12659</v>
      </c>
      <c r="X1593">
        <v>8</v>
      </c>
      <c r="Y1593" t="s">
        <v>18150</v>
      </c>
      <c r="Z1593" t="s">
        <v>23598</v>
      </c>
      <c r="AA1593">
        <v>0.57494633745286516</v>
      </c>
      <c r="AB1593" t="str">
        <f>HYPERLINK("Melting_Curves/meltCurve_O95229_ZWINT.pdf", "Melting_Curves/meltCurve_O95229_ZWINT.pdf")</f>
        <v>Melting_Curves/meltCurve_O95229_ZWINT.pdf</v>
      </c>
    </row>
    <row r="1594" spans="1:28" x14ac:dyDescent="0.25">
      <c r="A1594" t="s">
        <v>1598</v>
      </c>
      <c r="B1594">
        <v>0.99299721793515405</v>
      </c>
      <c r="C1594">
        <v>0.74586665862619195</v>
      </c>
      <c r="D1594">
        <v>1.25903288385476</v>
      </c>
      <c r="E1594">
        <v>0.69785744728506305</v>
      </c>
      <c r="F1594">
        <v>0.79592971535111801</v>
      </c>
      <c r="G1594">
        <v>0.43570353298797998</v>
      </c>
      <c r="H1594">
        <v>0.28747388030999899</v>
      </c>
      <c r="I1594">
        <v>0.289667477532148</v>
      </c>
      <c r="J1594">
        <v>0.35135436616529098</v>
      </c>
      <c r="K1594">
        <v>0.48689231821300399</v>
      </c>
      <c r="L1594">
        <v>1085.78470491758</v>
      </c>
      <c r="M1594">
        <v>21.637400602375099</v>
      </c>
      <c r="N1594">
        <v>53.016811924996901</v>
      </c>
      <c r="O1594">
        <v>49.758193794471197</v>
      </c>
      <c r="P1594">
        <v>-7.1442533240517705E-2</v>
      </c>
      <c r="Q1594">
        <v>0.34284774372779597</v>
      </c>
      <c r="R1594">
        <v>0.75671714241170496</v>
      </c>
      <c r="S1594" t="s">
        <v>7145</v>
      </c>
      <c r="T1594" t="s">
        <v>11100</v>
      </c>
      <c r="U1594" t="s">
        <v>11100</v>
      </c>
      <c r="V1594" t="s">
        <v>11100</v>
      </c>
      <c r="W1594" t="s">
        <v>12660</v>
      </c>
      <c r="X1594">
        <v>1</v>
      </c>
      <c r="Y1594" t="s">
        <v>18151</v>
      </c>
      <c r="Z1594" t="s">
        <v>23599</v>
      </c>
      <c r="AA1594">
        <v>0.63910140693263129</v>
      </c>
      <c r="AB1594" t="str">
        <f>HYPERLINK("Melting_Curves/meltCurve_O95251_4_KAT7.pdf", "Melting_Curves/meltCurve_O95251_4_KAT7.pdf")</f>
        <v>Melting_Curves/meltCurve_O95251_4_KAT7.pdf</v>
      </c>
    </row>
    <row r="1595" spans="1:28" x14ac:dyDescent="0.25">
      <c r="A1595" t="s">
        <v>1599</v>
      </c>
      <c r="B1595">
        <v>0.99299721793515405</v>
      </c>
      <c r="C1595">
        <v>1.2086761326915001</v>
      </c>
      <c r="D1595">
        <v>1.04183167933419</v>
      </c>
      <c r="E1595">
        <v>1.1679757227037899</v>
      </c>
      <c r="F1595">
        <v>0.72002096896544598</v>
      </c>
      <c r="G1595">
        <v>0.495740706564471</v>
      </c>
      <c r="H1595">
        <v>0.2939844499823</v>
      </c>
      <c r="I1595">
        <v>0.29968175355343302</v>
      </c>
      <c r="J1595">
        <v>0.225619105808608</v>
      </c>
      <c r="K1595">
        <v>0.226196772804409</v>
      </c>
      <c r="L1595">
        <v>1471.1931339483101</v>
      </c>
      <c r="M1595">
        <v>28.3109258455932</v>
      </c>
      <c r="N1595">
        <v>53.262621242624498</v>
      </c>
      <c r="O1595">
        <v>51.708358347138699</v>
      </c>
      <c r="P1595">
        <v>-0.102786598473526</v>
      </c>
      <c r="Q1595">
        <v>0.24906974646887201</v>
      </c>
      <c r="R1595">
        <v>0.93654375343888396</v>
      </c>
      <c r="S1595" t="s">
        <v>7146</v>
      </c>
      <c r="T1595" t="s">
        <v>11100</v>
      </c>
      <c r="U1595" t="s">
        <v>11100</v>
      </c>
      <c r="V1595" t="s">
        <v>11100</v>
      </c>
      <c r="W1595" t="s">
        <v>12661</v>
      </c>
      <c r="X1595">
        <v>3</v>
      </c>
      <c r="Y1595" t="s">
        <v>18152</v>
      </c>
      <c r="Z1595" t="s">
        <v>23600</v>
      </c>
      <c r="AA1595">
        <v>0.6289609418261527</v>
      </c>
      <c r="AB1595" t="str">
        <f>HYPERLINK("Melting_Curves/meltCurve_O95273_CCNDBP1.pdf", "Melting_Curves/meltCurve_O95273_CCNDBP1.pdf")</f>
        <v>Melting_Curves/meltCurve_O95273_CCNDBP1.pdf</v>
      </c>
    </row>
    <row r="1596" spans="1:28" x14ac:dyDescent="0.25">
      <c r="A1596" t="s">
        <v>1600</v>
      </c>
      <c r="B1596">
        <v>0.99299721793515405</v>
      </c>
      <c r="C1596">
        <v>1.0083285609400101</v>
      </c>
      <c r="D1596">
        <v>0.970531569093385</v>
      </c>
      <c r="E1596">
        <v>0.90125419335773704</v>
      </c>
      <c r="F1596">
        <v>0.76880275054801295</v>
      </c>
      <c r="G1596">
        <v>0.59110175487872796</v>
      </c>
      <c r="H1596">
        <v>0.50689319724548698</v>
      </c>
      <c r="I1596">
        <v>0.391036862765266</v>
      </c>
      <c r="J1596">
        <v>0.20441235237615499</v>
      </c>
      <c r="K1596">
        <v>0.11414985955371899</v>
      </c>
      <c r="L1596">
        <v>578.61146664448995</v>
      </c>
      <c r="M1596">
        <v>10.2178629145155</v>
      </c>
      <c r="N1596">
        <v>56.627454842443598</v>
      </c>
      <c r="O1596">
        <v>54.586997315721902</v>
      </c>
      <c r="P1596">
        <v>-4.6817193675314103E-2</v>
      </c>
      <c r="Q1596">
        <v>0</v>
      </c>
      <c r="R1596">
        <v>0.98742944429061896</v>
      </c>
      <c r="S1596" t="s">
        <v>7147</v>
      </c>
      <c r="T1596" t="s">
        <v>11100</v>
      </c>
      <c r="U1596" t="s">
        <v>11100</v>
      </c>
      <c r="V1596" t="s">
        <v>11100</v>
      </c>
      <c r="W1596" t="s">
        <v>12662</v>
      </c>
      <c r="X1596">
        <v>13</v>
      </c>
      <c r="Y1596" t="s">
        <v>18153</v>
      </c>
      <c r="Z1596" t="s">
        <v>23601</v>
      </c>
      <c r="AA1596">
        <v>0.65677266917855404</v>
      </c>
      <c r="AB1596" t="str">
        <f>HYPERLINK("Melting_Curves/meltCurve_O95292_VAPB.pdf", "Melting_Curves/meltCurve_O95292_VAPB.pdf")</f>
        <v>Melting_Curves/meltCurve_O95292_VAPB.pdf</v>
      </c>
    </row>
    <row r="1597" spans="1:28" x14ac:dyDescent="0.25">
      <c r="A1597" t="s">
        <v>1601</v>
      </c>
      <c r="B1597">
        <v>0.99299721793515405</v>
      </c>
      <c r="C1597">
        <v>1.0402391480797599</v>
      </c>
      <c r="D1597">
        <v>0.95253515242472997</v>
      </c>
      <c r="E1597">
        <v>0.96636553843521</v>
      </c>
      <c r="F1597">
        <v>0.81513790815919196</v>
      </c>
      <c r="G1597">
        <v>0.70821176705771205</v>
      </c>
      <c r="H1597">
        <v>0.58882592060014505</v>
      </c>
      <c r="I1597">
        <v>0.56971507181331404</v>
      </c>
      <c r="J1597">
        <v>0.47872021772627599</v>
      </c>
      <c r="K1597">
        <v>0.36067762704282103</v>
      </c>
      <c r="L1597">
        <v>540.85869176330004</v>
      </c>
      <c r="M1597">
        <v>9.5021950363486507</v>
      </c>
      <c r="N1597">
        <v>61.7009195332665</v>
      </c>
      <c r="O1597">
        <v>54.5694510511019</v>
      </c>
      <c r="P1597">
        <v>-3.2207969206504899E-2</v>
      </c>
      <c r="Q1597">
        <v>0.26057827918257498</v>
      </c>
      <c r="R1597">
        <v>0.976245059525779</v>
      </c>
      <c r="S1597" t="s">
        <v>7148</v>
      </c>
      <c r="T1597" t="s">
        <v>11100</v>
      </c>
      <c r="U1597" t="s">
        <v>11100</v>
      </c>
      <c r="V1597" t="s">
        <v>11100</v>
      </c>
      <c r="W1597" t="s">
        <v>12663</v>
      </c>
      <c r="X1597">
        <v>8</v>
      </c>
      <c r="Y1597" t="s">
        <v>18154</v>
      </c>
      <c r="Z1597" t="s">
        <v>23602</v>
      </c>
      <c r="AA1597">
        <v>0.74991711216442636</v>
      </c>
      <c r="AB1597" t="str">
        <f>HYPERLINK("Melting_Curves/meltCurve_O95295_SNAPIN.pdf", "Melting_Curves/meltCurve_O95295_SNAPIN.pdf")</f>
        <v>Melting_Curves/meltCurve_O95295_SNAPIN.pdf</v>
      </c>
    </row>
    <row r="1598" spans="1:28" x14ac:dyDescent="0.25">
      <c r="A1598" t="s">
        <v>1602</v>
      </c>
      <c r="B1598">
        <v>0.99299721793515405</v>
      </c>
      <c r="C1598">
        <v>1.03759805351533</v>
      </c>
      <c r="D1598">
        <v>1.0425905408798299</v>
      </c>
      <c r="E1598">
        <v>0.87360573946614295</v>
      </c>
      <c r="F1598">
        <v>0.81371678079307797</v>
      </c>
      <c r="G1598">
        <v>0.60586484409270203</v>
      </c>
      <c r="H1598">
        <v>0.63829604083187796</v>
      </c>
      <c r="I1598">
        <v>0.69448419225950297</v>
      </c>
      <c r="J1598">
        <v>0.69645598684776</v>
      </c>
      <c r="K1598">
        <v>0.55985825667059597</v>
      </c>
      <c r="L1598">
        <v>1219.8411577737099</v>
      </c>
      <c r="M1598">
        <v>24.913672619665501</v>
      </c>
      <c r="O1598">
        <v>48.650530007759301</v>
      </c>
      <c r="P1598">
        <v>-4.6683018230797603E-2</v>
      </c>
      <c r="Q1598">
        <v>0.63536124771234104</v>
      </c>
      <c r="R1598">
        <v>0.91413347348843899</v>
      </c>
      <c r="S1598" t="s">
        <v>7149</v>
      </c>
      <c r="T1598" t="s">
        <v>11100</v>
      </c>
      <c r="U1598" t="s">
        <v>11100</v>
      </c>
      <c r="V1598" t="s">
        <v>11100</v>
      </c>
      <c r="W1598" t="s">
        <v>12664</v>
      </c>
      <c r="X1598">
        <v>6</v>
      </c>
      <c r="Y1598" t="s">
        <v>18155</v>
      </c>
      <c r="Z1598" t="s">
        <v>23603</v>
      </c>
      <c r="AA1598">
        <v>0.78393425211500822</v>
      </c>
      <c r="AB1598" t="str">
        <f>HYPERLINK("Melting_Curves/meltCurve_O95297_2_MPZL1.pdf", "Melting_Curves/meltCurve_O95297_2_MPZL1.pdf")</f>
        <v>Melting_Curves/meltCurve_O95297_2_MPZL1.pdf</v>
      </c>
    </row>
    <row r="1599" spans="1:28" x14ac:dyDescent="0.25">
      <c r="A1599" t="s">
        <v>1603</v>
      </c>
      <c r="B1599">
        <v>0.99299721793515405</v>
      </c>
      <c r="C1599">
        <v>0.83051480014502899</v>
      </c>
      <c r="D1599">
        <v>0.92651276280745698</v>
      </c>
      <c r="E1599">
        <v>0.77825950911979602</v>
      </c>
      <c r="F1599">
        <v>0.65297430626506003</v>
      </c>
      <c r="G1599">
        <v>0.56799643544067402</v>
      </c>
      <c r="H1599">
        <v>0.67486986424321704</v>
      </c>
      <c r="I1599">
        <v>0.85113335727167605</v>
      </c>
      <c r="J1599">
        <v>1.0192136936374701</v>
      </c>
      <c r="K1599">
        <v>0.69145759666392603</v>
      </c>
      <c r="L1599">
        <v>732.21427568126899</v>
      </c>
      <c r="M1599">
        <v>17.821245395696199</v>
      </c>
      <c r="O1599">
        <v>40.579727147820897</v>
      </c>
      <c r="P1599">
        <v>-2.75775642256639E-2</v>
      </c>
      <c r="Q1599">
        <v>0.74883175683866499</v>
      </c>
      <c r="R1599">
        <v>0.26189555707367701</v>
      </c>
      <c r="S1599" t="s">
        <v>7150</v>
      </c>
      <c r="T1599" t="s">
        <v>11100</v>
      </c>
      <c r="U1599" t="s">
        <v>11100</v>
      </c>
      <c r="V1599" t="s">
        <v>11100</v>
      </c>
      <c r="W1599" t="s">
        <v>12665</v>
      </c>
      <c r="X1599">
        <v>6</v>
      </c>
      <c r="Y1599" t="s">
        <v>18156</v>
      </c>
      <c r="Z1599" t="s">
        <v>23604</v>
      </c>
      <c r="AA1599">
        <v>0.78857781474399002</v>
      </c>
      <c r="AB1599" t="str">
        <f>HYPERLINK("Melting_Curves/meltCurve_O95298_2_NDUFC2.pdf", "Melting_Curves/meltCurve_O95298_2_NDUFC2.pdf")</f>
        <v>Melting_Curves/meltCurve_O95298_2_NDUFC2.pdf</v>
      </c>
    </row>
    <row r="1600" spans="1:28" x14ac:dyDescent="0.25">
      <c r="A1600" t="s">
        <v>1604</v>
      </c>
      <c r="B1600">
        <v>0.99299721793515405</v>
      </c>
      <c r="C1600">
        <v>0.97331361641640901</v>
      </c>
      <c r="D1600">
        <v>1.0202705447640099</v>
      </c>
      <c r="E1600">
        <v>1.04918123457558</v>
      </c>
      <c r="F1600">
        <v>0.88663807594399102</v>
      </c>
      <c r="G1600">
        <v>0.53620904512189504</v>
      </c>
      <c r="H1600">
        <v>0.438272782819291</v>
      </c>
      <c r="I1600">
        <v>0.36917318562462897</v>
      </c>
      <c r="J1600">
        <v>0.29943578523550901</v>
      </c>
      <c r="K1600">
        <v>0.29929036783309398</v>
      </c>
      <c r="L1600">
        <v>1581.26114745058</v>
      </c>
      <c r="M1600">
        <v>29.995406967152501</v>
      </c>
      <c r="N1600">
        <v>54.672001661695099</v>
      </c>
      <c r="O1600">
        <v>52.484139159497097</v>
      </c>
      <c r="P1600">
        <v>-9.5877541491878507E-2</v>
      </c>
      <c r="Q1600">
        <v>0.32896173268283502</v>
      </c>
      <c r="R1600">
        <v>0.98728428378021404</v>
      </c>
      <c r="S1600" t="s">
        <v>7151</v>
      </c>
      <c r="T1600" t="s">
        <v>11100</v>
      </c>
      <c r="U1600" t="s">
        <v>11100</v>
      </c>
      <c r="V1600" t="s">
        <v>11100</v>
      </c>
      <c r="W1600" t="s">
        <v>12666</v>
      </c>
      <c r="X1600">
        <v>12</v>
      </c>
      <c r="Y1600" t="s">
        <v>18157</v>
      </c>
      <c r="Z1600" t="s">
        <v>23605</v>
      </c>
      <c r="AA1600">
        <v>0.68477766983958899</v>
      </c>
      <c r="AB1600" t="str">
        <f>HYPERLINK("Melting_Curves/meltCurve_O95302_FKBP9.pdf", "Melting_Curves/meltCurve_O95302_FKBP9.pdf")</f>
        <v>Melting_Curves/meltCurve_O95302_FKBP9.pdf</v>
      </c>
    </row>
    <row r="1601" spans="1:28" x14ac:dyDescent="0.25">
      <c r="A1601" t="s">
        <v>1605</v>
      </c>
      <c r="B1601">
        <v>0.99299721793515405</v>
      </c>
      <c r="C1601">
        <v>0.97436196332240199</v>
      </c>
      <c r="D1601">
        <v>0.84411976425565305</v>
      </c>
      <c r="E1601">
        <v>0.80478840580118505</v>
      </c>
      <c r="F1601">
        <v>0.67624190941864704</v>
      </c>
      <c r="G1601">
        <v>0.52678912104265396</v>
      </c>
      <c r="H1601">
        <v>0.496678417085261</v>
      </c>
      <c r="I1601">
        <v>0.60313187310647098</v>
      </c>
      <c r="J1601">
        <v>0.57851969547058502</v>
      </c>
      <c r="K1601">
        <v>0.24421161288110299</v>
      </c>
      <c r="L1601">
        <v>407.68412447603902</v>
      </c>
      <c r="M1601">
        <v>8.02647000191409</v>
      </c>
      <c r="N1601">
        <v>59.087446529897598</v>
      </c>
      <c r="O1601">
        <v>47.930622590930199</v>
      </c>
      <c r="P1601">
        <v>-2.7747055575253501E-2</v>
      </c>
      <c r="Q1601">
        <v>0.33796534623662999</v>
      </c>
      <c r="R1601">
        <v>0.84615458635455398</v>
      </c>
      <c r="S1601" t="s">
        <v>7152</v>
      </c>
      <c r="T1601" t="s">
        <v>11100</v>
      </c>
      <c r="U1601" t="s">
        <v>11100</v>
      </c>
      <c r="V1601" t="s">
        <v>11100</v>
      </c>
      <c r="W1601" t="s">
        <v>12667</v>
      </c>
      <c r="X1601">
        <v>11</v>
      </c>
      <c r="Y1601" t="s">
        <v>18158</v>
      </c>
      <c r="Z1601" t="s">
        <v>23606</v>
      </c>
      <c r="AA1601">
        <v>0.66618151724350516</v>
      </c>
      <c r="AB1601" t="str">
        <f>HYPERLINK("Melting_Curves/meltCurve_O95336_PGLS.pdf", "Melting_Curves/meltCurve_O95336_PGLS.pdf")</f>
        <v>Melting_Curves/meltCurve_O95336_PGLS.pdf</v>
      </c>
    </row>
    <row r="1602" spans="1:28" x14ac:dyDescent="0.25">
      <c r="A1602" t="s">
        <v>1606</v>
      </c>
      <c r="B1602">
        <v>0.99299721793515405</v>
      </c>
      <c r="C1602">
        <v>0.99111233823584</v>
      </c>
      <c r="D1602">
        <v>0.82682192060999204</v>
      </c>
      <c r="E1602">
        <v>0.76831522803800001</v>
      </c>
      <c r="F1602">
        <v>0.60913451097286997</v>
      </c>
      <c r="G1602">
        <v>0.243414119051481</v>
      </c>
      <c r="H1602">
        <v>0.20989665313216799</v>
      </c>
      <c r="I1602">
        <v>0.19557875890937301</v>
      </c>
      <c r="J1602">
        <v>0.17376204858959801</v>
      </c>
      <c r="K1602">
        <v>0.136776058703628</v>
      </c>
      <c r="L1602">
        <v>721.78950311467702</v>
      </c>
      <c r="M1602">
        <v>14.5376345935325</v>
      </c>
      <c r="N1602">
        <v>50.588157267668201</v>
      </c>
      <c r="O1602">
        <v>48.738626524270302</v>
      </c>
      <c r="P1602">
        <v>-6.5763676998728302E-2</v>
      </c>
      <c r="Q1602">
        <v>0.118187971843496</v>
      </c>
      <c r="R1602">
        <v>0.97807823079454104</v>
      </c>
      <c r="S1602" t="s">
        <v>7153</v>
      </c>
      <c r="T1602" t="s">
        <v>11100</v>
      </c>
      <c r="U1602" t="s">
        <v>11100</v>
      </c>
      <c r="V1602" t="s">
        <v>11100</v>
      </c>
      <c r="W1602" t="s">
        <v>12668</v>
      </c>
      <c r="X1602">
        <v>16</v>
      </c>
      <c r="Y1602" t="s">
        <v>18159</v>
      </c>
      <c r="Z1602" t="s">
        <v>23607</v>
      </c>
      <c r="AA1602">
        <v>0.50952382381890593</v>
      </c>
      <c r="AB1602" t="str">
        <f>HYPERLINK("Melting_Curves/meltCurve_O95347_SMC2.pdf", "Melting_Curves/meltCurve_O95347_SMC2.pdf")</f>
        <v>Melting_Curves/meltCurve_O95347_SMC2.pdf</v>
      </c>
    </row>
    <row r="1603" spans="1:28" x14ac:dyDescent="0.25">
      <c r="A1603" t="s">
        <v>1607</v>
      </c>
      <c r="B1603">
        <v>0.99299721793515405</v>
      </c>
      <c r="C1603">
        <v>0.98422300106639704</v>
      </c>
      <c r="D1603">
        <v>0.90902083467174699</v>
      </c>
      <c r="E1603">
        <v>0.84989471484093204</v>
      </c>
      <c r="F1603">
        <v>0.72820191825195402</v>
      </c>
      <c r="G1603">
        <v>0.58560035111836195</v>
      </c>
      <c r="H1603">
        <v>0.192379823814777</v>
      </c>
      <c r="I1603">
        <v>0.159730079641249</v>
      </c>
      <c r="J1603">
        <v>0.13170968326705401</v>
      </c>
      <c r="K1603">
        <v>0.10053750896607801</v>
      </c>
      <c r="L1603">
        <v>744.660486970433</v>
      </c>
      <c r="M1603">
        <v>13.9235027126403</v>
      </c>
      <c r="N1603">
        <v>53.662625846775803</v>
      </c>
      <c r="O1603">
        <v>52.415270975721299</v>
      </c>
      <c r="P1603">
        <v>-6.4900240883320401E-2</v>
      </c>
      <c r="Q1603">
        <v>2.2859708042077601E-2</v>
      </c>
      <c r="R1603">
        <v>0.98008590265568396</v>
      </c>
      <c r="S1603" t="s">
        <v>7154</v>
      </c>
      <c r="T1603" t="s">
        <v>11100</v>
      </c>
      <c r="U1603" t="s">
        <v>11100</v>
      </c>
      <c r="V1603" t="s">
        <v>11100</v>
      </c>
      <c r="W1603" t="s">
        <v>12669</v>
      </c>
      <c r="X1603">
        <v>7</v>
      </c>
      <c r="Y1603" t="s">
        <v>18160</v>
      </c>
      <c r="Z1603" t="s">
        <v>23608</v>
      </c>
      <c r="AA1603">
        <v>0.57741424521230855</v>
      </c>
      <c r="AB1603" t="str">
        <f>HYPERLINK("Melting_Curves/meltCurve_O95352_ATG7.pdf", "Melting_Curves/meltCurve_O95352_ATG7.pdf")</f>
        <v>Melting_Curves/meltCurve_O95352_ATG7.pdf</v>
      </c>
    </row>
    <row r="1604" spans="1:28" x14ac:dyDescent="0.25">
      <c r="A1604" t="s">
        <v>1608</v>
      </c>
      <c r="B1604">
        <v>0.99299721793515405</v>
      </c>
      <c r="C1604">
        <v>0.98014418512105705</v>
      </c>
      <c r="D1604">
        <v>1.37586154525872</v>
      </c>
      <c r="E1604">
        <v>0.95018027817738104</v>
      </c>
      <c r="F1604">
        <v>0.64137692489686604</v>
      </c>
      <c r="G1604">
        <v>0.53961077025850002</v>
      </c>
      <c r="H1604">
        <v>0.14546659770718501</v>
      </c>
      <c r="I1604">
        <v>0.188141957727501</v>
      </c>
      <c r="J1604">
        <v>0.14039846557167401</v>
      </c>
      <c r="K1604">
        <v>8.3451051220440803E-2</v>
      </c>
      <c r="L1604">
        <v>1087.78457437879</v>
      </c>
      <c r="M1604">
        <v>20.7436748166344</v>
      </c>
      <c r="N1604">
        <v>53.015325933658602</v>
      </c>
      <c r="O1604">
        <v>51.959285705916898</v>
      </c>
      <c r="P1604">
        <v>-8.9740338095724695E-2</v>
      </c>
      <c r="Q1604">
        <v>0.10088970081486601</v>
      </c>
      <c r="R1604">
        <v>0.90422590542518699</v>
      </c>
      <c r="S1604" t="s">
        <v>7155</v>
      </c>
      <c r="T1604" t="s">
        <v>11100</v>
      </c>
      <c r="U1604" t="s">
        <v>11100</v>
      </c>
      <c r="V1604" t="s">
        <v>11100</v>
      </c>
      <c r="W1604" t="s">
        <v>12670</v>
      </c>
      <c r="X1604">
        <v>1</v>
      </c>
      <c r="Y1604" t="s">
        <v>18161</v>
      </c>
      <c r="Z1604" t="s">
        <v>23609</v>
      </c>
      <c r="AA1604">
        <v>0.574487180106519</v>
      </c>
      <c r="AB1604" t="str">
        <f>HYPERLINK("Melting_Curves/meltCurve_O95363_FARS2.pdf", "Melting_Curves/meltCurve_O95363_FARS2.pdf")</f>
        <v>Melting_Curves/meltCurve_O95363_FARS2.pdf</v>
      </c>
    </row>
    <row r="1605" spans="1:28" x14ac:dyDescent="0.25">
      <c r="A1605" t="s">
        <v>1609</v>
      </c>
      <c r="B1605">
        <v>0.99299721793515405</v>
      </c>
      <c r="C1605">
        <v>0.77191348843137997</v>
      </c>
      <c r="D1605">
        <v>0.92829749884375401</v>
      </c>
      <c r="E1605">
        <v>0.71390792167699502</v>
      </c>
      <c r="F1605">
        <v>0.78067179164843303</v>
      </c>
      <c r="G1605">
        <v>0.476258204162682</v>
      </c>
      <c r="H1605">
        <v>0.38366116722849197</v>
      </c>
      <c r="I1605">
        <v>0.42365224248758399</v>
      </c>
      <c r="J1605">
        <v>0.34308114656529598</v>
      </c>
      <c r="K1605">
        <v>0.12768991717370301</v>
      </c>
      <c r="L1605">
        <v>361.16907724990398</v>
      </c>
      <c r="M1605">
        <v>6.5602176166694797</v>
      </c>
      <c r="N1605">
        <v>55.054416456326599</v>
      </c>
      <c r="O1605">
        <v>50.611175664285398</v>
      </c>
      <c r="P1605">
        <v>-3.2481099665760599E-2</v>
      </c>
      <c r="Q1605">
        <v>0</v>
      </c>
      <c r="R1605">
        <v>0.89551563022029501</v>
      </c>
      <c r="S1605" t="s">
        <v>7156</v>
      </c>
      <c r="T1605" t="s">
        <v>11100</v>
      </c>
      <c r="U1605" t="s">
        <v>11100</v>
      </c>
      <c r="V1605" t="s">
        <v>11100</v>
      </c>
      <c r="W1605" t="s">
        <v>12671</v>
      </c>
      <c r="X1605">
        <v>1</v>
      </c>
      <c r="Y1605" t="s">
        <v>18162</v>
      </c>
      <c r="Z1605" t="s">
        <v>23610</v>
      </c>
      <c r="AA1605">
        <v>0.60066496274824566</v>
      </c>
      <c r="AB1605" t="str">
        <f>HYPERLINK("Melting_Curves/meltCurve_O95365_ZBTB7A.pdf", "Melting_Curves/meltCurve_O95365_ZBTB7A.pdf")</f>
        <v>Melting_Curves/meltCurve_O95365_ZBTB7A.pdf</v>
      </c>
    </row>
    <row r="1606" spans="1:28" x14ac:dyDescent="0.25">
      <c r="A1606" t="s">
        <v>1610</v>
      </c>
      <c r="B1606">
        <v>0.99299721793515405</v>
      </c>
      <c r="C1606">
        <v>1.03838480903562</v>
      </c>
      <c r="D1606">
        <v>1.0663208714053301</v>
      </c>
      <c r="E1606">
        <v>0.861100235158062</v>
      </c>
      <c r="F1606">
        <v>0.86159628836106805</v>
      </c>
      <c r="G1606">
        <v>0.640176770555135</v>
      </c>
      <c r="H1606">
        <v>0.49723469400043002</v>
      </c>
      <c r="I1606">
        <v>0.31805080160471</v>
      </c>
      <c r="J1606">
        <v>0.204054281161902</v>
      </c>
      <c r="K1606">
        <v>0.194128236265947</v>
      </c>
      <c r="L1606">
        <v>713.88876534573103</v>
      </c>
      <c r="M1606">
        <v>12.71014909412</v>
      </c>
      <c r="N1606">
        <v>56.855186812759499</v>
      </c>
      <c r="O1606">
        <v>54.830907030834403</v>
      </c>
      <c r="P1606">
        <v>-5.3829165184323603E-2</v>
      </c>
      <c r="Q1606">
        <v>7.1314491875955399E-2</v>
      </c>
      <c r="R1606">
        <v>0.98335461319485395</v>
      </c>
      <c r="S1606" t="s">
        <v>7157</v>
      </c>
      <c r="T1606" t="s">
        <v>11100</v>
      </c>
      <c r="U1606" t="s">
        <v>11100</v>
      </c>
      <c r="V1606" t="s">
        <v>11100</v>
      </c>
      <c r="W1606" t="s">
        <v>12672</v>
      </c>
      <c r="X1606">
        <v>10</v>
      </c>
      <c r="Y1606" t="s">
        <v>18163</v>
      </c>
      <c r="Z1606" t="s">
        <v>23611</v>
      </c>
      <c r="AA1606">
        <v>0.67373574291634752</v>
      </c>
      <c r="AB1606" t="str">
        <f>HYPERLINK("Melting_Curves/meltCurve_O95372_LYPLA2.pdf", "Melting_Curves/meltCurve_O95372_LYPLA2.pdf")</f>
        <v>Melting_Curves/meltCurve_O95372_LYPLA2.pdf</v>
      </c>
    </row>
    <row r="1607" spans="1:28" x14ac:dyDescent="0.25">
      <c r="A1607" t="s">
        <v>1611</v>
      </c>
      <c r="B1607">
        <v>0.99299721793515405</v>
      </c>
      <c r="C1607">
        <v>1.09333005954213</v>
      </c>
      <c r="D1607">
        <v>0.99673563026413303</v>
      </c>
      <c r="E1607">
        <v>0.87950989814120095</v>
      </c>
      <c r="F1607">
        <v>0.78970537266442697</v>
      </c>
      <c r="G1607">
        <v>0.72293774906554498</v>
      </c>
      <c r="H1607">
        <v>0.45569852202935701</v>
      </c>
      <c r="I1607">
        <v>0.38045275301155002</v>
      </c>
      <c r="J1607">
        <v>0.18185262287366799</v>
      </c>
      <c r="K1607">
        <v>0.13390817051917001</v>
      </c>
      <c r="L1607">
        <v>657.928893830064</v>
      </c>
      <c r="M1607">
        <v>11.524114208668699</v>
      </c>
      <c r="N1607">
        <v>57.091493781144003</v>
      </c>
      <c r="O1607">
        <v>55.453556053606299</v>
      </c>
      <c r="P1607">
        <v>-5.1968548293173801E-2</v>
      </c>
      <c r="Q1607">
        <v>0</v>
      </c>
      <c r="R1607">
        <v>0.97873447619653797</v>
      </c>
      <c r="S1607" t="s">
        <v>7158</v>
      </c>
      <c r="T1607" t="s">
        <v>11100</v>
      </c>
      <c r="U1607" t="s">
        <v>11100</v>
      </c>
      <c r="V1607" t="s">
        <v>11100</v>
      </c>
      <c r="W1607" t="s">
        <v>12673</v>
      </c>
      <c r="X1607">
        <v>27</v>
      </c>
      <c r="Y1607" t="s">
        <v>18164</v>
      </c>
      <c r="Z1607" t="s">
        <v>23612</v>
      </c>
      <c r="AA1607">
        <v>0.67281413605167684</v>
      </c>
      <c r="AB1607" t="str">
        <f>HYPERLINK("Melting_Curves/meltCurve_O95373_IPO7.pdf", "Melting_Curves/meltCurve_O95373_IPO7.pdf")</f>
        <v>Melting_Curves/meltCurve_O95373_IPO7.pdf</v>
      </c>
    </row>
    <row r="1608" spans="1:28" x14ac:dyDescent="0.25">
      <c r="A1608" t="s">
        <v>1612</v>
      </c>
      <c r="B1608">
        <v>0.99299721793515405</v>
      </c>
      <c r="C1608">
        <v>0.94209658182532297</v>
      </c>
      <c r="D1608">
        <v>0.94229506156503096</v>
      </c>
      <c r="E1608">
        <v>0.88961480051520303</v>
      </c>
      <c r="F1608">
        <v>0.71190810376592395</v>
      </c>
      <c r="G1608">
        <v>0.60663439445104905</v>
      </c>
      <c r="H1608">
        <v>0.37723622109876698</v>
      </c>
      <c r="I1608">
        <v>0.227424496239163</v>
      </c>
      <c r="J1608">
        <v>0.23066026073809301</v>
      </c>
      <c r="K1608">
        <v>0.20759407354090501</v>
      </c>
      <c r="L1608">
        <v>648.86836661667803</v>
      </c>
      <c r="M1608">
        <v>12.0617622882286</v>
      </c>
      <c r="N1608">
        <v>54.889812501389201</v>
      </c>
      <c r="O1608">
        <v>52.380799283769299</v>
      </c>
      <c r="P1608">
        <v>-5.1427373856195897E-2</v>
      </c>
      <c r="Q1608">
        <v>0.106872951523004</v>
      </c>
      <c r="R1608">
        <v>0.99011650579042199</v>
      </c>
      <c r="S1608" t="s">
        <v>7159</v>
      </c>
      <c r="T1608" t="s">
        <v>11100</v>
      </c>
      <c r="U1608" t="s">
        <v>11100</v>
      </c>
      <c r="V1608" t="s">
        <v>11100</v>
      </c>
      <c r="W1608" t="s">
        <v>12674</v>
      </c>
      <c r="X1608">
        <v>15</v>
      </c>
      <c r="Y1608" t="s">
        <v>18165</v>
      </c>
      <c r="Z1608" t="s">
        <v>23613</v>
      </c>
      <c r="AA1608">
        <v>0.62348563583400785</v>
      </c>
      <c r="AB1608" t="str">
        <f>HYPERLINK("Melting_Curves/meltCurve_O95376_ARIH2.pdf", "Melting_Curves/meltCurve_O95376_ARIH2.pdf")</f>
        <v>Melting_Curves/meltCurve_O95376_ARIH2.pdf</v>
      </c>
    </row>
    <row r="1609" spans="1:28" x14ac:dyDescent="0.25">
      <c r="A1609" t="s">
        <v>1613</v>
      </c>
      <c r="B1609">
        <v>0.99299721793515405</v>
      </c>
      <c r="C1609">
        <v>0.77961117281483105</v>
      </c>
      <c r="D1609">
        <v>0.82244257132868004</v>
      </c>
      <c r="E1609">
        <v>0.67351010164446201</v>
      </c>
      <c r="F1609">
        <v>0.31138529719240399</v>
      </c>
      <c r="G1609">
        <v>0.119678006880013</v>
      </c>
      <c r="H1609">
        <v>0.185430093820556</v>
      </c>
      <c r="I1609">
        <v>0.24538066092983801</v>
      </c>
      <c r="J1609">
        <v>0.216524158378256</v>
      </c>
      <c r="K1609">
        <v>0.192030268985804</v>
      </c>
      <c r="L1609">
        <v>764.01944146836195</v>
      </c>
      <c r="M1609">
        <v>16.4759715563568</v>
      </c>
      <c r="N1609">
        <v>47.556868618011798</v>
      </c>
      <c r="O1609">
        <v>45.704758706731297</v>
      </c>
      <c r="P1609">
        <v>-7.4953340351833903E-2</v>
      </c>
      <c r="Q1609">
        <v>0.168368339973164</v>
      </c>
      <c r="R1609">
        <v>0.93429432969104598</v>
      </c>
      <c r="S1609" t="s">
        <v>7160</v>
      </c>
      <c r="T1609" t="s">
        <v>11100</v>
      </c>
      <c r="U1609" t="s">
        <v>11100</v>
      </c>
      <c r="V1609" t="s">
        <v>11100</v>
      </c>
      <c r="W1609" t="s">
        <v>12675</v>
      </c>
      <c r="X1609">
        <v>2</v>
      </c>
      <c r="Y1609" t="s">
        <v>18166</v>
      </c>
      <c r="Z1609" t="s">
        <v>23614</v>
      </c>
      <c r="AA1609">
        <v>0.4440744448751327</v>
      </c>
      <c r="AB1609" t="str">
        <f>HYPERLINK("Melting_Curves/meltCurve_O95391_SLU7.pdf", "Melting_Curves/meltCurve_O95391_SLU7.pdf")</f>
        <v>Melting_Curves/meltCurve_O95391_SLU7.pdf</v>
      </c>
    </row>
    <row r="1610" spans="1:28" x14ac:dyDescent="0.25">
      <c r="A1610" t="s">
        <v>1614</v>
      </c>
      <c r="B1610">
        <v>0.99299721793515405</v>
      </c>
      <c r="C1610">
        <v>0.96128128976790705</v>
      </c>
      <c r="D1610">
        <v>1.0501330246299201</v>
      </c>
      <c r="E1610">
        <v>0.84427393353940405</v>
      </c>
      <c r="F1610">
        <v>0.70965768026147102</v>
      </c>
      <c r="G1610">
        <v>0.41500942479501401</v>
      </c>
      <c r="H1610">
        <v>0.166525127073822</v>
      </c>
      <c r="I1610">
        <v>0.14524163363221701</v>
      </c>
      <c r="J1610">
        <v>0.121159225336146</v>
      </c>
      <c r="K1610">
        <v>9.5211488780426498E-2</v>
      </c>
      <c r="L1610">
        <v>979.31684515628694</v>
      </c>
      <c r="M1610">
        <v>18.8495890283832</v>
      </c>
      <c r="N1610">
        <v>52.4484123269958</v>
      </c>
      <c r="O1610">
        <v>51.380128742275197</v>
      </c>
      <c r="P1610">
        <v>-8.4258158668384694E-2</v>
      </c>
      <c r="Q1610">
        <v>8.1355674623893801E-2</v>
      </c>
      <c r="R1610">
        <v>0.99100819201997903</v>
      </c>
      <c r="S1610" t="s">
        <v>7161</v>
      </c>
      <c r="T1610" t="s">
        <v>11100</v>
      </c>
      <c r="U1610" t="s">
        <v>11100</v>
      </c>
      <c r="V1610" t="s">
        <v>11100</v>
      </c>
      <c r="W1610" t="s">
        <v>12676</v>
      </c>
      <c r="X1610">
        <v>22</v>
      </c>
      <c r="Y1610" t="s">
        <v>18167</v>
      </c>
      <c r="Z1610" t="s">
        <v>23615</v>
      </c>
      <c r="AA1610">
        <v>0.55228017153595665</v>
      </c>
      <c r="AB1610" t="str">
        <f>HYPERLINK("Melting_Curves/meltCurve_O95394_PGM3.pdf", "Melting_Curves/meltCurve_O95394_PGM3.pdf")</f>
        <v>Melting_Curves/meltCurve_O95394_PGM3.pdf</v>
      </c>
    </row>
    <row r="1611" spans="1:28" x14ac:dyDescent="0.25">
      <c r="A1611" t="s">
        <v>1615</v>
      </c>
      <c r="B1611">
        <v>0.99299721793515405</v>
      </c>
      <c r="C1611">
        <v>1.02369639376456</v>
      </c>
      <c r="D1611">
        <v>0.901959173488185</v>
      </c>
      <c r="E1611">
        <v>0.88056112337973003</v>
      </c>
      <c r="F1611">
        <v>0.62773652719506601</v>
      </c>
      <c r="G1611">
        <v>0.240351529177183</v>
      </c>
      <c r="H1611">
        <v>0.18170747250736199</v>
      </c>
      <c r="I1611">
        <v>0.14986577671512</v>
      </c>
      <c r="J1611">
        <v>0.14954552719712499</v>
      </c>
      <c r="K1611">
        <v>0.10373806625877199</v>
      </c>
      <c r="L1611">
        <v>1219.6025551390001</v>
      </c>
      <c r="M1611">
        <v>24.154824183082201</v>
      </c>
      <c r="N1611">
        <v>51.091461251855101</v>
      </c>
      <c r="O1611">
        <v>50.148802933013499</v>
      </c>
      <c r="P1611">
        <v>-0.105538429152171</v>
      </c>
      <c r="Q1611">
        <v>0.123563112073688</v>
      </c>
      <c r="R1611">
        <v>0.99093829733791805</v>
      </c>
      <c r="S1611" t="s">
        <v>7162</v>
      </c>
      <c r="T1611" t="s">
        <v>11100</v>
      </c>
      <c r="U1611" t="s">
        <v>11100</v>
      </c>
      <c r="V1611" t="s">
        <v>11100</v>
      </c>
      <c r="W1611" t="s">
        <v>12677</v>
      </c>
      <c r="X1611">
        <v>9</v>
      </c>
      <c r="Y1611" t="s">
        <v>18168</v>
      </c>
      <c r="Z1611" t="s">
        <v>23616</v>
      </c>
      <c r="AA1611">
        <v>0.52591239923494304</v>
      </c>
      <c r="AB1611" t="str">
        <f>HYPERLINK("Melting_Curves/meltCurve_O95396_MOCS3.pdf", "Melting_Curves/meltCurve_O95396_MOCS3.pdf")</f>
        <v>Melting_Curves/meltCurve_O95396_MOCS3.pdf</v>
      </c>
    </row>
    <row r="1612" spans="1:28" x14ac:dyDescent="0.25">
      <c r="A1612" t="s">
        <v>1616</v>
      </c>
      <c r="B1612">
        <v>0.99299721793515405</v>
      </c>
      <c r="C1612">
        <v>0.941225956293824</v>
      </c>
      <c r="D1612">
        <v>0.95925879833150995</v>
      </c>
      <c r="E1612">
        <v>0.90979923466212298</v>
      </c>
      <c r="F1612">
        <v>0.38935353569313402</v>
      </c>
      <c r="G1612">
        <v>0.30207779160290998</v>
      </c>
      <c r="H1612">
        <v>0.37925894345776001</v>
      </c>
      <c r="I1612">
        <v>0.42236960039941601</v>
      </c>
      <c r="J1612">
        <v>0.49437592660323898</v>
      </c>
      <c r="K1612">
        <v>0.50430224521792999</v>
      </c>
      <c r="L1612">
        <v>11729.291223197701</v>
      </c>
      <c r="M1612">
        <v>250</v>
      </c>
      <c r="N1612">
        <v>47.252731408350897</v>
      </c>
      <c r="O1612">
        <v>46.914165976635601</v>
      </c>
      <c r="P1612">
        <v>-0.77896298088937999</v>
      </c>
      <c r="Q1612">
        <v>0.41528966669703099</v>
      </c>
      <c r="R1612">
        <v>0.95259118718192504</v>
      </c>
      <c r="S1612" t="s">
        <v>7163</v>
      </c>
      <c r="T1612" t="s">
        <v>11100</v>
      </c>
      <c r="U1612" t="s">
        <v>11100</v>
      </c>
      <c r="V1612" t="s">
        <v>11100</v>
      </c>
      <c r="W1612" t="s">
        <v>12678</v>
      </c>
      <c r="X1612">
        <v>10</v>
      </c>
      <c r="Y1612" t="s">
        <v>18169</v>
      </c>
      <c r="Z1612" t="s">
        <v>23617</v>
      </c>
      <c r="AA1612">
        <v>0.60862677076210636</v>
      </c>
      <c r="AB1612" t="str">
        <f>HYPERLINK("Melting_Curves/meltCurve_O95400_CD2BP2.pdf", "Melting_Curves/meltCurve_O95400_CD2BP2.pdf")</f>
        <v>Melting_Curves/meltCurve_O95400_CD2BP2.pdf</v>
      </c>
    </row>
    <row r="1613" spans="1:28" x14ac:dyDescent="0.25">
      <c r="A1613" t="s">
        <v>1617</v>
      </c>
      <c r="B1613">
        <v>0.99299721793515405</v>
      </c>
      <c r="C1613">
        <v>1.09521770862815</v>
      </c>
      <c r="D1613">
        <v>1.0918439001022699</v>
      </c>
      <c r="E1613">
        <v>0.89298088381274798</v>
      </c>
      <c r="F1613">
        <v>0.85214906028677795</v>
      </c>
      <c r="G1613">
        <v>0.54385422525014004</v>
      </c>
      <c r="H1613">
        <v>0.44496070023783502</v>
      </c>
      <c r="I1613">
        <v>0.50923905428584604</v>
      </c>
      <c r="J1613">
        <v>0.41545298537775599</v>
      </c>
      <c r="K1613">
        <v>0.39476621026596498</v>
      </c>
      <c r="L1613">
        <v>1449.0945143619799</v>
      </c>
      <c r="M1613">
        <v>28.091971719044199</v>
      </c>
      <c r="N1613">
        <v>55.414494647407899</v>
      </c>
      <c r="O1613">
        <v>51.324662736398899</v>
      </c>
      <c r="P1613">
        <v>-7.8231402942928199E-2</v>
      </c>
      <c r="Q1613">
        <v>0.42828272851299298</v>
      </c>
      <c r="R1613">
        <v>0.95613252493104905</v>
      </c>
      <c r="S1613" t="s">
        <v>7164</v>
      </c>
      <c r="T1613" t="s">
        <v>11100</v>
      </c>
      <c r="U1613" t="s">
        <v>11100</v>
      </c>
      <c r="V1613" t="s">
        <v>11100</v>
      </c>
      <c r="W1613" t="s">
        <v>12679</v>
      </c>
      <c r="X1613">
        <v>4</v>
      </c>
      <c r="Y1613" t="s">
        <v>18170</v>
      </c>
      <c r="Z1613" t="s">
        <v>23618</v>
      </c>
      <c r="AA1613">
        <v>0.71028366590249414</v>
      </c>
      <c r="AB1613" t="str">
        <f>HYPERLINK("Melting_Curves/meltCurve_O95405_ZFYVE9.pdf", "Melting_Curves/meltCurve_O95405_ZFYVE9.pdf")</f>
        <v>Melting_Curves/meltCurve_O95405_ZFYVE9.pdf</v>
      </c>
    </row>
    <row r="1614" spans="1:28" x14ac:dyDescent="0.25">
      <c r="A1614" t="s">
        <v>1618</v>
      </c>
      <c r="B1614">
        <v>0.99299721793515405</v>
      </c>
      <c r="C1614">
        <v>0.95566997654483798</v>
      </c>
      <c r="D1614">
        <v>0.98314960887627401</v>
      </c>
      <c r="E1614">
        <v>0.89057532582152699</v>
      </c>
      <c r="F1614">
        <v>0.68425714839229301</v>
      </c>
      <c r="G1614">
        <v>0.56448617860416705</v>
      </c>
      <c r="H1614">
        <v>0.38385423990773199</v>
      </c>
      <c r="I1614">
        <v>0.26979157586300501</v>
      </c>
      <c r="J1614">
        <v>0.261553585655456</v>
      </c>
      <c r="K1614">
        <v>0.26245409456680002</v>
      </c>
      <c r="L1614">
        <v>732.19405597177604</v>
      </c>
      <c r="M1614">
        <v>13.992958098345801</v>
      </c>
      <c r="N1614">
        <v>54.401282984987198</v>
      </c>
      <c r="O1614">
        <v>51.291969168878701</v>
      </c>
      <c r="P1614">
        <v>-5.4103923856502298E-2</v>
      </c>
      <c r="Q1614">
        <v>0.206821344752114</v>
      </c>
      <c r="R1614">
        <v>0.99377837571606797</v>
      </c>
      <c r="S1614" t="s">
        <v>7165</v>
      </c>
      <c r="T1614" t="s">
        <v>11100</v>
      </c>
      <c r="U1614" t="s">
        <v>11100</v>
      </c>
      <c r="V1614" t="s">
        <v>11100</v>
      </c>
      <c r="W1614" t="s">
        <v>12680</v>
      </c>
      <c r="X1614">
        <v>2</v>
      </c>
      <c r="Y1614" t="s">
        <v>18171</v>
      </c>
      <c r="Z1614" t="s">
        <v>23619</v>
      </c>
      <c r="AA1614">
        <v>0.62800937965717429</v>
      </c>
      <c r="AB1614" t="str">
        <f>HYPERLINK("Melting_Curves/meltCurve_O95429_2_BAG4.pdf", "Melting_Curves/meltCurve_O95429_2_BAG4.pdf")</f>
        <v>Melting_Curves/meltCurve_O95429_2_BAG4.pdf</v>
      </c>
    </row>
    <row r="1615" spans="1:28" x14ac:dyDescent="0.25">
      <c r="A1615" t="s">
        <v>1619</v>
      </c>
      <c r="B1615">
        <v>0.99299721793515405</v>
      </c>
      <c r="C1615">
        <v>0.99219836972634501</v>
      </c>
      <c r="D1615">
        <v>1.09072015074218</v>
      </c>
      <c r="E1615">
        <v>0.87302925687104704</v>
      </c>
      <c r="F1615">
        <v>0.78792471932333996</v>
      </c>
      <c r="G1615">
        <v>0.567308725077876</v>
      </c>
      <c r="H1615">
        <v>0.213545089065516</v>
      </c>
      <c r="I1615">
        <v>0.187889753067329</v>
      </c>
      <c r="J1615">
        <v>0.178998013866318</v>
      </c>
      <c r="K1615">
        <v>0.13990939338177399</v>
      </c>
      <c r="L1615">
        <v>1069.5723415326199</v>
      </c>
      <c r="M1615">
        <v>20.122361621598401</v>
      </c>
      <c r="N1615">
        <v>53.918155942000503</v>
      </c>
      <c r="O1615">
        <v>52.636815474347699</v>
      </c>
      <c r="P1615">
        <v>-8.3709755232792393E-2</v>
      </c>
      <c r="Q1615">
        <v>0.124143576104647</v>
      </c>
      <c r="R1615">
        <v>0.98159052688884196</v>
      </c>
      <c r="S1615" t="s">
        <v>7166</v>
      </c>
      <c r="T1615" t="s">
        <v>11100</v>
      </c>
      <c r="U1615" t="s">
        <v>11100</v>
      </c>
      <c r="V1615" t="s">
        <v>11100</v>
      </c>
      <c r="W1615" t="s">
        <v>12681</v>
      </c>
      <c r="X1615">
        <v>14</v>
      </c>
      <c r="Y1615" t="s">
        <v>18172</v>
      </c>
      <c r="Z1615" t="s">
        <v>23620</v>
      </c>
      <c r="AA1615">
        <v>0.60662792158251522</v>
      </c>
      <c r="AB1615" t="str">
        <f>HYPERLINK("Melting_Curves/meltCurve_O95433_AHSA1.pdf", "Melting_Curves/meltCurve_O95433_AHSA1.pdf")</f>
        <v>Melting_Curves/meltCurve_O95433_AHSA1.pdf</v>
      </c>
    </row>
    <row r="1616" spans="1:28" x14ac:dyDescent="0.25">
      <c r="A1616" t="s">
        <v>1620</v>
      </c>
      <c r="B1616">
        <v>0.99299721793515405</v>
      </c>
      <c r="C1616">
        <v>0.98045942282133303</v>
      </c>
      <c r="D1616">
        <v>1.0889509806770801</v>
      </c>
      <c r="E1616">
        <v>0.88764668317387296</v>
      </c>
      <c r="F1616">
        <v>0.79641154672095105</v>
      </c>
      <c r="G1616">
        <v>0.39255769860871598</v>
      </c>
      <c r="H1616">
        <v>0.169778898205005</v>
      </c>
      <c r="I1616">
        <v>0.166344030963541</v>
      </c>
      <c r="J1616">
        <v>0.167712021711549</v>
      </c>
      <c r="K1616">
        <v>0.14611600819123999</v>
      </c>
      <c r="L1616">
        <v>1465.14487427003</v>
      </c>
      <c r="M1616">
        <v>28.146989368522298</v>
      </c>
      <c r="N1616">
        <v>52.693473103458899</v>
      </c>
      <c r="O1616">
        <v>51.792720849326201</v>
      </c>
      <c r="P1616">
        <v>-0.116191125312039</v>
      </c>
      <c r="Q1616">
        <v>0.14480317160242701</v>
      </c>
      <c r="R1616">
        <v>0.98816309497614296</v>
      </c>
      <c r="S1616" t="s">
        <v>7167</v>
      </c>
      <c r="T1616" t="s">
        <v>11100</v>
      </c>
      <c r="U1616" t="s">
        <v>11100</v>
      </c>
      <c r="V1616" t="s">
        <v>11100</v>
      </c>
      <c r="W1616" t="s">
        <v>12682</v>
      </c>
      <c r="X1616">
        <v>9</v>
      </c>
      <c r="Y1616" t="s">
        <v>18173</v>
      </c>
      <c r="Z1616" t="s">
        <v>23621</v>
      </c>
      <c r="AA1616">
        <v>0.58001518493906101</v>
      </c>
      <c r="AB1616" t="str">
        <f>HYPERLINK("Melting_Curves/meltCurve_O95453_2_PARN.pdf", "Melting_Curves/meltCurve_O95453_2_PARN.pdf")</f>
        <v>Melting_Curves/meltCurve_O95453_2_PARN.pdf</v>
      </c>
    </row>
    <row r="1617" spans="1:28" x14ac:dyDescent="0.25">
      <c r="A1617" t="s">
        <v>1621</v>
      </c>
      <c r="B1617">
        <v>0.99299721793515405</v>
      </c>
      <c r="C1617">
        <v>1.2058558979702201</v>
      </c>
      <c r="D1617">
        <v>1.2040863425719299</v>
      </c>
      <c r="E1617">
        <v>1.38264930594274</v>
      </c>
      <c r="F1617">
        <v>0.754047290251737</v>
      </c>
      <c r="G1617">
        <v>0.227099043096013</v>
      </c>
      <c r="H1617">
        <v>0.64018902712123804</v>
      </c>
      <c r="I1617">
        <v>0.29059110318532599</v>
      </c>
      <c r="J1617">
        <v>0.51776391299834101</v>
      </c>
      <c r="K1617">
        <v>0.25688415729057101</v>
      </c>
      <c r="L1617">
        <v>12570.165219463201</v>
      </c>
      <c r="M1617">
        <v>250</v>
      </c>
      <c r="N1617">
        <v>50.580681180631998</v>
      </c>
      <c r="O1617">
        <v>50.277443239423199</v>
      </c>
      <c r="P1617">
        <v>-0.76263642983805302</v>
      </c>
      <c r="Q1617">
        <v>0.38650544358551198</v>
      </c>
      <c r="R1617">
        <v>0.78193040134884795</v>
      </c>
      <c r="S1617" t="s">
        <v>7168</v>
      </c>
      <c r="T1617" t="s">
        <v>11100</v>
      </c>
      <c r="U1617" t="s">
        <v>11100</v>
      </c>
      <c r="V1617" t="s">
        <v>11100</v>
      </c>
      <c r="W1617" t="s">
        <v>12683</v>
      </c>
      <c r="X1617">
        <v>1</v>
      </c>
      <c r="Y1617" t="s">
        <v>18174</v>
      </c>
      <c r="Z1617" t="s">
        <v>23622</v>
      </c>
      <c r="AA1617">
        <v>0.6581466845738525</v>
      </c>
      <c r="AB1617" t="str">
        <f>HYPERLINK("Melting_Curves/meltCurve_O95455_TGDS.pdf", "Melting_Curves/meltCurve_O95455_TGDS.pdf")</f>
        <v>Melting_Curves/meltCurve_O95455_TGDS.pdf</v>
      </c>
    </row>
    <row r="1618" spans="1:28" x14ac:dyDescent="0.25">
      <c r="A1618" t="s">
        <v>1622</v>
      </c>
      <c r="B1618">
        <v>0.99299721793515405</v>
      </c>
      <c r="C1618">
        <v>0.94265737774929004</v>
      </c>
      <c r="D1618">
        <v>0.91972523691720698</v>
      </c>
      <c r="E1618">
        <v>0.89675258971296301</v>
      </c>
      <c r="F1618">
        <v>0.82939485300922</v>
      </c>
      <c r="G1618">
        <v>0.79531673322831298</v>
      </c>
      <c r="H1618">
        <v>0.68895068767573298</v>
      </c>
      <c r="I1618">
        <v>0.63118516161560201</v>
      </c>
      <c r="J1618">
        <v>0.316137511619769</v>
      </c>
      <c r="K1618">
        <v>0.16901384460180499</v>
      </c>
      <c r="L1618">
        <v>661.27684144080899</v>
      </c>
      <c r="M1618">
        <v>10.872444967840501</v>
      </c>
      <c r="N1618">
        <v>60.821355593099398</v>
      </c>
      <c r="O1618">
        <v>58.872281798099003</v>
      </c>
      <c r="P1618">
        <v>-4.6185908114832898E-2</v>
      </c>
      <c r="Q1618">
        <v>0</v>
      </c>
      <c r="R1618">
        <v>0.92522642949051204</v>
      </c>
      <c r="S1618" t="s">
        <v>7169</v>
      </c>
      <c r="T1618" t="s">
        <v>11100</v>
      </c>
      <c r="U1618" t="s">
        <v>11100</v>
      </c>
      <c r="V1618" t="s">
        <v>11100</v>
      </c>
      <c r="W1618" t="s">
        <v>12684</v>
      </c>
      <c r="X1618">
        <v>9</v>
      </c>
      <c r="Y1618" t="s">
        <v>18175</v>
      </c>
      <c r="Z1618" t="s">
        <v>23623</v>
      </c>
      <c r="AA1618">
        <v>0.76421601413752005</v>
      </c>
      <c r="AB1618" t="str">
        <f>HYPERLINK("Melting_Curves/meltCurve_O95456_PSMG1.pdf", "Melting_Curves/meltCurve_O95456_PSMG1.pdf")</f>
        <v>Melting_Curves/meltCurve_O95456_PSMG1.pdf</v>
      </c>
    </row>
    <row r="1619" spans="1:28" x14ac:dyDescent="0.25">
      <c r="A1619" t="s">
        <v>1623</v>
      </c>
      <c r="B1619">
        <v>0.99299721793515405</v>
      </c>
      <c r="C1619">
        <v>1.0899828761777799</v>
      </c>
      <c r="D1619">
        <v>1.0105774841937101</v>
      </c>
      <c r="E1619">
        <v>0.83474696780365898</v>
      </c>
      <c r="F1619">
        <v>0.68433730400430404</v>
      </c>
      <c r="G1619">
        <v>0.57889648788732295</v>
      </c>
      <c r="H1619">
        <v>0.43435009008764103</v>
      </c>
      <c r="I1619">
        <v>0.23363872211553799</v>
      </c>
      <c r="J1619">
        <v>0.21264742532369099</v>
      </c>
      <c r="K1619">
        <v>0.18098173260470399</v>
      </c>
      <c r="L1619">
        <v>622.35884998599897</v>
      </c>
      <c r="M1619">
        <v>11.5266688858887</v>
      </c>
      <c r="N1619">
        <v>54.8783484649069</v>
      </c>
      <c r="O1619">
        <v>52.444543776422002</v>
      </c>
      <c r="P1619">
        <v>-5.0298822477570698E-2</v>
      </c>
      <c r="Q1619">
        <v>8.4850309631074095E-2</v>
      </c>
      <c r="R1619">
        <v>0.97981447489829498</v>
      </c>
      <c r="S1619" t="s">
        <v>7170</v>
      </c>
      <c r="T1619" t="s">
        <v>11100</v>
      </c>
      <c r="U1619" t="s">
        <v>11100</v>
      </c>
      <c r="V1619" t="s">
        <v>11100</v>
      </c>
      <c r="W1619" t="s">
        <v>12685</v>
      </c>
      <c r="X1619">
        <v>4</v>
      </c>
      <c r="Y1619" t="s">
        <v>18176</v>
      </c>
      <c r="Z1619" t="s">
        <v>23624</v>
      </c>
      <c r="AA1619">
        <v>0.61971375872968437</v>
      </c>
      <c r="AB1619" t="str">
        <f>HYPERLINK("Melting_Curves/meltCurve_O95470_SGPL1.pdf", "Melting_Curves/meltCurve_O95470_SGPL1.pdf")</f>
        <v>Melting_Curves/meltCurve_O95470_SGPL1.pdf</v>
      </c>
    </row>
    <row r="1620" spans="1:28" x14ac:dyDescent="0.25">
      <c r="A1620" t="s">
        <v>1624</v>
      </c>
      <c r="B1620">
        <v>0.99299721793515405</v>
      </c>
      <c r="C1620">
        <v>1.0923713633868799</v>
      </c>
      <c r="D1620">
        <v>0.91917629867436801</v>
      </c>
      <c r="E1620">
        <v>0.97378699965006599</v>
      </c>
      <c r="F1620">
        <v>0.76680919723008101</v>
      </c>
      <c r="G1620">
        <v>0.361393209362533</v>
      </c>
      <c r="H1620">
        <v>0.198429610064325</v>
      </c>
      <c r="I1620">
        <v>0.140512425027364</v>
      </c>
      <c r="J1620">
        <v>0.116946428169368</v>
      </c>
      <c r="K1620">
        <v>6.8563112090194694E-2</v>
      </c>
      <c r="L1620">
        <v>1351.84342099112</v>
      </c>
      <c r="M1620">
        <v>25.9289224049</v>
      </c>
      <c r="N1620">
        <v>52.596491384892403</v>
      </c>
      <c r="O1620">
        <v>51.829353552419697</v>
      </c>
      <c r="P1620">
        <v>-0.11238242981513601</v>
      </c>
      <c r="Q1620">
        <v>0.101444966949573</v>
      </c>
      <c r="R1620">
        <v>0.98916635124476504</v>
      </c>
      <c r="S1620" t="s">
        <v>7171</v>
      </c>
      <c r="T1620" t="s">
        <v>11100</v>
      </c>
      <c r="U1620" t="s">
        <v>11100</v>
      </c>
      <c r="V1620" t="s">
        <v>11100</v>
      </c>
      <c r="W1620" t="s">
        <v>12686</v>
      </c>
      <c r="X1620">
        <v>4</v>
      </c>
      <c r="Y1620" t="s">
        <v>18177</v>
      </c>
      <c r="Z1620" t="s">
        <v>23625</v>
      </c>
      <c r="AA1620">
        <v>0.56226572209284487</v>
      </c>
      <c r="AB1620" t="str">
        <f>HYPERLINK("Melting_Curves/meltCurve_O95486_SEC24A.pdf", "Melting_Curves/meltCurve_O95486_SEC24A.pdf")</f>
        <v>Melting_Curves/meltCurve_O95486_SEC24A.pdf</v>
      </c>
    </row>
    <row r="1621" spans="1:28" x14ac:dyDescent="0.25">
      <c r="A1621" t="s">
        <v>1625</v>
      </c>
      <c r="B1621">
        <v>0.99299721793515405</v>
      </c>
      <c r="C1621">
        <v>0.983357076289606</v>
      </c>
      <c r="D1621">
        <v>0.83610977958592103</v>
      </c>
      <c r="E1621">
        <v>0.86986132529634097</v>
      </c>
      <c r="F1621">
        <v>0.60468046481681004</v>
      </c>
      <c r="G1621">
        <v>0.35067952227370902</v>
      </c>
      <c r="H1621">
        <v>0.23608587783853399</v>
      </c>
      <c r="I1621">
        <v>0.18183830168544601</v>
      </c>
      <c r="J1621">
        <v>0.18702365845133601</v>
      </c>
      <c r="K1621">
        <v>0.12557986445239799</v>
      </c>
      <c r="L1621">
        <v>761.59328478702105</v>
      </c>
      <c r="M1621">
        <v>15.023854223793601</v>
      </c>
      <c r="N1621">
        <v>51.611390414870399</v>
      </c>
      <c r="O1621">
        <v>49.819595847378402</v>
      </c>
      <c r="P1621">
        <v>-6.6548944730297002E-2</v>
      </c>
      <c r="Q1621">
        <v>0.117374636430969</v>
      </c>
      <c r="R1621">
        <v>0.98518155205124502</v>
      </c>
      <c r="S1621" t="s">
        <v>7172</v>
      </c>
      <c r="T1621" t="s">
        <v>11100</v>
      </c>
      <c r="U1621" t="s">
        <v>11100</v>
      </c>
      <c r="V1621" t="s">
        <v>11100</v>
      </c>
      <c r="W1621" t="s">
        <v>12687</v>
      </c>
      <c r="X1621">
        <v>7</v>
      </c>
      <c r="Y1621" t="s">
        <v>18178</v>
      </c>
      <c r="Z1621" t="s">
        <v>23626</v>
      </c>
      <c r="AA1621">
        <v>0.53817090136403778</v>
      </c>
      <c r="AB1621" t="str">
        <f>HYPERLINK("Melting_Curves/meltCurve_O95487_2_SEC24B.pdf", "Melting_Curves/meltCurve_O95487_2_SEC24B.pdf")</f>
        <v>Melting_Curves/meltCurve_O95487_2_SEC24B.pdf</v>
      </c>
    </row>
    <row r="1622" spans="1:28" x14ac:dyDescent="0.25">
      <c r="A1622" t="s">
        <v>1626</v>
      </c>
      <c r="B1622">
        <v>0.99299721793515405</v>
      </c>
      <c r="C1622">
        <v>0.90459535689461301</v>
      </c>
      <c r="D1622">
        <v>1.01366214867937</v>
      </c>
      <c r="E1622">
        <v>0.81180596676384298</v>
      </c>
      <c r="F1622">
        <v>0.85065161653653099</v>
      </c>
      <c r="G1622">
        <v>0.619943882907245</v>
      </c>
      <c r="H1622">
        <v>0.91396729769787399</v>
      </c>
      <c r="I1622">
        <v>1.0204883112244501</v>
      </c>
      <c r="J1622">
        <v>0.93503221094960398</v>
      </c>
      <c r="K1622">
        <v>0.87655252907838399</v>
      </c>
      <c r="L1622">
        <v>11154.2479966384</v>
      </c>
      <c r="M1622">
        <v>250</v>
      </c>
      <c r="O1622">
        <v>44.614136805378898</v>
      </c>
      <c r="P1622">
        <v>-0.194436928077131</v>
      </c>
      <c r="Q1622">
        <v>0.86120582884694796</v>
      </c>
      <c r="R1622">
        <v>0.17744207842627699</v>
      </c>
      <c r="S1622" t="s">
        <v>7173</v>
      </c>
      <c r="T1622" t="s">
        <v>11100</v>
      </c>
      <c r="U1622" t="s">
        <v>11100</v>
      </c>
      <c r="V1622" t="s">
        <v>11100</v>
      </c>
      <c r="W1622" t="s">
        <v>12688</v>
      </c>
      <c r="X1622">
        <v>4</v>
      </c>
      <c r="Y1622" t="s">
        <v>18179</v>
      </c>
      <c r="Z1622" t="s">
        <v>23627</v>
      </c>
      <c r="AA1622">
        <v>0.89645649970747354</v>
      </c>
      <c r="AB1622" t="str">
        <f>HYPERLINK("Melting_Curves/meltCurve_O95544_NADK.pdf", "Melting_Curves/meltCurve_O95544_NADK.pdf")</f>
        <v>Melting_Curves/meltCurve_O95544_NADK.pdf</v>
      </c>
    </row>
    <row r="1623" spans="1:28" x14ac:dyDescent="0.25">
      <c r="A1623" t="s">
        <v>1627</v>
      </c>
      <c r="B1623">
        <v>0.99299721793515405</v>
      </c>
      <c r="C1623">
        <v>1.01169807251358</v>
      </c>
      <c r="D1623">
        <v>0.995003251313754</v>
      </c>
      <c r="E1623">
        <v>0.95948245942180499</v>
      </c>
      <c r="F1623">
        <v>0.71107781669473602</v>
      </c>
      <c r="G1623">
        <v>0.40976998463819198</v>
      </c>
      <c r="H1623">
        <v>0.25315100002422403</v>
      </c>
      <c r="I1623">
        <v>0.194026849045111</v>
      </c>
      <c r="J1623">
        <v>0.185982115710463</v>
      </c>
      <c r="K1623">
        <v>0.14583373854353801</v>
      </c>
      <c r="L1623">
        <v>1181.2070575504399</v>
      </c>
      <c r="M1623">
        <v>22.8312466728758</v>
      </c>
      <c r="N1623">
        <v>52.653626299758301</v>
      </c>
      <c r="O1623">
        <v>51.34440085528</v>
      </c>
      <c r="P1623">
        <v>-9.2929828007678697E-2</v>
      </c>
      <c r="Q1623">
        <v>0.16406906905913299</v>
      </c>
      <c r="R1623">
        <v>0.998786857922496</v>
      </c>
      <c r="S1623" t="s">
        <v>7174</v>
      </c>
      <c r="T1623" t="s">
        <v>11100</v>
      </c>
      <c r="U1623" t="s">
        <v>11100</v>
      </c>
      <c r="V1623" t="s">
        <v>11100</v>
      </c>
      <c r="W1623" t="s">
        <v>12689</v>
      </c>
      <c r="X1623">
        <v>8</v>
      </c>
      <c r="Y1623" t="s">
        <v>18180</v>
      </c>
      <c r="Z1623" t="s">
        <v>23628</v>
      </c>
      <c r="AA1623">
        <v>0.58338665357714181</v>
      </c>
      <c r="AB1623" t="str">
        <f>HYPERLINK("Melting_Curves/meltCurve_O95551_TDP2.pdf", "Melting_Curves/meltCurve_O95551_TDP2.pdf")</f>
        <v>Melting_Curves/meltCurve_O95551_TDP2.pdf</v>
      </c>
    </row>
    <row r="1624" spans="1:28" x14ac:dyDescent="0.25">
      <c r="A1624" t="s">
        <v>1628</v>
      </c>
      <c r="B1624">
        <v>0.99299721793515405</v>
      </c>
      <c r="C1624">
        <v>1.0248495445953201</v>
      </c>
      <c r="D1624">
        <v>0.94481391962175298</v>
      </c>
      <c r="E1624">
        <v>0.91250454871714604</v>
      </c>
      <c r="F1624">
        <v>0.73414955930532999</v>
      </c>
      <c r="G1624">
        <v>0.39513816731680701</v>
      </c>
      <c r="H1624">
        <v>0.16452764310055801</v>
      </c>
      <c r="I1624">
        <v>0.12975529481932099</v>
      </c>
      <c r="J1624">
        <v>0.13099178452065999</v>
      </c>
      <c r="K1624">
        <v>0.100941755014977</v>
      </c>
      <c r="L1624">
        <v>1163.1941277938399</v>
      </c>
      <c r="M1624">
        <v>22.3679251393641</v>
      </c>
      <c r="N1624">
        <v>52.507967515613103</v>
      </c>
      <c r="O1624">
        <v>51.592472248766498</v>
      </c>
      <c r="P1624">
        <v>-9.7896345164146498E-2</v>
      </c>
      <c r="Q1624">
        <v>9.6812200034941898E-2</v>
      </c>
      <c r="R1624">
        <v>0.99649128638858697</v>
      </c>
      <c r="S1624" t="s">
        <v>7175</v>
      </c>
      <c r="T1624" t="s">
        <v>11100</v>
      </c>
      <c r="U1624" t="s">
        <v>11100</v>
      </c>
      <c r="V1624" t="s">
        <v>11100</v>
      </c>
      <c r="W1624" t="s">
        <v>12690</v>
      </c>
      <c r="X1624">
        <v>24</v>
      </c>
      <c r="Y1624" t="s">
        <v>18181</v>
      </c>
      <c r="Z1624" t="s">
        <v>23629</v>
      </c>
      <c r="AA1624">
        <v>0.55820753820728497</v>
      </c>
      <c r="AB1624" t="str">
        <f>HYPERLINK("Melting_Curves/meltCurve_O95573_ACSL3.pdf", "Melting_Curves/meltCurve_O95573_ACSL3.pdf")</f>
        <v>Melting_Curves/meltCurve_O95573_ACSL3.pdf</v>
      </c>
    </row>
    <row r="1625" spans="1:28" x14ac:dyDescent="0.25">
      <c r="A1625" t="s">
        <v>1629</v>
      </c>
      <c r="B1625">
        <v>0.99299721793515405</v>
      </c>
      <c r="C1625">
        <v>0.94606353406085597</v>
      </c>
      <c r="D1625">
        <v>1.0723215049458401</v>
      </c>
      <c r="E1625">
        <v>0.91672460002134104</v>
      </c>
      <c r="F1625">
        <v>0.66643719476957097</v>
      </c>
      <c r="G1625">
        <v>0.50821395499576805</v>
      </c>
      <c r="H1625">
        <v>0.39713525152405399</v>
      </c>
      <c r="I1625">
        <v>0.50753202243116602</v>
      </c>
      <c r="J1625">
        <v>0.52288340940974498</v>
      </c>
      <c r="K1625">
        <v>0.41092175220041899</v>
      </c>
      <c r="L1625">
        <v>1587.0467264031399</v>
      </c>
      <c r="M1625">
        <v>32.130673289050499</v>
      </c>
      <c r="N1625">
        <v>53.644395096581498</v>
      </c>
      <c r="O1625">
        <v>49.2033610280875</v>
      </c>
      <c r="P1625">
        <v>-8.8026160394826095E-2</v>
      </c>
      <c r="Q1625">
        <v>0.46080665210961003</v>
      </c>
      <c r="R1625">
        <v>0.963417786748762</v>
      </c>
      <c r="S1625" t="s">
        <v>7176</v>
      </c>
      <c r="T1625" t="s">
        <v>11100</v>
      </c>
      <c r="U1625" t="s">
        <v>11100</v>
      </c>
      <c r="V1625" t="s">
        <v>11100</v>
      </c>
      <c r="W1625" t="s">
        <v>12691</v>
      </c>
      <c r="X1625">
        <v>2</v>
      </c>
      <c r="Y1625" t="s">
        <v>18182</v>
      </c>
      <c r="Z1625" t="s">
        <v>23630</v>
      </c>
      <c r="AA1625">
        <v>0.68641296092798165</v>
      </c>
      <c r="AB1625" t="str">
        <f>HYPERLINK("Melting_Curves/meltCurve_O95600_KLF8.pdf", "Melting_Curves/meltCurve_O95600_KLF8.pdf")</f>
        <v>Melting_Curves/meltCurve_O95600_KLF8.pdf</v>
      </c>
    </row>
    <row r="1626" spans="1:28" x14ac:dyDescent="0.25">
      <c r="A1626" t="s">
        <v>1630</v>
      </c>
      <c r="B1626">
        <v>0.99299721793515405</v>
      </c>
      <c r="C1626">
        <v>0.99156342219315197</v>
      </c>
      <c r="D1626">
        <v>0.92816042042506597</v>
      </c>
      <c r="E1626">
        <v>0.79652044593903704</v>
      </c>
      <c r="F1626">
        <v>0.68194446213670401</v>
      </c>
      <c r="G1626">
        <v>0.62412881935792397</v>
      </c>
      <c r="H1626">
        <v>0.517969973186301</v>
      </c>
      <c r="I1626">
        <v>0.456745976574084</v>
      </c>
      <c r="J1626">
        <v>0.28417549077024901</v>
      </c>
      <c r="K1626">
        <v>0.21835526081214601</v>
      </c>
      <c r="L1626">
        <v>405.51423148105698</v>
      </c>
      <c r="M1626">
        <v>7.0960005165961899</v>
      </c>
      <c r="N1626">
        <v>57.146871752147703</v>
      </c>
      <c r="O1626">
        <v>53.129352280027099</v>
      </c>
      <c r="P1626">
        <v>-3.3449094036928001E-2</v>
      </c>
      <c r="Q1626">
        <v>0</v>
      </c>
      <c r="R1626">
        <v>0.98117620492992996</v>
      </c>
      <c r="S1626" t="s">
        <v>7177</v>
      </c>
      <c r="T1626" t="s">
        <v>11100</v>
      </c>
      <c r="U1626" t="s">
        <v>11100</v>
      </c>
      <c r="V1626" t="s">
        <v>11100</v>
      </c>
      <c r="W1626" t="s">
        <v>12692</v>
      </c>
      <c r="X1626">
        <v>8</v>
      </c>
      <c r="Y1626" t="s">
        <v>18183</v>
      </c>
      <c r="Z1626" t="s">
        <v>23631</v>
      </c>
      <c r="AA1626">
        <v>0.65218370292878614</v>
      </c>
      <c r="AB1626" t="str">
        <f>HYPERLINK("Melting_Curves/meltCurve_O95613_2_PCNT.pdf", "Melting_Curves/meltCurve_O95613_2_PCNT.pdf")</f>
        <v>Melting_Curves/meltCurve_O95613_2_PCNT.pdf</v>
      </c>
    </row>
    <row r="1627" spans="1:28" x14ac:dyDescent="0.25">
      <c r="A1627" t="s">
        <v>1631</v>
      </c>
      <c r="B1627">
        <v>0.99299721793515405</v>
      </c>
      <c r="C1627">
        <v>1.0224440243144901</v>
      </c>
      <c r="D1627">
        <v>0.88893893723441697</v>
      </c>
      <c r="E1627">
        <v>0.81404325853626402</v>
      </c>
      <c r="F1627">
        <v>0.72720424970518405</v>
      </c>
      <c r="G1627">
        <v>0.47883716988160202</v>
      </c>
      <c r="H1627">
        <v>0.44266453085433999</v>
      </c>
      <c r="I1627">
        <v>0.42713961976979598</v>
      </c>
      <c r="J1627">
        <v>0.28461608868268901</v>
      </c>
      <c r="K1627">
        <v>0.19092474027107101</v>
      </c>
      <c r="L1627">
        <v>466.75220814051698</v>
      </c>
      <c r="M1627">
        <v>8.6261994805041802</v>
      </c>
      <c r="N1627">
        <v>55.445751314865198</v>
      </c>
      <c r="O1627">
        <v>51.436404496095697</v>
      </c>
      <c r="P1627">
        <v>-3.8021793216919002E-2</v>
      </c>
      <c r="Q1627">
        <v>9.3905174008691805E-2</v>
      </c>
      <c r="R1627">
        <v>0.97333363957623997</v>
      </c>
      <c r="S1627" t="s">
        <v>7178</v>
      </c>
      <c r="T1627" t="s">
        <v>11100</v>
      </c>
      <c r="U1627" t="s">
        <v>11100</v>
      </c>
      <c r="V1627" t="s">
        <v>11100</v>
      </c>
      <c r="W1627" t="s">
        <v>12693</v>
      </c>
      <c r="X1627">
        <v>5</v>
      </c>
      <c r="Y1627" t="s">
        <v>18184</v>
      </c>
      <c r="Z1627" t="s">
        <v>23632</v>
      </c>
      <c r="AA1627">
        <v>0.62442136752181088</v>
      </c>
      <c r="AB1627" t="str">
        <f>HYPERLINK("Melting_Curves/meltCurve_O95620_DUS4L.pdf", "Melting_Curves/meltCurve_O95620_DUS4L.pdf")</f>
        <v>Melting_Curves/meltCurve_O95620_DUS4L.pdf</v>
      </c>
    </row>
    <row r="1628" spans="1:28" x14ac:dyDescent="0.25">
      <c r="A1628" t="s">
        <v>1632</v>
      </c>
      <c r="B1628">
        <v>0.99299721793515405</v>
      </c>
      <c r="C1628">
        <v>0.94852988205814304</v>
      </c>
      <c r="D1628">
        <v>0.90263552662136204</v>
      </c>
      <c r="E1628">
        <v>0.72834910489043603</v>
      </c>
      <c r="F1628">
        <v>0.67854096906234795</v>
      </c>
      <c r="G1628">
        <v>0.36847674800406899</v>
      </c>
      <c r="H1628">
        <v>0.35575303217554599</v>
      </c>
      <c r="I1628">
        <v>0.25479718458747602</v>
      </c>
      <c r="J1628">
        <v>0.230550722382275</v>
      </c>
      <c r="K1628">
        <v>0.16400383634007301</v>
      </c>
      <c r="L1628">
        <v>536.48483812174902</v>
      </c>
      <c r="M1628">
        <v>10.485255325436601</v>
      </c>
      <c r="N1628">
        <v>52.466521976877999</v>
      </c>
      <c r="O1628">
        <v>49.409614226756403</v>
      </c>
      <c r="P1628">
        <v>-4.6999038642237798E-2</v>
      </c>
      <c r="Q1628">
        <v>0.114465918889103</v>
      </c>
      <c r="R1628">
        <v>0.98385875649951104</v>
      </c>
      <c r="S1628" t="s">
        <v>7179</v>
      </c>
      <c r="T1628" t="s">
        <v>11100</v>
      </c>
      <c r="U1628" t="s">
        <v>11100</v>
      </c>
      <c r="V1628" t="s">
        <v>11100</v>
      </c>
      <c r="W1628" t="s">
        <v>12694</v>
      </c>
      <c r="X1628">
        <v>3</v>
      </c>
      <c r="Y1628" t="s">
        <v>18185</v>
      </c>
      <c r="Z1628" t="s">
        <v>23633</v>
      </c>
      <c r="AA1628">
        <v>0.55815478655735562</v>
      </c>
      <c r="AB1628" t="str">
        <f>HYPERLINK("Melting_Curves/meltCurve_O95628_5_CNOT4.pdf", "Melting_Curves/meltCurve_O95628_5_CNOT4.pdf")</f>
        <v>Melting_Curves/meltCurve_O95628_5_CNOT4.pdf</v>
      </c>
    </row>
    <row r="1629" spans="1:28" x14ac:dyDescent="0.25">
      <c r="A1629" t="s">
        <v>1633</v>
      </c>
      <c r="B1629">
        <v>0.99299721793515405</v>
      </c>
      <c r="C1629">
        <v>0.92866780702263096</v>
      </c>
      <c r="D1629">
        <v>0.902987885063402</v>
      </c>
      <c r="E1629">
        <v>0.82515161654671498</v>
      </c>
      <c r="F1629">
        <v>0.67407475117972304</v>
      </c>
      <c r="G1629">
        <v>0.27604132520518998</v>
      </c>
      <c r="H1629">
        <v>0.214021445258613</v>
      </c>
      <c r="I1629">
        <v>0.1840055543936</v>
      </c>
      <c r="J1629">
        <v>0.167695315345125</v>
      </c>
      <c r="K1629">
        <v>0.13996366759588399</v>
      </c>
      <c r="L1629">
        <v>930.75027135344897</v>
      </c>
      <c r="M1629">
        <v>18.405204072083901</v>
      </c>
      <c r="N1629">
        <v>51.430912190019797</v>
      </c>
      <c r="O1629">
        <v>49.984320597541398</v>
      </c>
      <c r="P1629">
        <v>-7.9853777615046306E-2</v>
      </c>
      <c r="Q1629">
        <v>0.132581081969844</v>
      </c>
      <c r="R1629">
        <v>0.982300746302463</v>
      </c>
      <c r="S1629" t="s">
        <v>7180</v>
      </c>
      <c r="T1629" t="s">
        <v>11100</v>
      </c>
      <c r="U1629" t="s">
        <v>11100</v>
      </c>
      <c r="V1629" t="s">
        <v>11100</v>
      </c>
      <c r="W1629" t="s">
        <v>12695</v>
      </c>
      <c r="X1629">
        <v>18</v>
      </c>
      <c r="Y1629" t="s">
        <v>18186</v>
      </c>
      <c r="Z1629" t="s">
        <v>23634</v>
      </c>
      <c r="AA1629">
        <v>0.53802366248382938</v>
      </c>
      <c r="AB1629" t="str">
        <f>HYPERLINK("Melting_Curves/meltCurve_O95630_STAMBP.pdf", "Melting_Curves/meltCurve_O95630_STAMBP.pdf")</f>
        <v>Melting_Curves/meltCurve_O95630_STAMBP.pdf</v>
      </c>
    </row>
    <row r="1630" spans="1:28" x14ac:dyDescent="0.25">
      <c r="A1630" t="s">
        <v>1634</v>
      </c>
      <c r="B1630">
        <v>0.99299721793515405</v>
      </c>
      <c r="C1630">
        <v>0.98466008544072903</v>
      </c>
      <c r="D1630">
        <v>0.95642030495060903</v>
      </c>
      <c r="E1630">
        <v>0.890679223740519</v>
      </c>
      <c r="F1630">
        <v>0.748506684396541</v>
      </c>
      <c r="G1630">
        <v>0.43921503213311502</v>
      </c>
      <c r="H1630">
        <v>0.220865811765454</v>
      </c>
      <c r="I1630">
        <v>0.18110013789327101</v>
      </c>
      <c r="J1630">
        <v>0.15510767524785901</v>
      </c>
      <c r="K1630">
        <v>0.13062694012485301</v>
      </c>
      <c r="L1630">
        <v>1011.69317118674</v>
      </c>
      <c r="M1630">
        <v>19.376349308695701</v>
      </c>
      <c r="N1630">
        <v>52.9636130056182</v>
      </c>
      <c r="O1630">
        <v>51.666186232160698</v>
      </c>
      <c r="P1630">
        <v>-8.2500921265470498E-2</v>
      </c>
      <c r="Q1630">
        <v>0.120092098663934</v>
      </c>
      <c r="R1630">
        <v>0.99699965611241204</v>
      </c>
      <c r="S1630" t="s">
        <v>7181</v>
      </c>
      <c r="T1630" t="s">
        <v>11100</v>
      </c>
      <c r="U1630" t="s">
        <v>11100</v>
      </c>
      <c r="V1630" t="s">
        <v>11100</v>
      </c>
      <c r="W1630" t="s">
        <v>12696</v>
      </c>
      <c r="X1630">
        <v>13</v>
      </c>
      <c r="Y1630" t="s">
        <v>18187</v>
      </c>
      <c r="Z1630" t="s">
        <v>23635</v>
      </c>
      <c r="AA1630">
        <v>0.5781608964720939</v>
      </c>
      <c r="AB1630" t="str">
        <f>HYPERLINK("Melting_Curves/meltCurve_O95671_2_ASMTL.pdf", "Melting_Curves/meltCurve_O95671_2_ASMTL.pdf")</f>
        <v>Melting_Curves/meltCurve_O95671_2_ASMTL.pdf</v>
      </c>
    </row>
    <row r="1631" spans="1:28" x14ac:dyDescent="0.25">
      <c r="A1631" t="s">
        <v>1635</v>
      </c>
      <c r="B1631">
        <v>0.99299721793515405</v>
      </c>
      <c r="C1631">
        <v>0.99139891748451003</v>
      </c>
      <c r="D1631">
        <v>1.0434075062108299</v>
      </c>
      <c r="E1631">
        <v>0.80913705894559396</v>
      </c>
      <c r="F1631">
        <v>0.80659479271526202</v>
      </c>
      <c r="G1631">
        <v>0.42150235501427202</v>
      </c>
      <c r="H1631">
        <v>0.34684864605212701</v>
      </c>
      <c r="I1631">
        <v>0.369295802487205</v>
      </c>
      <c r="J1631">
        <v>0.36545670521940599</v>
      </c>
      <c r="K1631">
        <v>0.23814364008796901</v>
      </c>
      <c r="L1631">
        <v>1044.7851628672499</v>
      </c>
      <c r="M1631">
        <v>20.430807753015198</v>
      </c>
      <c r="N1631">
        <v>53.501038094838698</v>
      </c>
      <c r="O1631">
        <v>50.655378225061298</v>
      </c>
      <c r="P1631">
        <v>-7.0864993049962299E-2</v>
      </c>
      <c r="Q1631">
        <v>0.29722100795661499</v>
      </c>
      <c r="R1631">
        <v>0.95921991159092101</v>
      </c>
      <c r="S1631" t="s">
        <v>7182</v>
      </c>
      <c r="T1631" t="s">
        <v>11100</v>
      </c>
      <c r="U1631" t="s">
        <v>11100</v>
      </c>
      <c r="V1631" t="s">
        <v>11100</v>
      </c>
      <c r="W1631" t="s">
        <v>12697</v>
      </c>
      <c r="X1631">
        <v>6</v>
      </c>
      <c r="Y1631" t="s">
        <v>18188</v>
      </c>
      <c r="Z1631" t="s">
        <v>23636</v>
      </c>
      <c r="AA1631">
        <v>0.63727960193276378</v>
      </c>
      <c r="AB1631" t="str">
        <f>HYPERLINK("Melting_Curves/meltCurve_O95684_FGFR1OP.pdf", "Melting_Curves/meltCurve_O95684_FGFR1OP.pdf")</f>
        <v>Melting_Curves/meltCurve_O95684_FGFR1OP.pdf</v>
      </c>
    </row>
    <row r="1632" spans="1:28" x14ac:dyDescent="0.25">
      <c r="A1632" t="s">
        <v>1636</v>
      </c>
      <c r="B1632">
        <v>0.99299721793515405</v>
      </c>
      <c r="C1632">
        <v>0.98722140952744497</v>
      </c>
      <c r="D1632">
        <v>0.88556722623353401</v>
      </c>
      <c r="E1632">
        <v>0.92824355620608401</v>
      </c>
      <c r="F1632">
        <v>0.79364860962216699</v>
      </c>
      <c r="G1632">
        <v>0.54060709174408605</v>
      </c>
      <c r="H1632">
        <v>0.51851627298991598</v>
      </c>
      <c r="I1632">
        <v>0.55304139875445302</v>
      </c>
      <c r="J1632">
        <v>0.51233818671268705</v>
      </c>
      <c r="K1632">
        <v>0.29300915415872197</v>
      </c>
      <c r="L1632">
        <v>539.52006295897797</v>
      </c>
      <c r="M1632">
        <v>10.1785787821015</v>
      </c>
      <c r="N1632">
        <v>59.201374659563697</v>
      </c>
      <c r="O1632">
        <v>51.081607223202298</v>
      </c>
      <c r="P1632">
        <v>-3.3506838625596801E-2</v>
      </c>
      <c r="Q1632">
        <v>0.32768391872346903</v>
      </c>
      <c r="R1632">
        <v>0.91834365900791803</v>
      </c>
      <c r="S1632" t="s">
        <v>7183</v>
      </c>
      <c r="T1632" t="s">
        <v>11100</v>
      </c>
      <c r="U1632" t="s">
        <v>11100</v>
      </c>
      <c r="V1632" t="s">
        <v>11100</v>
      </c>
      <c r="W1632" t="s">
        <v>12698</v>
      </c>
      <c r="X1632">
        <v>7</v>
      </c>
      <c r="Y1632" t="s">
        <v>18189</v>
      </c>
      <c r="Z1632" t="s">
        <v>23637</v>
      </c>
      <c r="AA1632">
        <v>0.70137199332761002</v>
      </c>
      <c r="AB1632" t="str">
        <f>HYPERLINK("Melting_Curves/meltCurve_O95716_RAB3D.pdf", "Melting_Curves/meltCurve_O95716_RAB3D.pdf")</f>
        <v>Melting_Curves/meltCurve_O95716_RAB3D.pdf</v>
      </c>
    </row>
    <row r="1633" spans="1:28" x14ac:dyDescent="0.25">
      <c r="A1633" t="s">
        <v>1637</v>
      </c>
      <c r="B1633">
        <v>0.99299721793515405</v>
      </c>
      <c r="C1633">
        <v>0.98401135269617701</v>
      </c>
      <c r="D1633">
        <v>0.99372043610630001</v>
      </c>
      <c r="E1633">
        <v>0.89985849915177296</v>
      </c>
      <c r="F1633">
        <v>0.77942053997055705</v>
      </c>
      <c r="G1633">
        <v>0.56019057235009995</v>
      </c>
      <c r="H1633">
        <v>0.51899388486940601</v>
      </c>
      <c r="I1633">
        <v>0.592963277134536</v>
      </c>
      <c r="J1633">
        <v>0.68335672696071104</v>
      </c>
      <c r="K1633">
        <v>0.59469945952849301</v>
      </c>
      <c r="L1633">
        <v>1471.84963182551</v>
      </c>
      <c r="M1633">
        <v>29.881589852318399</v>
      </c>
      <c r="O1633">
        <v>49.0370475078075</v>
      </c>
      <c r="P1633">
        <v>-6.2818659237991403E-2</v>
      </c>
      <c r="Q1633">
        <v>0.58764962580924196</v>
      </c>
      <c r="R1633">
        <v>0.93650269548770404</v>
      </c>
      <c r="S1633" t="s">
        <v>7184</v>
      </c>
      <c r="T1633" t="s">
        <v>11100</v>
      </c>
      <c r="U1633" t="s">
        <v>11100</v>
      </c>
      <c r="V1633" t="s">
        <v>11100</v>
      </c>
      <c r="W1633" t="s">
        <v>12699</v>
      </c>
      <c r="X1633">
        <v>22</v>
      </c>
      <c r="Y1633" t="s">
        <v>18190</v>
      </c>
      <c r="Z1633" t="s">
        <v>23638</v>
      </c>
      <c r="AA1633">
        <v>0.75862759358702914</v>
      </c>
      <c r="AB1633" t="str">
        <f>HYPERLINK("Melting_Curves/meltCurve_O95721_SNAP29.pdf", "Melting_Curves/meltCurve_O95721_SNAP29.pdf")</f>
        <v>Melting_Curves/meltCurve_O95721_SNAP29.pdf</v>
      </c>
    </row>
    <row r="1634" spans="1:28" x14ac:dyDescent="0.25">
      <c r="A1634" t="s">
        <v>1638</v>
      </c>
      <c r="B1634">
        <v>0.99299721793515405</v>
      </c>
      <c r="C1634">
        <v>0.99291573701172997</v>
      </c>
      <c r="D1634">
        <v>1.3862079417894599</v>
      </c>
      <c r="E1634">
        <v>0.78070409447671996</v>
      </c>
      <c r="F1634">
        <v>0.69579211198521695</v>
      </c>
      <c r="G1634">
        <v>0.22217267376889099</v>
      </c>
      <c r="H1634">
        <v>0.12475757691868</v>
      </c>
      <c r="I1634">
        <v>0.100000261388005</v>
      </c>
      <c r="J1634">
        <v>8.2066100995880104E-2</v>
      </c>
      <c r="K1634">
        <v>8.0272870559025294E-2</v>
      </c>
      <c r="L1634">
        <v>1376.8237827308899</v>
      </c>
      <c r="M1634">
        <v>26.984975228319598</v>
      </c>
      <c r="N1634">
        <v>51.341759417231998</v>
      </c>
      <c r="O1634">
        <v>50.744137718528002</v>
      </c>
      <c r="P1634">
        <v>-0.122660089726742</v>
      </c>
      <c r="Q1634">
        <v>7.73801144696281E-2</v>
      </c>
      <c r="R1634">
        <v>0.91307968966819197</v>
      </c>
      <c r="S1634" t="s">
        <v>7185</v>
      </c>
      <c r="T1634" t="s">
        <v>11100</v>
      </c>
      <c r="U1634" t="s">
        <v>11100</v>
      </c>
      <c r="V1634" t="s">
        <v>11100</v>
      </c>
      <c r="W1634" t="s">
        <v>12700</v>
      </c>
      <c r="X1634">
        <v>7</v>
      </c>
      <c r="Y1634" t="s">
        <v>18191</v>
      </c>
      <c r="Z1634" t="s">
        <v>23639</v>
      </c>
      <c r="AA1634">
        <v>0.51566027319486862</v>
      </c>
      <c r="AB1634" t="str">
        <f>HYPERLINK("Melting_Curves/meltCurve_O95747_OXSR1.pdf", "Melting_Curves/meltCurve_O95747_OXSR1.pdf")</f>
        <v>Melting_Curves/meltCurve_O95747_OXSR1.pdf</v>
      </c>
    </row>
    <row r="1635" spans="1:28" x14ac:dyDescent="0.25">
      <c r="A1635" t="s">
        <v>1639</v>
      </c>
      <c r="B1635">
        <v>0.99299721793515405</v>
      </c>
      <c r="C1635">
        <v>1.01883287923042</v>
      </c>
      <c r="D1635">
        <v>0.83862849913299098</v>
      </c>
      <c r="E1635">
        <v>0.81050997707803396</v>
      </c>
      <c r="F1635">
        <v>0.42141843977923599</v>
      </c>
      <c r="G1635">
        <v>0.17818715750972799</v>
      </c>
      <c r="H1635">
        <v>0.15502735368150999</v>
      </c>
      <c r="I1635">
        <v>0.124299295863309</v>
      </c>
      <c r="J1635">
        <v>0.131586152773495</v>
      </c>
      <c r="K1635">
        <v>9.6055692615409E-2</v>
      </c>
      <c r="L1635">
        <v>1039.05838701415</v>
      </c>
      <c r="M1635">
        <v>21.2859251119467</v>
      </c>
      <c r="N1635">
        <v>49.364688791167097</v>
      </c>
      <c r="O1635">
        <v>48.3896296261887</v>
      </c>
      <c r="P1635">
        <v>-9.8358149611266502E-2</v>
      </c>
      <c r="Q1635">
        <v>0.10562621127175401</v>
      </c>
      <c r="R1635">
        <v>0.98685030730824796</v>
      </c>
      <c r="S1635" t="s">
        <v>7186</v>
      </c>
      <c r="T1635" t="s">
        <v>11100</v>
      </c>
      <c r="U1635" t="s">
        <v>11100</v>
      </c>
      <c r="V1635" t="s">
        <v>11100</v>
      </c>
      <c r="W1635" t="s">
        <v>12701</v>
      </c>
      <c r="X1635">
        <v>1</v>
      </c>
      <c r="Y1635" t="s">
        <v>18192</v>
      </c>
      <c r="Z1635" t="s">
        <v>23640</v>
      </c>
      <c r="AA1635">
        <v>0.46833297564429538</v>
      </c>
      <c r="AB1635" t="str">
        <f>HYPERLINK("Melting_Curves/meltCurve_O95751_LDOC1.pdf", "Melting_Curves/meltCurve_O95751_LDOC1.pdf")</f>
        <v>Melting_Curves/meltCurve_O95751_LDOC1.pdf</v>
      </c>
    </row>
    <row r="1636" spans="1:28" x14ac:dyDescent="0.25">
      <c r="A1636" t="s">
        <v>1640</v>
      </c>
      <c r="B1636">
        <v>0.99299721793515405</v>
      </c>
      <c r="C1636">
        <v>0.98268874355945701</v>
      </c>
      <c r="D1636">
        <v>0.96255941771269204</v>
      </c>
      <c r="E1636">
        <v>0.93583460616810599</v>
      </c>
      <c r="F1636">
        <v>0.75476061530446603</v>
      </c>
      <c r="G1636">
        <v>0.52676109357497802</v>
      </c>
      <c r="H1636">
        <v>0.32215327796852999</v>
      </c>
      <c r="I1636">
        <v>0.49328101573243899</v>
      </c>
      <c r="J1636">
        <v>0.387985327424477</v>
      </c>
      <c r="K1636">
        <v>0.299066275522471</v>
      </c>
      <c r="L1636">
        <v>1222.6518505748199</v>
      </c>
      <c r="M1636">
        <v>23.925247313847699</v>
      </c>
      <c r="N1636">
        <v>54.0441664002593</v>
      </c>
      <c r="O1636">
        <v>50.749987905121699</v>
      </c>
      <c r="P1636">
        <v>-7.49576110657552E-2</v>
      </c>
      <c r="Q1636">
        <v>0.36401280313248502</v>
      </c>
      <c r="R1636">
        <v>0.96400477951950503</v>
      </c>
      <c r="S1636" t="s">
        <v>7187</v>
      </c>
      <c r="T1636" t="s">
        <v>11100</v>
      </c>
      <c r="U1636" t="s">
        <v>11100</v>
      </c>
      <c r="V1636" t="s">
        <v>11100</v>
      </c>
      <c r="W1636" t="s">
        <v>12702</v>
      </c>
      <c r="X1636">
        <v>2</v>
      </c>
      <c r="Y1636" t="s">
        <v>18193</v>
      </c>
      <c r="Z1636" t="s">
        <v>23641</v>
      </c>
      <c r="AA1636">
        <v>0.66907708203038119</v>
      </c>
      <c r="AB1636" t="str">
        <f>HYPERLINK("Melting_Curves/meltCurve_O95755_2_RAB36.pdf", "Melting_Curves/meltCurve_O95755_2_RAB36.pdf")</f>
        <v>Melting_Curves/meltCurve_O95755_2_RAB36.pdf</v>
      </c>
    </row>
    <row r="1637" spans="1:28" x14ac:dyDescent="0.25">
      <c r="A1637" t="s">
        <v>1641</v>
      </c>
      <c r="B1637">
        <v>0.99299721793515405</v>
      </c>
      <c r="C1637">
        <v>0.83987844224275698</v>
      </c>
      <c r="D1637">
        <v>0.86066579372389995</v>
      </c>
      <c r="E1637">
        <v>0.62644975220195198</v>
      </c>
      <c r="F1637">
        <v>0.415755055859652</v>
      </c>
      <c r="G1637">
        <v>0.29114217936443498</v>
      </c>
      <c r="H1637">
        <v>0.32210990797897798</v>
      </c>
      <c r="I1637">
        <v>0.24502164602620799</v>
      </c>
      <c r="J1637">
        <v>0.260049937217609</v>
      </c>
      <c r="K1637">
        <v>0.210003044453552</v>
      </c>
      <c r="L1637">
        <v>628.33466757055203</v>
      </c>
      <c r="M1637">
        <v>13.470629005930601</v>
      </c>
      <c r="N1637">
        <v>48.727152646086203</v>
      </c>
      <c r="O1637">
        <v>45.652812757474202</v>
      </c>
      <c r="P1637">
        <v>-5.7632888916507197E-2</v>
      </c>
      <c r="Q1637">
        <v>0.21883412598747201</v>
      </c>
      <c r="R1637">
        <v>0.98039211591508901</v>
      </c>
      <c r="S1637" t="s">
        <v>7188</v>
      </c>
      <c r="T1637" t="s">
        <v>11100</v>
      </c>
      <c r="U1637" t="s">
        <v>11100</v>
      </c>
      <c r="V1637" t="s">
        <v>11100</v>
      </c>
      <c r="W1637" t="s">
        <v>12703</v>
      </c>
      <c r="X1637">
        <v>2</v>
      </c>
      <c r="Y1637" t="s">
        <v>18194</v>
      </c>
      <c r="Z1637" t="s">
        <v>23642</v>
      </c>
      <c r="AA1637">
        <v>0.49145614645633129</v>
      </c>
      <c r="AB1637" t="str">
        <f>HYPERLINK("Melting_Curves/meltCurve_O95758_1_PTBP3.pdf", "Melting_Curves/meltCurve_O95758_1_PTBP3.pdf")</f>
        <v>Melting_Curves/meltCurve_O95758_1_PTBP3.pdf</v>
      </c>
    </row>
    <row r="1638" spans="1:28" x14ac:dyDescent="0.25">
      <c r="A1638" t="s">
        <v>1642</v>
      </c>
      <c r="B1638">
        <v>0.99299721793515405</v>
      </c>
      <c r="C1638">
        <v>0.89088353513548202</v>
      </c>
      <c r="D1638">
        <v>0.92260041944551296</v>
      </c>
      <c r="E1638">
        <v>0.82966461917842205</v>
      </c>
      <c r="F1638">
        <v>0.71091109011334297</v>
      </c>
      <c r="G1638">
        <v>0.63527633371678005</v>
      </c>
      <c r="H1638">
        <v>0.52347334056958905</v>
      </c>
      <c r="I1638">
        <v>0.59249522410952804</v>
      </c>
      <c r="J1638">
        <v>0.63118832576416095</v>
      </c>
      <c r="K1638">
        <v>0.583343270776297</v>
      </c>
      <c r="L1638">
        <v>620.43340958543001</v>
      </c>
      <c r="M1638">
        <v>13.1260511356364</v>
      </c>
      <c r="O1638">
        <v>46.210618127508098</v>
      </c>
      <c r="P1638">
        <v>-3.08243018466243E-2</v>
      </c>
      <c r="Q1638">
        <v>0.56600270747638604</v>
      </c>
      <c r="R1638">
        <v>0.93499892393794903</v>
      </c>
      <c r="S1638" t="s">
        <v>7189</v>
      </c>
      <c r="T1638" t="s">
        <v>11100</v>
      </c>
      <c r="U1638" t="s">
        <v>11100</v>
      </c>
      <c r="V1638" t="s">
        <v>11100</v>
      </c>
      <c r="W1638" t="s">
        <v>12704</v>
      </c>
      <c r="X1638">
        <v>4</v>
      </c>
      <c r="Y1638" t="s">
        <v>18195</v>
      </c>
      <c r="Z1638" t="s">
        <v>23643</v>
      </c>
      <c r="AA1638">
        <v>0.72673113473202922</v>
      </c>
      <c r="AB1638" t="str">
        <f>HYPERLINK("Melting_Curves/meltCurve_O95777_NAA38.pdf", "Melting_Curves/meltCurve_O95777_NAA38.pdf")</f>
        <v>Melting_Curves/meltCurve_O95777_NAA38.pdf</v>
      </c>
    </row>
    <row r="1639" spans="1:28" x14ac:dyDescent="0.25">
      <c r="A1639" t="s">
        <v>1643</v>
      </c>
      <c r="B1639">
        <v>0.99299721793515405</v>
      </c>
      <c r="C1639">
        <v>0.97833317173093004</v>
      </c>
      <c r="D1639">
        <v>0.92238024523282203</v>
      </c>
      <c r="E1639">
        <v>0.80619278976206599</v>
      </c>
      <c r="F1639">
        <v>0.70532281422269005</v>
      </c>
      <c r="G1639">
        <v>0.59312121505576498</v>
      </c>
      <c r="H1639">
        <v>0.45706905470237602</v>
      </c>
      <c r="I1639">
        <v>0.39711755145169703</v>
      </c>
      <c r="J1639">
        <v>0.22073017011242599</v>
      </c>
      <c r="K1639">
        <v>0.15199762663831801</v>
      </c>
      <c r="L1639">
        <v>464.42272166081199</v>
      </c>
      <c r="M1639">
        <v>8.3140975225295595</v>
      </c>
      <c r="N1639">
        <v>55.8596672752304</v>
      </c>
      <c r="O1639">
        <v>52.908023027714201</v>
      </c>
      <c r="P1639">
        <v>-3.9324084568632199E-2</v>
      </c>
      <c r="Q1639">
        <v>0</v>
      </c>
      <c r="R1639">
        <v>0.98865794785896599</v>
      </c>
      <c r="S1639" t="s">
        <v>7190</v>
      </c>
      <c r="T1639" t="s">
        <v>11100</v>
      </c>
      <c r="U1639" t="s">
        <v>11100</v>
      </c>
      <c r="V1639" t="s">
        <v>11100</v>
      </c>
      <c r="W1639" t="s">
        <v>12705</v>
      </c>
      <c r="X1639">
        <v>16</v>
      </c>
      <c r="Y1639" t="s">
        <v>18196</v>
      </c>
      <c r="Z1639" t="s">
        <v>23644</v>
      </c>
      <c r="AA1639">
        <v>0.6297006529172009</v>
      </c>
      <c r="AB1639" t="str">
        <f>HYPERLINK("Melting_Curves/meltCurve_O95782_2_AP2A1.pdf", "Melting_Curves/meltCurve_O95782_2_AP2A1.pdf")</f>
        <v>Melting_Curves/meltCurve_O95782_2_AP2A1.pdf</v>
      </c>
    </row>
    <row r="1640" spans="1:28" x14ac:dyDescent="0.25">
      <c r="A1640" t="s">
        <v>1644</v>
      </c>
      <c r="B1640">
        <v>0.99299721793515405</v>
      </c>
      <c r="C1640">
        <v>0.99452709862814903</v>
      </c>
      <c r="D1640">
        <v>1.33391470560862</v>
      </c>
      <c r="E1640">
        <v>1.0312338250073101</v>
      </c>
      <c r="F1640">
        <v>0.87884326049843997</v>
      </c>
      <c r="G1640">
        <v>0.98698718156813203</v>
      </c>
      <c r="H1640">
        <v>0.76201147567341998</v>
      </c>
      <c r="I1640">
        <v>0.46239449083434497</v>
      </c>
      <c r="J1640">
        <v>0.369782732235236</v>
      </c>
      <c r="K1640">
        <v>0.38975866761206801</v>
      </c>
      <c r="L1640">
        <v>2291.0482103766899</v>
      </c>
      <c r="M1640">
        <v>39.408041460482998</v>
      </c>
      <c r="N1640">
        <v>60.222297590461203</v>
      </c>
      <c r="O1640">
        <v>57.987465614519103</v>
      </c>
      <c r="P1640">
        <v>-0.106647452244822</v>
      </c>
      <c r="Q1640">
        <v>0.37229036472216798</v>
      </c>
      <c r="R1640">
        <v>0.86118772745869898</v>
      </c>
      <c r="S1640" t="s">
        <v>7191</v>
      </c>
      <c r="T1640" t="s">
        <v>11100</v>
      </c>
      <c r="U1640" t="s">
        <v>11100</v>
      </c>
      <c r="V1640" t="s">
        <v>11100</v>
      </c>
      <c r="W1640" t="s">
        <v>12706</v>
      </c>
      <c r="X1640">
        <v>10</v>
      </c>
      <c r="Y1640" t="s">
        <v>18197</v>
      </c>
      <c r="Z1640" t="s">
        <v>23645</v>
      </c>
      <c r="AA1640">
        <v>0.81690795873653976</v>
      </c>
      <c r="AB1640" t="str">
        <f>HYPERLINK("Melting_Curves/meltCurve_O95816_BAG2.pdf", "Melting_Curves/meltCurve_O95816_BAG2.pdf")</f>
        <v>Melting_Curves/meltCurve_O95816_BAG2.pdf</v>
      </c>
    </row>
    <row r="1641" spans="1:28" x14ac:dyDescent="0.25">
      <c r="A1641" t="s">
        <v>1645</v>
      </c>
      <c r="B1641">
        <v>0.99299721793515405</v>
      </c>
      <c r="C1641">
        <v>0.98811092110668197</v>
      </c>
      <c r="D1641">
        <v>1.0031594420948999</v>
      </c>
      <c r="E1641">
        <v>0.83986707039981301</v>
      </c>
      <c r="F1641">
        <v>0.83468563950522001</v>
      </c>
      <c r="G1641">
        <v>0.563825802152504</v>
      </c>
      <c r="H1641">
        <v>0.681998580648012</v>
      </c>
      <c r="I1641">
        <v>0.650860453445822</v>
      </c>
      <c r="J1641">
        <v>0.73562336374819204</v>
      </c>
      <c r="K1641">
        <v>0.54618811368435305</v>
      </c>
      <c r="L1641">
        <v>992.86444451606098</v>
      </c>
      <c r="M1641">
        <v>20.4928174039322</v>
      </c>
      <c r="O1641">
        <v>47.9951136201949</v>
      </c>
      <c r="P1641">
        <v>-3.9167395197290102E-2</v>
      </c>
      <c r="Q1641">
        <v>0.63308356740237504</v>
      </c>
      <c r="R1641">
        <v>0.84955826969369996</v>
      </c>
      <c r="S1641" t="s">
        <v>7192</v>
      </c>
      <c r="T1641" t="s">
        <v>11100</v>
      </c>
      <c r="U1641" t="s">
        <v>11100</v>
      </c>
      <c r="V1641" t="s">
        <v>11100</v>
      </c>
      <c r="W1641" t="s">
        <v>12707</v>
      </c>
      <c r="X1641">
        <v>17</v>
      </c>
      <c r="Y1641" t="s">
        <v>18198</v>
      </c>
      <c r="Z1641" t="s">
        <v>23646</v>
      </c>
      <c r="AA1641">
        <v>0.77772905097436029</v>
      </c>
      <c r="AB1641" t="str">
        <f>HYPERLINK("Melting_Curves/meltCurve_O95817_BAG3.pdf", "Melting_Curves/meltCurve_O95817_BAG3.pdf")</f>
        <v>Melting_Curves/meltCurve_O95817_BAG3.pdf</v>
      </c>
    </row>
    <row r="1642" spans="1:28" x14ac:dyDescent="0.25">
      <c r="A1642" t="s">
        <v>1646</v>
      </c>
      <c r="B1642">
        <v>0.99299721793515405</v>
      </c>
      <c r="C1642">
        <v>0.97034684518536696</v>
      </c>
      <c r="D1642">
        <v>0.96764909258401799</v>
      </c>
      <c r="E1642">
        <v>0.85129962755312105</v>
      </c>
      <c r="F1642">
        <v>0.79087668434957004</v>
      </c>
      <c r="G1642">
        <v>0.82624801987026997</v>
      </c>
      <c r="H1642">
        <v>0.46699027019146899</v>
      </c>
      <c r="I1642">
        <v>0.197504413861293</v>
      </c>
      <c r="J1642">
        <v>0.118944351917253</v>
      </c>
      <c r="K1642">
        <v>0.169135712423298</v>
      </c>
      <c r="L1642">
        <v>833.50466725047897</v>
      </c>
      <c r="M1642">
        <v>14.6561046333834</v>
      </c>
      <c r="N1642">
        <v>56.870818851046799</v>
      </c>
      <c r="O1642">
        <v>55.843513846300901</v>
      </c>
      <c r="P1642">
        <v>-6.5619642641843501E-2</v>
      </c>
      <c r="Q1642">
        <v>0</v>
      </c>
      <c r="R1642">
        <v>0.95755328913680204</v>
      </c>
      <c r="S1642" t="s">
        <v>7193</v>
      </c>
      <c r="T1642" t="s">
        <v>11100</v>
      </c>
      <c r="U1642" t="s">
        <v>11100</v>
      </c>
      <c r="V1642" t="s">
        <v>11100</v>
      </c>
      <c r="W1642" t="s">
        <v>12708</v>
      </c>
      <c r="X1642">
        <v>4</v>
      </c>
      <c r="Y1642" t="s">
        <v>18199</v>
      </c>
      <c r="Z1642" t="s">
        <v>23647</v>
      </c>
      <c r="AA1642">
        <v>0.67081622810791364</v>
      </c>
      <c r="AB1642" t="str">
        <f>HYPERLINK("Melting_Curves/meltCurve_O95822_MLYCD.pdf", "Melting_Curves/meltCurve_O95822_MLYCD.pdf")</f>
        <v>Melting_Curves/meltCurve_O95822_MLYCD.pdf</v>
      </c>
    </row>
    <row r="1643" spans="1:28" x14ac:dyDescent="0.25">
      <c r="A1643" t="s">
        <v>1647</v>
      </c>
      <c r="B1643">
        <v>0.99299721793515405</v>
      </c>
      <c r="C1643">
        <v>0.92050230801758803</v>
      </c>
      <c r="D1643">
        <v>0.94931483222752899</v>
      </c>
      <c r="E1643">
        <v>0.81859691259759004</v>
      </c>
      <c r="F1643">
        <v>0.73773179183069104</v>
      </c>
      <c r="G1643">
        <v>0.62458793145752201</v>
      </c>
      <c r="H1643">
        <v>0.72408541484160804</v>
      </c>
      <c r="I1643">
        <v>0.83730177444204201</v>
      </c>
      <c r="J1643">
        <v>0.54034956150876101</v>
      </c>
      <c r="K1643">
        <v>0.12928233701175201</v>
      </c>
      <c r="L1643">
        <v>348.07518822796902</v>
      </c>
      <c r="M1643">
        <v>5.5129070402489102</v>
      </c>
      <c r="N1643">
        <v>63.138229191986703</v>
      </c>
      <c r="O1643">
        <v>56.287878895595597</v>
      </c>
      <c r="P1643">
        <v>-2.4592291836538101E-2</v>
      </c>
      <c r="Q1643">
        <v>0</v>
      </c>
      <c r="R1643">
        <v>0.655186083639543</v>
      </c>
      <c r="S1643" t="s">
        <v>7194</v>
      </c>
      <c r="T1643" t="s">
        <v>11100</v>
      </c>
      <c r="U1643" t="s">
        <v>11100</v>
      </c>
      <c r="V1643" t="s">
        <v>11100</v>
      </c>
      <c r="W1643" t="s">
        <v>12709</v>
      </c>
      <c r="X1643">
        <v>11</v>
      </c>
      <c r="Y1643" t="s">
        <v>18200</v>
      </c>
      <c r="Z1643" t="s">
        <v>23648</v>
      </c>
      <c r="AA1643">
        <v>0.74190520916274139</v>
      </c>
      <c r="AB1643" t="str">
        <f>HYPERLINK("Melting_Curves/meltCurve_O95825_CRYZL1.pdf", "Melting_Curves/meltCurve_O95825_CRYZL1.pdf")</f>
        <v>Melting_Curves/meltCurve_O95825_CRYZL1.pdf</v>
      </c>
    </row>
    <row r="1644" spans="1:28" x14ac:dyDescent="0.25">
      <c r="A1644" t="s">
        <v>1648</v>
      </c>
      <c r="B1644">
        <v>0.99299721793515405</v>
      </c>
      <c r="C1644">
        <v>0.94470876216486299</v>
      </c>
      <c r="D1644">
        <v>0.87861233750539303</v>
      </c>
      <c r="E1644">
        <v>0.81658957545677502</v>
      </c>
      <c r="F1644">
        <v>0.71151153256435695</v>
      </c>
      <c r="G1644">
        <v>0.68521141746859204</v>
      </c>
      <c r="H1644">
        <v>0.731797534556897</v>
      </c>
      <c r="I1644">
        <v>0.797264120207266</v>
      </c>
      <c r="J1644">
        <v>0.44280261867218901</v>
      </c>
      <c r="K1644">
        <v>0.18358589816757001</v>
      </c>
      <c r="L1644">
        <v>342.907895147614</v>
      </c>
      <c r="M1644">
        <v>5.4727133571295701</v>
      </c>
      <c r="N1644">
        <v>62.6577481344519</v>
      </c>
      <c r="O1644">
        <v>55.776672853553201</v>
      </c>
      <c r="P1644">
        <v>-2.4639531817041899E-2</v>
      </c>
      <c r="Q1644">
        <v>0</v>
      </c>
      <c r="R1644">
        <v>0.72636670012428595</v>
      </c>
      <c r="S1644" t="s">
        <v>7195</v>
      </c>
      <c r="T1644" t="s">
        <v>11100</v>
      </c>
      <c r="U1644" t="s">
        <v>11100</v>
      </c>
      <c r="V1644" t="s">
        <v>11100</v>
      </c>
      <c r="W1644" t="s">
        <v>12710</v>
      </c>
      <c r="X1644">
        <v>24</v>
      </c>
      <c r="Y1644" t="s">
        <v>18201</v>
      </c>
      <c r="Z1644" t="s">
        <v>23649</v>
      </c>
      <c r="AA1644">
        <v>0.73324569802910744</v>
      </c>
      <c r="AB1644" t="str">
        <f>HYPERLINK("Melting_Curves/meltCurve_O95831_3_AIFM1.pdf", "Melting_Curves/meltCurve_O95831_3_AIFM1.pdf")</f>
        <v>Melting_Curves/meltCurve_O95831_3_AIFM1.pdf</v>
      </c>
    </row>
    <row r="1645" spans="1:28" x14ac:dyDescent="0.25">
      <c r="A1645" t="s">
        <v>1649</v>
      </c>
      <c r="B1645">
        <v>0.99299721793515405</v>
      </c>
      <c r="C1645">
        <v>0.99593941231383099</v>
      </c>
      <c r="D1645">
        <v>0.90792495732364398</v>
      </c>
      <c r="E1645">
        <v>0.74173998809286701</v>
      </c>
      <c r="F1645">
        <v>0.40570584088786799</v>
      </c>
      <c r="G1645">
        <v>0.27230767107800502</v>
      </c>
      <c r="H1645">
        <v>0.28999078830084901</v>
      </c>
      <c r="I1645">
        <v>0.32041459844127901</v>
      </c>
      <c r="J1645">
        <v>0.32262811465469499</v>
      </c>
      <c r="K1645">
        <v>0.28287374015601802</v>
      </c>
      <c r="L1645">
        <v>1319.6260231818101</v>
      </c>
      <c r="M1645">
        <v>27.886478592549299</v>
      </c>
      <c r="N1645">
        <v>48.856918038272099</v>
      </c>
      <c r="O1645">
        <v>47.080030033815497</v>
      </c>
      <c r="P1645">
        <v>-0.104860652169462</v>
      </c>
      <c r="Q1645">
        <v>0.291872090627526</v>
      </c>
      <c r="R1645">
        <v>0.99242391261546903</v>
      </c>
      <c r="S1645" t="s">
        <v>7196</v>
      </c>
      <c r="T1645" t="s">
        <v>11100</v>
      </c>
      <c r="U1645" t="s">
        <v>11100</v>
      </c>
      <c r="V1645" t="s">
        <v>11100</v>
      </c>
      <c r="W1645" t="s">
        <v>12711</v>
      </c>
      <c r="X1645">
        <v>6</v>
      </c>
      <c r="Y1645" t="s">
        <v>18202</v>
      </c>
      <c r="Z1645" t="s">
        <v>23650</v>
      </c>
      <c r="AA1645">
        <v>0.54029790097776476</v>
      </c>
      <c r="AB1645" t="str">
        <f>HYPERLINK("Melting_Curves/meltCurve_O95835_LATS1.pdf", "Melting_Curves/meltCurve_O95835_LATS1.pdf")</f>
        <v>Melting_Curves/meltCurve_O95835_LATS1.pdf</v>
      </c>
    </row>
    <row r="1646" spans="1:28" x14ac:dyDescent="0.25">
      <c r="A1646" t="s">
        <v>1650</v>
      </c>
      <c r="B1646">
        <v>0.99299721793515405</v>
      </c>
      <c r="C1646">
        <v>0.95598710379791696</v>
      </c>
      <c r="D1646">
        <v>0.88689302674662696</v>
      </c>
      <c r="E1646">
        <v>0.79473054562349599</v>
      </c>
      <c r="F1646">
        <v>0.60291712587186397</v>
      </c>
      <c r="G1646">
        <v>0.48826253783821599</v>
      </c>
      <c r="H1646">
        <v>0.65772135707888202</v>
      </c>
      <c r="I1646">
        <v>0.81503178289965605</v>
      </c>
      <c r="J1646">
        <v>0.78578390290499101</v>
      </c>
      <c r="K1646">
        <v>0.51354385024304205</v>
      </c>
      <c r="L1646">
        <v>1118.0739197544101</v>
      </c>
      <c r="M1646">
        <v>24.994538405724199</v>
      </c>
      <c r="O1646">
        <v>44.449342666683201</v>
      </c>
      <c r="P1646">
        <v>-4.9826620519755199E-2</v>
      </c>
      <c r="Q1646">
        <v>0.64556572227044995</v>
      </c>
      <c r="R1646">
        <v>0.64455980257066303</v>
      </c>
      <c r="S1646" t="s">
        <v>7197</v>
      </c>
      <c r="T1646" t="s">
        <v>11100</v>
      </c>
      <c r="U1646" t="s">
        <v>11100</v>
      </c>
      <c r="V1646" t="s">
        <v>11100</v>
      </c>
      <c r="W1646" t="s">
        <v>12712</v>
      </c>
      <c r="X1646">
        <v>2</v>
      </c>
      <c r="Y1646" t="s">
        <v>18203</v>
      </c>
      <c r="Z1646" t="s">
        <v>23651</v>
      </c>
      <c r="AA1646">
        <v>0.7398315006818843</v>
      </c>
      <c r="AB1646" t="str">
        <f>HYPERLINK("Melting_Curves/meltCurve_O95857_TSPAN13.pdf", "Melting_Curves/meltCurve_O95857_TSPAN13.pdf")</f>
        <v>Melting_Curves/meltCurve_O95857_TSPAN13.pdf</v>
      </c>
    </row>
    <row r="1647" spans="1:28" x14ac:dyDescent="0.25">
      <c r="A1647" t="s">
        <v>1651</v>
      </c>
      <c r="B1647">
        <v>0.99299721793515405</v>
      </c>
      <c r="C1647">
        <v>1.0575138056506499</v>
      </c>
      <c r="D1647">
        <v>1.0063322610274399</v>
      </c>
      <c r="E1647">
        <v>0.99201089209466697</v>
      </c>
      <c r="F1647">
        <v>0.81698949281584399</v>
      </c>
      <c r="G1647">
        <v>0.68060127901722101</v>
      </c>
      <c r="H1647">
        <v>0.56581516525186903</v>
      </c>
      <c r="I1647">
        <v>0.48012009034210001</v>
      </c>
      <c r="J1647">
        <v>0.17931652113607399</v>
      </c>
      <c r="K1647">
        <v>0.124919201803526</v>
      </c>
      <c r="L1647">
        <v>693.63422228376498</v>
      </c>
      <c r="M1647">
        <v>11.919526972165601</v>
      </c>
      <c r="N1647">
        <v>58.193099852346599</v>
      </c>
      <c r="O1647">
        <v>56.627649148890903</v>
      </c>
      <c r="P1647">
        <v>-5.2635379199062103E-2</v>
      </c>
      <c r="Q1647">
        <v>0</v>
      </c>
      <c r="R1647">
        <v>0.97052984977330803</v>
      </c>
      <c r="S1647" t="s">
        <v>7198</v>
      </c>
      <c r="T1647" t="s">
        <v>11100</v>
      </c>
      <c r="U1647" t="s">
        <v>11100</v>
      </c>
      <c r="V1647" t="s">
        <v>11100</v>
      </c>
      <c r="W1647" t="s">
        <v>12713</v>
      </c>
      <c r="X1647">
        <v>15</v>
      </c>
      <c r="Y1647" t="s">
        <v>18204</v>
      </c>
      <c r="Z1647" t="s">
        <v>23652</v>
      </c>
      <c r="AA1647">
        <v>0.7035950680835712</v>
      </c>
      <c r="AB1647" t="str">
        <f>HYPERLINK("Melting_Curves/meltCurve_O95865_DDAH2.pdf", "Melting_Curves/meltCurve_O95865_DDAH2.pdf")</f>
        <v>Melting_Curves/meltCurve_O95865_DDAH2.pdf</v>
      </c>
    </row>
    <row r="1648" spans="1:28" x14ac:dyDescent="0.25">
      <c r="A1648" t="s">
        <v>1652</v>
      </c>
      <c r="B1648">
        <v>0.99299721793515405</v>
      </c>
      <c r="C1648">
        <v>1.0642555108284799</v>
      </c>
      <c r="D1648">
        <v>0.93067669200168501</v>
      </c>
      <c r="E1648">
        <v>0.86873362061965598</v>
      </c>
      <c r="F1648">
        <v>0.76842637756135301</v>
      </c>
      <c r="G1648">
        <v>0.52316376171520795</v>
      </c>
      <c r="H1648">
        <v>0.57261970971758802</v>
      </c>
      <c r="I1648">
        <v>0.78640984622469101</v>
      </c>
      <c r="J1648">
        <v>1.05963307175171</v>
      </c>
      <c r="K1648">
        <v>0.77445366572513197</v>
      </c>
      <c r="L1648">
        <v>1532.6003989513399</v>
      </c>
      <c r="M1648">
        <v>33.290046125358003</v>
      </c>
      <c r="O1648">
        <v>45.872624648313497</v>
      </c>
      <c r="P1648">
        <v>-4.60397543520756E-2</v>
      </c>
      <c r="Q1648">
        <v>0.74623583483713396</v>
      </c>
      <c r="R1648">
        <v>0.40076049673456898</v>
      </c>
      <c r="S1648" t="s">
        <v>7199</v>
      </c>
      <c r="T1648" t="s">
        <v>11100</v>
      </c>
      <c r="U1648" t="s">
        <v>11100</v>
      </c>
      <c r="V1648" t="s">
        <v>11100</v>
      </c>
      <c r="W1648" t="s">
        <v>12714</v>
      </c>
      <c r="X1648">
        <v>1</v>
      </c>
      <c r="Y1648" t="s">
        <v>18205</v>
      </c>
      <c r="Z1648" t="s">
        <v>23653</v>
      </c>
      <c r="AA1648">
        <v>0.8238569925060979</v>
      </c>
      <c r="AB1648" t="str">
        <f>HYPERLINK("Melting_Curves/meltCurve_O95873_C6orf47.pdf", "Melting_Curves/meltCurve_O95873_C6orf47.pdf")</f>
        <v>Melting_Curves/meltCurve_O95873_C6orf47.pdf</v>
      </c>
    </row>
    <row r="1649" spans="1:28" x14ac:dyDescent="0.25">
      <c r="A1649" t="s">
        <v>1653</v>
      </c>
      <c r="B1649">
        <v>0.99299721793515405</v>
      </c>
      <c r="C1649">
        <v>0.92456459889369202</v>
      </c>
      <c r="D1649">
        <v>1.0555155016626501</v>
      </c>
      <c r="E1649">
        <v>0.85814879695780599</v>
      </c>
      <c r="F1649">
        <v>0.75071511230482102</v>
      </c>
      <c r="G1649">
        <v>0.55020102322957598</v>
      </c>
      <c r="H1649">
        <v>0.39044397034788703</v>
      </c>
      <c r="I1649">
        <v>0.32521076614361699</v>
      </c>
      <c r="J1649">
        <v>0.25962383058080601</v>
      </c>
      <c r="K1649">
        <v>0.28103740322612503</v>
      </c>
      <c r="L1649">
        <v>794.56983899243301</v>
      </c>
      <c r="M1649">
        <v>15.164510208410601</v>
      </c>
      <c r="N1649">
        <v>54.717036200038997</v>
      </c>
      <c r="O1649">
        <v>51.510831491609601</v>
      </c>
      <c r="P1649">
        <v>-5.6149200710363903E-2</v>
      </c>
      <c r="Q1649">
        <v>0.23716289257652801</v>
      </c>
      <c r="R1649">
        <v>0.98375986069288102</v>
      </c>
      <c r="S1649" t="s">
        <v>7200</v>
      </c>
      <c r="T1649" t="s">
        <v>11100</v>
      </c>
      <c r="U1649" t="s">
        <v>11100</v>
      </c>
      <c r="V1649" t="s">
        <v>11100</v>
      </c>
      <c r="W1649" t="s">
        <v>12715</v>
      </c>
      <c r="X1649">
        <v>8</v>
      </c>
      <c r="Y1649" t="s">
        <v>18206</v>
      </c>
      <c r="Z1649" t="s">
        <v>23654</v>
      </c>
      <c r="AA1649">
        <v>0.64273693411917188</v>
      </c>
      <c r="AB1649" t="str">
        <f>HYPERLINK("Melting_Curves/meltCurve_O95881_TXNDC12.pdf", "Melting_Curves/meltCurve_O95881_TXNDC12.pdf")</f>
        <v>Melting_Curves/meltCurve_O95881_TXNDC12.pdf</v>
      </c>
    </row>
    <row r="1650" spans="1:28" x14ac:dyDescent="0.25">
      <c r="A1650" t="s">
        <v>1654</v>
      </c>
      <c r="B1650">
        <v>0.99299721793515405</v>
      </c>
      <c r="C1650">
        <v>0.89875199584643495</v>
      </c>
      <c r="D1650">
        <v>1.1843031121018699</v>
      </c>
      <c r="E1650">
        <v>1.13426471370189</v>
      </c>
      <c r="F1650">
        <v>1.06095207889893</v>
      </c>
      <c r="G1650">
        <v>0.57861672158259003</v>
      </c>
      <c r="H1650">
        <v>0.27635435358375299</v>
      </c>
      <c r="I1650">
        <v>0.12625492750737699</v>
      </c>
      <c r="J1650">
        <v>6.6609179664037996E-2</v>
      </c>
      <c r="K1650">
        <v>0.17605515769060501</v>
      </c>
      <c r="L1650">
        <v>2228.78976318797</v>
      </c>
      <c r="M1650">
        <v>41.214393583394802</v>
      </c>
      <c r="N1650">
        <v>54.499180314065903</v>
      </c>
      <c r="O1650">
        <v>53.951098565088898</v>
      </c>
      <c r="P1650">
        <v>-0.16493092904564</v>
      </c>
      <c r="Q1650">
        <v>0.136399912178709</v>
      </c>
      <c r="R1650">
        <v>0.95443723288635696</v>
      </c>
      <c r="S1650" t="s">
        <v>7201</v>
      </c>
      <c r="T1650" t="s">
        <v>11100</v>
      </c>
      <c r="U1650" t="s">
        <v>11100</v>
      </c>
      <c r="V1650" t="s">
        <v>11100</v>
      </c>
      <c r="W1650" t="s">
        <v>12716</v>
      </c>
      <c r="X1650">
        <v>3</v>
      </c>
      <c r="Y1650" t="s">
        <v>18207</v>
      </c>
      <c r="Z1650" t="s">
        <v>23655</v>
      </c>
      <c r="AA1650">
        <v>0.63103531286913106</v>
      </c>
      <c r="AB1650" t="str">
        <f>HYPERLINK("Melting_Curves/meltCurve_O95905_ECD.pdf", "Melting_Curves/meltCurve_O95905_ECD.pdf")</f>
        <v>Melting_Curves/meltCurve_O95905_ECD.pdf</v>
      </c>
    </row>
    <row r="1651" spans="1:28" x14ac:dyDescent="0.25">
      <c r="A1651" t="s">
        <v>1655</v>
      </c>
      <c r="B1651">
        <v>0.99299721793515405</v>
      </c>
      <c r="C1651">
        <v>0.91392819865156905</v>
      </c>
      <c r="D1651">
        <v>0.94288833530398597</v>
      </c>
      <c r="E1651">
        <v>0.77333449958238099</v>
      </c>
      <c r="F1651">
        <v>0.81441357102595702</v>
      </c>
      <c r="G1651">
        <v>0.48256067345528902</v>
      </c>
      <c r="H1651">
        <v>0.57238596490499705</v>
      </c>
      <c r="I1651">
        <v>0.83763214879798598</v>
      </c>
      <c r="J1651">
        <v>0.92655991384713099</v>
      </c>
      <c r="K1651">
        <v>0.88867216277832095</v>
      </c>
      <c r="L1651">
        <v>1326.46175897291</v>
      </c>
      <c r="M1651">
        <v>30.121816436840501</v>
      </c>
      <c r="O1651">
        <v>43.8438559992778</v>
      </c>
      <c r="P1651">
        <v>-4.2802706467770998E-2</v>
      </c>
      <c r="Q1651">
        <v>0.75079542085264095</v>
      </c>
      <c r="R1651">
        <v>0.305368216264159</v>
      </c>
      <c r="S1651" t="s">
        <v>7202</v>
      </c>
      <c r="T1651" t="s">
        <v>11100</v>
      </c>
      <c r="U1651" t="s">
        <v>11100</v>
      </c>
      <c r="V1651" t="s">
        <v>11100</v>
      </c>
      <c r="W1651" t="s">
        <v>12717</v>
      </c>
      <c r="X1651">
        <v>6</v>
      </c>
      <c r="Y1651" t="s">
        <v>18208</v>
      </c>
      <c r="Z1651" t="s">
        <v>23656</v>
      </c>
      <c r="AA1651">
        <v>0.8106196889760009</v>
      </c>
      <c r="AB1651" t="str">
        <f>HYPERLINK("Melting_Curves/meltCurve_O95926_SYF2.pdf", "Melting_Curves/meltCurve_O95926_SYF2.pdf")</f>
        <v>Melting_Curves/meltCurve_O95926_SYF2.pdf</v>
      </c>
    </row>
    <row r="1652" spans="1:28" x14ac:dyDescent="0.25">
      <c r="A1652" t="s">
        <v>1656</v>
      </c>
      <c r="B1652">
        <v>0.99299721793515405</v>
      </c>
      <c r="C1652">
        <v>1.0805620975816601</v>
      </c>
      <c r="D1652">
        <v>1.21055650816345</v>
      </c>
      <c r="E1652">
        <v>0.97722493220732598</v>
      </c>
      <c r="F1652">
        <v>0.73835025443667601</v>
      </c>
      <c r="G1652">
        <v>0.88613924237406605</v>
      </c>
      <c r="H1652">
        <v>0.44436496253424801</v>
      </c>
      <c r="I1652">
        <v>0.41640417179421901</v>
      </c>
      <c r="J1652">
        <v>0.19346964188350699</v>
      </c>
      <c r="K1652">
        <v>0.129636994384357</v>
      </c>
      <c r="L1652">
        <v>794.18061952827702</v>
      </c>
      <c r="M1652">
        <v>13.667065253798301</v>
      </c>
      <c r="N1652">
        <v>58.109082374392401</v>
      </c>
      <c r="O1652">
        <v>56.907379892604801</v>
      </c>
      <c r="P1652">
        <v>-6.0049573756390001E-2</v>
      </c>
      <c r="Q1652">
        <v>0</v>
      </c>
      <c r="R1652">
        <v>0.91441843729248495</v>
      </c>
      <c r="S1652" t="s">
        <v>7203</v>
      </c>
      <c r="T1652" t="s">
        <v>11100</v>
      </c>
      <c r="U1652" t="s">
        <v>11100</v>
      </c>
      <c r="V1652" t="s">
        <v>11100</v>
      </c>
      <c r="W1652" t="s">
        <v>12718</v>
      </c>
      <c r="X1652">
        <v>9</v>
      </c>
      <c r="Y1652" t="s">
        <v>18209</v>
      </c>
      <c r="Z1652" t="s">
        <v>23657</v>
      </c>
      <c r="AA1652">
        <v>0.70533824514676757</v>
      </c>
      <c r="AB1652" t="str">
        <f>HYPERLINK("Melting_Curves/meltCurve_O95989_NUDT3.pdf", "Melting_Curves/meltCurve_O95989_NUDT3.pdf")</f>
        <v>Melting_Curves/meltCurve_O95989_NUDT3.pdf</v>
      </c>
    </row>
    <row r="1653" spans="1:28" x14ac:dyDescent="0.25">
      <c r="A1653" t="s">
        <v>1657</v>
      </c>
      <c r="B1653">
        <v>0.99299721793515405</v>
      </c>
      <c r="C1653">
        <v>0.95432741793181197</v>
      </c>
      <c r="D1653">
        <v>0.92518679919125102</v>
      </c>
      <c r="E1653">
        <v>0.889964560555213</v>
      </c>
      <c r="F1653">
        <v>0.60576245502114501</v>
      </c>
      <c r="G1653">
        <v>0.55911394979399198</v>
      </c>
      <c r="H1653">
        <v>0.46693247787713799</v>
      </c>
      <c r="I1653">
        <v>0.42648663680884102</v>
      </c>
      <c r="J1653">
        <v>0.424387459951238</v>
      </c>
      <c r="K1653">
        <v>0.31480379909386802</v>
      </c>
      <c r="L1653">
        <v>648.37229810583096</v>
      </c>
      <c r="M1653">
        <v>12.900857989710801</v>
      </c>
      <c r="N1653">
        <v>55.336795240430099</v>
      </c>
      <c r="O1653">
        <v>49.09643816138</v>
      </c>
      <c r="P1653">
        <v>-4.29058182187445E-2</v>
      </c>
      <c r="Q1653">
        <v>0.34697691663671298</v>
      </c>
      <c r="R1653">
        <v>0.97468549981763597</v>
      </c>
      <c r="S1653" t="s">
        <v>7204</v>
      </c>
      <c r="T1653" t="s">
        <v>11100</v>
      </c>
      <c r="U1653" t="s">
        <v>11100</v>
      </c>
      <c r="V1653" t="s">
        <v>11100</v>
      </c>
      <c r="W1653" t="s">
        <v>12719</v>
      </c>
      <c r="X1653">
        <v>3</v>
      </c>
      <c r="Y1653" t="s">
        <v>18210</v>
      </c>
      <c r="Z1653" t="s">
        <v>23658</v>
      </c>
      <c r="AA1653">
        <v>0.65207490622035424</v>
      </c>
      <c r="AB1653" t="str">
        <f>HYPERLINK("Melting_Curves/meltCurve_O95997_PTTG1.pdf", "Melting_Curves/meltCurve_O95997_PTTG1.pdf")</f>
        <v>Melting_Curves/meltCurve_O95997_PTTG1.pdf</v>
      </c>
    </row>
    <row r="1654" spans="1:28" x14ac:dyDescent="0.25">
      <c r="A1654" t="s">
        <v>1658</v>
      </c>
      <c r="B1654">
        <v>0.99299721793515405</v>
      </c>
      <c r="C1654">
        <v>0.93151130570600904</v>
      </c>
      <c r="D1654">
        <v>0.96872578443615098</v>
      </c>
      <c r="E1654">
        <v>0.95708562349892701</v>
      </c>
      <c r="F1654">
        <v>0.75735434599754503</v>
      </c>
      <c r="G1654">
        <v>0.27578363593337302</v>
      </c>
      <c r="H1654">
        <v>0.19862764704404501</v>
      </c>
      <c r="I1654">
        <v>0.17687559886290799</v>
      </c>
      <c r="J1654">
        <v>0.199228486936852</v>
      </c>
      <c r="K1654">
        <v>0.17182375554774099</v>
      </c>
      <c r="L1654">
        <v>2103.5017773040299</v>
      </c>
      <c r="M1654">
        <v>41.0716601926176</v>
      </c>
      <c r="N1654">
        <v>51.788754638188301</v>
      </c>
      <c r="O1654">
        <v>51.0944404203128</v>
      </c>
      <c r="P1654">
        <v>-0.16424837617646099</v>
      </c>
      <c r="Q1654">
        <v>0.18268088641171301</v>
      </c>
      <c r="R1654">
        <v>0.99465843386312802</v>
      </c>
      <c r="S1654" t="s">
        <v>7205</v>
      </c>
      <c r="T1654" t="s">
        <v>11100</v>
      </c>
      <c r="U1654" t="s">
        <v>11100</v>
      </c>
      <c r="V1654" t="s">
        <v>11100</v>
      </c>
      <c r="W1654" t="s">
        <v>12720</v>
      </c>
      <c r="X1654">
        <v>10</v>
      </c>
      <c r="Y1654" t="s">
        <v>18211</v>
      </c>
      <c r="Z1654" t="s">
        <v>23659</v>
      </c>
      <c r="AA1654">
        <v>0.57270504512356646</v>
      </c>
      <c r="AB1654" t="str">
        <f>HYPERLINK("Melting_Curves/meltCurve_O95999_BCL10.pdf", "Melting_Curves/meltCurve_O95999_BCL10.pdf")</f>
        <v>Melting_Curves/meltCurve_O95999_BCL10.pdf</v>
      </c>
    </row>
    <row r="1655" spans="1:28" x14ac:dyDescent="0.25">
      <c r="A1655" t="s">
        <v>1659</v>
      </c>
      <c r="B1655">
        <v>0.99299721793515405</v>
      </c>
      <c r="C1655">
        <v>0.96551672412901701</v>
      </c>
      <c r="D1655">
        <v>0.89191523082759006</v>
      </c>
      <c r="E1655">
        <v>0.82743236113347696</v>
      </c>
      <c r="F1655">
        <v>0.55127173731257695</v>
      </c>
      <c r="G1655">
        <v>0.47888244174005601</v>
      </c>
      <c r="H1655">
        <v>0.67686114815502296</v>
      </c>
      <c r="I1655">
        <v>0.805085880123382</v>
      </c>
      <c r="J1655">
        <v>0.65222583056261396</v>
      </c>
      <c r="K1655">
        <v>0.35835564182322499</v>
      </c>
      <c r="L1655">
        <v>11665.4328094135</v>
      </c>
      <c r="M1655">
        <v>250</v>
      </c>
      <c r="O1655">
        <v>46.658745527027698</v>
      </c>
      <c r="P1655">
        <v>-0.55306649903389804</v>
      </c>
      <c r="Q1655">
        <v>0.58711377880264703</v>
      </c>
      <c r="R1655">
        <v>0.66078909705727895</v>
      </c>
      <c r="S1655" t="s">
        <v>7206</v>
      </c>
      <c r="T1655" t="s">
        <v>11100</v>
      </c>
      <c r="U1655" t="s">
        <v>11100</v>
      </c>
      <c r="V1655" t="s">
        <v>11100</v>
      </c>
      <c r="W1655" t="s">
        <v>12721</v>
      </c>
      <c r="X1655">
        <v>5</v>
      </c>
      <c r="Y1655" t="s">
        <v>18212</v>
      </c>
      <c r="Z1655" t="s">
        <v>23660</v>
      </c>
      <c r="AA1655">
        <v>0.72012078033934501</v>
      </c>
      <c r="AB1655" t="str">
        <f>HYPERLINK("Melting_Curves/meltCurve_O96000_NDUFB10.pdf", "Melting_Curves/meltCurve_O96000_NDUFB10.pdf")</f>
        <v>Melting_Curves/meltCurve_O96000_NDUFB10.pdf</v>
      </c>
    </row>
    <row r="1656" spans="1:28" x14ac:dyDescent="0.25">
      <c r="A1656" t="s">
        <v>1660</v>
      </c>
      <c r="B1656">
        <v>0.99299721793515405</v>
      </c>
      <c r="C1656">
        <v>0.85036815993591497</v>
      </c>
      <c r="D1656">
        <v>0.98349395680243901</v>
      </c>
      <c r="E1656">
        <v>0.73659630443699098</v>
      </c>
      <c r="F1656">
        <v>0.68021581067991199</v>
      </c>
      <c r="G1656">
        <v>0.38874295406914899</v>
      </c>
      <c r="H1656">
        <v>0.23710195613042201</v>
      </c>
      <c r="I1656">
        <v>0.19783174598099401</v>
      </c>
      <c r="J1656">
        <v>0.131451261467224</v>
      </c>
      <c r="K1656">
        <v>0.15608275859031201</v>
      </c>
      <c r="L1656">
        <v>629.37496765502101</v>
      </c>
      <c r="M1656">
        <v>12.251620641145299</v>
      </c>
      <c r="N1656">
        <v>52.046613224678303</v>
      </c>
      <c r="O1656">
        <v>50.059650913654501</v>
      </c>
      <c r="P1656">
        <v>-5.6698038953826101E-2</v>
      </c>
      <c r="Q1656">
        <v>7.3542077171176598E-2</v>
      </c>
      <c r="R1656">
        <v>0.97134499774198002</v>
      </c>
      <c r="S1656" t="s">
        <v>7207</v>
      </c>
      <c r="T1656" t="s">
        <v>11100</v>
      </c>
      <c r="U1656" t="s">
        <v>11100</v>
      </c>
      <c r="V1656" t="s">
        <v>11100</v>
      </c>
      <c r="W1656" t="s">
        <v>12722</v>
      </c>
      <c r="X1656">
        <v>4</v>
      </c>
      <c r="Y1656" t="s">
        <v>18213</v>
      </c>
      <c r="Z1656" t="s">
        <v>23661</v>
      </c>
      <c r="AA1656">
        <v>0.54026396659599452</v>
      </c>
      <c r="AB1656" t="str">
        <f>HYPERLINK("Melting_Curves/meltCurve_O96006_ZBED1.pdf", "Melting_Curves/meltCurve_O96006_ZBED1.pdf")</f>
        <v>Melting_Curves/meltCurve_O96006_ZBED1.pdf</v>
      </c>
    </row>
    <row r="1657" spans="1:28" x14ac:dyDescent="0.25">
      <c r="A1657" t="s">
        <v>1661</v>
      </c>
      <c r="B1657">
        <v>0.99299721793515405</v>
      </c>
      <c r="C1657">
        <v>1.0708350231436601</v>
      </c>
      <c r="D1657">
        <v>0.91304464352164405</v>
      </c>
      <c r="E1657">
        <v>0.89420732470587605</v>
      </c>
      <c r="F1657">
        <v>0.80263404585032805</v>
      </c>
      <c r="G1657">
        <v>0.64132987760941096</v>
      </c>
      <c r="H1657">
        <v>0.67896200674333296</v>
      </c>
      <c r="I1657">
        <v>0.79533394465668505</v>
      </c>
      <c r="J1657">
        <v>0.92111592642963902</v>
      </c>
      <c r="K1657">
        <v>0.79319341266509902</v>
      </c>
      <c r="L1657">
        <v>1222.2325144726001</v>
      </c>
      <c r="M1657">
        <v>26.595250611893501</v>
      </c>
      <c r="O1657">
        <v>45.699322545789698</v>
      </c>
      <c r="P1657">
        <v>-3.3516789467626297E-2</v>
      </c>
      <c r="Q1657">
        <v>0.769631280116018</v>
      </c>
      <c r="R1657">
        <v>0.62879243698397103</v>
      </c>
      <c r="S1657" t="s">
        <v>7208</v>
      </c>
      <c r="T1657" t="s">
        <v>11100</v>
      </c>
      <c r="U1657" t="s">
        <v>11100</v>
      </c>
      <c r="V1657" t="s">
        <v>11100</v>
      </c>
      <c r="W1657" t="s">
        <v>12723</v>
      </c>
      <c r="X1657">
        <v>16</v>
      </c>
      <c r="Y1657" t="s">
        <v>18214</v>
      </c>
      <c r="Z1657" t="s">
        <v>23662</v>
      </c>
      <c r="AA1657">
        <v>0.84009062781537769</v>
      </c>
      <c r="AB1657" t="str">
        <f>HYPERLINK("Melting_Curves/meltCurve_O96008_TOMM40.pdf", "Melting_Curves/meltCurve_O96008_TOMM40.pdf")</f>
        <v>Melting_Curves/meltCurve_O96008_TOMM40.pdf</v>
      </c>
    </row>
    <row r="1658" spans="1:28" x14ac:dyDescent="0.25">
      <c r="A1658" t="s">
        <v>1662</v>
      </c>
      <c r="B1658">
        <v>0.99299721793515405</v>
      </c>
      <c r="C1658">
        <v>0.94246122497405005</v>
      </c>
      <c r="D1658">
        <v>1.0004400842026</v>
      </c>
      <c r="E1658">
        <v>0.91175912367576295</v>
      </c>
      <c r="F1658">
        <v>0.73612925068468005</v>
      </c>
      <c r="G1658">
        <v>0.54954136127813702</v>
      </c>
      <c r="H1658">
        <v>0.59064588095195203</v>
      </c>
      <c r="I1658">
        <v>0.59804764775380503</v>
      </c>
      <c r="J1658">
        <v>0.606973837470688</v>
      </c>
      <c r="K1658">
        <v>0.45828353586414</v>
      </c>
      <c r="L1658">
        <v>1361.24383620615</v>
      </c>
      <c r="M1658">
        <v>27.647334585438699</v>
      </c>
      <c r="O1658">
        <v>48.9805597971474</v>
      </c>
      <c r="P1658">
        <v>-6.3082907292697402E-2</v>
      </c>
      <c r="Q1658">
        <v>0.55296837412323896</v>
      </c>
      <c r="R1658">
        <v>0.94675242444668495</v>
      </c>
      <c r="S1658" t="s">
        <v>7209</v>
      </c>
      <c r="T1658" t="s">
        <v>11100</v>
      </c>
      <c r="U1658" t="s">
        <v>11100</v>
      </c>
      <c r="V1658" t="s">
        <v>11100</v>
      </c>
      <c r="W1658" t="s">
        <v>12724</v>
      </c>
      <c r="X1658">
        <v>5</v>
      </c>
      <c r="Y1658" t="s">
        <v>18215</v>
      </c>
      <c r="Z1658" t="s">
        <v>23663</v>
      </c>
      <c r="AA1658">
        <v>0.73848037455324134</v>
      </c>
      <c r="AB1658" t="str">
        <f>HYPERLINK("Melting_Curves/meltCurve_O96011_PEX11B.pdf", "Melting_Curves/meltCurve_O96011_PEX11B.pdf")</f>
        <v>Melting_Curves/meltCurve_O96011_PEX11B.pdf</v>
      </c>
    </row>
    <row r="1659" spans="1:28" x14ac:dyDescent="0.25">
      <c r="A1659" t="s">
        <v>1663</v>
      </c>
      <c r="B1659">
        <v>0.99299721793515405</v>
      </c>
      <c r="C1659">
        <v>0.97294115232314504</v>
      </c>
      <c r="D1659">
        <v>0.97185049992307804</v>
      </c>
      <c r="E1659">
        <v>0.85620767020013</v>
      </c>
      <c r="F1659">
        <v>0.70383909971103198</v>
      </c>
      <c r="G1659">
        <v>0.37935947764933498</v>
      </c>
      <c r="H1659">
        <v>0.221506731547502</v>
      </c>
      <c r="I1659">
        <v>0.18090028262230301</v>
      </c>
      <c r="J1659">
        <v>0.17279216876147799</v>
      </c>
      <c r="K1659">
        <v>0.139260793279468</v>
      </c>
      <c r="L1659">
        <v>974.19966699117697</v>
      </c>
      <c r="M1659">
        <v>18.9444276649348</v>
      </c>
      <c r="N1659">
        <v>52.285844346184099</v>
      </c>
      <c r="O1659">
        <v>50.861370826639501</v>
      </c>
      <c r="P1659">
        <v>-8.0634391777903699E-2</v>
      </c>
      <c r="Q1659">
        <v>0.13409702909683099</v>
      </c>
      <c r="R1659">
        <v>0.99640458291793998</v>
      </c>
      <c r="S1659" t="s">
        <v>7210</v>
      </c>
      <c r="T1659" t="s">
        <v>11100</v>
      </c>
      <c r="U1659" t="s">
        <v>11100</v>
      </c>
      <c r="V1659" t="s">
        <v>11100</v>
      </c>
      <c r="W1659" t="s">
        <v>12725</v>
      </c>
      <c r="X1659">
        <v>14</v>
      </c>
      <c r="Y1659" t="s">
        <v>18216</v>
      </c>
      <c r="Z1659" t="s">
        <v>23664</v>
      </c>
      <c r="AA1659">
        <v>0.56272802592999682</v>
      </c>
      <c r="AB1659" t="str">
        <f>HYPERLINK("Melting_Curves/meltCurve_O96013_PAK4.pdf", "Melting_Curves/meltCurve_O96013_PAK4.pdf")</f>
        <v>Melting_Curves/meltCurve_O96013_PAK4.pdf</v>
      </c>
    </row>
    <row r="1660" spans="1:28" x14ac:dyDescent="0.25">
      <c r="A1660" t="s">
        <v>1664</v>
      </c>
      <c r="B1660">
        <v>0.99299721793515405</v>
      </c>
      <c r="C1660">
        <v>0.96271017033713102</v>
      </c>
      <c r="D1660">
        <v>0.95341680806489104</v>
      </c>
      <c r="E1660">
        <v>0.89203838520213097</v>
      </c>
      <c r="F1660">
        <v>0.70685208347862505</v>
      </c>
      <c r="G1660">
        <v>0.40693528939603102</v>
      </c>
      <c r="H1660">
        <v>0.221457571678608</v>
      </c>
      <c r="I1660">
        <v>0.18998796693173001</v>
      </c>
      <c r="J1660">
        <v>0.16569551147113701</v>
      </c>
      <c r="K1660">
        <v>0.13356950986657801</v>
      </c>
      <c r="L1660">
        <v>989.36011389703106</v>
      </c>
      <c r="M1660">
        <v>19.134328823820699</v>
      </c>
      <c r="N1660">
        <v>52.542785863943003</v>
      </c>
      <c r="O1660">
        <v>51.151203840080903</v>
      </c>
      <c r="P1660">
        <v>-8.1239376781287398E-2</v>
      </c>
      <c r="Q1660">
        <v>0.131335023924816</v>
      </c>
      <c r="R1660">
        <v>0.99710554602680601</v>
      </c>
      <c r="S1660" t="s">
        <v>7211</v>
      </c>
      <c r="T1660" t="s">
        <v>11100</v>
      </c>
      <c r="U1660" t="s">
        <v>11100</v>
      </c>
      <c r="V1660" t="s">
        <v>11100</v>
      </c>
      <c r="W1660" t="s">
        <v>12726</v>
      </c>
      <c r="X1660">
        <v>24</v>
      </c>
      <c r="Y1660" t="s">
        <v>18217</v>
      </c>
      <c r="Z1660" t="s">
        <v>23665</v>
      </c>
      <c r="AA1660">
        <v>0.5692412361637369</v>
      </c>
      <c r="AB1660" t="str">
        <f>HYPERLINK("Melting_Curves/meltCurve_O96017_CHEK2.pdf", "Melting_Curves/meltCurve_O96017_CHEK2.pdf")</f>
        <v>Melting_Curves/meltCurve_O96017_CHEK2.pdf</v>
      </c>
    </row>
    <row r="1661" spans="1:28" x14ac:dyDescent="0.25">
      <c r="A1661" t="s">
        <v>1665</v>
      </c>
      <c r="B1661">
        <v>0.99299721793515405</v>
      </c>
      <c r="C1661">
        <v>0.96233762206405704</v>
      </c>
      <c r="D1661">
        <v>0.93816773477385795</v>
      </c>
      <c r="E1661">
        <v>0.83639746764787304</v>
      </c>
      <c r="F1661">
        <v>0.73179245388959602</v>
      </c>
      <c r="G1661">
        <v>0.61678252670595601</v>
      </c>
      <c r="H1661">
        <v>0.33273871384899401</v>
      </c>
      <c r="I1661">
        <v>0.26534901818253798</v>
      </c>
      <c r="J1661">
        <v>0.217909729855085</v>
      </c>
      <c r="K1661">
        <v>0.19100286819533699</v>
      </c>
      <c r="L1661">
        <v>595.081844716668</v>
      </c>
      <c r="M1661">
        <v>10.9980247928828</v>
      </c>
      <c r="N1661">
        <v>54.878852427528599</v>
      </c>
      <c r="O1661">
        <v>52.411475954549502</v>
      </c>
      <c r="P1661">
        <v>-4.8722123452517703E-2</v>
      </c>
      <c r="Q1661">
        <v>7.1565318981653803E-2</v>
      </c>
      <c r="R1661">
        <v>0.98951388849233701</v>
      </c>
      <c r="S1661" t="s">
        <v>7212</v>
      </c>
      <c r="T1661" t="s">
        <v>11100</v>
      </c>
      <c r="U1661" t="s">
        <v>11100</v>
      </c>
      <c r="V1661" t="s">
        <v>11100</v>
      </c>
      <c r="W1661" t="s">
        <v>12727</v>
      </c>
      <c r="X1661">
        <v>13</v>
      </c>
      <c r="Y1661" t="s">
        <v>18218</v>
      </c>
      <c r="Z1661" t="s">
        <v>23666</v>
      </c>
      <c r="AA1661">
        <v>0.61729659347526744</v>
      </c>
      <c r="AB1661" t="str">
        <f>HYPERLINK("Melting_Curves/meltCurve_O96019_ACTL6A.pdf", "Melting_Curves/meltCurve_O96019_ACTL6A.pdf")</f>
        <v>Melting_Curves/meltCurve_O96019_ACTL6A.pdf</v>
      </c>
    </row>
    <row r="1662" spans="1:28" x14ac:dyDescent="0.25">
      <c r="A1662" t="s">
        <v>1666</v>
      </c>
      <c r="B1662">
        <v>0.99299721793515405</v>
      </c>
      <c r="C1662">
        <v>1.14811306528641</v>
      </c>
      <c r="D1662">
        <v>0.834749345313052</v>
      </c>
      <c r="E1662">
        <v>0.889680312218883</v>
      </c>
      <c r="F1662">
        <v>0.75809663792736603</v>
      </c>
      <c r="G1662">
        <v>0.53899101059169496</v>
      </c>
      <c r="H1662">
        <v>0.61752339024200698</v>
      </c>
      <c r="I1662">
        <v>0.58110918792716704</v>
      </c>
      <c r="J1662">
        <v>0.18264859301802999</v>
      </c>
      <c r="K1662">
        <v>0.103263767676652</v>
      </c>
      <c r="L1662">
        <v>504.59211442915898</v>
      </c>
      <c r="M1662">
        <v>8.7631032559261097</v>
      </c>
      <c r="N1662">
        <v>57.581433221335097</v>
      </c>
      <c r="O1662">
        <v>54.818946629188702</v>
      </c>
      <c r="P1662">
        <v>-3.9995945423686903E-2</v>
      </c>
      <c r="Q1662">
        <v>0</v>
      </c>
      <c r="R1662">
        <v>0.86601261260998896</v>
      </c>
      <c r="S1662" t="s">
        <v>7213</v>
      </c>
      <c r="T1662" t="s">
        <v>11100</v>
      </c>
      <c r="U1662" t="s">
        <v>11100</v>
      </c>
      <c r="V1662" t="s">
        <v>11100</v>
      </c>
      <c r="W1662" t="s">
        <v>12728</v>
      </c>
      <c r="X1662">
        <v>3</v>
      </c>
      <c r="Y1662" t="s">
        <v>18219</v>
      </c>
      <c r="Z1662" t="s">
        <v>23667</v>
      </c>
      <c r="AA1662">
        <v>0.67452010125225514</v>
      </c>
      <c r="AB1662" t="str">
        <f>HYPERLINK("Melting_Curves/meltCurve_O96033_MOCS2.pdf", "Melting_Curves/meltCurve_O96033_MOCS2.pdf")</f>
        <v>Melting_Curves/meltCurve_O96033_MOCS2.pdf</v>
      </c>
    </row>
    <row r="1663" spans="1:28" x14ac:dyDescent="0.25">
      <c r="A1663" t="s">
        <v>1667</v>
      </c>
      <c r="B1663">
        <v>0.99299721793515405</v>
      </c>
      <c r="C1663">
        <v>0.94138768199879796</v>
      </c>
      <c r="D1663">
        <v>0.92040990606218698</v>
      </c>
      <c r="E1663">
        <v>0.82932820179537003</v>
      </c>
      <c r="F1663">
        <v>0.73228951065183501</v>
      </c>
      <c r="G1663">
        <v>0.52223256185450895</v>
      </c>
      <c r="H1663">
        <v>0.58236958866566002</v>
      </c>
      <c r="I1663">
        <v>0.63814673056845805</v>
      </c>
      <c r="J1663">
        <v>0.60205994027162102</v>
      </c>
      <c r="K1663">
        <v>0.42147866608121998</v>
      </c>
      <c r="L1663">
        <v>636.47884243630494</v>
      </c>
      <c r="M1663">
        <v>13.1901523472502</v>
      </c>
      <c r="O1663">
        <v>47.185406544356901</v>
      </c>
      <c r="P1663">
        <v>-3.3620326336166503E-2</v>
      </c>
      <c r="Q1663">
        <v>0.51899763925814701</v>
      </c>
      <c r="R1663">
        <v>0.89602171920314699</v>
      </c>
      <c r="S1663" t="s">
        <v>7214</v>
      </c>
      <c r="T1663" t="s">
        <v>11100</v>
      </c>
      <c r="U1663" t="s">
        <v>11100</v>
      </c>
      <c r="V1663" t="s">
        <v>11100</v>
      </c>
      <c r="W1663" t="s">
        <v>12729</v>
      </c>
      <c r="X1663">
        <v>5</v>
      </c>
      <c r="Y1663" t="s">
        <v>18220</v>
      </c>
      <c r="Z1663" t="s">
        <v>23668</v>
      </c>
      <c r="AA1663">
        <v>0.71236687434072787</v>
      </c>
      <c r="AB1663" t="str">
        <f>HYPERLINK("Melting_Curves/meltCurve_P00167_2_CYB5A.pdf", "Melting_Curves/meltCurve_P00167_2_CYB5A.pdf")</f>
        <v>Melting_Curves/meltCurve_P00167_2_CYB5A.pdf</v>
      </c>
    </row>
    <row r="1664" spans="1:28" x14ac:dyDescent="0.25">
      <c r="A1664" t="s">
        <v>1668</v>
      </c>
      <c r="B1664">
        <v>0.99299721793515405</v>
      </c>
      <c r="C1664">
        <v>0.97304135464119301</v>
      </c>
      <c r="D1664">
        <v>0.91134350367407602</v>
      </c>
      <c r="E1664">
        <v>0.897104173622713</v>
      </c>
      <c r="F1664">
        <v>0.76015883808598195</v>
      </c>
      <c r="G1664">
        <v>0.73629705872229301</v>
      </c>
      <c r="H1664">
        <v>0.80570401025385996</v>
      </c>
      <c r="I1664">
        <v>0.98183389203802196</v>
      </c>
      <c r="J1664">
        <v>0.95957847016196895</v>
      </c>
      <c r="K1664">
        <v>0.78199684402257996</v>
      </c>
      <c r="L1664">
        <v>1111.2076739924801</v>
      </c>
      <c r="M1664">
        <v>26.026586529221301</v>
      </c>
      <c r="O1664">
        <v>42.445434407742198</v>
      </c>
      <c r="P1664">
        <v>-2.4121634118040799E-2</v>
      </c>
      <c r="Q1664">
        <v>0.84264682637891497</v>
      </c>
      <c r="R1664">
        <v>0.34762838361330101</v>
      </c>
      <c r="S1664" t="s">
        <v>7215</v>
      </c>
      <c r="T1664" t="s">
        <v>11100</v>
      </c>
      <c r="U1664" t="s">
        <v>11100</v>
      </c>
      <c r="V1664" t="s">
        <v>11100</v>
      </c>
      <c r="W1664" t="s">
        <v>12730</v>
      </c>
      <c r="X1664">
        <v>28</v>
      </c>
      <c r="Y1664" t="s">
        <v>18221</v>
      </c>
      <c r="Z1664" t="s">
        <v>23669</v>
      </c>
      <c r="AA1664">
        <v>0.87373668619160971</v>
      </c>
      <c r="AB1664" t="str">
        <f>HYPERLINK("Melting_Curves/meltCurve_P00338_LDHA.pdf", "Melting_Curves/meltCurve_P00338_LDHA.pdf")</f>
        <v>Melting_Curves/meltCurve_P00338_LDHA.pdf</v>
      </c>
    </row>
    <row r="1665" spans="1:28" x14ac:dyDescent="0.25">
      <c r="A1665" t="s">
        <v>1669</v>
      </c>
      <c r="B1665">
        <v>0.99299721793515405</v>
      </c>
      <c r="C1665">
        <v>0.91259632374364597</v>
      </c>
      <c r="D1665">
        <v>0.83043056575957497</v>
      </c>
      <c r="E1665">
        <v>0.90141745045434496</v>
      </c>
      <c r="F1665">
        <v>0.79204527854139795</v>
      </c>
      <c r="G1665">
        <v>1.5357598744452201</v>
      </c>
      <c r="H1665">
        <v>1.98911309811892</v>
      </c>
      <c r="I1665">
        <v>1.3717177409546399</v>
      </c>
      <c r="J1665">
        <v>0.37586701642890402</v>
      </c>
      <c r="K1665">
        <v>0.211644868949138</v>
      </c>
      <c r="L1665">
        <v>15000</v>
      </c>
      <c r="M1665">
        <v>235.343779748592</v>
      </c>
      <c r="N1665">
        <v>63.885920264016903</v>
      </c>
      <c r="O1665">
        <v>63.731924263814697</v>
      </c>
      <c r="P1665">
        <v>-0.72783382238830896</v>
      </c>
      <c r="Q1665">
        <v>0.211599895134744</v>
      </c>
      <c r="R1665">
        <v>0.40358687388433501</v>
      </c>
      <c r="S1665" t="s">
        <v>7216</v>
      </c>
      <c r="T1665" t="s">
        <v>11100</v>
      </c>
      <c r="U1665" t="s">
        <v>11100</v>
      </c>
      <c r="V1665" t="s">
        <v>11100</v>
      </c>
      <c r="W1665" t="s">
        <v>12731</v>
      </c>
      <c r="X1665">
        <v>23</v>
      </c>
      <c r="Y1665" t="s">
        <v>18222</v>
      </c>
      <c r="Z1665" t="s">
        <v>23670</v>
      </c>
      <c r="AA1665">
        <v>0.91433589041368235</v>
      </c>
      <c r="AB1665" t="str">
        <f>HYPERLINK("Melting_Curves/meltCurve_P00367_GLUD1.pdf", "Melting_Curves/meltCurve_P00367_GLUD1.pdf")</f>
        <v>Melting_Curves/meltCurve_P00367_GLUD1.pdf</v>
      </c>
    </row>
    <row r="1666" spans="1:28" x14ac:dyDescent="0.25">
      <c r="A1666" t="s">
        <v>1670</v>
      </c>
      <c r="B1666">
        <v>0.99299721793515405</v>
      </c>
      <c r="C1666">
        <v>1.0321985000268401</v>
      </c>
      <c r="D1666">
        <v>1.12496807772687</v>
      </c>
      <c r="E1666">
        <v>0.94591136681924004</v>
      </c>
      <c r="F1666">
        <v>0.38468046800439298</v>
      </c>
      <c r="G1666">
        <v>0.19992841277391099</v>
      </c>
      <c r="H1666">
        <v>0.13640586884570999</v>
      </c>
      <c r="I1666">
        <v>0.12464999886985401</v>
      </c>
      <c r="J1666">
        <v>0.108190234831847</v>
      </c>
      <c r="K1666">
        <v>8.4747499618654701E-2</v>
      </c>
      <c r="L1666">
        <v>2171.30242581019</v>
      </c>
      <c r="M1666">
        <v>44.0590375732002</v>
      </c>
      <c r="N1666">
        <v>49.604606805509803</v>
      </c>
      <c r="O1666">
        <v>49.180458199270198</v>
      </c>
      <c r="P1666">
        <v>-0.196042111255156</v>
      </c>
      <c r="Q1666">
        <v>0.124681110748551</v>
      </c>
      <c r="R1666">
        <v>0.98779698350169598</v>
      </c>
      <c r="S1666" t="s">
        <v>7217</v>
      </c>
      <c r="T1666" t="s">
        <v>11100</v>
      </c>
      <c r="U1666" t="s">
        <v>11100</v>
      </c>
      <c r="V1666" t="s">
        <v>11100</v>
      </c>
      <c r="W1666" t="s">
        <v>12732</v>
      </c>
      <c r="X1666">
        <v>10</v>
      </c>
      <c r="Y1666" t="s">
        <v>18223</v>
      </c>
      <c r="Z1666" t="s">
        <v>23671</v>
      </c>
      <c r="AA1666">
        <v>0.48548067490113228</v>
      </c>
      <c r="AB1666" t="str">
        <f>HYPERLINK("Melting_Curves/meltCurve_P00374_DHFR.pdf", "Melting_Curves/meltCurve_P00374_DHFR.pdf")</f>
        <v>Melting_Curves/meltCurve_P00374_DHFR.pdf</v>
      </c>
    </row>
    <row r="1667" spans="1:28" x14ac:dyDescent="0.25">
      <c r="A1667" t="s">
        <v>1671</v>
      </c>
      <c r="B1667">
        <v>0.99299721793515405</v>
      </c>
      <c r="C1667">
        <v>1.14616579899394</v>
      </c>
      <c r="D1667">
        <v>1.0956721521486601</v>
      </c>
      <c r="E1667">
        <v>0.94210722698104898</v>
      </c>
      <c r="F1667">
        <v>0.88010048335628099</v>
      </c>
      <c r="G1667">
        <v>0.64883807875659605</v>
      </c>
      <c r="H1667">
        <v>0.57356890878029299</v>
      </c>
      <c r="I1667">
        <v>0.35879738865497801</v>
      </c>
      <c r="J1667">
        <v>0.137108040663106</v>
      </c>
      <c r="K1667">
        <v>0.12223675108243599</v>
      </c>
      <c r="L1667">
        <v>782.14068619906902</v>
      </c>
      <c r="M1667">
        <v>13.5860577157789</v>
      </c>
      <c r="N1667">
        <v>57.5693630028181</v>
      </c>
      <c r="O1667">
        <v>56.365058193710396</v>
      </c>
      <c r="P1667">
        <v>-6.02681848075238E-2</v>
      </c>
      <c r="Q1667">
        <v>0</v>
      </c>
      <c r="R1667">
        <v>0.96305493238970796</v>
      </c>
      <c r="S1667" t="s">
        <v>7218</v>
      </c>
      <c r="T1667" t="s">
        <v>11100</v>
      </c>
      <c r="U1667" t="s">
        <v>11100</v>
      </c>
      <c r="V1667" t="s">
        <v>11100</v>
      </c>
      <c r="W1667" t="s">
        <v>12733</v>
      </c>
      <c r="X1667">
        <v>12</v>
      </c>
      <c r="Y1667" t="s">
        <v>18224</v>
      </c>
      <c r="Z1667" t="s">
        <v>23672</v>
      </c>
      <c r="AA1667">
        <v>0.68999398668278844</v>
      </c>
      <c r="AB1667" t="str">
        <f>HYPERLINK("Melting_Curves/meltCurve_P00387_2_CYB5R3.pdf", "Melting_Curves/meltCurve_P00387_2_CYB5R3.pdf")</f>
        <v>Melting_Curves/meltCurve_P00387_2_CYB5R3.pdf</v>
      </c>
    </row>
    <row r="1668" spans="1:28" x14ac:dyDescent="0.25">
      <c r="A1668" t="s">
        <v>1672</v>
      </c>
      <c r="B1668">
        <v>0.99299721793515405</v>
      </c>
      <c r="C1668">
        <v>1.11952588677381</v>
      </c>
      <c r="D1668">
        <v>1.4565001787696099</v>
      </c>
      <c r="E1668">
        <v>1.3552383828904599</v>
      </c>
      <c r="F1668">
        <v>1.16130676668351</v>
      </c>
      <c r="G1668">
        <v>1.1117324227296399</v>
      </c>
      <c r="H1668">
        <v>0.653328373991241</v>
      </c>
      <c r="I1668">
        <v>0.25488895745657503</v>
      </c>
      <c r="J1668">
        <v>0.23521663342704599</v>
      </c>
      <c r="K1668">
        <v>0.17640695954414001</v>
      </c>
      <c r="L1668">
        <v>6768.4242180469701</v>
      </c>
      <c r="M1668">
        <v>117.696375954532</v>
      </c>
      <c r="N1668">
        <v>57.795428549189502</v>
      </c>
      <c r="O1668">
        <v>57.490901261655303</v>
      </c>
      <c r="P1668">
        <v>-0.39827693391811397</v>
      </c>
      <c r="Q1668">
        <v>0.221818036814107</v>
      </c>
      <c r="R1668">
        <v>0.814466595622796</v>
      </c>
      <c r="S1668" t="s">
        <v>7219</v>
      </c>
      <c r="T1668" t="s">
        <v>11100</v>
      </c>
      <c r="U1668" t="s">
        <v>11100</v>
      </c>
      <c r="V1668" t="s">
        <v>11100</v>
      </c>
      <c r="W1668" t="s">
        <v>12734</v>
      </c>
      <c r="X1668">
        <v>16</v>
      </c>
      <c r="Y1668" t="s">
        <v>18225</v>
      </c>
      <c r="Z1668" t="s">
        <v>23673</v>
      </c>
      <c r="AA1668">
        <v>0.75412485528799789</v>
      </c>
      <c r="AB1668" t="str">
        <f>HYPERLINK("Melting_Curves/meltCurve_P00390_2_GSR.pdf", "Melting_Curves/meltCurve_P00390_2_GSR.pdf")</f>
        <v>Melting_Curves/meltCurve_P00390_2_GSR.pdf</v>
      </c>
    </row>
    <row r="1669" spans="1:28" x14ac:dyDescent="0.25">
      <c r="A1669" t="s">
        <v>1673</v>
      </c>
      <c r="B1669">
        <v>0.99299721793515405</v>
      </c>
      <c r="C1669">
        <v>1.0690929913882901</v>
      </c>
      <c r="D1669">
        <v>1.1749601492434401</v>
      </c>
      <c r="E1669">
        <v>0.79426523844604302</v>
      </c>
      <c r="F1669">
        <v>0.68037701931226502</v>
      </c>
      <c r="G1669">
        <v>0.80805727530568805</v>
      </c>
      <c r="H1669">
        <v>1.1924966868300499</v>
      </c>
      <c r="I1669">
        <v>2.0923707302194701</v>
      </c>
      <c r="J1669">
        <v>2.2437861186796901</v>
      </c>
      <c r="K1669">
        <v>0.96452831638236602</v>
      </c>
      <c r="L1669">
        <v>14376.8858771576</v>
      </c>
      <c r="M1669">
        <v>250</v>
      </c>
      <c r="O1669">
        <v>57.503863260075399</v>
      </c>
      <c r="P1669">
        <v>0.54344174782292398</v>
      </c>
      <c r="Q1669">
        <v>1.5</v>
      </c>
      <c r="R1669">
        <v>0.45655439700256301</v>
      </c>
      <c r="S1669" t="s">
        <v>7220</v>
      </c>
      <c r="T1669" t="s">
        <v>11100</v>
      </c>
      <c r="U1669" t="s">
        <v>11100</v>
      </c>
      <c r="V1669" t="s">
        <v>11100</v>
      </c>
      <c r="W1669" t="s">
        <v>12735</v>
      </c>
      <c r="X1669">
        <v>2</v>
      </c>
      <c r="Y1669" t="s">
        <v>18226</v>
      </c>
      <c r="Z1669" t="s">
        <v>23674</v>
      </c>
      <c r="AA1669">
        <v>1.1581571457675719</v>
      </c>
      <c r="AB1669" t="str">
        <f>HYPERLINK("Melting_Curves/meltCurve_P00403_MT_CO2.pdf", "Melting_Curves/meltCurve_P00403_MT_CO2.pdf")</f>
        <v>Melting_Curves/meltCurve_P00403_MT_CO2.pdf</v>
      </c>
    </row>
    <row r="1670" spans="1:28" x14ac:dyDescent="0.25">
      <c r="A1670" t="s">
        <v>1674</v>
      </c>
      <c r="B1670">
        <v>0.99299721793515405</v>
      </c>
      <c r="C1670">
        <v>0.67029485843950998</v>
      </c>
      <c r="D1670">
        <v>0.87707248707667596</v>
      </c>
      <c r="E1670">
        <v>0.64046545214708595</v>
      </c>
      <c r="F1670">
        <v>0.72637657568535396</v>
      </c>
      <c r="G1670">
        <v>0.52324055067675201</v>
      </c>
      <c r="H1670">
        <v>0.48050832696070001</v>
      </c>
      <c r="I1670">
        <v>1.4366811571257201</v>
      </c>
      <c r="J1670">
        <v>1.6364477845419401</v>
      </c>
      <c r="K1670">
        <v>1.0923770842276199</v>
      </c>
      <c r="L1670">
        <v>10211.8770067235</v>
      </c>
      <c r="M1670">
        <v>171.48233829850099</v>
      </c>
      <c r="O1670">
        <v>59.542498681018401</v>
      </c>
      <c r="P1670">
        <v>0.28086411375715797</v>
      </c>
      <c r="Q1670">
        <v>1.3900892274854599</v>
      </c>
      <c r="R1670">
        <v>0.272431640546766</v>
      </c>
      <c r="S1670" t="s">
        <v>7221</v>
      </c>
      <c r="T1670" t="s">
        <v>11100</v>
      </c>
      <c r="U1670" t="s">
        <v>11100</v>
      </c>
      <c r="V1670" t="s">
        <v>11100</v>
      </c>
      <c r="W1670" t="s">
        <v>12736</v>
      </c>
      <c r="X1670">
        <v>12</v>
      </c>
      <c r="Y1670" t="s">
        <v>18227</v>
      </c>
      <c r="Z1670" t="s">
        <v>23675</v>
      </c>
      <c r="AA1670">
        <v>1.096777619508764</v>
      </c>
      <c r="AB1670" t="str">
        <f>HYPERLINK("Melting_Curves/meltCurve_P00441_SOD1.pdf", "Melting_Curves/meltCurve_P00441_SOD1.pdf")</f>
        <v>Melting_Curves/meltCurve_P00441_SOD1.pdf</v>
      </c>
    </row>
    <row r="1671" spans="1:28" x14ac:dyDescent="0.25">
      <c r="A1671" t="s">
        <v>1675</v>
      </c>
      <c r="B1671">
        <v>0.99299721793515405</v>
      </c>
      <c r="C1671">
        <v>0.92710128997191199</v>
      </c>
      <c r="D1671">
        <v>0.95383770292570302</v>
      </c>
      <c r="E1671">
        <v>0.81668796051320602</v>
      </c>
      <c r="F1671">
        <v>0.78649849629161395</v>
      </c>
      <c r="G1671">
        <v>0.68777674708820902</v>
      </c>
      <c r="H1671">
        <v>0.59854095369190397</v>
      </c>
      <c r="I1671">
        <v>0.67036159502582704</v>
      </c>
      <c r="J1671">
        <v>0.62452834299398596</v>
      </c>
      <c r="K1671">
        <v>0.54054220925771101</v>
      </c>
      <c r="L1671">
        <v>469.66314067796299</v>
      </c>
      <c r="M1671">
        <v>9.4402483856017199</v>
      </c>
      <c r="O1671">
        <v>47.671978848497297</v>
      </c>
      <c r="P1671">
        <v>-2.2481683914481299E-2</v>
      </c>
      <c r="Q1671">
        <v>0.54615722734093197</v>
      </c>
      <c r="R1671">
        <v>0.94750850190276803</v>
      </c>
      <c r="S1671" t="s">
        <v>7222</v>
      </c>
      <c r="T1671" t="s">
        <v>11100</v>
      </c>
      <c r="U1671" t="s">
        <v>11100</v>
      </c>
      <c r="V1671" t="s">
        <v>11100</v>
      </c>
      <c r="W1671" t="s">
        <v>12737</v>
      </c>
      <c r="X1671">
        <v>8</v>
      </c>
      <c r="Y1671" t="s">
        <v>18228</v>
      </c>
      <c r="Z1671" t="s">
        <v>23676</v>
      </c>
      <c r="AA1671">
        <v>0.75572424851068853</v>
      </c>
      <c r="AB1671" t="str">
        <f>HYPERLINK("Melting_Curves/meltCurve_P00491_PNP.pdf", "Melting_Curves/meltCurve_P00491_PNP.pdf")</f>
        <v>Melting_Curves/meltCurve_P00491_PNP.pdf</v>
      </c>
    </row>
    <row r="1672" spans="1:28" x14ac:dyDescent="0.25">
      <c r="A1672" t="s">
        <v>1676</v>
      </c>
      <c r="B1672">
        <v>0.99299721793515405</v>
      </c>
      <c r="C1672">
        <v>1.04013322390007</v>
      </c>
      <c r="D1672">
        <v>0.94216828438410805</v>
      </c>
      <c r="E1672">
        <v>0.93197972071423496</v>
      </c>
      <c r="F1672">
        <v>0.79770193339027096</v>
      </c>
      <c r="G1672">
        <v>0.661776570586048</v>
      </c>
      <c r="H1672">
        <v>0.71831582036271002</v>
      </c>
      <c r="I1672">
        <v>0.89198224051699004</v>
      </c>
      <c r="J1672">
        <v>1.06337575872011</v>
      </c>
      <c r="K1672">
        <v>1.01458064145754</v>
      </c>
      <c r="L1672">
        <v>1449.47356224602</v>
      </c>
      <c r="M1672">
        <v>32.402698451733599</v>
      </c>
      <c r="O1672">
        <v>44.563754732996401</v>
      </c>
      <c r="P1672">
        <v>-2.50731423866783E-2</v>
      </c>
      <c r="Q1672">
        <v>0.86206725854036803</v>
      </c>
      <c r="R1672">
        <v>0.211792909776402</v>
      </c>
      <c r="S1672" t="s">
        <v>7223</v>
      </c>
      <c r="T1672" t="s">
        <v>11100</v>
      </c>
      <c r="U1672" t="s">
        <v>11100</v>
      </c>
      <c r="V1672" t="s">
        <v>11100</v>
      </c>
      <c r="W1672" t="s">
        <v>12738</v>
      </c>
      <c r="X1672">
        <v>18</v>
      </c>
      <c r="Y1672" t="s">
        <v>18229</v>
      </c>
      <c r="Z1672" t="s">
        <v>23677</v>
      </c>
      <c r="AA1672">
        <v>0.89827984273602979</v>
      </c>
      <c r="AB1672" t="str">
        <f>HYPERLINK("Melting_Curves/meltCurve_P00492_HPRT1.pdf", "Melting_Curves/meltCurve_P00492_HPRT1.pdf")</f>
        <v>Melting_Curves/meltCurve_P00492_HPRT1.pdf</v>
      </c>
    </row>
    <row r="1673" spans="1:28" x14ac:dyDescent="0.25">
      <c r="A1673" t="s">
        <v>1677</v>
      </c>
      <c r="B1673">
        <v>0.99299721793515405</v>
      </c>
      <c r="C1673">
        <v>1.06870635688355</v>
      </c>
      <c r="D1673">
        <v>0.85284186715448795</v>
      </c>
      <c r="E1673">
        <v>0.62739592085139495</v>
      </c>
      <c r="F1673">
        <v>0.78825406364673101</v>
      </c>
      <c r="G1673">
        <v>0.496706214321331</v>
      </c>
      <c r="H1673">
        <v>0.54630433679020396</v>
      </c>
      <c r="I1673">
        <v>0.84638828688559298</v>
      </c>
      <c r="J1673">
        <v>1.0823030767650299</v>
      </c>
      <c r="K1673">
        <v>0.48665031199896203</v>
      </c>
      <c r="L1673">
        <v>10752.6619145232</v>
      </c>
      <c r="M1673">
        <v>250</v>
      </c>
      <c r="O1673">
        <v>43.007895042566403</v>
      </c>
      <c r="P1673">
        <v>-0.44136368508872498</v>
      </c>
      <c r="Q1673">
        <v>0.69628603010444301</v>
      </c>
      <c r="R1673">
        <v>0.37608933131057498</v>
      </c>
      <c r="S1673" t="s">
        <v>7224</v>
      </c>
      <c r="T1673" t="s">
        <v>11100</v>
      </c>
      <c r="U1673" t="s">
        <v>11100</v>
      </c>
      <c r="V1673" t="s">
        <v>11100</v>
      </c>
      <c r="W1673" t="s">
        <v>12739</v>
      </c>
      <c r="X1673">
        <v>12</v>
      </c>
      <c r="Y1673" t="s">
        <v>18230</v>
      </c>
      <c r="Z1673" t="s">
        <v>23678</v>
      </c>
      <c r="AA1673">
        <v>0.75715954408069719</v>
      </c>
      <c r="AB1673" t="str">
        <f>HYPERLINK("Melting_Curves/meltCurve_P00505_GOT2.pdf", "Melting_Curves/meltCurve_P00505_GOT2.pdf")</f>
        <v>Melting_Curves/meltCurve_P00505_GOT2.pdf</v>
      </c>
    </row>
    <row r="1674" spans="1:28" x14ac:dyDescent="0.25">
      <c r="A1674" t="s">
        <v>1678</v>
      </c>
      <c r="B1674">
        <v>0.99299721793515405</v>
      </c>
      <c r="C1674">
        <v>1.0155533069290801</v>
      </c>
      <c r="D1674">
        <v>0.95211048632895401</v>
      </c>
      <c r="E1674">
        <v>0.78276822455759498</v>
      </c>
      <c r="F1674">
        <v>0.58376396309006895</v>
      </c>
      <c r="G1674">
        <v>0.24862766073869899</v>
      </c>
      <c r="H1674">
        <v>0.25547582660252799</v>
      </c>
      <c r="I1674">
        <v>0.23893201009447501</v>
      </c>
      <c r="J1674">
        <v>0.29290922526712099</v>
      </c>
      <c r="K1674">
        <v>0.20188653673953699</v>
      </c>
      <c r="L1674">
        <v>1068.68689941042</v>
      </c>
      <c r="M1674">
        <v>21.771936418855098</v>
      </c>
      <c r="N1674">
        <v>50.477455502199</v>
      </c>
      <c r="O1674">
        <v>48.677047583186003</v>
      </c>
      <c r="P1674">
        <v>-8.6583673945719697E-2</v>
      </c>
      <c r="Q1674">
        <v>0.22569320699548001</v>
      </c>
      <c r="R1674">
        <v>0.98515065588059902</v>
      </c>
      <c r="S1674" t="s">
        <v>7225</v>
      </c>
      <c r="T1674" t="s">
        <v>11100</v>
      </c>
      <c r="U1674" t="s">
        <v>11100</v>
      </c>
      <c r="V1674" t="s">
        <v>11100</v>
      </c>
      <c r="W1674" t="s">
        <v>12740</v>
      </c>
      <c r="X1674">
        <v>2</v>
      </c>
      <c r="Y1674" t="s">
        <v>18231</v>
      </c>
      <c r="Z1674" t="s">
        <v>23679</v>
      </c>
      <c r="AA1674">
        <v>0.54634560718078562</v>
      </c>
      <c r="AB1674" t="str">
        <f>HYPERLINK("Melting_Curves/meltCurve_P00519_2_ABL1.pdf", "Melting_Curves/meltCurve_P00519_2_ABL1.pdf")</f>
        <v>Melting_Curves/meltCurve_P00519_2_ABL1.pdf</v>
      </c>
    </row>
    <row r="1675" spans="1:28" x14ac:dyDescent="0.25">
      <c r="A1675" t="s">
        <v>1679</v>
      </c>
      <c r="B1675">
        <v>0.99299721793515405</v>
      </c>
      <c r="C1675">
        <v>1.05300592382499</v>
      </c>
      <c r="D1675">
        <v>1.02849547385058</v>
      </c>
      <c r="E1675">
        <v>0.92627055225291399</v>
      </c>
      <c r="F1675">
        <v>0.80136904820994703</v>
      </c>
      <c r="G1675">
        <v>0.65220922609743204</v>
      </c>
      <c r="H1675">
        <v>0.336649232641902</v>
      </c>
      <c r="I1675">
        <v>0.105975968711537</v>
      </c>
      <c r="J1675">
        <v>8.7385779046980194E-2</v>
      </c>
      <c r="K1675">
        <v>7.1628448214694801E-2</v>
      </c>
      <c r="L1675">
        <v>951.592776351255</v>
      </c>
      <c r="M1675">
        <v>17.2662553713078</v>
      </c>
      <c r="N1675">
        <v>55.112865230460798</v>
      </c>
      <c r="O1675">
        <v>54.389515434627903</v>
      </c>
      <c r="P1675">
        <v>-7.9368500560222002E-2</v>
      </c>
      <c r="Q1675">
        <v>0</v>
      </c>
      <c r="R1675">
        <v>0.99151657996508002</v>
      </c>
      <c r="S1675" t="s">
        <v>7226</v>
      </c>
      <c r="T1675" t="s">
        <v>11100</v>
      </c>
      <c r="U1675" t="s">
        <v>11100</v>
      </c>
      <c r="V1675" t="s">
        <v>11100</v>
      </c>
      <c r="W1675" t="s">
        <v>12741</v>
      </c>
      <c r="X1675">
        <v>42</v>
      </c>
      <c r="Y1675" t="s">
        <v>18232</v>
      </c>
      <c r="Z1675" t="s">
        <v>23680</v>
      </c>
      <c r="AA1675">
        <v>0.61658588728333352</v>
      </c>
      <c r="AB1675" t="str">
        <f>HYPERLINK("Melting_Curves/meltCurve_P00558_PGK1.pdf", "Melting_Curves/meltCurve_P00558_PGK1.pdf")</f>
        <v>Melting_Curves/meltCurve_P00558_PGK1.pdf</v>
      </c>
    </row>
    <row r="1676" spans="1:28" x14ac:dyDescent="0.25">
      <c r="A1676" t="s">
        <v>1680</v>
      </c>
      <c r="B1676">
        <v>0.99299721793515405</v>
      </c>
      <c r="C1676">
        <v>0.96396444301300899</v>
      </c>
      <c r="D1676">
        <v>0.90072309752310498</v>
      </c>
      <c r="E1676">
        <v>0.81255128234508101</v>
      </c>
      <c r="F1676">
        <v>0.64119748293973799</v>
      </c>
      <c r="G1676">
        <v>0.48935821697971899</v>
      </c>
      <c r="H1676">
        <v>0.43870490012013202</v>
      </c>
      <c r="I1676">
        <v>0.50361049206376995</v>
      </c>
      <c r="J1676">
        <v>0.484094910740964</v>
      </c>
      <c r="K1676">
        <v>0.34676707585963601</v>
      </c>
      <c r="L1676">
        <v>712.48480911035006</v>
      </c>
      <c r="M1676">
        <v>14.7029899286425</v>
      </c>
      <c r="N1676">
        <v>54.956329646274902</v>
      </c>
      <c r="O1676">
        <v>47.5885619404227</v>
      </c>
      <c r="P1676">
        <v>-4.54143336745476E-2</v>
      </c>
      <c r="Q1676">
        <v>0.41210142062514099</v>
      </c>
      <c r="R1676">
        <v>0.96907232574220203</v>
      </c>
      <c r="S1676" t="s">
        <v>7227</v>
      </c>
      <c r="T1676" t="s">
        <v>11100</v>
      </c>
      <c r="U1676" t="s">
        <v>11100</v>
      </c>
      <c r="V1676" t="s">
        <v>11100</v>
      </c>
      <c r="W1676" t="s">
        <v>12742</v>
      </c>
      <c r="X1676">
        <v>10</v>
      </c>
      <c r="Y1676" t="s">
        <v>18233</v>
      </c>
      <c r="Z1676" t="s">
        <v>23681</v>
      </c>
      <c r="AA1676">
        <v>0.64988644252153949</v>
      </c>
      <c r="AB1676" t="str">
        <f>HYPERLINK("Melting_Curves/meltCurve_P00813_ADA.pdf", "Melting_Curves/meltCurve_P00813_ADA.pdf")</f>
        <v>Melting_Curves/meltCurve_P00813_ADA.pdf</v>
      </c>
    </row>
    <row r="1677" spans="1:28" x14ac:dyDescent="0.25">
      <c r="A1677" t="s">
        <v>1681</v>
      </c>
      <c r="B1677">
        <v>0.99299721793515405</v>
      </c>
      <c r="C1677">
        <v>1.0619822119068401</v>
      </c>
      <c r="D1677">
        <v>0.99538788624916497</v>
      </c>
      <c r="E1677">
        <v>0.93659267105745503</v>
      </c>
      <c r="F1677">
        <v>0.78299598623713396</v>
      </c>
      <c r="G1677">
        <v>0.49563593388434501</v>
      </c>
      <c r="H1677">
        <v>0.22312933366701199</v>
      </c>
      <c r="I1677">
        <v>0.12682330789000301</v>
      </c>
      <c r="J1677">
        <v>0.110969301691065</v>
      </c>
      <c r="K1677">
        <v>9.1334792401337794E-2</v>
      </c>
      <c r="L1677">
        <v>1098.8729009992901</v>
      </c>
      <c r="M1677">
        <v>20.6777952832342</v>
      </c>
      <c r="N1677">
        <v>53.5625730494748</v>
      </c>
      <c r="O1677">
        <v>52.653109751911202</v>
      </c>
      <c r="P1677">
        <v>-9.0835644512671704E-2</v>
      </c>
      <c r="Q1677">
        <v>7.4825408143984404E-2</v>
      </c>
      <c r="R1677">
        <v>0.99677481539166501</v>
      </c>
      <c r="S1677" t="s">
        <v>7228</v>
      </c>
      <c r="T1677" t="s">
        <v>11100</v>
      </c>
      <c r="U1677" t="s">
        <v>11100</v>
      </c>
      <c r="V1677" t="s">
        <v>11100</v>
      </c>
      <c r="W1677" t="s">
        <v>12743</v>
      </c>
      <c r="X1677">
        <v>26</v>
      </c>
      <c r="Y1677" t="s">
        <v>18234</v>
      </c>
      <c r="Z1677" t="s">
        <v>23682</v>
      </c>
      <c r="AA1677">
        <v>0.58370434221985801</v>
      </c>
      <c r="AB1677" t="str">
        <f>HYPERLINK("Melting_Curves/meltCurve_P00918_CA2.pdf", "Melting_Curves/meltCurve_P00918_CA2.pdf")</f>
        <v>Melting_Curves/meltCurve_P00918_CA2.pdf</v>
      </c>
    </row>
    <row r="1678" spans="1:28" x14ac:dyDescent="0.25">
      <c r="A1678" t="s">
        <v>1682</v>
      </c>
      <c r="B1678">
        <v>0.99299721793515405</v>
      </c>
      <c r="C1678">
        <v>0.98470812144856801</v>
      </c>
      <c r="D1678">
        <v>0.93456058807355002</v>
      </c>
      <c r="E1678">
        <v>0.93239260216754005</v>
      </c>
      <c r="F1678">
        <v>0.80644947977306403</v>
      </c>
      <c r="G1678">
        <v>0.56809931064247599</v>
      </c>
      <c r="H1678">
        <v>0.49091082022250399</v>
      </c>
      <c r="I1678">
        <v>0.66931077609081702</v>
      </c>
      <c r="J1678">
        <v>0.61820517660784602</v>
      </c>
      <c r="K1678">
        <v>0.41201855815392102</v>
      </c>
      <c r="L1678">
        <v>1630.86895043657</v>
      </c>
      <c r="M1678">
        <v>32.374820161324699</v>
      </c>
      <c r="O1678">
        <v>50.183569006385497</v>
      </c>
      <c r="P1678">
        <v>-7.3948167623597197E-2</v>
      </c>
      <c r="Q1678">
        <v>0.54149974627118802</v>
      </c>
      <c r="R1678">
        <v>0.88425176230735902</v>
      </c>
      <c r="S1678" t="s">
        <v>7229</v>
      </c>
      <c r="T1678" t="s">
        <v>11100</v>
      </c>
      <c r="U1678" t="s">
        <v>11100</v>
      </c>
      <c r="V1678" t="s">
        <v>11100</v>
      </c>
      <c r="W1678" t="s">
        <v>12744</v>
      </c>
      <c r="X1678">
        <v>1</v>
      </c>
      <c r="Y1678" t="s">
        <v>18235</v>
      </c>
      <c r="Z1678" t="s">
        <v>23683</v>
      </c>
      <c r="AA1678">
        <v>0.748343056718763</v>
      </c>
      <c r="AB1678" t="str">
        <f>HYPERLINK("Melting_Curves/meltCurve_P01034_CST3.pdf", "Melting_Curves/meltCurve_P01034_CST3.pdf")</f>
        <v>Melting_Curves/meltCurve_P01034_CST3.pdf</v>
      </c>
    </row>
    <row r="1679" spans="1:28" x14ac:dyDescent="0.25">
      <c r="A1679" t="s">
        <v>1683</v>
      </c>
      <c r="B1679">
        <v>0.99299721793515405</v>
      </c>
      <c r="C1679">
        <v>0.97843388035077195</v>
      </c>
      <c r="D1679">
        <v>0.95079331375771303</v>
      </c>
      <c r="E1679">
        <v>0.949280729752773</v>
      </c>
      <c r="F1679">
        <v>0.79320137273539704</v>
      </c>
      <c r="G1679">
        <v>0.60948533924313797</v>
      </c>
      <c r="H1679">
        <v>0.58644594095409397</v>
      </c>
      <c r="I1679">
        <v>0.63484565416581995</v>
      </c>
      <c r="J1679">
        <v>0.55924470860731301</v>
      </c>
      <c r="K1679">
        <v>0.29094579077039601</v>
      </c>
      <c r="L1679">
        <v>370.152135276492</v>
      </c>
      <c r="M1679">
        <v>5.9387130338459899</v>
      </c>
      <c r="N1679">
        <v>62.328678468680799</v>
      </c>
      <c r="O1679">
        <v>56.359457019999702</v>
      </c>
      <c r="P1679">
        <v>-2.6431506147181601E-2</v>
      </c>
      <c r="Q1679">
        <v>0</v>
      </c>
      <c r="R1679">
        <v>0.89773852036730895</v>
      </c>
      <c r="S1679" t="s">
        <v>7230</v>
      </c>
      <c r="T1679" t="s">
        <v>11100</v>
      </c>
      <c r="U1679" t="s">
        <v>11100</v>
      </c>
      <c r="V1679" t="s">
        <v>11100</v>
      </c>
      <c r="W1679" t="s">
        <v>12745</v>
      </c>
      <c r="X1679">
        <v>13</v>
      </c>
      <c r="Y1679" t="s">
        <v>18236</v>
      </c>
      <c r="Z1679" t="s">
        <v>23684</v>
      </c>
      <c r="AA1679">
        <v>0.73759676497341109</v>
      </c>
      <c r="AB1679" t="str">
        <f>HYPERLINK("Melting_Curves/meltCurve_P01111_NRAS.pdf", "Melting_Curves/meltCurve_P01111_NRAS.pdf")</f>
        <v>Melting_Curves/meltCurve_P01111_NRAS.pdf</v>
      </c>
    </row>
    <row r="1680" spans="1:28" x14ac:dyDescent="0.25">
      <c r="A1680" t="s">
        <v>1684</v>
      </c>
      <c r="B1680">
        <v>0.99299721793515405</v>
      </c>
      <c r="C1680">
        <v>1.0314216638015801</v>
      </c>
      <c r="D1680">
        <v>0.95748599156217595</v>
      </c>
      <c r="E1680">
        <v>0.95306182997119404</v>
      </c>
      <c r="F1680">
        <v>0.76453196568942805</v>
      </c>
      <c r="G1680">
        <v>0.64072634967661501</v>
      </c>
      <c r="H1680">
        <v>0.59039677281145897</v>
      </c>
      <c r="I1680">
        <v>0.63563795955041702</v>
      </c>
      <c r="J1680">
        <v>0.54629641026174103</v>
      </c>
      <c r="K1680">
        <v>0.30881175294644803</v>
      </c>
      <c r="L1680">
        <v>411.48898889700001</v>
      </c>
      <c r="M1680">
        <v>6.91124520682453</v>
      </c>
      <c r="N1680">
        <v>62.383028741517499</v>
      </c>
      <c r="O1680">
        <v>55.153419482826003</v>
      </c>
      <c r="P1680">
        <v>-2.7146607136830099E-2</v>
      </c>
      <c r="Q1680">
        <v>0.13513397448228601</v>
      </c>
      <c r="R1680">
        <v>0.91121778473941695</v>
      </c>
      <c r="S1680" t="s">
        <v>7231</v>
      </c>
      <c r="T1680" t="s">
        <v>11100</v>
      </c>
      <c r="U1680" t="s">
        <v>11100</v>
      </c>
      <c r="V1680" t="s">
        <v>11100</v>
      </c>
      <c r="W1680" t="s">
        <v>12746</v>
      </c>
      <c r="X1680">
        <v>15</v>
      </c>
      <c r="Y1680" t="s">
        <v>18237</v>
      </c>
      <c r="Z1680" t="s">
        <v>23685</v>
      </c>
      <c r="AA1680">
        <v>0.74164533862898574</v>
      </c>
      <c r="AB1680" t="str">
        <f>HYPERLINK("Melting_Curves/meltCurve_P01112_HRAS.pdf", "Melting_Curves/meltCurve_P01112_HRAS.pdf")</f>
        <v>Melting_Curves/meltCurve_P01112_HRAS.pdf</v>
      </c>
    </row>
    <row r="1681" spans="1:28" x14ac:dyDescent="0.25">
      <c r="A1681" t="s">
        <v>1685</v>
      </c>
      <c r="B1681">
        <v>0.99299721793515405</v>
      </c>
      <c r="C1681">
        <v>0.82566378508279503</v>
      </c>
      <c r="D1681">
        <v>0.72509574889157702</v>
      </c>
      <c r="E1681">
        <v>0.76937812320632104</v>
      </c>
      <c r="F1681">
        <v>0.58312438364194796</v>
      </c>
      <c r="G1681">
        <v>0.68929725699231503</v>
      </c>
      <c r="H1681">
        <v>0.43565957038900499</v>
      </c>
      <c r="I1681">
        <v>0.39318639173410702</v>
      </c>
      <c r="J1681">
        <v>0.32768300557109198</v>
      </c>
      <c r="K1681">
        <v>0.30634633288906199</v>
      </c>
      <c r="L1681">
        <v>267.22138333678998</v>
      </c>
      <c r="M1681">
        <v>4.7707485823266396</v>
      </c>
      <c r="N1681">
        <v>56.012464024208498</v>
      </c>
      <c r="O1681">
        <v>48.3346980251508</v>
      </c>
      <c r="P1681">
        <v>-2.4852988477258999E-2</v>
      </c>
      <c r="Q1681">
        <v>0</v>
      </c>
      <c r="R1681">
        <v>0.915829435933458</v>
      </c>
      <c r="S1681" t="s">
        <v>7232</v>
      </c>
      <c r="T1681" t="s">
        <v>11100</v>
      </c>
      <c r="U1681" t="s">
        <v>11100</v>
      </c>
      <c r="V1681" t="s">
        <v>11100</v>
      </c>
      <c r="W1681" t="s">
        <v>12747</v>
      </c>
      <c r="X1681">
        <v>12</v>
      </c>
      <c r="Y1681" t="s">
        <v>18238</v>
      </c>
      <c r="Z1681" t="s">
        <v>23686</v>
      </c>
      <c r="AA1681">
        <v>0.60310560227047205</v>
      </c>
      <c r="AB1681" t="str">
        <f>HYPERLINK("Melting_Curves/meltCurve_P01116_KRAS.pdf", "Melting_Curves/meltCurve_P01116_KRAS.pdf")</f>
        <v>Melting_Curves/meltCurve_P01116_KRAS.pdf</v>
      </c>
    </row>
    <row r="1682" spans="1:28" x14ac:dyDescent="0.25">
      <c r="A1682" t="s">
        <v>1686</v>
      </c>
      <c r="B1682">
        <v>0.99299721793515405</v>
      </c>
      <c r="C1682">
        <v>0.90635489548375503</v>
      </c>
      <c r="D1682">
        <v>0.92743489301836102</v>
      </c>
      <c r="E1682">
        <v>0.86741742124537502</v>
      </c>
      <c r="F1682">
        <v>0.73872154460552197</v>
      </c>
      <c r="G1682">
        <v>0.549463560374022</v>
      </c>
      <c r="H1682">
        <v>0.58514322434683996</v>
      </c>
      <c r="I1682">
        <v>0.63777056013750699</v>
      </c>
      <c r="J1682">
        <v>0.56530615406241502</v>
      </c>
      <c r="K1682">
        <v>0.27802815357760802</v>
      </c>
      <c r="L1682">
        <v>298.10617072552401</v>
      </c>
      <c r="M1682">
        <v>4.8142550430426896</v>
      </c>
      <c r="N1682">
        <v>61.921553106233503</v>
      </c>
      <c r="O1682">
        <v>53.554440489857797</v>
      </c>
      <c r="P1682">
        <v>-2.2630327999132199E-2</v>
      </c>
      <c r="Q1682">
        <v>0</v>
      </c>
      <c r="R1682">
        <v>0.85822189611452904</v>
      </c>
      <c r="S1682" t="s">
        <v>7233</v>
      </c>
      <c r="T1682" t="s">
        <v>11100</v>
      </c>
      <c r="U1682" t="s">
        <v>11100</v>
      </c>
      <c r="V1682" t="s">
        <v>11100</v>
      </c>
      <c r="W1682" t="s">
        <v>12748</v>
      </c>
      <c r="X1682">
        <v>13</v>
      </c>
      <c r="Y1682" t="s">
        <v>18238</v>
      </c>
      <c r="Z1682" t="s">
        <v>23687</v>
      </c>
      <c r="AA1682">
        <v>0.70574388707915559</v>
      </c>
      <c r="AB1682" t="str">
        <f>HYPERLINK("Melting_Curves/meltCurve_P01116_2_KRAS.pdf", "Melting_Curves/meltCurve_P01116_2_KRAS.pdf")</f>
        <v>Melting_Curves/meltCurve_P01116_2_KRAS.pdf</v>
      </c>
    </row>
    <row r="1683" spans="1:28" x14ac:dyDescent="0.25">
      <c r="A1683" t="s">
        <v>1687</v>
      </c>
      <c r="B1683">
        <v>0.99299721793515405</v>
      </c>
      <c r="C1683">
        <v>1.20666334099865</v>
      </c>
      <c r="D1683">
        <v>1.1163169940122</v>
      </c>
      <c r="E1683">
        <v>0.82779301501856495</v>
      </c>
      <c r="F1683">
        <v>0.83734831079979399</v>
      </c>
      <c r="G1683">
        <v>0.54306805780841505</v>
      </c>
      <c r="H1683">
        <v>0.36388980417431999</v>
      </c>
      <c r="I1683">
        <v>0.22742690164658599</v>
      </c>
      <c r="J1683">
        <v>0.23671350266326799</v>
      </c>
      <c r="K1683">
        <v>0.127002426045807</v>
      </c>
      <c r="L1683">
        <v>889.57514391647703</v>
      </c>
      <c r="M1683">
        <v>16.5519415285398</v>
      </c>
      <c r="N1683">
        <v>54.762738848542099</v>
      </c>
      <c r="O1683">
        <v>52.978347961381203</v>
      </c>
      <c r="P1683">
        <v>-6.7765761288192602E-2</v>
      </c>
      <c r="Q1683">
        <v>0.132459078559162</v>
      </c>
      <c r="R1683">
        <v>0.94486810945298405</v>
      </c>
      <c r="S1683" t="s">
        <v>7234</v>
      </c>
      <c r="T1683" t="s">
        <v>11100</v>
      </c>
      <c r="U1683" t="s">
        <v>11100</v>
      </c>
      <c r="V1683" t="s">
        <v>11100</v>
      </c>
      <c r="W1683" t="s">
        <v>12749</v>
      </c>
      <c r="X1683">
        <v>1</v>
      </c>
      <c r="Z1683" t="s">
        <v>23688</v>
      </c>
      <c r="AA1683">
        <v>0.62991585417696772</v>
      </c>
      <c r="AB1683" t="str">
        <f>HYPERLINK("Melting_Curves/meltCurve_P01814_.pdf", "Melting_Curves/meltCurve_P01814_.pdf")</f>
        <v>Melting_Curves/meltCurve_P01814_.pdf</v>
      </c>
    </row>
    <row r="1684" spans="1:28" x14ac:dyDescent="0.25">
      <c r="A1684" t="s">
        <v>1688</v>
      </c>
      <c r="B1684">
        <v>0.99299721793515405</v>
      </c>
      <c r="C1684">
        <v>0.99091971935921697</v>
      </c>
      <c r="D1684">
        <v>0.99994416985951595</v>
      </c>
      <c r="E1684">
        <v>0.91328155608114003</v>
      </c>
      <c r="F1684">
        <v>0.75197866009922498</v>
      </c>
      <c r="G1684">
        <v>0.57221539507878205</v>
      </c>
      <c r="H1684">
        <v>0.55903835146308101</v>
      </c>
      <c r="I1684">
        <v>0.59819684387436001</v>
      </c>
      <c r="J1684">
        <v>0.59165559859869599</v>
      </c>
      <c r="K1684">
        <v>0.43950081426443999</v>
      </c>
      <c r="L1684">
        <v>1212.1640719393199</v>
      </c>
      <c r="M1684">
        <v>24.404744682152501</v>
      </c>
      <c r="O1684">
        <v>49.3393044495011</v>
      </c>
      <c r="P1684">
        <v>-5.7293917821379103E-2</v>
      </c>
      <c r="Q1684">
        <v>0.53668022064214105</v>
      </c>
      <c r="R1684">
        <v>0.959753797250676</v>
      </c>
      <c r="S1684" t="s">
        <v>7235</v>
      </c>
      <c r="T1684" t="s">
        <v>11100</v>
      </c>
      <c r="U1684" t="s">
        <v>11100</v>
      </c>
      <c r="V1684" t="s">
        <v>11100</v>
      </c>
      <c r="W1684" t="s">
        <v>12750</v>
      </c>
      <c r="X1684">
        <v>17</v>
      </c>
      <c r="Y1684" t="s">
        <v>18239</v>
      </c>
      <c r="Z1684" t="s">
        <v>23689</v>
      </c>
      <c r="AA1684">
        <v>0.73657072937813506</v>
      </c>
      <c r="AB1684" t="str">
        <f>HYPERLINK("Melting_Curves/meltCurve_P01889_HLA_B.pdf", "Melting_Curves/meltCurve_P01889_HLA_B.pdf")</f>
        <v>Melting_Curves/meltCurve_P01889_HLA_B.pdf</v>
      </c>
    </row>
    <row r="1685" spans="1:28" x14ac:dyDescent="0.25">
      <c r="A1685" t="s">
        <v>1689</v>
      </c>
      <c r="B1685">
        <v>0.99299721793515405</v>
      </c>
      <c r="C1685">
        <v>1.03821873600014</v>
      </c>
      <c r="D1685">
        <v>1.0414937856595501</v>
      </c>
      <c r="E1685">
        <v>0.74910804211140802</v>
      </c>
      <c r="F1685">
        <v>0.77584049481893202</v>
      </c>
      <c r="G1685">
        <v>1.1186704753757899</v>
      </c>
      <c r="H1685">
        <v>0.64961669512180398</v>
      </c>
      <c r="I1685">
        <v>0.53732292662821501</v>
      </c>
      <c r="J1685">
        <v>0.221449412343072</v>
      </c>
      <c r="K1685">
        <v>0.14605478178380099</v>
      </c>
      <c r="L1685">
        <v>1178.35894569326</v>
      </c>
      <c r="M1685">
        <v>19.422843383116302</v>
      </c>
      <c r="N1685">
        <v>60.668716327990701</v>
      </c>
      <c r="O1685">
        <v>60.036567273720799</v>
      </c>
      <c r="P1685">
        <v>-8.0882163711298097E-2</v>
      </c>
      <c r="Q1685">
        <v>0</v>
      </c>
      <c r="R1685">
        <v>0.84673646933979596</v>
      </c>
      <c r="S1685" t="s">
        <v>7236</v>
      </c>
      <c r="T1685" t="s">
        <v>11100</v>
      </c>
      <c r="U1685" t="s">
        <v>11100</v>
      </c>
      <c r="V1685" t="s">
        <v>11100</v>
      </c>
      <c r="W1685" t="s">
        <v>12751</v>
      </c>
      <c r="X1685">
        <v>4</v>
      </c>
      <c r="Y1685" t="s">
        <v>18240</v>
      </c>
      <c r="Z1685" t="s">
        <v>23690</v>
      </c>
      <c r="AA1685">
        <v>0.7857728108905141</v>
      </c>
      <c r="AB1685" t="str">
        <f>HYPERLINK("Melting_Curves/meltCurve_P02008_HBZ.pdf", "Melting_Curves/meltCurve_P02008_HBZ.pdf")</f>
        <v>Melting_Curves/meltCurve_P02008_HBZ.pdf</v>
      </c>
    </row>
    <row r="1686" spans="1:28" x14ac:dyDescent="0.25">
      <c r="A1686" t="s">
        <v>1690</v>
      </c>
      <c r="B1686">
        <v>0.99299721793515405</v>
      </c>
      <c r="C1686">
        <v>1.0161519503540399</v>
      </c>
      <c r="D1686">
        <v>0.914196157167528</v>
      </c>
      <c r="E1686">
        <v>0.823920479209032</v>
      </c>
      <c r="F1686">
        <v>0.76603967600050304</v>
      </c>
      <c r="G1686">
        <v>1.1055962580998799</v>
      </c>
      <c r="H1686">
        <v>0.61892847036447096</v>
      </c>
      <c r="I1686">
        <v>0.55547208777792101</v>
      </c>
      <c r="J1686">
        <v>0.34358635624643202</v>
      </c>
      <c r="K1686">
        <v>0.27559010115492899</v>
      </c>
      <c r="L1686">
        <v>771.88152358101502</v>
      </c>
      <c r="M1686">
        <v>12.544736378773001</v>
      </c>
      <c r="N1686">
        <v>61.530333760982899</v>
      </c>
      <c r="O1686">
        <v>60.0295390283747</v>
      </c>
      <c r="P1686">
        <v>-5.2254624341691001E-2</v>
      </c>
      <c r="Q1686">
        <v>0</v>
      </c>
      <c r="R1686">
        <v>0.81522260409637903</v>
      </c>
      <c r="S1686" t="s">
        <v>7237</v>
      </c>
      <c r="T1686" t="s">
        <v>11100</v>
      </c>
      <c r="U1686" t="s">
        <v>11100</v>
      </c>
      <c r="V1686" t="s">
        <v>11100</v>
      </c>
      <c r="W1686" t="s">
        <v>12752</v>
      </c>
      <c r="X1686">
        <v>4</v>
      </c>
      <c r="Y1686" t="s">
        <v>18241</v>
      </c>
      <c r="Z1686" t="s">
        <v>23691</v>
      </c>
      <c r="AA1686">
        <v>0.7896994411004834</v>
      </c>
      <c r="AB1686" t="str">
        <f>HYPERLINK("Melting_Curves/meltCurve_P02100_HBE1.pdf", "Melting_Curves/meltCurve_P02100_HBE1.pdf")</f>
        <v>Melting_Curves/meltCurve_P02100_HBE1.pdf</v>
      </c>
    </row>
    <row r="1687" spans="1:28" x14ac:dyDescent="0.25">
      <c r="A1687" t="s">
        <v>1691</v>
      </c>
      <c r="B1687">
        <v>0.99299721793515405</v>
      </c>
      <c r="C1687">
        <v>0.92675151837061498</v>
      </c>
      <c r="D1687">
        <v>0.95516736822857395</v>
      </c>
      <c r="E1687">
        <v>0.83102386718580501</v>
      </c>
      <c r="F1687">
        <v>0.83168669476688295</v>
      </c>
      <c r="G1687">
        <v>1.19259593534076</v>
      </c>
      <c r="H1687">
        <v>1.02949837503501</v>
      </c>
      <c r="I1687">
        <v>0.55160840656429599</v>
      </c>
      <c r="J1687">
        <v>0.28918747144437401</v>
      </c>
      <c r="K1687">
        <v>0.240771797880034</v>
      </c>
      <c r="L1687">
        <v>6307.4632432982098</v>
      </c>
      <c r="M1687">
        <v>103.838007110802</v>
      </c>
      <c r="N1687">
        <v>61.183521348022801</v>
      </c>
      <c r="O1687">
        <v>60.720779842562003</v>
      </c>
      <c r="P1687">
        <v>-0.31502781590343798</v>
      </c>
      <c r="Q1687">
        <v>0.26313170707102601</v>
      </c>
      <c r="R1687">
        <v>0.88748553125396801</v>
      </c>
      <c r="S1687" t="s">
        <v>7238</v>
      </c>
      <c r="T1687" t="s">
        <v>11100</v>
      </c>
      <c r="U1687" t="s">
        <v>11100</v>
      </c>
      <c r="V1687" t="s">
        <v>11100</v>
      </c>
      <c r="W1687" t="s">
        <v>12753</v>
      </c>
      <c r="X1687">
        <v>36</v>
      </c>
      <c r="Y1687" t="s">
        <v>18242</v>
      </c>
      <c r="Z1687" t="s">
        <v>23692</v>
      </c>
      <c r="AA1687">
        <v>0.84677592996664586</v>
      </c>
      <c r="AB1687" t="str">
        <f>HYPERLINK("Melting_Curves/meltCurve_P02545_LMNA.pdf", "Melting_Curves/meltCurve_P02545_LMNA.pdf")</f>
        <v>Melting_Curves/meltCurve_P02545_LMNA.pdf</v>
      </c>
    </row>
    <row r="1688" spans="1:28" x14ac:dyDescent="0.25">
      <c r="A1688" t="s">
        <v>1692</v>
      </c>
      <c r="B1688">
        <v>0.99299721793515405</v>
      </c>
      <c r="C1688">
        <v>0.91825411121414002</v>
      </c>
      <c r="D1688">
        <v>0.88631620264171895</v>
      </c>
      <c r="E1688">
        <v>0.83837961924097604</v>
      </c>
      <c r="F1688">
        <v>0.75376300332721702</v>
      </c>
      <c r="G1688">
        <v>0.69092370216110699</v>
      </c>
      <c r="H1688">
        <v>0.72904329701599502</v>
      </c>
      <c r="I1688">
        <v>0.81767026317593405</v>
      </c>
      <c r="J1688">
        <v>0.75691175636089603</v>
      </c>
      <c r="K1688">
        <v>0.54215384167245495</v>
      </c>
      <c r="L1688">
        <v>391.92325884593498</v>
      </c>
      <c r="M1688">
        <v>8.4445869304847498</v>
      </c>
      <c r="O1688">
        <v>44.027720893456802</v>
      </c>
      <c r="P1688">
        <v>-1.6354122659368E-2</v>
      </c>
      <c r="Q1688">
        <v>0.65925124633564802</v>
      </c>
      <c r="R1688">
        <v>0.71000662800094905</v>
      </c>
      <c r="S1688" t="s">
        <v>7239</v>
      </c>
      <c r="T1688" t="s">
        <v>11100</v>
      </c>
      <c r="U1688" t="s">
        <v>11100</v>
      </c>
      <c r="V1688" t="s">
        <v>11100</v>
      </c>
      <c r="W1688" t="s">
        <v>12754</v>
      </c>
      <c r="X1688">
        <v>25</v>
      </c>
      <c r="Y1688" t="s">
        <v>18243</v>
      </c>
      <c r="Z1688" t="s">
        <v>23693</v>
      </c>
      <c r="AA1688">
        <v>0.78545551767433719</v>
      </c>
      <c r="AB1688" t="str">
        <f>HYPERLINK("Melting_Curves/meltCurve_P02786_TFRC.pdf", "Melting_Curves/meltCurve_P02786_TFRC.pdf")</f>
        <v>Melting_Curves/meltCurve_P02786_TFRC.pdf</v>
      </c>
    </row>
    <row r="1689" spans="1:28" x14ac:dyDescent="0.25">
      <c r="A1689" t="s">
        <v>1693</v>
      </c>
      <c r="B1689">
        <v>0.99299721793515405</v>
      </c>
      <c r="C1689">
        <v>0.95683280590026099</v>
      </c>
      <c r="D1689">
        <v>0.90867531432284898</v>
      </c>
      <c r="E1689">
        <v>0.87617157289004899</v>
      </c>
      <c r="F1689">
        <v>0.65760388027519201</v>
      </c>
      <c r="G1689">
        <v>0.31076273221149803</v>
      </c>
      <c r="H1689">
        <v>0.243224874302227</v>
      </c>
      <c r="I1689">
        <v>0.22571814442875299</v>
      </c>
      <c r="J1689">
        <v>0.15021469116903299</v>
      </c>
      <c r="K1689">
        <v>0.174549982014511</v>
      </c>
      <c r="L1689">
        <v>1034.5126174568099</v>
      </c>
      <c r="M1689">
        <v>20.426371602973799</v>
      </c>
      <c r="N1689">
        <v>51.656366025107303</v>
      </c>
      <c r="O1689">
        <v>50.168012773223502</v>
      </c>
      <c r="P1689">
        <v>-8.5028779207060395E-2</v>
      </c>
      <c r="Q1689">
        <v>0.16468823330012999</v>
      </c>
      <c r="R1689">
        <v>0.98951297083985701</v>
      </c>
      <c r="S1689" t="s">
        <v>7240</v>
      </c>
      <c r="T1689" t="s">
        <v>11100</v>
      </c>
      <c r="U1689" t="s">
        <v>11100</v>
      </c>
      <c r="V1689" t="s">
        <v>11100</v>
      </c>
      <c r="W1689" t="s">
        <v>12755</v>
      </c>
      <c r="X1689">
        <v>3</v>
      </c>
      <c r="Y1689" t="s">
        <v>18244</v>
      </c>
      <c r="Z1689" t="s">
        <v>23694</v>
      </c>
      <c r="AA1689">
        <v>0.55522118039915191</v>
      </c>
      <c r="AB1689" t="str">
        <f>HYPERLINK("Melting_Curves/meltCurve_P02794_FTH1.pdf", "Melting_Curves/meltCurve_P02794_FTH1.pdf")</f>
        <v>Melting_Curves/meltCurve_P02794_FTH1.pdf</v>
      </c>
    </row>
    <row r="1690" spans="1:28" x14ac:dyDescent="0.25">
      <c r="A1690" t="s">
        <v>1694</v>
      </c>
      <c r="B1690">
        <v>0.99299721793515405</v>
      </c>
      <c r="C1690">
        <v>0.80252704202133296</v>
      </c>
      <c r="D1690">
        <v>1.1451537643465599</v>
      </c>
      <c r="E1690">
        <v>1.0885638440762999</v>
      </c>
      <c r="F1690">
        <v>0.92665621040639401</v>
      </c>
      <c r="G1690">
        <v>0.72865089847518905</v>
      </c>
      <c r="H1690">
        <v>0.73610493795584697</v>
      </c>
      <c r="I1690">
        <v>1.01384379440091</v>
      </c>
      <c r="J1690">
        <v>1.4047754808450901</v>
      </c>
      <c r="K1690">
        <v>1.2309815312163801</v>
      </c>
      <c r="L1690">
        <v>15000</v>
      </c>
      <c r="M1690">
        <v>242.83475019372401</v>
      </c>
      <c r="O1690">
        <v>61.766228485617297</v>
      </c>
      <c r="P1690">
        <v>0.31244608959871001</v>
      </c>
      <c r="Q1690">
        <v>1.3178887920979101</v>
      </c>
      <c r="R1690">
        <v>0.46547297764600398</v>
      </c>
      <c r="S1690" t="s">
        <v>7241</v>
      </c>
      <c r="T1690" t="s">
        <v>11100</v>
      </c>
      <c r="U1690" t="s">
        <v>11100</v>
      </c>
      <c r="V1690" t="s">
        <v>11100</v>
      </c>
      <c r="W1690" t="s">
        <v>12756</v>
      </c>
      <c r="X1690">
        <v>9</v>
      </c>
      <c r="Y1690" t="s">
        <v>18245</v>
      </c>
      <c r="Z1690" t="s">
        <v>23695</v>
      </c>
      <c r="AA1690">
        <v>1.0553778338973641</v>
      </c>
      <c r="AB1690" t="str">
        <f>HYPERLINK("Melting_Curves/meltCurve_P02795_MT2A.pdf", "Melting_Curves/meltCurve_P02795_MT2A.pdf")</f>
        <v>Melting_Curves/meltCurve_P02795_MT2A.pdf</v>
      </c>
    </row>
    <row r="1691" spans="1:28" x14ac:dyDescent="0.25">
      <c r="A1691" t="s">
        <v>1695</v>
      </c>
      <c r="B1691">
        <v>0.99299721793515405</v>
      </c>
      <c r="C1691">
        <v>0.96478267524070205</v>
      </c>
      <c r="D1691">
        <v>1.0132068471432201</v>
      </c>
      <c r="E1691">
        <v>0.82571407235854599</v>
      </c>
      <c r="F1691">
        <v>0.65417227634668695</v>
      </c>
      <c r="G1691">
        <v>0.70694909394668104</v>
      </c>
      <c r="H1691">
        <v>0.995239380953438</v>
      </c>
      <c r="I1691">
        <v>0.95295608478049998</v>
      </c>
      <c r="J1691">
        <v>0.82701418963775897</v>
      </c>
      <c r="K1691">
        <v>0.63199815019972605</v>
      </c>
      <c r="L1691">
        <v>11569.524097436501</v>
      </c>
      <c r="M1691">
        <v>250</v>
      </c>
      <c r="O1691">
        <v>46.2751105949975</v>
      </c>
      <c r="P1691">
        <v>-0.27725266254479303</v>
      </c>
      <c r="Q1691">
        <v>0.79472152959132403</v>
      </c>
      <c r="R1691">
        <v>0.388454845561091</v>
      </c>
      <c r="S1691" t="s">
        <v>7242</v>
      </c>
      <c r="T1691" t="s">
        <v>11100</v>
      </c>
      <c r="U1691" t="s">
        <v>11100</v>
      </c>
      <c r="V1691" t="s">
        <v>11100</v>
      </c>
      <c r="W1691" t="s">
        <v>12757</v>
      </c>
      <c r="X1691">
        <v>2</v>
      </c>
      <c r="Y1691" t="s">
        <v>18246</v>
      </c>
      <c r="Z1691" t="s">
        <v>23696</v>
      </c>
      <c r="AA1691">
        <v>0.8582246496021374</v>
      </c>
      <c r="AB1691" t="str">
        <f>HYPERLINK("Melting_Curves/meltCurve_P03928_MT_ATP8.pdf", "Melting_Curves/meltCurve_P03928_MT_ATP8.pdf")</f>
        <v>Melting_Curves/meltCurve_P03928_MT_ATP8.pdf</v>
      </c>
    </row>
    <row r="1692" spans="1:28" x14ac:dyDescent="0.25">
      <c r="A1692" t="s">
        <v>1696</v>
      </c>
      <c r="B1692">
        <v>0.99299721793515405</v>
      </c>
      <c r="C1692">
        <v>0.89578538840756705</v>
      </c>
      <c r="D1692">
        <v>0.88271373172115197</v>
      </c>
      <c r="E1692">
        <v>0.81425925624010698</v>
      </c>
      <c r="F1692">
        <v>0.64651777337414496</v>
      </c>
      <c r="G1692">
        <v>0.53219294998192901</v>
      </c>
      <c r="H1692">
        <v>0.72705409271629395</v>
      </c>
      <c r="I1692">
        <v>0.71925511111641605</v>
      </c>
      <c r="J1692">
        <v>0.62681007028654201</v>
      </c>
      <c r="K1692">
        <v>0.47901679517148299</v>
      </c>
      <c r="L1692">
        <v>574.48059222456095</v>
      </c>
      <c r="M1692">
        <v>12.646462850388501</v>
      </c>
      <c r="O1692">
        <v>44.335230915986898</v>
      </c>
      <c r="P1692">
        <v>-2.8886763649164E-2</v>
      </c>
      <c r="Q1692">
        <v>0.59500133511953601</v>
      </c>
      <c r="R1692">
        <v>0.76654681105289502</v>
      </c>
      <c r="S1692" t="s">
        <v>7243</v>
      </c>
      <c r="T1692" t="s">
        <v>11100</v>
      </c>
      <c r="U1692" t="s">
        <v>11100</v>
      </c>
      <c r="V1692" t="s">
        <v>11100</v>
      </c>
      <c r="W1692" t="s">
        <v>12758</v>
      </c>
      <c r="X1692">
        <v>8</v>
      </c>
      <c r="Y1692" t="s">
        <v>18247</v>
      </c>
      <c r="Z1692" t="s">
        <v>23697</v>
      </c>
      <c r="AA1692">
        <v>0.72185678299566314</v>
      </c>
      <c r="AB1692" t="str">
        <f>HYPERLINK("Melting_Curves/meltCurve_P04040_CAT.pdf", "Melting_Curves/meltCurve_P04040_CAT.pdf")</f>
        <v>Melting_Curves/meltCurve_P04040_CAT.pdf</v>
      </c>
    </row>
    <row r="1693" spans="1:28" x14ac:dyDescent="0.25">
      <c r="A1693" t="s">
        <v>1697</v>
      </c>
      <c r="B1693">
        <v>0.99299721793515405</v>
      </c>
      <c r="C1693">
        <v>0.98102302524681795</v>
      </c>
      <c r="D1693">
        <v>0.92123134877586699</v>
      </c>
      <c r="E1693">
        <v>0.88576984793931302</v>
      </c>
      <c r="F1693">
        <v>0.73556964758686105</v>
      </c>
      <c r="G1693">
        <v>0.74815865172874796</v>
      </c>
      <c r="H1693">
        <v>0.62701734958322797</v>
      </c>
      <c r="I1693">
        <v>0.64169211878786103</v>
      </c>
      <c r="J1693">
        <v>0.58551624823732995</v>
      </c>
      <c r="K1693">
        <v>0.26002890747904001</v>
      </c>
      <c r="L1693">
        <v>361.23804128505702</v>
      </c>
      <c r="M1693">
        <v>5.7218229597232604</v>
      </c>
      <c r="N1693">
        <v>63.1333831554143</v>
      </c>
      <c r="O1693">
        <v>56.695518257930502</v>
      </c>
      <c r="P1693">
        <v>-2.5327194676610699E-2</v>
      </c>
      <c r="Q1693">
        <v>0</v>
      </c>
      <c r="R1693">
        <v>0.88503776360296105</v>
      </c>
      <c r="S1693" t="s">
        <v>7244</v>
      </c>
      <c r="T1693" t="s">
        <v>11100</v>
      </c>
      <c r="U1693" t="s">
        <v>11100</v>
      </c>
      <c r="V1693" t="s">
        <v>11100</v>
      </c>
      <c r="W1693" t="s">
        <v>12759</v>
      </c>
      <c r="X1693">
        <v>4</v>
      </c>
      <c r="Y1693" t="s">
        <v>18248</v>
      </c>
      <c r="Z1693" t="s">
        <v>23698</v>
      </c>
      <c r="AA1693">
        <v>0.74647782751839176</v>
      </c>
      <c r="AB1693" t="str">
        <f>HYPERLINK("Melting_Curves/meltCurve_P04066_FUCA1.pdf", "Melting_Curves/meltCurve_P04066_FUCA1.pdf")</f>
        <v>Melting_Curves/meltCurve_P04066_FUCA1.pdf</v>
      </c>
    </row>
    <row r="1694" spans="1:28" x14ac:dyDescent="0.25">
      <c r="A1694" t="s">
        <v>1698</v>
      </c>
      <c r="B1694">
        <v>0.99299721793515405</v>
      </c>
      <c r="C1694">
        <v>0.98857637098164697</v>
      </c>
      <c r="D1694">
        <v>1.05478968288894</v>
      </c>
      <c r="E1694">
        <v>0.88791396369888997</v>
      </c>
      <c r="F1694">
        <v>0.792347071846632</v>
      </c>
      <c r="G1694">
        <v>0.83091206428103603</v>
      </c>
      <c r="H1694">
        <v>0.86631611906074801</v>
      </c>
      <c r="I1694">
        <v>1.0786780238406199</v>
      </c>
      <c r="J1694">
        <v>1.0635589101151399</v>
      </c>
      <c r="K1694">
        <v>0.71662006952269097</v>
      </c>
      <c r="L1694">
        <v>11243.450367089201</v>
      </c>
      <c r="M1694">
        <v>250</v>
      </c>
      <c r="O1694">
        <v>44.970912361229402</v>
      </c>
      <c r="P1694">
        <v>-0.15161986229772201</v>
      </c>
      <c r="Q1694">
        <v>0.89090423650602601</v>
      </c>
      <c r="R1694">
        <v>0.21273796281962401</v>
      </c>
      <c r="S1694" t="s">
        <v>7245</v>
      </c>
      <c r="T1694" t="s">
        <v>11100</v>
      </c>
      <c r="U1694" t="s">
        <v>11100</v>
      </c>
      <c r="V1694" t="s">
        <v>11100</v>
      </c>
      <c r="W1694" t="s">
        <v>12760</v>
      </c>
      <c r="X1694">
        <v>48</v>
      </c>
      <c r="Y1694" t="s">
        <v>17468</v>
      </c>
      <c r="Z1694" t="s">
        <v>23699</v>
      </c>
      <c r="AA1694">
        <v>0.9199097792228611</v>
      </c>
      <c r="AB1694" t="str">
        <f>HYPERLINK("Melting_Curves/meltCurve_P04075_ALDOA.pdf", "Melting_Curves/meltCurve_P04075_ALDOA.pdf")</f>
        <v>Melting_Curves/meltCurve_P04075_ALDOA.pdf</v>
      </c>
    </row>
    <row r="1695" spans="1:28" x14ac:dyDescent="0.25">
      <c r="A1695" t="s">
        <v>1699</v>
      </c>
      <c r="B1695">
        <v>0.99299721793515405</v>
      </c>
      <c r="C1695">
        <v>0.76283612052224803</v>
      </c>
      <c r="D1695">
        <v>0.83606228707768004</v>
      </c>
      <c r="E1695">
        <v>0.69014831800217702</v>
      </c>
      <c r="F1695">
        <v>0.552202257634404</v>
      </c>
      <c r="G1695">
        <v>0.49730993273719099</v>
      </c>
      <c r="H1695">
        <v>0.35096776141332697</v>
      </c>
      <c r="I1695">
        <v>0.33181795976350897</v>
      </c>
      <c r="J1695">
        <v>0.27857871294156999</v>
      </c>
      <c r="K1695">
        <v>0.25975085285313498</v>
      </c>
      <c r="L1695">
        <v>331.23222360664897</v>
      </c>
      <c r="M1695">
        <v>6.5103496461176</v>
      </c>
      <c r="N1695">
        <v>52.575749681227798</v>
      </c>
      <c r="O1695">
        <v>46.716729878893403</v>
      </c>
      <c r="P1695">
        <v>-3.1612479195161698E-2</v>
      </c>
      <c r="Q1695">
        <v>9.4811064007322504E-2</v>
      </c>
      <c r="R1695">
        <v>0.96486384885856402</v>
      </c>
      <c r="S1695" t="s">
        <v>7246</v>
      </c>
      <c r="T1695" t="s">
        <v>11100</v>
      </c>
      <c r="U1695" t="s">
        <v>11100</v>
      </c>
      <c r="V1695" t="s">
        <v>11100</v>
      </c>
      <c r="W1695" t="s">
        <v>12761</v>
      </c>
      <c r="X1695">
        <v>4</v>
      </c>
      <c r="Y1695" t="s">
        <v>18249</v>
      </c>
      <c r="Z1695" t="s">
        <v>23700</v>
      </c>
      <c r="AA1695">
        <v>0.54845691009126851</v>
      </c>
      <c r="AB1695" t="str">
        <f>HYPERLINK("Melting_Curves/meltCurve_P04080_CSTB.pdf", "Melting_Curves/meltCurve_P04080_CSTB.pdf")</f>
        <v>Melting_Curves/meltCurve_P04080_CSTB.pdf</v>
      </c>
    </row>
    <row r="1696" spans="1:28" x14ac:dyDescent="0.25">
      <c r="A1696" t="s">
        <v>1700</v>
      </c>
      <c r="B1696">
        <v>0.99299721793515405</v>
      </c>
      <c r="C1696">
        <v>1.0507815744928799</v>
      </c>
      <c r="D1696">
        <v>0.91579550674280197</v>
      </c>
      <c r="E1696">
        <v>0.89480210237111102</v>
      </c>
      <c r="F1696">
        <v>0.74813265182423405</v>
      </c>
      <c r="G1696">
        <v>0.27281119002882598</v>
      </c>
      <c r="H1696">
        <v>0.164580577423797</v>
      </c>
      <c r="I1696">
        <v>0.139006720483414</v>
      </c>
      <c r="J1696">
        <v>0.12630689839541501</v>
      </c>
      <c r="K1696">
        <v>9.8268986692706797E-2</v>
      </c>
      <c r="L1696">
        <v>1546.69434823394</v>
      </c>
      <c r="M1696">
        <v>30.068526929110099</v>
      </c>
      <c r="N1696">
        <v>51.8940845174941</v>
      </c>
      <c r="O1696">
        <v>51.213069685672998</v>
      </c>
      <c r="P1696">
        <v>-0.12977071475532601</v>
      </c>
      <c r="Q1696">
        <v>0.11589770853286301</v>
      </c>
      <c r="R1696">
        <v>0.988989831314526</v>
      </c>
      <c r="S1696" t="s">
        <v>7247</v>
      </c>
      <c r="T1696" t="s">
        <v>11100</v>
      </c>
      <c r="U1696" t="s">
        <v>11100</v>
      </c>
      <c r="V1696" t="s">
        <v>11100</v>
      </c>
      <c r="W1696" t="s">
        <v>12762</v>
      </c>
      <c r="X1696">
        <v>36</v>
      </c>
      <c r="Y1696" t="s">
        <v>18250</v>
      </c>
      <c r="Z1696" t="s">
        <v>23701</v>
      </c>
      <c r="AA1696">
        <v>0.54693199120920044</v>
      </c>
      <c r="AB1696" t="str">
        <f>HYPERLINK("Melting_Curves/meltCurve_P04083_ANXA1.pdf", "Melting_Curves/meltCurve_P04083_ANXA1.pdf")</f>
        <v>Melting_Curves/meltCurve_P04083_ANXA1.pdf</v>
      </c>
    </row>
    <row r="1697" spans="1:28" x14ac:dyDescent="0.25">
      <c r="A1697" t="s">
        <v>1701</v>
      </c>
      <c r="B1697">
        <v>0.99299721793515405</v>
      </c>
      <c r="C1697">
        <v>0.97619189993301103</v>
      </c>
      <c r="D1697">
        <v>0.857478111382454</v>
      </c>
      <c r="E1697">
        <v>0.80228161386567298</v>
      </c>
      <c r="F1697">
        <v>0.41526028443394802</v>
      </c>
      <c r="G1697">
        <v>0.24493874091721801</v>
      </c>
      <c r="H1697">
        <v>0.16157577567824299</v>
      </c>
      <c r="I1697">
        <v>9.6847552434609602E-2</v>
      </c>
      <c r="J1697">
        <v>7.1474993372428797E-2</v>
      </c>
      <c r="K1697">
        <v>6.3713271267920202E-2</v>
      </c>
      <c r="L1697">
        <v>813.60476700112804</v>
      </c>
      <c r="M1697">
        <v>16.516148761413699</v>
      </c>
      <c r="N1697">
        <v>49.626790750346998</v>
      </c>
      <c r="O1697">
        <v>48.5559894618182</v>
      </c>
      <c r="P1697">
        <v>-8.0170841972204102E-2</v>
      </c>
      <c r="Q1697">
        <v>5.7285054202735601E-2</v>
      </c>
      <c r="R1697">
        <v>0.99227285283824496</v>
      </c>
      <c r="S1697" t="s">
        <v>7248</v>
      </c>
      <c r="T1697" t="s">
        <v>11100</v>
      </c>
      <c r="U1697" t="s">
        <v>11100</v>
      </c>
      <c r="V1697" t="s">
        <v>11100</v>
      </c>
      <c r="W1697" t="s">
        <v>12763</v>
      </c>
      <c r="X1697">
        <v>4</v>
      </c>
      <c r="Y1697" t="s">
        <v>18251</v>
      </c>
      <c r="Z1697" t="s">
        <v>23702</v>
      </c>
      <c r="AA1697">
        <v>0.45986250960351932</v>
      </c>
      <c r="AB1697" t="str">
        <f>HYPERLINK("Melting_Curves/meltCurve_P04150_9_NR3C1.pdf", "Melting_Curves/meltCurve_P04150_9_NR3C1.pdf")</f>
        <v>Melting_Curves/meltCurve_P04150_9_NR3C1.pdf</v>
      </c>
    </row>
    <row r="1698" spans="1:28" x14ac:dyDescent="0.25">
      <c r="A1698" t="s">
        <v>1702</v>
      </c>
      <c r="B1698">
        <v>0.99299721793515405</v>
      </c>
      <c r="C1698">
        <v>1.0180687049225701</v>
      </c>
      <c r="D1698">
        <v>0.92306491113509603</v>
      </c>
      <c r="E1698">
        <v>0.87603642364632495</v>
      </c>
      <c r="F1698">
        <v>0.79584049876630703</v>
      </c>
      <c r="G1698">
        <v>0.77442561292441303</v>
      </c>
      <c r="H1698">
        <v>0.60421945864094895</v>
      </c>
      <c r="I1698">
        <v>0.31451527310972999</v>
      </c>
      <c r="J1698">
        <v>0.20458726156691201</v>
      </c>
      <c r="K1698">
        <v>0.147032479683743</v>
      </c>
      <c r="L1698">
        <v>702.11704479272305</v>
      </c>
      <c r="M1698">
        <v>12.1132234191004</v>
      </c>
      <c r="N1698">
        <v>57.962857755800002</v>
      </c>
      <c r="O1698">
        <v>56.450970338552601</v>
      </c>
      <c r="P1698">
        <v>-5.3657355688774402E-2</v>
      </c>
      <c r="Q1698">
        <v>0</v>
      </c>
      <c r="R1698">
        <v>0.97280185816388698</v>
      </c>
      <c r="S1698" t="s">
        <v>7249</v>
      </c>
      <c r="T1698" t="s">
        <v>11100</v>
      </c>
      <c r="U1698" t="s">
        <v>11100</v>
      </c>
      <c r="V1698" t="s">
        <v>11100</v>
      </c>
      <c r="W1698" t="s">
        <v>12764</v>
      </c>
      <c r="X1698">
        <v>19</v>
      </c>
      <c r="Y1698" t="s">
        <v>18252</v>
      </c>
      <c r="Z1698" t="s">
        <v>23703</v>
      </c>
      <c r="AA1698">
        <v>0.69795654950100017</v>
      </c>
      <c r="AB1698" t="str">
        <f>HYPERLINK("Melting_Curves/meltCurve_P04181_OAT.pdf", "Melting_Curves/meltCurve_P04181_OAT.pdf")</f>
        <v>Melting_Curves/meltCurve_P04181_OAT.pdf</v>
      </c>
    </row>
    <row r="1699" spans="1:28" x14ac:dyDescent="0.25">
      <c r="A1699" t="s">
        <v>1703</v>
      </c>
      <c r="B1699">
        <v>0.99299721793515405</v>
      </c>
      <c r="C1699">
        <v>0.92068594939708803</v>
      </c>
      <c r="D1699">
        <v>0.84433349356446796</v>
      </c>
      <c r="E1699">
        <v>0.834517602680382</v>
      </c>
      <c r="F1699">
        <v>0.77471087874039302</v>
      </c>
      <c r="G1699">
        <v>0.56769334104636704</v>
      </c>
      <c r="H1699">
        <v>0.55672965172349298</v>
      </c>
      <c r="I1699">
        <v>0.55398226494662905</v>
      </c>
      <c r="J1699">
        <v>0.69373270740770598</v>
      </c>
      <c r="K1699">
        <v>0.60080988613293795</v>
      </c>
      <c r="L1699">
        <v>545.26536323614403</v>
      </c>
      <c r="M1699">
        <v>11.692470300357</v>
      </c>
      <c r="O1699">
        <v>45.332473937050501</v>
      </c>
      <c r="P1699">
        <v>-2.7357684673419799E-2</v>
      </c>
      <c r="Q1699">
        <v>0.57584291284574596</v>
      </c>
      <c r="R1699">
        <v>0.86183602801591896</v>
      </c>
      <c r="S1699" t="s">
        <v>7250</v>
      </c>
      <c r="T1699" t="s">
        <v>11100</v>
      </c>
      <c r="U1699" t="s">
        <v>11100</v>
      </c>
      <c r="V1699" t="s">
        <v>11100</v>
      </c>
      <c r="W1699" t="s">
        <v>12765</v>
      </c>
      <c r="X1699">
        <v>11</v>
      </c>
      <c r="Y1699" t="s">
        <v>18253</v>
      </c>
      <c r="Z1699" t="s">
        <v>23704</v>
      </c>
      <c r="AA1699">
        <v>0.72684623768861389</v>
      </c>
      <c r="AB1699" t="str">
        <f>HYPERLINK("Melting_Curves/meltCurve_P04183_TK1.pdf", "Melting_Curves/meltCurve_P04183_TK1.pdf")</f>
        <v>Melting_Curves/meltCurve_P04183_TK1.pdf</v>
      </c>
    </row>
    <row r="1700" spans="1:28" x14ac:dyDescent="0.25">
      <c r="A1700" t="s">
        <v>1704</v>
      </c>
      <c r="B1700">
        <v>0.99299721793515405</v>
      </c>
      <c r="C1700">
        <v>0.934987470882226</v>
      </c>
      <c r="D1700">
        <v>0.85533111317741295</v>
      </c>
      <c r="E1700">
        <v>0.88370339243626805</v>
      </c>
      <c r="F1700">
        <v>0.74071802737265302</v>
      </c>
      <c r="G1700">
        <v>0.64325498156333105</v>
      </c>
      <c r="H1700">
        <v>0.51895030463202996</v>
      </c>
      <c r="I1700">
        <v>0.428885015666221</v>
      </c>
      <c r="J1700">
        <v>0.225410244164025</v>
      </c>
      <c r="K1700">
        <v>0.178376875965995</v>
      </c>
      <c r="L1700">
        <v>474.19336593160398</v>
      </c>
      <c r="M1700">
        <v>8.3136702874557393</v>
      </c>
      <c r="N1700">
        <v>57.037786794606298</v>
      </c>
      <c r="O1700">
        <v>54.023603929943</v>
      </c>
      <c r="P1700">
        <v>-3.8510071974185503E-2</v>
      </c>
      <c r="Q1700">
        <v>0</v>
      </c>
      <c r="R1700">
        <v>0.97436318254794396</v>
      </c>
      <c r="S1700" t="s">
        <v>7251</v>
      </c>
      <c r="T1700" t="s">
        <v>11100</v>
      </c>
      <c r="U1700" t="s">
        <v>11100</v>
      </c>
      <c r="V1700" t="s">
        <v>11100</v>
      </c>
      <c r="W1700" t="s">
        <v>12766</v>
      </c>
      <c r="X1700">
        <v>33</v>
      </c>
      <c r="Y1700" t="s">
        <v>17713</v>
      </c>
      <c r="Z1700" t="s">
        <v>23705</v>
      </c>
      <c r="AA1700">
        <v>0.65865057915021097</v>
      </c>
      <c r="AB1700" t="str">
        <f>HYPERLINK("Melting_Curves/meltCurve_P04350_TUBB4A.pdf", "Melting_Curves/meltCurve_P04350_TUBB4A.pdf")</f>
        <v>Melting_Curves/meltCurve_P04350_TUBB4A.pdf</v>
      </c>
    </row>
    <row r="1701" spans="1:28" x14ac:dyDescent="0.25">
      <c r="A1701" t="s">
        <v>1705</v>
      </c>
      <c r="B1701">
        <v>0.99299721793515405</v>
      </c>
      <c r="C1701">
        <v>0.99656976327064295</v>
      </c>
      <c r="D1701">
        <v>0.96173054339947295</v>
      </c>
      <c r="E1701">
        <v>0.86286735514392099</v>
      </c>
      <c r="F1701">
        <v>0.82634363775882802</v>
      </c>
      <c r="G1701">
        <v>0.94348446965485799</v>
      </c>
      <c r="H1701">
        <v>0.80965006224425295</v>
      </c>
      <c r="I1701">
        <v>0.90042044456050196</v>
      </c>
      <c r="J1701">
        <v>0.840691771120052</v>
      </c>
      <c r="K1701">
        <v>0.33110675003653001</v>
      </c>
      <c r="L1701">
        <v>3199.2504590614199</v>
      </c>
      <c r="M1701">
        <v>48.413378340060497</v>
      </c>
      <c r="N1701">
        <v>66.081950306523595</v>
      </c>
      <c r="O1701">
        <v>65.969505678797205</v>
      </c>
      <c r="P1701">
        <v>-0.183468984493494</v>
      </c>
      <c r="Q1701">
        <v>0</v>
      </c>
      <c r="R1701">
        <v>0.712251992316006</v>
      </c>
      <c r="S1701" t="s">
        <v>7252</v>
      </c>
      <c r="T1701" t="s">
        <v>11100</v>
      </c>
      <c r="U1701" t="s">
        <v>11100</v>
      </c>
      <c r="V1701" t="s">
        <v>11100</v>
      </c>
      <c r="W1701" t="s">
        <v>12767</v>
      </c>
      <c r="X1701">
        <v>37</v>
      </c>
      <c r="Y1701" t="s">
        <v>18254</v>
      </c>
      <c r="Z1701" t="s">
        <v>23706</v>
      </c>
      <c r="AA1701">
        <v>0.95210759635658093</v>
      </c>
      <c r="AB1701" t="str">
        <f>HYPERLINK("Melting_Curves/meltCurve_P04406_GAPDH.pdf", "Melting_Curves/meltCurve_P04406_GAPDH.pdf")</f>
        <v>Melting_Curves/meltCurve_P04406_GAPDH.pdf</v>
      </c>
    </row>
    <row r="1702" spans="1:28" x14ac:dyDescent="0.25">
      <c r="A1702" t="s">
        <v>1706</v>
      </c>
      <c r="B1702">
        <v>0.99299721793515405</v>
      </c>
      <c r="C1702">
        <v>1.18131757533888</v>
      </c>
      <c r="D1702">
        <v>0.90502788691403202</v>
      </c>
      <c r="E1702">
        <v>0.89501263798806097</v>
      </c>
      <c r="F1702">
        <v>0.34242137102183701</v>
      </c>
      <c r="G1702">
        <v>0.30880117442070898</v>
      </c>
      <c r="H1702">
        <v>0.27393923998027198</v>
      </c>
      <c r="I1702">
        <v>0.119235338896499</v>
      </c>
      <c r="J1702">
        <v>0.32178757233854099</v>
      </c>
      <c r="K1702">
        <v>0.114862596496558</v>
      </c>
      <c r="L1702">
        <v>2142.9742835255702</v>
      </c>
      <c r="M1702">
        <v>44.256506853497498</v>
      </c>
      <c r="N1702">
        <v>49.078001930688202</v>
      </c>
      <c r="O1702">
        <v>48.323124363959003</v>
      </c>
      <c r="P1702">
        <v>-0.177823585810573</v>
      </c>
      <c r="Q1702">
        <v>0.223347715961253</v>
      </c>
      <c r="R1702">
        <v>0.94294287130830201</v>
      </c>
      <c r="S1702" t="s">
        <v>7253</v>
      </c>
      <c r="T1702" t="s">
        <v>11100</v>
      </c>
      <c r="U1702" t="s">
        <v>11100</v>
      </c>
      <c r="V1702" t="s">
        <v>11100</v>
      </c>
      <c r="W1702" t="s">
        <v>12768</v>
      </c>
      <c r="X1702">
        <v>3</v>
      </c>
      <c r="Y1702" t="s">
        <v>18255</v>
      </c>
      <c r="Z1702" t="s">
        <v>23707</v>
      </c>
      <c r="AA1702">
        <v>0.5211571828406506</v>
      </c>
      <c r="AB1702" t="str">
        <f>HYPERLINK("Melting_Curves/meltCurve_P04626_4_ERBB2.pdf", "Melting_Curves/meltCurve_P04626_4_ERBB2.pdf")</f>
        <v>Melting_Curves/meltCurve_P04626_4_ERBB2.pdf</v>
      </c>
    </row>
    <row r="1703" spans="1:28" x14ac:dyDescent="0.25">
      <c r="A1703" t="s">
        <v>1707</v>
      </c>
      <c r="B1703">
        <v>0.99299721793515405</v>
      </c>
      <c r="C1703">
        <v>1.0082391657568499</v>
      </c>
      <c r="D1703">
        <v>0.98023782673672799</v>
      </c>
      <c r="E1703">
        <v>0.87230393968675901</v>
      </c>
      <c r="F1703">
        <v>0.78273819292240099</v>
      </c>
      <c r="G1703">
        <v>0.66422952112639699</v>
      </c>
      <c r="H1703">
        <v>0.66708740180413595</v>
      </c>
      <c r="I1703">
        <v>0.63151829673255999</v>
      </c>
      <c r="J1703">
        <v>0.44547616139006102</v>
      </c>
      <c r="K1703">
        <v>0.270432463592502</v>
      </c>
      <c r="L1703">
        <v>415.52749561205502</v>
      </c>
      <c r="M1703">
        <v>6.7403823073156204</v>
      </c>
      <c r="N1703">
        <v>61.647466739387198</v>
      </c>
      <c r="O1703">
        <v>56.902180453298897</v>
      </c>
      <c r="P1703">
        <v>-2.9676936089268E-2</v>
      </c>
      <c r="Q1703">
        <v>0</v>
      </c>
      <c r="R1703">
        <v>0.93905182469645698</v>
      </c>
      <c r="S1703" t="s">
        <v>7254</v>
      </c>
      <c r="T1703" t="s">
        <v>11100</v>
      </c>
      <c r="U1703" t="s">
        <v>11100</v>
      </c>
      <c r="V1703" t="s">
        <v>11100</v>
      </c>
      <c r="W1703" t="s">
        <v>12769</v>
      </c>
      <c r="X1703">
        <v>10</v>
      </c>
      <c r="Y1703" t="s">
        <v>18256</v>
      </c>
      <c r="Z1703" t="s">
        <v>23708</v>
      </c>
      <c r="AA1703">
        <v>0.73969657504053443</v>
      </c>
      <c r="AB1703" t="str">
        <f>HYPERLINK("Melting_Curves/meltCurve_P04632_CAPNS1.pdf", "Melting_Curves/meltCurve_P04632_CAPNS1.pdf")</f>
        <v>Melting_Curves/meltCurve_P04632_CAPNS1.pdf</v>
      </c>
    </row>
    <row r="1704" spans="1:28" x14ac:dyDescent="0.25">
      <c r="A1704" t="s">
        <v>1708</v>
      </c>
      <c r="B1704">
        <v>0.99299721793515405</v>
      </c>
      <c r="C1704">
        <v>1.0254552004819399</v>
      </c>
      <c r="D1704">
        <v>0.81507673034922701</v>
      </c>
      <c r="E1704">
        <v>0.76289533572054502</v>
      </c>
      <c r="F1704">
        <v>0.38245514081898502</v>
      </c>
      <c r="G1704">
        <v>0.30134302427133802</v>
      </c>
      <c r="H1704">
        <v>0.241126225164875</v>
      </c>
      <c r="I1704">
        <v>0.21902265138774801</v>
      </c>
      <c r="J1704">
        <v>0.24565291654062699</v>
      </c>
      <c r="K1704">
        <v>0.31414535094590901</v>
      </c>
      <c r="L1704">
        <v>984.67519609975</v>
      </c>
      <c r="M1704">
        <v>20.768499557874399</v>
      </c>
      <c r="N1704">
        <v>48.987420547845097</v>
      </c>
      <c r="O1704">
        <v>46.978953001011298</v>
      </c>
      <c r="P1704">
        <v>-8.3598240716962605E-2</v>
      </c>
      <c r="Q1704">
        <v>0.24361456332824399</v>
      </c>
      <c r="R1704">
        <v>0.97333190347078102</v>
      </c>
      <c r="S1704" t="s">
        <v>7255</v>
      </c>
      <c r="T1704" t="s">
        <v>11100</v>
      </c>
      <c r="U1704" t="s">
        <v>11100</v>
      </c>
      <c r="V1704" t="s">
        <v>11100</v>
      </c>
      <c r="W1704" t="s">
        <v>12770</v>
      </c>
      <c r="X1704">
        <v>5</v>
      </c>
      <c r="Y1704" t="s">
        <v>18257</v>
      </c>
      <c r="Z1704" t="s">
        <v>23709</v>
      </c>
      <c r="AA1704">
        <v>0.51534700832051705</v>
      </c>
      <c r="AB1704" t="str">
        <f>HYPERLINK("Melting_Curves/meltCurve_P04792_HSPB1.pdf", "Melting_Curves/meltCurve_P04792_HSPB1.pdf")</f>
        <v>Melting_Curves/meltCurve_P04792_HSPB1.pdf</v>
      </c>
    </row>
    <row r="1705" spans="1:28" x14ac:dyDescent="0.25">
      <c r="A1705" t="s">
        <v>1709</v>
      </c>
      <c r="B1705">
        <v>0.99299721793515405</v>
      </c>
      <c r="C1705">
        <v>0.97482616241679099</v>
      </c>
      <c r="D1705">
        <v>0.96506767740093402</v>
      </c>
      <c r="E1705">
        <v>0.83826746979058298</v>
      </c>
      <c r="F1705">
        <v>0.59865906655747303</v>
      </c>
      <c r="G1705">
        <v>0.21156726873182399</v>
      </c>
      <c r="H1705">
        <v>0.14171944543727399</v>
      </c>
      <c r="I1705">
        <v>0.11781311160010299</v>
      </c>
      <c r="J1705">
        <v>0.104381892399159</v>
      </c>
      <c r="K1705">
        <v>9.0854930424270605E-2</v>
      </c>
      <c r="L1705">
        <v>1152.4603976424801</v>
      </c>
      <c r="M1705">
        <v>22.912758548055301</v>
      </c>
      <c r="N1705">
        <v>50.734027244528598</v>
      </c>
      <c r="O1705">
        <v>49.919326941649999</v>
      </c>
      <c r="P1705">
        <v>-0.104489933081543</v>
      </c>
      <c r="Q1705">
        <v>8.9421152353086897E-2</v>
      </c>
      <c r="R1705">
        <v>0.99582452056153403</v>
      </c>
      <c r="S1705" t="s">
        <v>7256</v>
      </c>
      <c r="T1705" t="s">
        <v>11100</v>
      </c>
      <c r="U1705" t="s">
        <v>11100</v>
      </c>
      <c r="V1705" t="s">
        <v>11100</v>
      </c>
      <c r="W1705" t="s">
        <v>12771</v>
      </c>
      <c r="X1705">
        <v>14</v>
      </c>
      <c r="Y1705" t="s">
        <v>18258</v>
      </c>
      <c r="Z1705" t="s">
        <v>23710</v>
      </c>
      <c r="AA1705">
        <v>0.50244134650454941</v>
      </c>
      <c r="AB1705" t="str">
        <f>HYPERLINK("Melting_Curves/meltCurve_P04818_TYMS.pdf", "Melting_Curves/meltCurve_P04818_TYMS.pdf")</f>
        <v>Melting_Curves/meltCurve_P04818_TYMS.pdf</v>
      </c>
    </row>
    <row r="1706" spans="1:28" x14ac:dyDescent="0.25">
      <c r="A1706" t="s">
        <v>1710</v>
      </c>
      <c r="B1706">
        <v>0.99299721793515405</v>
      </c>
      <c r="C1706">
        <v>0.96575270269879299</v>
      </c>
      <c r="D1706">
        <v>0.99869143533336102</v>
      </c>
      <c r="E1706">
        <v>0.87796860762214002</v>
      </c>
      <c r="F1706">
        <v>0.78792655636447195</v>
      </c>
      <c r="G1706">
        <v>0.96958944370674605</v>
      </c>
      <c r="H1706">
        <v>0.69653892277128004</v>
      </c>
      <c r="I1706">
        <v>0.24312213788578199</v>
      </c>
      <c r="J1706">
        <v>0.16394719860079901</v>
      </c>
      <c r="K1706">
        <v>0.13465544305662899</v>
      </c>
      <c r="L1706">
        <v>2347.564481415</v>
      </c>
      <c r="M1706">
        <v>40.308646056985303</v>
      </c>
      <c r="N1706">
        <v>58.6893221827142</v>
      </c>
      <c r="O1706">
        <v>58.096936511818299</v>
      </c>
      <c r="P1706">
        <v>-0.150414259648183</v>
      </c>
      <c r="Q1706">
        <v>0.13283223780293199</v>
      </c>
      <c r="R1706">
        <v>0.94810568067821299</v>
      </c>
      <c r="S1706" t="s">
        <v>7257</v>
      </c>
      <c r="T1706" t="s">
        <v>11100</v>
      </c>
      <c r="U1706" t="s">
        <v>11100</v>
      </c>
      <c r="V1706" t="s">
        <v>11100</v>
      </c>
      <c r="W1706" t="s">
        <v>12772</v>
      </c>
      <c r="X1706">
        <v>40</v>
      </c>
      <c r="Y1706" t="s">
        <v>18259</v>
      </c>
      <c r="Z1706" t="s">
        <v>23711</v>
      </c>
      <c r="AA1706">
        <v>0.74991605524329008</v>
      </c>
      <c r="AB1706" t="str">
        <f>HYPERLINK("Melting_Curves/meltCurve_P04843_RPN1.pdf", "Melting_Curves/meltCurve_P04843_RPN1.pdf")</f>
        <v>Melting_Curves/meltCurve_P04843_RPN1.pdf</v>
      </c>
    </row>
    <row r="1707" spans="1:28" x14ac:dyDescent="0.25">
      <c r="A1707" t="s">
        <v>1711</v>
      </c>
      <c r="B1707">
        <v>0.99299721793515405</v>
      </c>
      <c r="C1707">
        <v>1.0271723150777201</v>
      </c>
      <c r="D1707">
        <v>1.0860477043574599</v>
      </c>
      <c r="E1707">
        <v>1.0002454285418301</v>
      </c>
      <c r="F1707">
        <v>0.93049686819946098</v>
      </c>
      <c r="G1707">
        <v>1.0944649536702999</v>
      </c>
      <c r="H1707">
        <v>0.62448844831823103</v>
      </c>
      <c r="I1707">
        <v>0.34725645154360602</v>
      </c>
      <c r="J1707">
        <v>0.34405299726512301</v>
      </c>
      <c r="K1707">
        <v>0.24089170560082299</v>
      </c>
      <c r="L1707">
        <v>10427.6235552034</v>
      </c>
      <c r="M1707">
        <v>181.84554582257201</v>
      </c>
      <c r="N1707">
        <v>57.651296978936401</v>
      </c>
      <c r="O1707">
        <v>57.336363105793403</v>
      </c>
      <c r="P1707">
        <v>-0.546515981605185</v>
      </c>
      <c r="Q1707">
        <v>0.31072847392960401</v>
      </c>
      <c r="R1707">
        <v>0.97241639806551305</v>
      </c>
      <c r="S1707" t="s">
        <v>7258</v>
      </c>
      <c r="T1707" t="s">
        <v>11100</v>
      </c>
      <c r="U1707" t="s">
        <v>11100</v>
      </c>
      <c r="V1707" t="s">
        <v>11100</v>
      </c>
      <c r="W1707" t="s">
        <v>12773</v>
      </c>
      <c r="X1707">
        <v>5</v>
      </c>
      <c r="Y1707" t="s">
        <v>18260</v>
      </c>
      <c r="Z1707" t="s">
        <v>23712</v>
      </c>
      <c r="AA1707">
        <v>0.77826150307017727</v>
      </c>
      <c r="AB1707" t="str">
        <f>HYPERLINK("Melting_Curves/meltCurve_P04844_2_RPN2.pdf", "Melting_Curves/meltCurve_P04844_2_RPN2.pdf")</f>
        <v>Melting_Curves/meltCurve_P04844_2_RPN2.pdf</v>
      </c>
    </row>
    <row r="1708" spans="1:28" x14ac:dyDescent="0.25">
      <c r="A1708" t="s">
        <v>1712</v>
      </c>
      <c r="B1708">
        <v>0.99299721793515405</v>
      </c>
      <c r="C1708">
        <v>1.0033017077840101</v>
      </c>
      <c r="D1708">
        <v>0.91869854733482703</v>
      </c>
      <c r="E1708">
        <v>1.0304916315891</v>
      </c>
      <c r="F1708">
        <v>0.68969328765503402</v>
      </c>
      <c r="G1708">
        <v>0.68057743264895698</v>
      </c>
      <c r="H1708">
        <v>0.50518275858260897</v>
      </c>
      <c r="I1708">
        <v>0.28971062006683002</v>
      </c>
      <c r="J1708">
        <v>0.27916988295785</v>
      </c>
      <c r="K1708">
        <v>0.22360538298937299</v>
      </c>
      <c r="L1708">
        <v>652.48067774883202</v>
      </c>
      <c r="M1708">
        <v>11.7555589431424</v>
      </c>
      <c r="N1708">
        <v>56.745419865746101</v>
      </c>
      <c r="O1708">
        <v>53.9708853040298</v>
      </c>
      <c r="P1708">
        <v>-4.8291739008995103E-2</v>
      </c>
      <c r="Q1708">
        <v>0.11338365760225499</v>
      </c>
      <c r="R1708">
        <v>0.96282850704039602</v>
      </c>
      <c r="S1708" t="s">
        <v>7259</v>
      </c>
      <c r="T1708" t="s">
        <v>11100</v>
      </c>
      <c r="U1708" t="s">
        <v>11100</v>
      </c>
      <c r="V1708" t="s">
        <v>11100</v>
      </c>
      <c r="W1708" t="s">
        <v>12774</v>
      </c>
      <c r="X1708">
        <v>14</v>
      </c>
      <c r="Y1708" t="s">
        <v>18261</v>
      </c>
      <c r="Z1708" t="s">
        <v>23713</v>
      </c>
      <c r="AA1708">
        <v>0.67074896307819276</v>
      </c>
      <c r="AB1708" t="str">
        <f>HYPERLINK("Melting_Curves/meltCurve_P04899_GNAI2.pdf", "Melting_Curves/meltCurve_P04899_GNAI2.pdf")</f>
        <v>Melting_Curves/meltCurve_P04899_GNAI2.pdf</v>
      </c>
    </row>
    <row r="1709" spans="1:28" x14ac:dyDescent="0.25">
      <c r="A1709" t="s">
        <v>1713</v>
      </c>
      <c r="B1709">
        <v>0.99299721793515405</v>
      </c>
      <c r="C1709">
        <v>0.88355276874393496</v>
      </c>
      <c r="D1709">
        <v>0.77725867156829498</v>
      </c>
      <c r="E1709">
        <v>0.67748066805004203</v>
      </c>
      <c r="F1709">
        <v>0.52323953245752197</v>
      </c>
      <c r="G1709">
        <v>0.50856768396418595</v>
      </c>
      <c r="H1709">
        <v>0.417349826034416</v>
      </c>
      <c r="I1709">
        <v>0.30817605726028002</v>
      </c>
      <c r="J1709">
        <v>0.30134454392224003</v>
      </c>
      <c r="K1709">
        <v>0.185666235720991</v>
      </c>
      <c r="L1709">
        <v>329.06446534827001</v>
      </c>
      <c r="M1709">
        <v>6.33487928314897</v>
      </c>
      <c r="N1709">
        <v>52.7632993049329</v>
      </c>
      <c r="O1709">
        <v>47.4906040676806</v>
      </c>
      <c r="P1709">
        <v>-3.1872277609348999E-2</v>
      </c>
      <c r="Q1709">
        <v>4.6794643306644602E-2</v>
      </c>
      <c r="R1709">
        <v>0.97997290064313003</v>
      </c>
      <c r="S1709" t="s">
        <v>7260</v>
      </c>
      <c r="T1709" t="s">
        <v>11100</v>
      </c>
      <c r="U1709" t="s">
        <v>11100</v>
      </c>
      <c r="V1709" t="s">
        <v>11100</v>
      </c>
      <c r="W1709" t="s">
        <v>12775</v>
      </c>
      <c r="X1709">
        <v>2</v>
      </c>
      <c r="Y1709" t="s">
        <v>18262</v>
      </c>
      <c r="Z1709" t="s">
        <v>23714</v>
      </c>
      <c r="AA1709">
        <v>0.54922492258404076</v>
      </c>
      <c r="AB1709" t="str">
        <f>HYPERLINK("Melting_Curves/meltCurve_P04920_2_SLC4A2.pdf", "Melting_Curves/meltCurve_P04920_2_SLC4A2.pdf")</f>
        <v>Melting_Curves/meltCurve_P04920_2_SLC4A2.pdf</v>
      </c>
    </row>
    <row r="1710" spans="1:28" x14ac:dyDescent="0.25">
      <c r="A1710" t="s">
        <v>1714</v>
      </c>
      <c r="B1710">
        <v>0.99299721793515405</v>
      </c>
      <c r="C1710">
        <v>0.98014675416187202</v>
      </c>
      <c r="D1710">
        <v>0.98121454615694303</v>
      </c>
      <c r="E1710">
        <v>0.87477913640698102</v>
      </c>
      <c r="F1710">
        <v>0.81664119396301704</v>
      </c>
      <c r="G1710">
        <v>0.82058254192360403</v>
      </c>
      <c r="H1710">
        <v>0.79762229817094099</v>
      </c>
      <c r="I1710">
        <v>0.87712222305573695</v>
      </c>
      <c r="J1710">
        <v>0.26656013059677203</v>
      </c>
      <c r="K1710">
        <v>0.12418440495538501</v>
      </c>
      <c r="L1710">
        <v>4083.7094047280998</v>
      </c>
      <c r="M1710">
        <v>65.202930197572798</v>
      </c>
      <c r="N1710">
        <v>62.866222651113098</v>
      </c>
      <c r="O1710">
        <v>62.571931693474497</v>
      </c>
      <c r="P1710">
        <v>-0.23228726205366501</v>
      </c>
      <c r="Q1710">
        <v>0.108343255012292</v>
      </c>
      <c r="R1710">
        <v>0.85322534333988398</v>
      </c>
      <c r="S1710" t="s">
        <v>7261</v>
      </c>
      <c r="T1710" t="s">
        <v>11100</v>
      </c>
      <c r="U1710" t="s">
        <v>11100</v>
      </c>
      <c r="V1710" t="s">
        <v>11100</v>
      </c>
      <c r="W1710" t="s">
        <v>12776</v>
      </c>
      <c r="X1710">
        <v>59</v>
      </c>
      <c r="Y1710" t="s">
        <v>18263</v>
      </c>
      <c r="Z1710" t="s">
        <v>23715</v>
      </c>
      <c r="AA1710">
        <v>0.87110545851972676</v>
      </c>
      <c r="AB1710" t="str">
        <f>HYPERLINK("Melting_Curves/meltCurve_P05023_4_ATP1A1.pdf", "Melting_Curves/meltCurve_P05023_4_ATP1A1.pdf")</f>
        <v>Melting_Curves/meltCurve_P05023_4_ATP1A1.pdf</v>
      </c>
    </row>
    <row r="1711" spans="1:28" x14ac:dyDescent="0.25">
      <c r="A1711" t="s">
        <v>1715</v>
      </c>
      <c r="B1711">
        <v>0.99299721793515405</v>
      </c>
      <c r="C1711">
        <v>0.97547952502395596</v>
      </c>
      <c r="D1711">
        <v>0.84607804021226496</v>
      </c>
      <c r="E1711">
        <v>0.90344306132324503</v>
      </c>
      <c r="F1711">
        <v>0.81161493756209002</v>
      </c>
      <c r="G1711">
        <v>0.99376799299354202</v>
      </c>
      <c r="H1711">
        <v>0.82596535079825795</v>
      </c>
      <c r="I1711">
        <v>0.252086120113656</v>
      </c>
      <c r="J1711">
        <v>0.16429890871333999</v>
      </c>
      <c r="K1711">
        <v>0.126559792192763</v>
      </c>
      <c r="L1711">
        <v>3127.5675548383601</v>
      </c>
      <c r="M1711">
        <v>53.1212726853514</v>
      </c>
      <c r="N1711">
        <v>59.235756260107202</v>
      </c>
      <c r="O1711">
        <v>58.792729599540202</v>
      </c>
      <c r="P1711">
        <v>-0.19473925223306501</v>
      </c>
      <c r="Q1711">
        <v>0.13787873145396901</v>
      </c>
      <c r="R1711">
        <v>0.939773183155866</v>
      </c>
      <c r="S1711" t="s">
        <v>7262</v>
      </c>
      <c r="T1711" t="s">
        <v>11100</v>
      </c>
      <c r="U1711" t="s">
        <v>11100</v>
      </c>
      <c r="V1711" t="s">
        <v>11100</v>
      </c>
      <c r="W1711" t="s">
        <v>12777</v>
      </c>
      <c r="X1711">
        <v>13</v>
      </c>
      <c r="Y1711" t="s">
        <v>18264</v>
      </c>
      <c r="Z1711" t="s">
        <v>23716</v>
      </c>
      <c r="AA1711">
        <v>0.7684508716437165</v>
      </c>
      <c r="AB1711" t="str">
        <f>HYPERLINK("Melting_Curves/meltCurve_P05091_ALDH2.pdf", "Melting_Curves/meltCurve_P05091_ALDH2.pdf")</f>
        <v>Melting_Curves/meltCurve_P05091_ALDH2.pdf</v>
      </c>
    </row>
    <row r="1712" spans="1:28" x14ac:dyDescent="0.25">
      <c r="A1712" t="s">
        <v>1716</v>
      </c>
      <c r="B1712">
        <v>0.99299721793515405</v>
      </c>
      <c r="C1712">
        <v>0.948939976711484</v>
      </c>
      <c r="D1712">
        <v>1.0584355720016001</v>
      </c>
      <c r="E1712">
        <v>0.91301919518132202</v>
      </c>
      <c r="F1712">
        <v>0.76203518467464904</v>
      </c>
      <c r="G1712">
        <v>0.64414706058857396</v>
      </c>
      <c r="H1712">
        <v>0.56802022588924395</v>
      </c>
      <c r="I1712">
        <v>0.59640168427885998</v>
      </c>
      <c r="J1712">
        <v>0.744578115346339</v>
      </c>
      <c r="K1712">
        <v>0.56318367459150198</v>
      </c>
      <c r="L1712">
        <v>1443.51168667811</v>
      </c>
      <c r="M1712">
        <v>29.401614163008201</v>
      </c>
      <c r="O1712">
        <v>48.870905741992601</v>
      </c>
      <c r="P1712">
        <v>-5.7498966841478399E-2</v>
      </c>
      <c r="Q1712">
        <v>0.61770719224175397</v>
      </c>
      <c r="R1712">
        <v>0.90505224890601799</v>
      </c>
      <c r="S1712" t="s">
        <v>7263</v>
      </c>
      <c r="T1712" t="s">
        <v>11100</v>
      </c>
      <c r="U1712" t="s">
        <v>11100</v>
      </c>
      <c r="V1712" t="s">
        <v>11100</v>
      </c>
      <c r="W1712" t="s">
        <v>12778</v>
      </c>
      <c r="X1712">
        <v>30</v>
      </c>
      <c r="Y1712" t="s">
        <v>18265</v>
      </c>
      <c r="Z1712" t="s">
        <v>23717</v>
      </c>
      <c r="AA1712">
        <v>0.77425629960179065</v>
      </c>
      <c r="AB1712" t="str">
        <f>HYPERLINK("Melting_Curves/meltCurve_P05141_SLC25A5.pdf", "Melting_Curves/meltCurve_P05141_SLC25A5.pdf")</f>
        <v>Melting_Curves/meltCurve_P05141_SLC25A5.pdf</v>
      </c>
    </row>
    <row r="1713" spans="1:28" x14ac:dyDescent="0.25">
      <c r="A1713" t="s">
        <v>1717</v>
      </c>
      <c r="B1713">
        <v>0.99299721793515405</v>
      </c>
      <c r="C1713">
        <v>1.02616295645593</v>
      </c>
      <c r="D1713">
        <v>0.97999871056457299</v>
      </c>
      <c r="E1713">
        <v>0.88042027370869602</v>
      </c>
      <c r="F1713">
        <v>0.736646402625456</v>
      </c>
      <c r="G1713">
        <v>0.44005644682511103</v>
      </c>
      <c r="H1713">
        <v>0.27750064885137299</v>
      </c>
      <c r="I1713">
        <v>0.184289127821883</v>
      </c>
      <c r="J1713">
        <v>0.14306472895362901</v>
      </c>
      <c r="K1713">
        <v>0.108247117729849</v>
      </c>
      <c r="L1713">
        <v>870.95118912028397</v>
      </c>
      <c r="M1713">
        <v>16.580998049783599</v>
      </c>
      <c r="N1713">
        <v>53.197352787409301</v>
      </c>
      <c r="O1713">
        <v>51.780869476127002</v>
      </c>
      <c r="P1713">
        <v>-7.2511963634291604E-2</v>
      </c>
      <c r="Q1713">
        <v>9.4270067798357698E-2</v>
      </c>
      <c r="R1713">
        <v>0.99802199779344103</v>
      </c>
      <c r="S1713" t="s">
        <v>7264</v>
      </c>
      <c r="T1713" t="s">
        <v>11100</v>
      </c>
      <c r="U1713" t="s">
        <v>11100</v>
      </c>
      <c r="V1713" t="s">
        <v>11100</v>
      </c>
      <c r="W1713" t="s">
        <v>11816</v>
      </c>
      <c r="X1713">
        <v>22</v>
      </c>
      <c r="Y1713" t="s">
        <v>18266</v>
      </c>
      <c r="Z1713" t="s">
        <v>23718</v>
      </c>
      <c r="AA1713">
        <v>0.5779917397142863</v>
      </c>
      <c r="AB1713" t="str">
        <f>HYPERLINK("Melting_Curves/meltCurve_P05198_EIF2S1.pdf", "Melting_Curves/meltCurve_P05198_EIF2S1.pdf")</f>
        <v>Melting_Curves/meltCurve_P05198_EIF2S1.pdf</v>
      </c>
    </row>
    <row r="1714" spans="1:28" x14ac:dyDescent="0.25">
      <c r="A1714" t="s">
        <v>1718</v>
      </c>
      <c r="B1714">
        <v>0.99299721793515405</v>
      </c>
      <c r="C1714">
        <v>1.04107271670664</v>
      </c>
      <c r="D1714">
        <v>2.2205693559175099</v>
      </c>
      <c r="E1714">
        <v>1.34700491740615</v>
      </c>
      <c r="F1714">
        <v>0.70195395536412697</v>
      </c>
      <c r="G1714">
        <v>1.20472192799898</v>
      </c>
      <c r="H1714">
        <v>0.52685379633707297</v>
      </c>
      <c r="I1714">
        <v>0.52388679292682805</v>
      </c>
      <c r="J1714">
        <v>0.85485308064139298</v>
      </c>
      <c r="K1714">
        <v>0.239241247229425</v>
      </c>
      <c r="L1714">
        <v>13971.6017322363</v>
      </c>
      <c r="M1714">
        <v>250</v>
      </c>
      <c r="O1714">
        <v>55.882816124703702</v>
      </c>
      <c r="P1714">
        <v>-0.51887978391536804</v>
      </c>
      <c r="Q1714">
        <v>0.53605646325024103</v>
      </c>
      <c r="R1714">
        <v>0.30505154173224802</v>
      </c>
      <c r="S1714" t="s">
        <v>7265</v>
      </c>
      <c r="T1714" t="s">
        <v>11100</v>
      </c>
      <c r="U1714" t="s">
        <v>11100</v>
      </c>
      <c r="V1714" t="s">
        <v>11100</v>
      </c>
      <c r="W1714" t="s">
        <v>12779</v>
      </c>
      <c r="X1714">
        <v>3</v>
      </c>
      <c r="Y1714" t="s">
        <v>18267</v>
      </c>
      <c r="Z1714" t="s">
        <v>23719</v>
      </c>
      <c r="AA1714">
        <v>0.82817618096464807</v>
      </c>
      <c r="AB1714" t="str">
        <f>HYPERLINK("Melting_Curves/meltCurve_P05204_HMGN2.pdf", "Melting_Curves/meltCurve_P05204_HMGN2.pdf")</f>
        <v>Melting_Curves/meltCurve_P05204_HMGN2.pdf</v>
      </c>
    </row>
    <row r="1715" spans="1:28" x14ac:dyDescent="0.25">
      <c r="A1715" t="s">
        <v>1719</v>
      </c>
      <c r="B1715">
        <v>0.99299721793515405</v>
      </c>
      <c r="C1715">
        <v>0.77207855505081502</v>
      </c>
      <c r="D1715">
        <v>0.90690468486978404</v>
      </c>
      <c r="E1715">
        <v>0.92636503679399695</v>
      </c>
      <c r="F1715">
        <v>0.76960571014815704</v>
      </c>
      <c r="G1715">
        <v>0.56798209824228296</v>
      </c>
      <c r="H1715">
        <v>0.490610469988223</v>
      </c>
      <c r="I1715">
        <v>0.67309988527901898</v>
      </c>
      <c r="J1715">
        <v>1.45889974835883</v>
      </c>
      <c r="K1715">
        <v>1.9842638821723499</v>
      </c>
      <c r="L1715">
        <v>15000</v>
      </c>
      <c r="M1715">
        <v>236.414165645217</v>
      </c>
      <c r="O1715">
        <v>63.443441768567403</v>
      </c>
      <c r="P1715">
        <v>0.46579714676609901</v>
      </c>
      <c r="Q1715">
        <v>1.5</v>
      </c>
      <c r="R1715">
        <v>0.50470803748817905</v>
      </c>
      <c r="S1715" t="s">
        <v>7266</v>
      </c>
      <c r="T1715" t="s">
        <v>11100</v>
      </c>
      <c r="U1715" t="s">
        <v>11100</v>
      </c>
      <c r="V1715" t="s">
        <v>11100</v>
      </c>
      <c r="W1715" t="s">
        <v>12780</v>
      </c>
      <c r="X1715">
        <v>2</v>
      </c>
      <c r="Y1715" t="s">
        <v>18268</v>
      </c>
      <c r="Z1715" t="s">
        <v>23720</v>
      </c>
      <c r="AA1715">
        <v>1.0591381803734541</v>
      </c>
      <c r="AB1715" t="str">
        <f>HYPERLINK("Melting_Curves/meltCurve_P05386_RPLP1.pdf", "Melting_Curves/meltCurve_P05386_RPLP1.pdf")</f>
        <v>Melting_Curves/meltCurve_P05386_RPLP1.pdf</v>
      </c>
    </row>
    <row r="1716" spans="1:28" x14ac:dyDescent="0.25">
      <c r="A1716" t="s">
        <v>1720</v>
      </c>
      <c r="B1716">
        <v>0.99299721793515405</v>
      </c>
      <c r="C1716">
        <v>1.0453342414928599</v>
      </c>
      <c r="D1716">
        <v>0.97496529506444096</v>
      </c>
      <c r="E1716">
        <v>0.98494988681609297</v>
      </c>
      <c r="F1716">
        <v>0.79596380452432303</v>
      </c>
      <c r="G1716">
        <v>0.45416181820850499</v>
      </c>
      <c r="H1716">
        <v>0.81863874450583096</v>
      </c>
      <c r="I1716">
        <v>1.3032924116346001</v>
      </c>
      <c r="J1716">
        <v>3.0425576293258598</v>
      </c>
      <c r="K1716">
        <v>3.0853752065459501</v>
      </c>
      <c r="L1716">
        <v>15000</v>
      </c>
      <c r="M1716">
        <v>246.33485686214701</v>
      </c>
      <c r="O1716">
        <v>60.888708650748903</v>
      </c>
      <c r="P1716">
        <v>0.50570718014508298</v>
      </c>
      <c r="Q1716">
        <v>1.5</v>
      </c>
      <c r="R1716">
        <v>0.32148312153061898</v>
      </c>
      <c r="S1716" t="s">
        <v>7267</v>
      </c>
      <c r="T1716" t="s">
        <v>11100</v>
      </c>
      <c r="U1716" t="s">
        <v>11100</v>
      </c>
      <c r="V1716" t="s">
        <v>11100</v>
      </c>
      <c r="W1716" t="s">
        <v>12781</v>
      </c>
      <c r="X1716">
        <v>6</v>
      </c>
      <c r="Y1716" t="s">
        <v>18269</v>
      </c>
      <c r="Z1716" t="s">
        <v>23721</v>
      </c>
      <c r="AA1716">
        <v>1.101732928705655</v>
      </c>
      <c r="AB1716" t="str">
        <f>HYPERLINK("Melting_Curves/meltCurve_P05387_RPLP2.pdf", "Melting_Curves/meltCurve_P05387_RPLP2.pdf")</f>
        <v>Melting_Curves/meltCurve_P05387_RPLP2.pdf</v>
      </c>
    </row>
    <row r="1717" spans="1:28" x14ac:dyDescent="0.25">
      <c r="A1717" t="s">
        <v>1721</v>
      </c>
      <c r="B1717">
        <v>0.99299721793515405</v>
      </c>
      <c r="C1717">
        <v>1.0767808306350899</v>
      </c>
      <c r="D1717">
        <v>0.92910407649615501</v>
      </c>
      <c r="E1717">
        <v>0.91396471795732503</v>
      </c>
      <c r="F1717">
        <v>0.63826970533945004</v>
      </c>
      <c r="G1717">
        <v>0.45474226858804701</v>
      </c>
      <c r="H1717">
        <v>0.61199981854150698</v>
      </c>
      <c r="I1717">
        <v>0.51485647216090502</v>
      </c>
      <c r="J1717">
        <v>0.423467429298308</v>
      </c>
      <c r="K1717">
        <v>0.28176015107139202</v>
      </c>
      <c r="L1717">
        <v>932.14200526075501</v>
      </c>
      <c r="M1717">
        <v>18.837878092233101</v>
      </c>
      <c r="N1717">
        <v>54.876085386471203</v>
      </c>
      <c r="O1717">
        <v>48.934823247249</v>
      </c>
      <c r="P1717">
        <v>-5.5676454734121E-2</v>
      </c>
      <c r="Q1717">
        <v>0.42150488152048299</v>
      </c>
      <c r="R1717">
        <v>0.90208053086746698</v>
      </c>
      <c r="S1717" t="s">
        <v>7268</v>
      </c>
      <c r="T1717" t="s">
        <v>11100</v>
      </c>
      <c r="U1717" t="s">
        <v>11100</v>
      </c>
      <c r="V1717" t="s">
        <v>11100</v>
      </c>
      <c r="W1717" t="s">
        <v>12782</v>
      </c>
      <c r="X1717">
        <v>6</v>
      </c>
      <c r="Y1717" t="s">
        <v>18270</v>
      </c>
      <c r="Z1717" t="s">
        <v>23722</v>
      </c>
      <c r="AA1717">
        <v>0.67067720148692511</v>
      </c>
      <c r="AB1717" t="str">
        <f>HYPERLINK("Melting_Curves/meltCurve_P05388_RPLP0.pdf", "Melting_Curves/meltCurve_P05388_RPLP0.pdf")</f>
        <v>Melting_Curves/meltCurve_P05388_RPLP0.pdf</v>
      </c>
    </row>
    <row r="1718" spans="1:28" x14ac:dyDescent="0.25">
      <c r="A1718" t="s">
        <v>1722</v>
      </c>
      <c r="B1718">
        <v>0.99299721793515405</v>
      </c>
      <c r="C1718">
        <v>1.1722709256108499</v>
      </c>
      <c r="D1718">
        <v>0.89205800353577003</v>
      </c>
      <c r="E1718">
        <v>1.0002307833080399</v>
      </c>
      <c r="F1718">
        <v>0.80675751689061104</v>
      </c>
      <c r="G1718">
        <v>0.688940733948748</v>
      </c>
      <c r="H1718">
        <v>0.57804735251783501</v>
      </c>
      <c r="I1718">
        <v>0.58315389062851097</v>
      </c>
      <c r="J1718">
        <v>0.60467172789043899</v>
      </c>
      <c r="K1718">
        <v>0.52356426735519601</v>
      </c>
      <c r="L1718">
        <v>1157.08762289592</v>
      </c>
      <c r="M1718">
        <v>22.605082449816798</v>
      </c>
      <c r="O1718">
        <v>50.791506402155797</v>
      </c>
      <c r="P1718">
        <v>-4.8804525904426597E-2</v>
      </c>
      <c r="Q1718">
        <v>0.56137187990427295</v>
      </c>
      <c r="R1718">
        <v>0.89535202042275996</v>
      </c>
      <c r="S1718" t="s">
        <v>7269</v>
      </c>
      <c r="T1718" t="s">
        <v>11100</v>
      </c>
      <c r="U1718" t="s">
        <v>11100</v>
      </c>
      <c r="V1718" t="s">
        <v>11100</v>
      </c>
      <c r="W1718" t="s">
        <v>12783</v>
      </c>
      <c r="X1718">
        <v>3</v>
      </c>
      <c r="Y1718" t="s">
        <v>18271</v>
      </c>
      <c r="Z1718" t="s">
        <v>23723</v>
      </c>
      <c r="AA1718">
        <v>0.77344877837171155</v>
      </c>
      <c r="AB1718" t="str">
        <f>HYPERLINK("Melting_Curves/meltCurve_P05412_JUN.pdf", "Melting_Curves/meltCurve_P05412_JUN.pdf")</f>
        <v>Melting_Curves/meltCurve_P05412_JUN.pdf</v>
      </c>
    </row>
    <row r="1719" spans="1:28" x14ac:dyDescent="0.25">
      <c r="A1719" t="s">
        <v>1723</v>
      </c>
      <c r="B1719">
        <v>0.99299721793515405</v>
      </c>
      <c r="C1719">
        <v>1.03402116294282</v>
      </c>
      <c r="D1719">
        <v>0.94444277844676605</v>
      </c>
      <c r="E1719">
        <v>0.86035734873723102</v>
      </c>
      <c r="F1719">
        <v>0.77590654890097799</v>
      </c>
      <c r="G1719">
        <v>0.65323621578206703</v>
      </c>
      <c r="H1719">
        <v>0.340020303983609</v>
      </c>
      <c r="I1719">
        <v>0.15760078285634199</v>
      </c>
      <c r="J1719">
        <v>0.104106973786284</v>
      </c>
      <c r="K1719">
        <v>8.0720915389768499E-2</v>
      </c>
      <c r="L1719">
        <v>783.12059253546295</v>
      </c>
      <c r="M1719">
        <v>14.2428296022666</v>
      </c>
      <c r="N1719">
        <v>54.983498207774304</v>
      </c>
      <c r="O1719">
        <v>53.9336554300125</v>
      </c>
      <c r="P1719">
        <v>-6.6028307229802505E-2</v>
      </c>
      <c r="Q1719">
        <v>0</v>
      </c>
      <c r="R1719">
        <v>0.98837120048539095</v>
      </c>
      <c r="S1719" t="s">
        <v>7270</v>
      </c>
      <c r="T1719" t="s">
        <v>11100</v>
      </c>
      <c r="U1719" t="s">
        <v>11100</v>
      </c>
      <c r="V1719" t="s">
        <v>11100</v>
      </c>
      <c r="W1719" t="s">
        <v>12784</v>
      </c>
      <c r="X1719">
        <v>29</v>
      </c>
      <c r="Y1719" t="s">
        <v>18272</v>
      </c>
      <c r="Z1719" t="s">
        <v>23724</v>
      </c>
      <c r="AA1719">
        <v>0.61382471611381229</v>
      </c>
      <c r="AB1719" t="str">
        <f>HYPERLINK("Melting_Curves/meltCurve_P05455_SSB.pdf", "Melting_Curves/meltCurve_P05455_SSB.pdf")</f>
        <v>Melting_Curves/meltCurve_P05455_SSB.pdf</v>
      </c>
    </row>
    <row r="1720" spans="1:28" x14ac:dyDescent="0.25">
      <c r="A1720" t="s">
        <v>1724</v>
      </c>
      <c r="B1720">
        <v>0.99299721793515405</v>
      </c>
      <c r="C1720">
        <v>0.93470167872353405</v>
      </c>
      <c r="D1720">
        <v>0.94122852895596198</v>
      </c>
      <c r="E1720">
        <v>0.79035413791851195</v>
      </c>
      <c r="F1720">
        <v>0.77196438374632004</v>
      </c>
      <c r="G1720">
        <v>0.58330077356582</v>
      </c>
      <c r="H1720">
        <v>0.58552948971397401</v>
      </c>
      <c r="I1720">
        <v>0.62674646422670099</v>
      </c>
      <c r="J1720">
        <v>0.61503563917315396</v>
      </c>
      <c r="K1720">
        <v>0.61945808417102599</v>
      </c>
      <c r="L1720">
        <v>718.00659855995104</v>
      </c>
      <c r="M1720">
        <v>15.265284047030701</v>
      </c>
      <c r="O1720">
        <v>46.250250032269697</v>
      </c>
      <c r="P1720">
        <v>-3.33681968590714E-2</v>
      </c>
      <c r="Q1720">
        <v>0.59564672531441099</v>
      </c>
      <c r="R1720">
        <v>0.94580173260782097</v>
      </c>
      <c r="S1720" t="s">
        <v>7271</v>
      </c>
      <c r="T1720" t="s">
        <v>11100</v>
      </c>
      <c r="U1720" t="s">
        <v>11100</v>
      </c>
      <c r="V1720" t="s">
        <v>11100</v>
      </c>
      <c r="W1720" t="s">
        <v>12785</v>
      </c>
      <c r="X1720">
        <v>30</v>
      </c>
      <c r="Y1720" t="s">
        <v>18273</v>
      </c>
      <c r="Z1720" t="s">
        <v>23725</v>
      </c>
      <c r="AA1720">
        <v>0.739720471409544</v>
      </c>
      <c r="AB1720" t="str">
        <f>HYPERLINK("Melting_Curves/meltCurve_P05556_ITGB1.pdf", "Melting_Curves/meltCurve_P05556_ITGB1.pdf")</f>
        <v>Melting_Curves/meltCurve_P05556_ITGB1.pdf</v>
      </c>
    </row>
    <row r="1721" spans="1:28" x14ac:dyDescent="0.25">
      <c r="A1721" t="s">
        <v>1725</v>
      </c>
      <c r="B1721">
        <v>0.99299721793515405</v>
      </c>
      <c r="C1721">
        <v>0.86461242100095803</v>
      </c>
      <c r="D1721">
        <v>1.2798367576079099</v>
      </c>
      <c r="E1721">
        <v>0.79446170593685195</v>
      </c>
      <c r="F1721">
        <v>0.76256630663625502</v>
      </c>
      <c r="G1721">
        <v>0.35005194929443401</v>
      </c>
      <c r="H1721">
        <v>0.14266917523393599</v>
      </c>
      <c r="I1721">
        <v>0.118454577058734</v>
      </c>
      <c r="J1721">
        <v>0.106438937352834</v>
      </c>
      <c r="K1721">
        <v>0.186817574512681</v>
      </c>
      <c r="L1721">
        <v>1319.11852844788</v>
      </c>
      <c r="M1721">
        <v>25.5367609250881</v>
      </c>
      <c r="N1721">
        <v>52.208670207502898</v>
      </c>
      <c r="O1721">
        <v>51.342029028339702</v>
      </c>
      <c r="P1721">
        <v>-0.109613046412811</v>
      </c>
      <c r="Q1721">
        <v>0.118496418579775</v>
      </c>
      <c r="R1721">
        <v>0.92025730838518804</v>
      </c>
      <c r="S1721" t="s">
        <v>7272</v>
      </c>
      <c r="T1721" t="s">
        <v>11100</v>
      </c>
      <c r="U1721" t="s">
        <v>11100</v>
      </c>
      <c r="V1721" t="s">
        <v>11100</v>
      </c>
      <c r="W1721" t="s">
        <v>12786</v>
      </c>
      <c r="X1721">
        <v>8</v>
      </c>
      <c r="Y1721" t="s">
        <v>18274</v>
      </c>
      <c r="Z1721" t="s">
        <v>23726</v>
      </c>
      <c r="AA1721">
        <v>0.55663677617868446</v>
      </c>
      <c r="AB1721" t="str">
        <f>HYPERLINK("Melting_Curves/meltCurve_P05771_2_PRKCB.pdf", "Melting_Curves/meltCurve_P05771_2_PRKCB.pdf")</f>
        <v>Melting_Curves/meltCurve_P05771_2_PRKCB.pdf</v>
      </c>
    </row>
    <row r="1722" spans="1:28" x14ac:dyDescent="0.25">
      <c r="A1722" t="s">
        <v>1726</v>
      </c>
      <c r="B1722">
        <v>0.99299721793515405</v>
      </c>
      <c r="C1722">
        <v>0.94205834571769198</v>
      </c>
      <c r="D1722">
        <v>0.85006937284723805</v>
      </c>
      <c r="E1722">
        <v>0.76985626613562297</v>
      </c>
      <c r="F1722">
        <v>0.56215530354944299</v>
      </c>
      <c r="G1722">
        <v>0.60068641169129999</v>
      </c>
      <c r="H1722">
        <v>0.244938514239884</v>
      </c>
      <c r="I1722">
        <v>0.17753757611908999</v>
      </c>
      <c r="J1722">
        <v>0.15136904535829701</v>
      </c>
      <c r="K1722">
        <v>0.12537437246123601</v>
      </c>
      <c r="L1722">
        <v>489.67309070718301</v>
      </c>
      <c r="M1722">
        <v>9.3069331207667894</v>
      </c>
      <c r="N1722">
        <v>52.613797081409999</v>
      </c>
      <c r="O1722">
        <v>50.355982656496003</v>
      </c>
      <c r="P1722">
        <v>-4.6235246078128303E-2</v>
      </c>
      <c r="Q1722">
        <v>0</v>
      </c>
      <c r="R1722">
        <v>0.96822939448568701</v>
      </c>
      <c r="S1722" t="s">
        <v>7273</v>
      </c>
      <c r="T1722" t="s">
        <v>11100</v>
      </c>
      <c r="U1722" t="s">
        <v>11100</v>
      </c>
      <c r="V1722" t="s">
        <v>11100</v>
      </c>
      <c r="W1722" t="s">
        <v>12787</v>
      </c>
      <c r="X1722">
        <v>12</v>
      </c>
      <c r="Y1722" t="s">
        <v>18275</v>
      </c>
      <c r="Z1722" t="s">
        <v>23727</v>
      </c>
      <c r="AA1722">
        <v>0.54493748937933151</v>
      </c>
      <c r="AB1722" t="str">
        <f>HYPERLINK("Melting_Curves/meltCurve_P05783_KRT18.pdf", "Melting_Curves/meltCurve_P05783_KRT18.pdf")</f>
        <v>Melting_Curves/meltCurve_P05783_KRT18.pdf</v>
      </c>
    </row>
    <row r="1723" spans="1:28" x14ac:dyDescent="0.25">
      <c r="A1723" t="s">
        <v>1727</v>
      </c>
      <c r="B1723">
        <v>0.99299721793515405</v>
      </c>
      <c r="C1723">
        <v>1.0234465303059901</v>
      </c>
      <c r="D1723">
        <v>0.90523503167064001</v>
      </c>
      <c r="E1723">
        <v>0.83227989691622395</v>
      </c>
      <c r="F1723">
        <v>0.88920085010404704</v>
      </c>
      <c r="G1723">
        <v>0.84623607266494705</v>
      </c>
      <c r="H1723">
        <v>1.2655116237887001</v>
      </c>
      <c r="I1723">
        <v>1.12692021622844</v>
      </c>
      <c r="J1723">
        <v>1.30833492058212</v>
      </c>
      <c r="K1723">
        <v>1.01446417019797</v>
      </c>
      <c r="L1723">
        <v>4454.9957449874</v>
      </c>
      <c r="M1723">
        <v>79.936502176128002</v>
      </c>
      <c r="O1723">
        <v>55.696832021327999</v>
      </c>
      <c r="P1723">
        <v>6.4289045952768298E-2</v>
      </c>
      <c r="Q1723">
        <v>1.17917699993939</v>
      </c>
      <c r="R1723">
        <v>0.46810984428278601</v>
      </c>
      <c r="S1723" t="s">
        <v>7274</v>
      </c>
      <c r="T1723" t="s">
        <v>11100</v>
      </c>
      <c r="U1723" t="s">
        <v>11100</v>
      </c>
      <c r="V1723" t="s">
        <v>11100</v>
      </c>
      <c r="W1723" t="s">
        <v>12788</v>
      </c>
      <c r="X1723">
        <v>1</v>
      </c>
      <c r="Y1723" t="s">
        <v>18276</v>
      </c>
      <c r="Z1723" t="s">
        <v>23728</v>
      </c>
      <c r="AA1723">
        <v>1.067129038595805</v>
      </c>
      <c r="AB1723" t="str">
        <f>HYPERLINK("Melting_Curves/meltCurve_P05976_2_MYL1.pdf", "Melting_Curves/meltCurve_P05976_2_MYL1.pdf")</f>
        <v>Melting_Curves/meltCurve_P05976_2_MYL1.pdf</v>
      </c>
    </row>
    <row r="1724" spans="1:28" x14ac:dyDescent="0.25">
      <c r="A1724" t="s">
        <v>1728</v>
      </c>
      <c r="B1724">
        <v>0.99299721793515405</v>
      </c>
      <c r="C1724">
        <v>0.99919003469512202</v>
      </c>
      <c r="D1724">
        <v>0.96233731289625501</v>
      </c>
      <c r="E1724">
        <v>1.0369533102244399</v>
      </c>
      <c r="F1724">
        <v>0.80473743689388</v>
      </c>
      <c r="G1724">
        <v>0.687930855486938</v>
      </c>
      <c r="H1724">
        <v>0.71339643323490298</v>
      </c>
      <c r="I1724">
        <v>0.82715860637226601</v>
      </c>
      <c r="J1724">
        <v>0.84467282592438597</v>
      </c>
      <c r="K1724">
        <v>0.49014055169335802</v>
      </c>
      <c r="L1724">
        <v>12512.263975846899</v>
      </c>
      <c r="M1724">
        <v>250</v>
      </c>
      <c r="O1724">
        <v>50.045853129206797</v>
      </c>
      <c r="P1724">
        <v>-0.358846099565863</v>
      </c>
      <c r="Q1724">
        <v>0.71265985341094495</v>
      </c>
      <c r="R1724">
        <v>0.68530270830609996</v>
      </c>
      <c r="S1724" t="s">
        <v>7275</v>
      </c>
      <c r="T1724" t="s">
        <v>11100</v>
      </c>
      <c r="U1724" t="s">
        <v>11100</v>
      </c>
      <c r="V1724" t="s">
        <v>11100</v>
      </c>
      <c r="W1724" t="s">
        <v>12789</v>
      </c>
      <c r="X1724">
        <v>16</v>
      </c>
      <c r="Y1724" t="s">
        <v>18277</v>
      </c>
      <c r="Z1724" t="s">
        <v>23729</v>
      </c>
      <c r="AA1724">
        <v>0.83766901322726761</v>
      </c>
      <c r="AB1724" t="str">
        <f>HYPERLINK("Melting_Curves/meltCurve_P06132_UROD.pdf", "Melting_Curves/meltCurve_P06132_UROD.pdf")</f>
        <v>Melting_Curves/meltCurve_P06132_UROD.pdf</v>
      </c>
    </row>
    <row r="1725" spans="1:28" x14ac:dyDescent="0.25">
      <c r="A1725" t="s">
        <v>1729</v>
      </c>
      <c r="B1725">
        <v>0.99299721793515405</v>
      </c>
      <c r="C1725">
        <v>0.91460710495991004</v>
      </c>
      <c r="D1725">
        <v>0.83845691533595201</v>
      </c>
      <c r="E1725">
        <v>0.78168084038335395</v>
      </c>
      <c r="F1725">
        <v>0.58947359602753502</v>
      </c>
      <c r="G1725">
        <v>0.32480967320010901</v>
      </c>
      <c r="H1725">
        <v>0.20996650442662301</v>
      </c>
      <c r="I1725">
        <v>0.14080122991810701</v>
      </c>
      <c r="J1725">
        <v>0.129128701551085</v>
      </c>
      <c r="K1725">
        <v>0.122239182498369</v>
      </c>
      <c r="L1725">
        <v>599.91313932097705</v>
      </c>
      <c r="M1725">
        <v>11.8655706495238</v>
      </c>
      <c r="N1725">
        <v>50.984553063680004</v>
      </c>
      <c r="O1725">
        <v>49.187234577360698</v>
      </c>
      <c r="P1725">
        <v>-5.7480388518792398E-2</v>
      </c>
      <c r="Q1725">
        <v>4.71289927309686E-2</v>
      </c>
      <c r="R1725">
        <v>0.98975879598910099</v>
      </c>
      <c r="S1725" t="s">
        <v>7276</v>
      </c>
      <c r="T1725" t="s">
        <v>11100</v>
      </c>
      <c r="U1725" t="s">
        <v>11100</v>
      </c>
      <c r="V1725" t="s">
        <v>11100</v>
      </c>
      <c r="W1725" t="s">
        <v>12790</v>
      </c>
      <c r="X1725">
        <v>6</v>
      </c>
      <c r="Y1725" t="s">
        <v>18278</v>
      </c>
      <c r="Z1725" t="s">
        <v>23730</v>
      </c>
      <c r="AA1725">
        <v>0.50377138999406723</v>
      </c>
      <c r="AB1725" t="str">
        <f>HYPERLINK("Melting_Curves/meltCurve_P06241_FYN.pdf", "Melting_Curves/meltCurve_P06241_FYN.pdf")</f>
        <v>Melting_Curves/meltCurve_P06241_FYN.pdf</v>
      </c>
    </row>
    <row r="1726" spans="1:28" x14ac:dyDescent="0.25">
      <c r="A1726" t="s">
        <v>1730</v>
      </c>
      <c r="B1726">
        <v>0.99299721793515405</v>
      </c>
      <c r="C1726">
        <v>0.71100218576571705</v>
      </c>
      <c r="D1726">
        <v>0.97533329862868201</v>
      </c>
      <c r="E1726">
        <v>0.67827012115725405</v>
      </c>
      <c r="F1726">
        <v>0.65581086187243498</v>
      </c>
      <c r="G1726">
        <v>0.52849478125427096</v>
      </c>
      <c r="H1726">
        <v>0.44862674814027498</v>
      </c>
      <c r="I1726">
        <v>0.35126197530719699</v>
      </c>
      <c r="J1726">
        <v>0.29237738380114497</v>
      </c>
      <c r="K1726">
        <v>0.16383593807416</v>
      </c>
      <c r="L1726">
        <v>337.65497364784397</v>
      </c>
      <c r="M1726">
        <v>6.2043661130263796</v>
      </c>
      <c r="N1726">
        <v>54.422154897502402</v>
      </c>
      <c r="O1726">
        <v>49.5851918504179</v>
      </c>
      <c r="P1726">
        <v>-3.1371209994644003E-2</v>
      </c>
      <c r="Q1726">
        <v>0</v>
      </c>
      <c r="R1726">
        <v>0.898817225329402</v>
      </c>
      <c r="S1726" t="s">
        <v>7277</v>
      </c>
      <c r="T1726" t="s">
        <v>11100</v>
      </c>
      <c r="U1726" t="s">
        <v>11100</v>
      </c>
      <c r="V1726" t="s">
        <v>11100</v>
      </c>
      <c r="W1726" t="s">
        <v>12791</v>
      </c>
      <c r="X1726">
        <v>4</v>
      </c>
      <c r="Y1726" t="s">
        <v>18279</v>
      </c>
      <c r="Z1726" t="s">
        <v>23731</v>
      </c>
      <c r="AA1726">
        <v>0.58409336153647584</v>
      </c>
      <c r="AB1726" t="str">
        <f>HYPERLINK("Melting_Curves/meltCurve_P06280_GLA.pdf", "Melting_Curves/meltCurve_P06280_GLA.pdf")</f>
        <v>Melting_Curves/meltCurve_P06280_GLA.pdf</v>
      </c>
    </row>
    <row r="1727" spans="1:28" x14ac:dyDescent="0.25">
      <c r="A1727" t="s">
        <v>1731</v>
      </c>
      <c r="B1727">
        <v>0.99299721793515405</v>
      </c>
      <c r="C1727">
        <v>0.78826260632147405</v>
      </c>
      <c r="D1727">
        <v>0.75512745607955001</v>
      </c>
      <c r="E1727">
        <v>0.77639012678954999</v>
      </c>
      <c r="F1727">
        <v>0.70355700863208703</v>
      </c>
      <c r="G1727">
        <v>0.57600517424042197</v>
      </c>
      <c r="H1727">
        <v>0.37838521705410599</v>
      </c>
      <c r="I1727">
        <v>0.33964290550283099</v>
      </c>
      <c r="J1727">
        <v>0.22480806897224201</v>
      </c>
      <c r="K1727">
        <v>0.21163726963659801</v>
      </c>
      <c r="L1727">
        <v>340.09566300810002</v>
      </c>
      <c r="M1727">
        <v>6.2648424297718703</v>
      </c>
      <c r="N1727">
        <v>54.286387377753599</v>
      </c>
      <c r="O1727">
        <v>49.541280261372101</v>
      </c>
      <c r="P1727">
        <v>-3.1701963259448497E-2</v>
      </c>
      <c r="Q1727">
        <v>0</v>
      </c>
      <c r="R1727">
        <v>0.94121038121144496</v>
      </c>
      <c r="S1727" t="s">
        <v>7278</v>
      </c>
      <c r="T1727" t="s">
        <v>11100</v>
      </c>
      <c r="U1727" t="s">
        <v>11100</v>
      </c>
      <c r="V1727" t="s">
        <v>11100</v>
      </c>
      <c r="W1727" t="s">
        <v>12792</v>
      </c>
      <c r="X1727">
        <v>1</v>
      </c>
      <c r="Y1727" t="s">
        <v>18280</v>
      </c>
      <c r="Z1727" t="s">
        <v>23732</v>
      </c>
      <c r="AA1727">
        <v>0.58138251949117892</v>
      </c>
      <c r="AB1727" t="str">
        <f>HYPERLINK("Melting_Curves/meltCurve_P06400_RB1.pdf", "Melting_Curves/meltCurve_P06400_RB1.pdf")</f>
        <v>Melting_Curves/meltCurve_P06400_RB1.pdf</v>
      </c>
    </row>
    <row r="1728" spans="1:28" x14ac:dyDescent="0.25">
      <c r="A1728" t="s">
        <v>1732</v>
      </c>
      <c r="B1728">
        <v>0.99299721793515405</v>
      </c>
      <c r="C1728">
        <v>0.98205874756353395</v>
      </c>
      <c r="D1728">
        <v>0.94399952258471198</v>
      </c>
      <c r="E1728">
        <v>0.86652766138068604</v>
      </c>
      <c r="F1728">
        <v>0.56465886820447198</v>
      </c>
      <c r="G1728">
        <v>0.24269503291685801</v>
      </c>
      <c r="H1728">
        <v>0.192960890437576</v>
      </c>
      <c r="I1728">
        <v>0.18077354640874299</v>
      </c>
      <c r="J1728">
        <v>0.15326393645446701</v>
      </c>
      <c r="K1728">
        <v>0.118083790896818</v>
      </c>
      <c r="L1728">
        <v>1185.7307478023199</v>
      </c>
      <c r="M1728">
        <v>23.734707638323801</v>
      </c>
      <c r="N1728">
        <v>50.672571803831097</v>
      </c>
      <c r="O1728">
        <v>49.607087475267797</v>
      </c>
      <c r="P1728">
        <v>-0.10259671833827599</v>
      </c>
      <c r="Q1728">
        <v>0.14227884567219201</v>
      </c>
      <c r="R1728">
        <v>0.99643521053832895</v>
      </c>
      <c r="S1728" t="s">
        <v>7279</v>
      </c>
      <c r="T1728" t="s">
        <v>11100</v>
      </c>
      <c r="U1728" t="s">
        <v>11100</v>
      </c>
      <c r="V1728" t="s">
        <v>11100</v>
      </c>
      <c r="W1728" t="s">
        <v>12793</v>
      </c>
      <c r="X1728">
        <v>18</v>
      </c>
      <c r="Y1728" t="s">
        <v>18281</v>
      </c>
      <c r="Z1728" t="s">
        <v>23733</v>
      </c>
      <c r="AA1728">
        <v>0.52102021764252249</v>
      </c>
      <c r="AB1728" t="str">
        <f>HYPERLINK("Melting_Curves/meltCurve_P06493_CDK1.pdf", "Melting_Curves/meltCurve_P06493_CDK1.pdf")</f>
        <v>Melting_Curves/meltCurve_P06493_CDK1.pdf</v>
      </c>
    </row>
    <row r="1729" spans="1:28" x14ac:dyDescent="0.25">
      <c r="A1729" t="s">
        <v>1733</v>
      </c>
      <c r="B1729">
        <v>0.99299721793515405</v>
      </c>
      <c r="C1729">
        <v>0.98904994392561496</v>
      </c>
      <c r="D1729">
        <v>0.96467945333516902</v>
      </c>
      <c r="E1729">
        <v>0.92480982254716304</v>
      </c>
      <c r="F1729">
        <v>0.824415081051457</v>
      </c>
      <c r="G1729">
        <v>1.2091484786887401</v>
      </c>
      <c r="H1729">
        <v>0.98049948920594199</v>
      </c>
      <c r="I1729">
        <v>1.0221113425059101</v>
      </c>
      <c r="J1729">
        <v>0.87819594786447697</v>
      </c>
      <c r="K1729">
        <v>0.77429684999023396</v>
      </c>
      <c r="L1729">
        <v>15000</v>
      </c>
      <c r="M1729">
        <v>234.168265079088</v>
      </c>
      <c r="O1729">
        <v>64.051836217566304</v>
      </c>
      <c r="P1729">
        <v>-0.20629529016894299</v>
      </c>
      <c r="Q1729">
        <v>0.77428895659390096</v>
      </c>
      <c r="R1729">
        <v>0.36011274691429401</v>
      </c>
      <c r="S1729" t="s">
        <v>7280</v>
      </c>
      <c r="T1729" t="s">
        <v>11100</v>
      </c>
      <c r="U1729" t="s">
        <v>11100</v>
      </c>
      <c r="V1729" t="s">
        <v>11100</v>
      </c>
      <c r="W1729" t="s">
        <v>12794</v>
      </c>
      <c r="X1729">
        <v>30</v>
      </c>
      <c r="Y1729" t="s">
        <v>18282</v>
      </c>
      <c r="Z1729" t="s">
        <v>23734</v>
      </c>
      <c r="AA1729">
        <v>0.97788284628375444</v>
      </c>
      <c r="AB1729" t="str">
        <f>HYPERLINK("Melting_Curves/meltCurve_P06576_ATP5B.pdf", "Melting_Curves/meltCurve_P06576_ATP5B.pdf")</f>
        <v>Melting_Curves/meltCurve_P06576_ATP5B.pdf</v>
      </c>
    </row>
    <row r="1730" spans="1:28" x14ac:dyDescent="0.25">
      <c r="A1730" t="s">
        <v>1734</v>
      </c>
      <c r="B1730">
        <v>0.99299721793515405</v>
      </c>
      <c r="C1730">
        <v>1.01649799999934</v>
      </c>
      <c r="D1730">
        <v>0.98292237134374805</v>
      </c>
      <c r="E1730">
        <v>0.96136367164127301</v>
      </c>
      <c r="F1730">
        <v>0.79988801343943094</v>
      </c>
      <c r="G1730">
        <v>0.73160672655192005</v>
      </c>
      <c r="H1730">
        <v>0.64611455360158598</v>
      </c>
      <c r="I1730">
        <v>0.630352636590923</v>
      </c>
      <c r="J1730">
        <v>0.26715097777575503</v>
      </c>
      <c r="K1730">
        <v>9.6603104514277005E-2</v>
      </c>
      <c r="L1730">
        <v>678.86487062372601</v>
      </c>
      <c r="M1730">
        <v>11.346289741141399</v>
      </c>
      <c r="N1730">
        <v>59.831441502994103</v>
      </c>
      <c r="O1730">
        <v>58.063286949370799</v>
      </c>
      <c r="P1730">
        <v>-4.8867729346162098E-2</v>
      </c>
      <c r="Q1730">
        <v>0</v>
      </c>
      <c r="R1730">
        <v>0.92504948226492401</v>
      </c>
      <c r="S1730" t="s">
        <v>7281</v>
      </c>
      <c r="T1730" t="s">
        <v>11100</v>
      </c>
      <c r="U1730" t="s">
        <v>11100</v>
      </c>
      <c r="V1730" t="s">
        <v>11100</v>
      </c>
      <c r="W1730" t="s">
        <v>12795</v>
      </c>
      <c r="X1730">
        <v>66</v>
      </c>
      <c r="Y1730" t="s">
        <v>18283</v>
      </c>
      <c r="Z1730" t="s">
        <v>23735</v>
      </c>
      <c r="AA1730">
        <v>0.74329452498014237</v>
      </c>
      <c r="AB1730" t="str">
        <f>HYPERLINK("Melting_Curves/meltCurve_P06733_ENO1.pdf", "Melting_Curves/meltCurve_P06733_ENO1.pdf")</f>
        <v>Melting_Curves/meltCurve_P06733_ENO1.pdf</v>
      </c>
    </row>
    <row r="1731" spans="1:28" x14ac:dyDescent="0.25">
      <c r="A1731" t="s">
        <v>1735</v>
      </c>
      <c r="B1731">
        <v>0.99299721793515405</v>
      </c>
      <c r="C1731">
        <v>1.0067297879270101</v>
      </c>
      <c r="D1731">
        <v>0.89256204523191196</v>
      </c>
      <c r="E1731">
        <v>0.85190696504452101</v>
      </c>
      <c r="F1731">
        <v>0.83688752390665899</v>
      </c>
      <c r="G1731">
        <v>0.87132832772299795</v>
      </c>
      <c r="H1731">
        <v>0.79854858762175196</v>
      </c>
      <c r="I1731">
        <v>0.65060610428842303</v>
      </c>
      <c r="J1731">
        <v>0.34486158110776899</v>
      </c>
      <c r="K1731">
        <v>0.16921648017750399</v>
      </c>
      <c r="L1731">
        <v>1000.7834068632</v>
      </c>
      <c r="M1731">
        <v>16.1481964385267</v>
      </c>
      <c r="N1731">
        <v>61.974934031366601</v>
      </c>
      <c r="O1731">
        <v>61.0478793164704</v>
      </c>
      <c r="P1731">
        <v>-6.6134230866963198E-2</v>
      </c>
      <c r="Q1731">
        <v>0</v>
      </c>
      <c r="R1731">
        <v>0.90413042104372998</v>
      </c>
      <c r="S1731" t="s">
        <v>7282</v>
      </c>
      <c r="T1731" t="s">
        <v>11100</v>
      </c>
      <c r="U1731" t="s">
        <v>11100</v>
      </c>
      <c r="V1731" t="s">
        <v>11100</v>
      </c>
      <c r="W1731" t="s">
        <v>12796</v>
      </c>
      <c r="X1731">
        <v>29</v>
      </c>
      <c r="Y1731" t="s">
        <v>18284</v>
      </c>
      <c r="Z1731" t="s">
        <v>23736</v>
      </c>
      <c r="AA1731">
        <v>0.81394465940932437</v>
      </c>
      <c r="AB1731" t="str">
        <f>HYPERLINK("Melting_Curves/meltCurve_P06737_2_PYGL.pdf", "Melting_Curves/meltCurve_P06737_2_PYGL.pdf")</f>
        <v>Melting_Curves/meltCurve_P06737_2_PYGL.pdf</v>
      </c>
    </row>
    <row r="1732" spans="1:28" x14ac:dyDescent="0.25">
      <c r="A1732" t="s">
        <v>1736</v>
      </c>
      <c r="B1732">
        <v>0.99299721793515405</v>
      </c>
      <c r="C1732">
        <v>0.98614120648805104</v>
      </c>
      <c r="D1732">
        <v>0.92598622468675096</v>
      </c>
      <c r="E1732">
        <v>0.82211752791425496</v>
      </c>
      <c r="F1732">
        <v>0.70655141576274905</v>
      </c>
      <c r="G1732">
        <v>0.63077949359874996</v>
      </c>
      <c r="H1732">
        <v>0.50768871069844501</v>
      </c>
      <c r="I1732">
        <v>0.30220683732451198</v>
      </c>
      <c r="J1732">
        <v>0.118440268623886</v>
      </c>
      <c r="K1732">
        <v>9.7483117486954804E-2</v>
      </c>
      <c r="L1732">
        <v>569.88226092237198</v>
      </c>
      <c r="M1732">
        <v>10.251639129523801</v>
      </c>
      <c r="N1732">
        <v>55.589366530532502</v>
      </c>
      <c r="O1732">
        <v>53.598737573174198</v>
      </c>
      <c r="P1732">
        <v>-4.7837754336139897E-2</v>
      </c>
      <c r="Q1732">
        <v>0</v>
      </c>
      <c r="R1732">
        <v>0.97543809671845605</v>
      </c>
      <c r="S1732" t="s">
        <v>7283</v>
      </c>
      <c r="T1732" t="s">
        <v>11100</v>
      </c>
      <c r="U1732" t="s">
        <v>11100</v>
      </c>
      <c r="V1732" t="s">
        <v>11100</v>
      </c>
      <c r="W1732" t="s">
        <v>12797</v>
      </c>
      <c r="X1732">
        <v>25</v>
      </c>
      <c r="Y1732" t="s">
        <v>18285</v>
      </c>
      <c r="Z1732" t="s">
        <v>23737</v>
      </c>
      <c r="AA1732">
        <v>0.62884584048349379</v>
      </c>
      <c r="AB1732" t="str">
        <f>HYPERLINK("Melting_Curves/meltCurve_P06744_GPI.pdf", "Melting_Curves/meltCurve_P06744_GPI.pdf")</f>
        <v>Melting_Curves/meltCurve_P06744_GPI.pdf</v>
      </c>
    </row>
    <row r="1733" spans="1:28" x14ac:dyDescent="0.25">
      <c r="A1733" t="s">
        <v>1737</v>
      </c>
      <c r="B1733">
        <v>0.99299721793515405</v>
      </c>
      <c r="C1733">
        <v>0.957596517770538</v>
      </c>
      <c r="D1733">
        <v>1.1530062314637901</v>
      </c>
      <c r="E1733">
        <v>0.93151228918622297</v>
      </c>
      <c r="F1733">
        <v>0.75520189517028802</v>
      </c>
      <c r="G1733">
        <v>0.73268682125448104</v>
      </c>
      <c r="H1733">
        <v>0.53713756891381403</v>
      </c>
      <c r="I1733">
        <v>0.490363669517209</v>
      </c>
      <c r="J1733">
        <v>0.54116478366196696</v>
      </c>
      <c r="K1733">
        <v>0.471100890389055</v>
      </c>
      <c r="L1733">
        <v>922.19436835079296</v>
      </c>
      <c r="M1733">
        <v>17.7508948731634</v>
      </c>
      <c r="N1733">
        <v>63.852491437535697</v>
      </c>
      <c r="O1733">
        <v>51.306107015414902</v>
      </c>
      <c r="P1733">
        <v>-4.4831746991036203E-2</v>
      </c>
      <c r="Q1733">
        <v>0.48171121807545902</v>
      </c>
      <c r="R1733">
        <v>0.92218483108413796</v>
      </c>
      <c r="S1733" t="s">
        <v>7284</v>
      </c>
      <c r="T1733" t="s">
        <v>11100</v>
      </c>
      <c r="U1733" t="s">
        <v>11100</v>
      </c>
      <c r="V1733" t="s">
        <v>11100</v>
      </c>
      <c r="W1733" t="s">
        <v>12798</v>
      </c>
      <c r="X1733">
        <v>14</v>
      </c>
      <c r="Y1733" t="s">
        <v>18286</v>
      </c>
      <c r="Z1733" t="s">
        <v>23738</v>
      </c>
      <c r="AA1733">
        <v>0.74803190775459738</v>
      </c>
      <c r="AB1733" t="str">
        <f>HYPERLINK("Melting_Curves/meltCurve_P06748_NPM1.pdf", "Melting_Curves/meltCurve_P06748_NPM1.pdf")</f>
        <v>Melting_Curves/meltCurve_P06748_NPM1.pdf</v>
      </c>
    </row>
    <row r="1734" spans="1:28" x14ac:dyDescent="0.25">
      <c r="A1734" t="s">
        <v>1738</v>
      </c>
      <c r="B1734">
        <v>0.99299721793515405</v>
      </c>
      <c r="C1734">
        <v>0.94293477974309303</v>
      </c>
      <c r="D1734">
        <v>1.0840425130426701</v>
      </c>
      <c r="E1734">
        <v>0.91490117103635005</v>
      </c>
      <c r="F1734">
        <v>0.79094893021899604</v>
      </c>
      <c r="G1734">
        <v>0.68615038719550103</v>
      </c>
      <c r="H1734">
        <v>0.59618113465190503</v>
      </c>
      <c r="I1734">
        <v>0.74737520964668602</v>
      </c>
      <c r="J1734">
        <v>0.88848900688351695</v>
      </c>
      <c r="K1734">
        <v>0.758449337961974</v>
      </c>
      <c r="L1734">
        <v>1969.83645520192</v>
      </c>
      <c r="M1734">
        <v>41.3045192280374</v>
      </c>
      <c r="O1734">
        <v>47.5792164965845</v>
      </c>
      <c r="P1734">
        <v>-5.6758462457605498E-2</v>
      </c>
      <c r="Q1734">
        <v>0.73847730258031696</v>
      </c>
      <c r="R1734">
        <v>0.71406779109311302</v>
      </c>
      <c r="S1734" t="s">
        <v>7285</v>
      </c>
      <c r="T1734" t="s">
        <v>11100</v>
      </c>
      <c r="U1734" t="s">
        <v>11100</v>
      </c>
      <c r="V1734" t="s">
        <v>11100</v>
      </c>
      <c r="W1734" t="s">
        <v>12799</v>
      </c>
      <c r="X1734">
        <v>57</v>
      </c>
      <c r="Y1734" t="s">
        <v>17558</v>
      </c>
      <c r="Z1734" t="s">
        <v>23739</v>
      </c>
      <c r="AA1734">
        <v>0.83247980345720773</v>
      </c>
      <c r="AB1734" t="str">
        <f>HYPERLINK("Melting_Curves/meltCurve_P06753_2_TPM3.pdf", "Melting_Curves/meltCurve_P06753_2_TPM3.pdf")</f>
        <v>Melting_Curves/meltCurve_P06753_2_TPM3.pdf</v>
      </c>
    </row>
    <row r="1735" spans="1:28" x14ac:dyDescent="0.25">
      <c r="A1735" t="s">
        <v>1739</v>
      </c>
      <c r="B1735">
        <v>0.99299721793515405</v>
      </c>
      <c r="C1735">
        <v>1.00386773332515</v>
      </c>
      <c r="D1735">
        <v>0.89549183460395199</v>
      </c>
      <c r="E1735">
        <v>0.86228960593486204</v>
      </c>
      <c r="F1735">
        <v>0.82443777435674204</v>
      </c>
      <c r="G1735">
        <v>0.60479911673117803</v>
      </c>
      <c r="H1735">
        <v>0.73618806025343997</v>
      </c>
      <c r="I1735">
        <v>0.87288339282780603</v>
      </c>
      <c r="J1735">
        <v>1.0143408749332401</v>
      </c>
      <c r="K1735">
        <v>0.84013853213643896</v>
      </c>
      <c r="L1735">
        <v>1387.9847858012099</v>
      </c>
      <c r="M1735">
        <v>32.321924665329902</v>
      </c>
      <c r="O1735">
        <v>42.779139886825199</v>
      </c>
      <c r="P1735">
        <v>-3.4185927230771997E-2</v>
      </c>
      <c r="Q1735">
        <v>0.81901604460546296</v>
      </c>
      <c r="R1735">
        <v>0.34178046318586902</v>
      </c>
      <c r="S1735" t="s">
        <v>7286</v>
      </c>
      <c r="T1735" t="s">
        <v>11100</v>
      </c>
      <c r="U1735" t="s">
        <v>11100</v>
      </c>
      <c r="V1735" t="s">
        <v>11100</v>
      </c>
      <c r="W1735" t="s">
        <v>12800</v>
      </c>
      <c r="X1735">
        <v>10</v>
      </c>
      <c r="Y1735" t="s">
        <v>18287</v>
      </c>
      <c r="Z1735" t="s">
        <v>23740</v>
      </c>
      <c r="AA1735">
        <v>0.85572418477305556</v>
      </c>
      <c r="AB1735" t="str">
        <f>HYPERLINK("Melting_Curves/meltCurve_P06756_3_ITGAV.pdf", "Melting_Curves/meltCurve_P06756_3_ITGAV.pdf")</f>
        <v>Melting_Curves/meltCurve_P06756_3_ITGAV.pdf</v>
      </c>
    </row>
    <row r="1736" spans="1:28" x14ac:dyDescent="0.25">
      <c r="A1736" t="s">
        <v>1740</v>
      </c>
      <c r="B1736">
        <v>0.99299721793515405</v>
      </c>
      <c r="C1736">
        <v>1.0149723866391001</v>
      </c>
      <c r="D1736">
        <v>0.76292443048416003</v>
      </c>
      <c r="E1736">
        <v>0.79331464844738098</v>
      </c>
      <c r="F1736">
        <v>0.728335898624072</v>
      </c>
      <c r="G1736">
        <v>0.45653453732645599</v>
      </c>
      <c r="H1736">
        <v>0.515223313217678</v>
      </c>
      <c r="I1736">
        <v>0.62898743042616101</v>
      </c>
      <c r="J1736">
        <v>0.74723385065922199</v>
      </c>
      <c r="K1736">
        <v>0.65881350094661195</v>
      </c>
      <c r="L1736">
        <v>793.991483855213</v>
      </c>
      <c r="M1736">
        <v>17.9998089277668</v>
      </c>
      <c r="O1736">
        <v>43.577459892223303</v>
      </c>
      <c r="P1736">
        <v>-3.9640058421384301E-2</v>
      </c>
      <c r="Q1736">
        <v>0.61614529750643598</v>
      </c>
      <c r="R1736">
        <v>0.71589010806223596</v>
      </c>
      <c r="S1736" t="s">
        <v>7287</v>
      </c>
      <c r="T1736" t="s">
        <v>11100</v>
      </c>
      <c r="U1736" t="s">
        <v>11100</v>
      </c>
      <c r="V1736" t="s">
        <v>11100</v>
      </c>
      <c r="W1736" t="s">
        <v>12801</v>
      </c>
      <c r="X1736">
        <v>1</v>
      </c>
      <c r="Y1736" t="s">
        <v>18288</v>
      </c>
      <c r="Z1736" t="s">
        <v>23741</v>
      </c>
      <c r="AA1736">
        <v>0.71357344830396108</v>
      </c>
      <c r="AB1736" t="str">
        <f>HYPERLINK("Melting_Curves/meltCurve_P07108_DBI.pdf", "Melting_Curves/meltCurve_P07108_DBI.pdf")</f>
        <v>Melting_Curves/meltCurve_P07108_DBI.pdf</v>
      </c>
    </row>
    <row r="1737" spans="1:28" x14ac:dyDescent="0.25">
      <c r="A1737" t="s">
        <v>1741</v>
      </c>
      <c r="B1737">
        <v>0.99299721793515405</v>
      </c>
      <c r="C1737">
        <v>1.02957990185147</v>
      </c>
      <c r="D1737">
        <v>0.920841479356724</v>
      </c>
      <c r="E1737">
        <v>0.95032052841217796</v>
      </c>
      <c r="F1737">
        <v>0.81244574587353602</v>
      </c>
      <c r="G1737">
        <v>0.77461395289399004</v>
      </c>
      <c r="H1737">
        <v>0.92543497048149603</v>
      </c>
      <c r="I1737">
        <v>1.0558131127861401</v>
      </c>
      <c r="J1737">
        <v>1.0914089609744999</v>
      </c>
      <c r="K1737">
        <v>0.80274625504401398</v>
      </c>
      <c r="L1737">
        <v>10628.8427070545</v>
      </c>
      <c r="M1737">
        <v>250</v>
      </c>
      <c r="O1737">
        <v>42.512650502900598</v>
      </c>
      <c r="P1737">
        <v>-0.12332810550890801</v>
      </c>
      <c r="Q1737">
        <v>0.91611192649403395</v>
      </c>
      <c r="R1737">
        <v>0.12784440091590399</v>
      </c>
      <c r="S1737" t="s">
        <v>7288</v>
      </c>
      <c r="T1737" t="s">
        <v>11100</v>
      </c>
      <c r="U1737" t="s">
        <v>11100</v>
      </c>
      <c r="V1737" t="s">
        <v>11100</v>
      </c>
      <c r="W1737" t="s">
        <v>12802</v>
      </c>
      <c r="X1737">
        <v>26</v>
      </c>
      <c r="Y1737" t="s">
        <v>16857</v>
      </c>
      <c r="Z1737" t="s">
        <v>23742</v>
      </c>
      <c r="AA1737">
        <v>0.9315406468181634</v>
      </c>
      <c r="AB1737" t="str">
        <f>HYPERLINK("Melting_Curves/meltCurve_P07195_LDHB.pdf", "Melting_Curves/meltCurve_P07195_LDHB.pdf")</f>
        <v>Melting_Curves/meltCurve_P07195_LDHB.pdf</v>
      </c>
    </row>
    <row r="1738" spans="1:28" x14ac:dyDescent="0.25">
      <c r="A1738" t="s">
        <v>1742</v>
      </c>
      <c r="B1738">
        <v>0.99299721793515405</v>
      </c>
      <c r="C1738">
        <v>0.95583568467311997</v>
      </c>
      <c r="D1738">
        <v>1.04694827485787</v>
      </c>
      <c r="E1738">
        <v>0.83895310414586599</v>
      </c>
      <c r="F1738">
        <v>0.67641760681249996</v>
      </c>
      <c r="G1738">
        <v>1.54664650712436</v>
      </c>
      <c r="H1738">
        <v>1.2534205086000201</v>
      </c>
      <c r="I1738">
        <v>0.84521550122007905</v>
      </c>
      <c r="J1738">
        <v>0.57030500449436605</v>
      </c>
      <c r="K1738">
        <v>0.44622573953651201</v>
      </c>
      <c r="L1738">
        <v>3496.9639081236701</v>
      </c>
      <c r="M1738">
        <v>56.104564504819102</v>
      </c>
      <c r="N1738">
        <v>65.0097772167166</v>
      </c>
      <c r="O1738">
        <v>62.250364505893899</v>
      </c>
      <c r="P1738">
        <v>-0.12380613610888801</v>
      </c>
      <c r="Q1738">
        <v>0.45052793332642999</v>
      </c>
      <c r="R1738">
        <v>0.46875627142633303</v>
      </c>
      <c r="S1738" t="s">
        <v>7289</v>
      </c>
      <c r="T1738" t="s">
        <v>11100</v>
      </c>
      <c r="U1738" t="s">
        <v>11100</v>
      </c>
      <c r="V1738" t="s">
        <v>11100</v>
      </c>
      <c r="W1738" t="s">
        <v>12803</v>
      </c>
      <c r="X1738">
        <v>21</v>
      </c>
      <c r="Y1738" t="s">
        <v>18289</v>
      </c>
      <c r="Z1738" t="s">
        <v>23743</v>
      </c>
      <c r="AA1738">
        <v>0.91516790064107523</v>
      </c>
      <c r="AB1738" t="str">
        <f>HYPERLINK("Melting_Curves/meltCurve_P07196_NEFL.pdf", "Melting_Curves/meltCurve_P07196_NEFL.pdf")</f>
        <v>Melting_Curves/meltCurve_P07196_NEFL.pdf</v>
      </c>
    </row>
    <row r="1739" spans="1:28" x14ac:dyDescent="0.25">
      <c r="A1739" t="s">
        <v>1743</v>
      </c>
      <c r="B1739">
        <v>0.99299721793515405</v>
      </c>
      <c r="C1739">
        <v>1.02909727811174</v>
      </c>
      <c r="D1739">
        <v>0.78162331790879902</v>
      </c>
      <c r="E1739">
        <v>0.81896474317224999</v>
      </c>
      <c r="F1739">
        <v>0.61786935719501801</v>
      </c>
      <c r="G1739">
        <v>0.439480055569475</v>
      </c>
      <c r="H1739">
        <v>0.47857246543036902</v>
      </c>
      <c r="I1739">
        <v>0.59299486625473097</v>
      </c>
      <c r="J1739">
        <v>0.76309695997925397</v>
      </c>
      <c r="K1739">
        <v>0.74607233162293396</v>
      </c>
      <c r="L1739">
        <v>939.93803105343295</v>
      </c>
      <c r="M1739">
        <v>21.195439172385701</v>
      </c>
      <c r="O1739">
        <v>43.957151149555301</v>
      </c>
      <c r="P1739">
        <v>-4.7119789195041797E-2</v>
      </c>
      <c r="Q1739">
        <v>0.60912381324933496</v>
      </c>
      <c r="R1739">
        <v>0.66952623900992803</v>
      </c>
      <c r="S1739" t="s">
        <v>7290</v>
      </c>
      <c r="T1739" t="s">
        <v>11100</v>
      </c>
      <c r="U1739" t="s">
        <v>11100</v>
      </c>
      <c r="V1739" t="s">
        <v>11100</v>
      </c>
      <c r="W1739" t="s">
        <v>12804</v>
      </c>
      <c r="X1739">
        <v>7</v>
      </c>
      <c r="Y1739" t="s">
        <v>18290</v>
      </c>
      <c r="Z1739" t="s">
        <v>23744</v>
      </c>
      <c r="AA1739">
        <v>0.70941464176824331</v>
      </c>
      <c r="AB1739" t="str">
        <f>HYPERLINK("Melting_Curves/meltCurve_P07203_GPX1.pdf", "Melting_Curves/meltCurve_P07203_GPX1.pdf")</f>
        <v>Melting_Curves/meltCurve_P07203_GPX1.pdf</v>
      </c>
    </row>
    <row r="1740" spans="1:28" x14ac:dyDescent="0.25">
      <c r="A1740" t="s">
        <v>1744</v>
      </c>
      <c r="B1740">
        <v>0.99299721793515405</v>
      </c>
      <c r="C1740">
        <v>0.72940741845535195</v>
      </c>
      <c r="D1740">
        <v>0.94149412772275798</v>
      </c>
      <c r="E1740">
        <v>0.71986679835868805</v>
      </c>
      <c r="F1740">
        <v>0.74117583555427802</v>
      </c>
      <c r="G1740">
        <v>0.65841205118637602</v>
      </c>
      <c r="H1740">
        <v>0.38747222849450702</v>
      </c>
      <c r="I1740">
        <v>0.69644145975056704</v>
      </c>
      <c r="J1740">
        <v>0.67687451090254303</v>
      </c>
      <c r="K1740">
        <v>0.63823849487339002</v>
      </c>
      <c r="L1740">
        <v>417.05366837631101</v>
      </c>
      <c r="M1740">
        <v>9.5171159133806302</v>
      </c>
      <c r="O1740">
        <v>42.017574305487798</v>
      </c>
      <c r="P1740">
        <v>-2.30787397648132E-2</v>
      </c>
      <c r="Q1740">
        <v>0.59267372149018505</v>
      </c>
      <c r="R1740">
        <v>0.52597026788330803</v>
      </c>
      <c r="S1740" t="s">
        <v>7291</v>
      </c>
      <c r="T1740" t="s">
        <v>11100</v>
      </c>
      <c r="U1740" t="s">
        <v>11100</v>
      </c>
      <c r="V1740" t="s">
        <v>11100</v>
      </c>
      <c r="W1740" t="s">
        <v>12805</v>
      </c>
      <c r="X1740">
        <v>1</v>
      </c>
      <c r="Y1740" t="s">
        <v>18291</v>
      </c>
      <c r="Z1740" t="s">
        <v>23745</v>
      </c>
      <c r="AA1740">
        <v>0.70917796751646023</v>
      </c>
      <c r="AB1740" t="str">
        <f>HYPERLINK("Melting_Curves/meltCurve_P07204_THBD.pdf", "Melting_Curves/meltCurve_P07204_THBD.pdf")</f>
        <v>Melting_Curves/meltCurve_P07204_THBD.pdf</v>
      </c>
    </row>
    <row r="1741" spans="1:28" x14ac:dyDescent="0.25">
      <c r="A1741" t="s">
        <v>1745</v>
      </c>
      <c r="B1741">
        <v>0.99299721793515405</v>
      </c>
      <c r="C1741">
        <v>0.90611306436085404</v>
      </c>
      <c r="D1741">
        <v>0.77393278837632595</v>
      </c>
      <c r="E1741">
        <v>0.74995583504605301</v>
      </c>
      <c r="F1741">
        <v>0.56396191853162003</v>
      </c>
      <c r="G1741">
        <v>0.53350220795395498</v>
      </c>
      <c r="H1741">
        <v>0.312260784363317</v>
      </c>
      <c r="I1741">
        <v>0.16409505679957201</v>
      </c>
      <c r="J1741">
        <v>0.14968911859897899</v>
      </c>
      <c r="K1741">
        <v>0.10872746331833</v>
      </c>
      <c r="L1741">
        <v>438.65035917036602</v>
      </c>
      <c r="M1741">
        <v>8.4315433452539708</v>
      </c>
      <c r="N1741">
        <v>52.0249189143466</v>
      </c>
      <c r="O1741">
        <v>49.345595894994297</v>
      </c>
      <c r="P1741">
        <v>-4.2756476261864497E-2</v>
      </c>
      <c r="Q1741">
        <v>0</v>
      </c>
      <c r="R1741">
        <v>0.97591141473840004</v>
      </c>
      <c r="S1741" t="s">
        <v>7292</v>
      </c>
      <c r="T1741" t="s">
        <v>11100</v>
      </c>
      <c r="U1741" t="s">
        <v>11100</v>
      </c>
      <c r="V1741" t="s">
        <v>11100</v>
      </c>
      <c r="W1741" t="s">
        <v>12806</v>
      </c>
      <c r="X1741">
        <v>7</v>
      </c>
      <c r="Y1741" t="s">
        <v>18292</v>
      </c>
      <c r="Z1741" t="s">
        <v>23746</v>
      </c>
      <c r="AA1741">
        <v>0.52897443784471554</v>
      </c>
      <c r="AB1741" t="str">
        <f>HYPERLINK("Melting_Curves/meltCurve_P07205_PGK2.pdf", "Melting_Curves/meltCurve_P07205_PGK2.pdf")</f>
        <v>Melting_Curves/meltCurve_P07205_PGK2.pdf</v>
      </c>
    </row>
    <row r="1742" spans="1:28" x14ac:dyDescent="0.25">
      <c r="A1742" t="s">
        <v>1746</v>
      </c>
      <c r="B1742">
        <v>0.99299721793515405</v>
      </c>
      <c r="C1742">
        <v>1.04231879686419</v>
      </c>
      <c r="D1742">
        <v>1.0829490375035999</v>
      </c>
      <c r="E1742">
        <v>0.95238869675367299</v>
      </c>
      <c r="F1742">
        <v>0.807039050959522</v>
      </c>
      <c r="G1742">
        <v>0.69581869590489998</v>
      </c>
      <c r="H1742">
        <v>0.64321607202183695</v>
      </c>
      <c r="I1742">
        <v>0.67017402712052399</v>
      </c>
      <c r="J1742">
        <v>0.57430625909474697</v>
      </c>
      <c r="K1742">
        <v>0.52833244980030203</v>
      </c>
      <c r="L1742">
        <v>1004.66484874637</v>
      </c>
      <c r="M1742">
        <v>19.6289139675077</v>
      </c>
      <c r="O1742">
        <v>50.6605673493344</v>
      </c>
      <c r="P1742">
        <v>-4.0435970104667103E-2</v>
      </c>
      <c r="Q1742">
        <v>0.582567446538656</v>
      </c>
      <c r="R1742">
        <v>0.94667109108957204</v>
      </c>
      <c r="S1742" t="s">
        <v>7293</v>
      </c>
      <c r="T1742" t="s">
        <v>11100</v>
      </c>
      <c r="U1742" t="s">
        <v>11100</v>
      </c>
      <c r="V1742" t="s">
        <v>11100</v>
      </c>
      <c r="W1742" t="s">
        <v>12807</v>
      </c>
      <c r="X1742">
        <v>39</v>
      </c>
      <c r="Y1742" t="s">
        <v>18293</v>
      </c>
      <c r="Z1742" t="s">
        <v>23747</v>
      </c>
      <c r="AA1742">
        <v>0.78553961424773211</v>
      </c>
      <c r="AB1742" t="str">
        <f>HYPERLINK("Melting_Curves/meltCurve_P07237_P4HB.pdf", "Melting_Curves/meltCurve_P07237_P4HB.pdf")</f>
        <v>Melting_Curves/meltCurve_P07237_P4HB.pdf</v>
      </c>
    </row>
    <row r="1743" spans="1:28" x14ac:dyDescent="0.25">
      <c r="A1743" t="s">
        <v>1747</v>
      </c>
      <c r="B1743">
        <v>0.99299721793515405</v>
      </c>
      <c r="C1743">
        <v>1.0226481855299101</v>
      </c>
      <c r="D1743">
        <v>0.89864312590135398</v>
      </c>
      <c r="E1743">
        <v>0.90055964226184404</v>
      </c>
      <c r="F1743">
        <v>0.73116056092617299</v>
      </c>
      <c r="G1743">
        <v>0.58617505214661902</v>
      </c>
      <c r="H1743">
        <v>0.54684340041956503</v>
      </c>
      <c r="I1743">
        <v>0.56755529846692199</v>
      </c>
      <c r="J1743">
        <v>0.32465421178242898</v>
      </c>
      <c r="K1743">
        <v>0.14781735611392099</v>
      </c>
      <c r="L1743">
        <v>444.90350851738702</v>
      </c>
      <c r="M1743">
        <v>7.6503060867348696</v>
      </c>
      <c r="N1743">
        <v>58.154993674395101</v>
      </c>
      <c r="O1743">
        <v>54.581027478866602</v>
      </c>
      <c r="P1743">
        <v>-3.5087855549891099E-2</v>
      </c>
      <c r="Q1743">
        <v>0</v>
      </c>
      <c r="R1743">
        <v>0.93472304053264699</v>
      </c>
      <c r="S1743" t="s">
        <v>7294</v>
      </c>
      <c r="T1743" t="s">
        <v>11100</v>
      </c>
      <c r="U1743" t="s">
        <v>11100</v>
      </c>
      <c r="V1743" t="s">
        <v>11100</v>
      </c>
      <c r="W1743" t="s">
        <v>12808</v>
      </c>
      <c r="X1743">
        <v>22</v>
      </c>
      <c r="Y1743" t="s">
        <v>18294</v>
      </c>
      <c r="Z1743" t="s">
        <v>23748</v>
      </c>
      <c r="AA1743">
        <v>0.6796678922762005</v>
      </c>
      <c r="AB1743" t="str">
        <f>HYPERLINK("Melting_Curves/meltCurve_P07339_CTSD.pdf", "Melting_Curves/meltCurve_P07339_CTSD.pdf")</f>
        <v>Melting_Curves/meltCurve_P07339_CTSD.pdf</v>
      </c>
    </row>
    <row r="1744" spans="1:28" x14ac:dyDescent="0.25">
      <c r="A1744" t="s">
        <v>1748</v>
      </c>
      <c r="B1744">
        <v>0.99299721793515405</v>
      </c>
      <c r="C1744">
        <v>1.0303645018902501</v>
      </c>
      <c r="D1744">
        <v>0.88970962989932101</v>
      </c>
      <c r="E1744">
        <v>0.810024233913481</v>
      </c>
      <c r="F1744">
        <v>0.67992591340344699</v>
      </c>
      <c r="G1744">
        <v>0.61985925953263299</v>
      </c>
      <c r="H1744">
        <v>0.39859455590460702</v>
      </c>
      <c r="I1744">
        <v>0.15692977248404799</v>
      </c>
      <c r="J1744">
        <v>0.14421120602885301</v>
      </c>
      <c r="K1744">
        <v>0.126788040070552</v>
      </c>
      <c r="L1744">
        <v>577.55420631482605</v>
      </c>
      <c r="M1744">
        <v>10.6198877446945</v>
      </c>
      <c r="N1744">
        <v>54.384209160109798</v>
      </c>
      <c r="O1744">
        <v>52.5621535972804</v>
      </c>
      <c r="P1744">
        <v>-5.0530598091079702E-2</v>
      </c>
      <c r="Q1744">
        <v>0</v>
      </c>
      <c r="R1744">
        <v>0.97785817778376105</v>
      </c>
      <c r="S1744" t="s">
        <v>7295</v>
      </c>
      <c r="T1744" t="s">
        <v>11100</v>
      </c>
      <c r="U1744" t="s">
        <v>11100</v>
      </c>
      <c r="V1744" t="s">
        <v>11100</v>
      </c>
      <c r="W1744" t="s">
        <v>12809</v>
      </c>
      <c r="X1744">
        <v>42</v>
      </c>
      <c r="Y1744" t="s">
        <v>18295</v>
      </c>
      <c r="Z1744" t="s">
        <v>23749</v>
      </c>
      <c r="AA1744">
        <v>0.59559222481336116</v>
      </c>
      <c r="AB1744" t="str">
        <f>HYPERLINK("Melting_Curves/meltCurve_P07355_ANXA2.pdf", "Melting_Curves/meltCurve_P07355_ANXA2.pdf")</f>
        <v>Melting_Curves/meltCurve_P07355_ANXA2.pdf</v>
      </c>
    </row>
    <row r="1745" spans="1:28" x14ac:dyDescent="0.25">
      <c r="A1745" t="s">
        <v>1749</v>
      </c>
      <c r="B1745">
        <v>0.99299721793515405</v>
      </c>
      <c r="C1745">
        <v>0.95400426172025998</v>
      </c>
      <c r="D1745">
        <v>0.91930431743165197</v>
      </c>
      <c r="E1745">
        <v>0.88702720614584396</v>
      </c>
      <c r="F1745">
        <v>0.77342954366031702</v>
      </c>
      <c r="G1745">
        <v>0.64450360589106703</v>
      </c>
      <c r="H1745">
        <v>0.65854803025709197</v>
      </c>
      <c r="I1745">
        <v>0.75187356704659303</v>
      </c>
      <c r="J1745">
        <v>0.78657630522510902</v>
      </c>
      <c r="K1745">
        <v>0.37989956892612398</v>
      </c>
      <c r="L1745">
        <v>244.836101113805</v>
      </c>
      <c r="M1745">
        <v>3.4298987392287801</v>
      </c>
      <c r="O1745">
        <v>55.537073379182303</v>
      </c>
      <c r="P1745">
        <v>-1.5760554724700501E-2</v>
      </c>
      <c r="Q1745">
        <v>0</v>
      </c>
      <c r="R1745">
        <v>0.67920962724710598</v>
      </c>
      <c r="S1745" t="s">
        <v>7296</v>
      </c>
      <c r="T1745" t="s">
        <v>11100</v>
      </c>
      <c r="U1745" t="s">
        <v>11100</v>
      </c>
      <c r="V1745" t="s">
        <v>11100</v>
      </c>
      <c r="W1745" t="s">
        <v>12810</v>
      </c>
      <c r="X1745">
        <v>26</v>
      </c>
      <c r="Y1745" t="s">
        <v>18296</v>
      </c>
      <c r="Z1745" t="s">
        <v>23750</v>
      </c>
      <c r="AA1745">
        <v>0.77437011078345797</v>
      </c>
      <c r="AB1745" t="str">
        <f>HYPERLINK("Melting_Curves/meltCurve_P07384_CAPN1.pdf", "Melting_Curves/meltCurve_P07384_CAPN1.pdf")</f>
        <v>Melting_Curves/meltCurve_P07384_CAPN1.pdf</v>
      </c>
    </row>
    <row r="1746" spans="1:28" x14ac:dyDescent="0.25">
      <c r="A1746" t="s">
        <v>1750</v>
      </c>
      <c r="B1746">
        <v>0.99299721793515405</v>
      </c>
      <c r="C1746">
        <v>0.97616793058236795</v>
      </c>
      <c r="D1746">
        <v>0.91189425568770799</v>
      </c>
      <c r="E1746">
        <v>0.92807676769232605</v>
      </c>
      <c r="F1746">
        <v>0.70051337651454104</v>
      </c>
      <c r="G1746">
        <v>0.66667874514262004</v>
      </c>
      <c r="H1746">
        <v>0.72867663622583401</v>
      </c>
      <c r="I1746">
        <v>0.87622982423916296</v>
      </c>
      <c r="J1746">
        <v>0.53366308637689497</v>
      </c>
      <c r="K1746">
        <v>0.18376303083652401</v>
      </c>
      <c r="L1746">
        <v>376.55995898246499</v>
      </c>
      <c r="M1746">
        <v>5.8738512098125302</v>
      </c>
      <c r="N1746">
        <v>64.1078477327966</v>
      </c>
      <c r="O1746">
        <v>57.8529800214868</v>
      </c>
      <c r="P1746">
        <v>-2.5471312070090499E-2</v>
      </c>
      <c r="Q1746">
        <v>0</v>
      </c>
      <c r="R1746">
        <v>0.66405879931099598</v>
      </c>
      <c r="S1746" t="s">
        <v>7297</v>
      </c>
      <c r="T1746" t="s">
        <v>11100</v>
      </c>
      <c r="U1746" t="s">
        <v>11100</v>
      </c>
      <c r="V1746" t="s">
        <v>11100</v>
      </c>
      <c r="W1746" t="s">
        <v>12811</v>
      </c>
      <c r="X1746">
        <v>14</v>
      </c>
      <c r="Y1746" t="s">
        <v>18297</v>
      </c>
      <c r="Z1746" t="s">
        <v>23751</v>
      </c>
      <c r="AA1746">
        <v>0.7653553255739638</v>
      </c>
      <c r="AB1746" t="str">
        <f>HYPERLINK("Melting_Curves/meltCurve_P07686_HEXB.pdf", "Melting_Curves/meltCurve_P07686_HEXB.pdf")</f>
        <v>Melting_Curves/meltCurve_P07686_HEXB.pdf</v>
      </c>
    </row>
    <row r="1747" spans="1:28" x14ac:dyDescent="0.25">
      <c r="A1747" t="s">
        <v>1751</v>
      </c>
      <c r="B1747">
        <v>0.99299721793515405</v>
      </c>
      <c r="C1747">
        <v>0.90793398881291898</v>
      </c>
      <c r="D1747">
        <v>1.2296195003906101</v>
      </c>
      <c r="E1747">
        <v>0.75922746174238798</v>
      </c>
      <c r="F1747">
        <v>0.60754781178241002</v>
      </c>
      <c r="G1747">
        <v>0.66076560699754305</v>
      </c>
      <c r="H1747">
        <v>0.42003734347931099</v>
      </c>
      <c r="I1747">
        <v>0.36852573780445202</v>
      </c>
      <c r="J1747">
        <v>0.30917017140235897</v>
      </c>
      <c r="K1747">
        <v>0.64181659689889303</v>
      </c>
      <c r="L1747">
        <v>1123.5026108038501</v>
      </c>
      <c r="M1747">
        <v>23.1779406751271</v>
      </c>
      <c r="N1747">
        <v>54.294094257387798</v>
      </c>
      <c r="O1747">
        <v>48.116423959313899</v>
      </c>
      <c r="P1747">
        <v>-6.5231487686119805E-2</v>
      </c>
      <c r="Q1747">
        <v>0.45833860981395802</v>
      </c>
      <c r="R1747">
        <v>0.77439109569348297</v>
      </c>
      <c r="S1747" t="s">
        <v>7298</v>
      </c>
      <c r="T1747" t="s">
        <v>11100</v>
      </c>
      <c r="U1747" t="s">
        <v>11100</v>
      </c>
      <c r="V1747" t="s">
        <v>11100</v>
      </c>
      <c r="W1747" t="s">
        <v>12812</v>
      </c>
      <c r="X1747">
        <v>3</v>
      </c>
      <c r="Y1747" t="s">
        <v>18298</v>
      </c>
      <c r="Z1747" t="s">
        <v>23752</v>
      </c>
      <c r="AA1747">
        <v>0.67087255321403683</v>
      </c>
      <c r="AB1747" t="str">
        <f>HYPERLINK("Melting_Curves/meltCurve_P07711_CTSL1.pdf", "Melting_Curves/meltCurve_P07711_CTSL1.pdf")</f>
        <v>Melting_Curves/meltCurve_P07711_CTSL1.pdf</v>
      </c>
    </row>
    <row r="1748" spans="1:28" x14ac:dyDescent="0.25">
      <c r="A1748" t="s">
        <v>1752</v>
      </c>
      <c r="B1748">
        <v>0.99299721793515405</v>
      </c>
      <c r="C1748">
        <v>1.0725835701861499</v>
      </c>
      <c r="D1748">
        <v>1.06783411874276</v>
      </c>
      <c r="E1748">
        <v>1.0251472450094901</v>
      </c>
      <c r="F1748">
        <v>0.85631006227821804</v>
      </c>
      <c r="G1748">
        <v>0.69075917537169196</v>
      </c>
      <c r="H1748">
        <v>0.36235460896346799</v>
      </c>
      <c r="I1748">
        <v>0.205604383092031</v>
      </c>
      <c r="J1748">
        <v>0.15119572169982901</v>
      </c>
      <c r="K1748">
        <v>0.11619352862798001</v>
      </c>
      <c r="L1748">
        <v>1159.9034228440501</v>
      </c>
      <c r="M1748">
        <v>21.0245133042276</v>
      </c>
      <c r="N1748">
        <v>55.750577799828598</v>
      </c>
      <c r="O1748">
        <v>54.677265484515601</v>
      </c>
      <c r="P1748">
        <v>-8.6667618773621294E-2</v>
      </c>
      <c r="Q1748">
        <v>9.8457754486193094E-2</v>
      </c>
      <c r="R1748">
        <v>0.989878951105299</v>
      </c>
      <c r="S1748" t="s">
        <v>7299</v>
      </c>
      <c r="T1748" t="s">
        <v>11100</v>
      </c>
      <c r="U1748" t="s">
        <v>11100</v>
      </c>
      <c r="V1748" t="s">
        <v>11100</v>
      </c>
      <c r="W1748" t="s">
        <v>12813</v>
      </c>
      <c r="X1748">
        <v>23</v>
      </c>
      <c r="Y1748" t="s">
        <v>18299</v>
      </c>
      <c r="Z1748" t="s">
        <v>23753</v>
      </c>
      <c r="AA1748">
        <v>0.65401493148539935</v>
      </c>
      <c r="AB1748" t="str">
        <f>HYPERLINK("Melting_Curves/meltCurve_P07737_PFN1.pdf", "Melting_Curves/meltCurve_P07737_PFN1.pdf")</f>
        <v>Melting_Curves/meltCurve_P07737_PFN1.pdf</v>
      </c>
    </row>
    <row r="1749" spans="1:28" x14ac:dyDescent="0.25">
      <c r="A1749" t="s">
        <v>1753</v>
      </c>
      <c r="B1749">
        <v>0.99299721793515405</v>
      </c>
      <c r="C1749">
        <v>1.01825615255646</v>
      </c>
      <c r="D1749">
        <v>0.91444708277801001</v>
      </c>
      <c r="E1749">
        <v>0.88017040755756903</v>
      </c>
      <c r="F1749">
        <v>0.74427253857234399</v>
      </c>
      <c r="G1749">
        <v>0.53734139694141303</v>
      </c>
      <c r="H1749">
        <v>0.54738593264754098</v>
      </c>
      <c r="I1749">
        <v>0.51259747539237099</v>
      </c>
      <c r="J1749">
        <v>0.33978945440216402</v>
      </c>
      <c r="K1749">
        <v>0.19302241224918301</v>
      </c>
      <c r="L1749">
        <v>423.65405489362502</v>
      </c>
      <c r="M1749">
        <v>7.3182350887614502</v>
      </c>
      <c r="N1749">
        <v>57.890194650088397</v>
      </c>
      <c r="O1749">
        <v>54.037766006333001</v>
      </c>
      <c r="P1749">
        <v>-3.3910340877130199E-2</v>
      </c>
      <c r="Q1749">
        <v>0</v>
      </c>
      <c r="R1749">
        <v>0.95675575247773703</v>
      </c>
      <c r="S1749" t="s">
        <v>7300</v>
      </c>
      <c r="T1749" t="s">
        <v>11100</v>
      </c>
      <c r="U1749" t="s">
        <v>11100</v>
      </c>
      <c r="V1749" t="s">
        <v>11100</v>
      </c>
      <c r="W1749" t="s">
        <v>12814</v>
      </c>
      <c r="X1749">
        <v>11</v>
      </c>
      <c r="Y1749" t="s">
        <v>18300</v>
      </c>
      <c r="Z1749" t="s">
        <v>23754</v>
      </c>
      <c r="AA1749">
        <v>0.6707476451329677</v>
      </c>
      <c r="AB1749" t="str">
        <f>HYPERLINK("Melting_Curves/meltCurve_P07738_BPGM.pdf", "Melting_Curves/meltCurve_P07738_BPGM.pdf")</f>
        <v>Melting_Curves/meltCurve_P07738_BPGM.pdf</v>
      </c>
    </row>
    <row r="1750" spans="1:28" x14ac:dyDescent="0.25">
      <c r="A1750" t="s">
        <v>1754</v>
      </c>
      <c r="B1750">
        <v>0.99299721793515405</v>
      </c>
      <c r="C1750">
        <v>1.02092972792144</v>
      </c>
      <c r="D1750">
        <v>0.95685149518547497</v>
      </c>
      <c r="E1750">
        <v>0.92381295978198896</v>
      </c>
      <c r="F1750">
        <v>0.76639062990301898</v>
      </c>
      <c r="G1750">
        <v>0.70598549469701</v>
      </c>
      <c r="H1750">
        <v>0.54458585360096001</v>
      </c>
      <c r="I1750">
        <v>0.56836163186315303</v>
      </c>
      <c r="J1750">
        <v>0.41405092167642599</v>
      </c>
      <c r="K1750">
        <v>0.155188338279622</v>
      </c>
      <c r="L1750">
        <v>493.368273547483</v>
      </c>
      <c r="M1750">
        <v>8.2820894334607296</v>
      </c>
      <c r="N1750">
        <v>59.570501037141703</v>
      </c>
      <c r="O1750">
        <v>56.400511730107098</v>
      </c>
      <c r="P1750">
        <v>-3.6747527805233798E-2</v>
      </c>
      <c r="Q1750">
        <v>0</v>
      </c>
      <c r="R1750">
        <v>0.94540084682631598</v>
      </c>
      <c r="S1750" t="s">
        <v>7301</v>
      </c>
      <c r="T1750" t="s">
        <v>11100</v>
      </c>
      <c r="U1750" t="s">
        <v>11100</v>
      </c>
      <c r="V1750" t="s">
        <v>11100</v>
      </c>
      <c r="W1750" t="s">
        <v>12815</v>
      </c>
      <c r="X1750">
        <v>14</v>
      </c>
      <c r="Y1750" t="s">
        <v>18301</v>
      </c>
      <c r="Z1750" t="s">
        <v>23755</v>
      </c>
      <c r="AA1750">
        <v>0.71676008275254821</v>
      </c>
      <c r="AB1750" t="str">
        <f>HYPERLINK("Melting_Curves/meltCurve_P07741_APRT.pdf", "Melting_Curves/meltCurve_P07741_APRT.pdf")</f>
        <v>Melting_Curves/meltCurve_P07741_APRT.pdf</v>
      </c>
    </row>
    <row r="1751" spans="1:28" x14ac:dyDescent="0.25">
      <c r="A1751" t="s">
        <v>1755</v>
      </c>
      <c r="B1751">
        <v>0.99299721793515405</v>
      </c>
      <c r="C1751">
        <v>1.04824543143122</v>
      </c>
      <c r="D1751">
        <v>0.98748020018273897</v>
      </c>
      <c r="E1751">
        <v>0.91582235905318599</v>
      </c>
      <c r="F1751">
        <v>0.74877545748879104</v>
      </c>
      <c r="G1751">
        <v>0.63120863948971795</v>
      </c>
      <c r="H1751">
        <v>0.60546011711626102</v>
      </c>
      <c r="I1751">
        <v>0.50615993027023198</v>
      </c>
      <c r="J1751">
        <v>0.37317522378735102</v>
      </c>
      <c r="K1751">
        <v>0.28006632130577302</v>
      </c>
      <c r="L1751">
        <v>461.30495999462499</v>
      </c>
      <c r="M1751">
        <v>7.8509502392442201</v>
      </c>
      <c r="N1751">
        <v>59.523125806121797</v>
      </c>
      <c r="O1751">
        <v>55.3117744046626</v>
      </c>
      <c r="P1751">
        <v>-3.3822495618711201E-2</v>
      </c>
      <c r="Q1751">
        <v>4.80054649029227E-2</v>
      </c>
      <c r="R1751">
        <v>0.97297827377769397</v>
      </c>
      <c r="S1751" t="s">
        <v>7302</v>
      </c>
      <c r="T1751" t="s">
        <v>11100</v>
      </c>
      <c r="U1751" t="s">
        <v>11100</v>
      </c>
      <c r="V1751" t="s">
        <v>11100</v>
      </c>
      <c r="W1751" t="s">
        <v>12816</v>
      </c>
      <c r="X1751">
        <v>10</v>
      </c>
      <c r="Y1751" t="s">
        <v>18302</v>
      </c>
      <c r="Z1751" t="s">
        <v>23756</v>
      </c>
      <c r="AA1751">
        <v>0.70954756657210183</v>
      </c>
      <c r="AB1751" t="str">
        <f>HYPERLINK("Melting_Curves/meltCurve_P07858_CTSB.pdf", "Melting_Curves/meltCurve_P07858_CTSB.pdf")</f>
        <v>Melting_Curves/meltCurve_P07858_CTSB.pdf</v>
      </c>
    </row>
    <row r="1752" spans="1:28" x14ac:dyDescent="0.25">
      <c r="A1752" t="s">
        <v>1756</v>
      </c>
      <c r="B1752">
        <v>0.99299721793515405</v>
      </c>
      <c r="C1752">
        <v>1.0244985526866</v>
      </c>
      <c r="D1752">
        <v>1.0009681193520901</v>
      </c>
      <c r="E1752">
        <v>0.90983334744202604</v>
      </c>
      <c r="F1752">
        <v>0.77466424267659095</v>
      </c>
      <c r="G1752">
        <v>0.69029732026896096</v>
      </c>
      <c r="H1752">
        <v>0.19049465766601401</v>
      </c>
      <c r="I1752">
        <v>0.14626307620558099</v>
      </c>
      <c r="J1752">
        <v>0.112413344111368</v>
      </c>
      <c r="K1752">
        <v>9.9653635003871893E-2</v>
      </c>
      <c r="L1752">
        <v>1109.3725730792501</v>
      </c>
      <c r="M1752">
        <v>20.442323918950802</v>
      </c>
      <c r="N1752">
        <v>54.599464120474401</v>
      </c>
      <c r="O1752">
        <v>53.757109806695603</v>
      </c>
      <c r="P1752">
        <v>-8.9529525565373302E-2</v>
      </c>
      <c r="Q1752">
        <v>5.8286295517561398E-2</v>
      </c>
      <c r="R1752">
        <v>0.97671576957287798</v>
      </c>
      <c r="S1752" t="s">
        <v>7303</v>
      </c>
      <c r="T1752" t="s">
        <v>11100</v>
      </c>
      <c r="U1752" t="s">
        <v>11100</v>
      </c>
      <c r="V1752" t="s">
        <v>11100</v>
      </c>
      <c r="W1752" t="s">
        <v>12817</v>
      </c>
      <c r="X1752">
        <v>78</v>
      </c>
      <c r="Y1752" t="s">
        <v>18303</v>
      </c>
      <c r="Z1752" t="s">
        <v>23757</v>
      </c>
      <c r="AA1752">
        <v>0.61126965012807177</v>
      </c>
      <c r="AB1752" t="str">
        <f>HYPERLINK("Melting_Curves/meltCurve_P07900_HSP90AA1.pdf", "Melting_Curves/meltCurve_P07900_HSP90AA1.pdf")</f>
        <v>Melting_Curves/meltCurve_P07900_HSP90AA1.pdf</v>
      </c>
    </row>
    <row r="1753" spans="1:28" x14ac:dyDescent="0.25">
      <c r="A1753" t="s">
        <v>1757</v>
      </c>
      <c r="B1753">
        <v>0.99299721793515405</v>
      </c>
      <c r="C1753">
        <v>0.88932737758642999</v>
      </c>
      <c r="D1753">
        <v>0.90129930841259198</v>
      </c>
      <c r="E1753">
        <v>0.78643040746222803</v>
      </c>
      <c r="F1753">
        <v>0.72659939120337802</v>
      </c>
      <c r="G1753">
        <v>0.477343355039552</v>
      </c>
      <c r="H1753">
        <v>0.51533931846832304</v>
      </c>
      <c r="I1753">
        <v>0.42326738348027598</v>
      </c>
      <c r="J1753">
        <v>0.31322641172615401</v>
      </c>
      <c r="K1753">
        <v>0.190637843744695</v>
      </c>
      <c r="L1753">
        <v>372.340798078185</v>
      </c>
      <c r="M1753">
        <v>6.6367249630724601</v>
      </c>
      <c r="N1753">
        <v>56.103097163529597</v>
      </c>
      <c r="O1753">
        <v>51.665856273373599</v>
      </c>
      <c r="P1753">
        <v>-3.2186011198711E-2</v>
      </c>
      <c r="Q1753">
        <v>0</v>
      </c>
      <c r="R1753">
        <v>0.96567093311900298</v>
      </c>
      <c r="S1753" t="s">
        <v>7304</v>
      </c>
      <c r="T1753" t="s">
        <v>11100</v>
      </c>
      <c r="U1753" t="s">
        <v>11100</v>
      </c>
      <c r="V1753" t="s">
        <v>11100</v>
      </c>
      <c r="W1753" t="s">
        <v>12818</v>
      </c>
      <c r="X1753">
        <v>7</v>
      </c>
      <c r="Y1753" t="s">
        <v>18304</v>
      </c>
      <c r="Z1753" t="s">
        <v>23758</v>
      </c>
      <c r="AA1753">
        <v>0.62491520509313259</v>
      </c>
      <c r="AB1753" t="str">
        <f>HYPERLINK("Melting_Curves/meltCurve_P07902_GALT.pdf", "Melting_Curves/meltCurve_P07902_GALT.pdf")</f>
        <v>Melting_Curves/meltCurve_P07902_GALT.pdf</v>
      </c>
    </row>
    <row r="1754" spans="1:28" x14ac:dyDescent="0.25">
      <c r="A1754" t="s">
        <v>1758</v>
      </c>
      <c r="B1754">
        <v>0.99299721793515405</v>
      </c>
      <c r="C1754">
        <v>0.87356736414956604</v>
      </c>
      <c r="D1754">
        <v>0.95907409297067203</v>
      </c>
      <c r="E1754">
        <v>0.824268414937116</v>
      </c>
      <c r="F1754">
        <v>0.72199181573488302</v>
      </c>
      <c r="G1754">
        <v>0.57707099801431505</v>
      </c>
      <c r="H1754">
        <v>0.721203428210758</v>
      </c>
      <c r="I1754">
        <v>0.944951066330324</v>
      </c>
      <c r="J1754">
        <v>1.35890811437576</v>
      </c>
      <c r="K1754">
        <v>1.4797428029477999</v>
      </c>
      <c r="L1754">
        <v>15000</v>
      </c>
      <c r="M1754">
        <v>235.09785684785101</v>
      </c>
      <c r="O1754">
        <v>63.798601879849699</v>
      </c>
      <c r="P1754">
        <v>0.44197207583002102</v>
      </c>
      <c r="Q1754">
        <v>1.47975257341151</v>
      </c>
      <c r="R1754">
        <v>0.46055607642607199</v>
      </c>
      <c r="S1754" t="s">
        <v>7305</v>
      </c>
      <c r="T1754" t="s">
        <v>11100</v>
      </c>
      <c r="U1754" t="s">
        <v>11100</v>
      </c>
      <c r="V1754" t="s">
        <v>11100</v>
      </c>
      <c r="W1754" t="s">
        <v>12819</v>
      </c>
      <c r="X1754">
        <v>9</v>
      </c>
      <c r="Y1754" t="s">
        <v>18305</v>
      </c>
      <c r="Z1754" t="s">
        <v>23759</v>
      </c>
      <c r="AA1754">
        <v>1.051061450972411</v>
      </c>
      <c r="AB1754" t="str">
        <f>HYPERLINK("Melting_Curves/meltCurve_P07919_UQCRH.pdf", "Melting_Curves/meltCurve_P07919_UQCRH.pdf")</f>
        <v>Melting_Curves/meltCurve_P07919_UQCRH.pdf</v>
      </c>
    </row>
    <row r="1755" spans="1:28" x14ac:dyDescent="0.25">
      <c r="A1755" t="s">
        <v>1759</v>
      </c>
      <c r="B1755">
        <v>0.99299721793515405</v>
      </c>
      <c r="C1755">
        <v>0.990603096468199</v>
      </c>
      <c r="D1755">
        <v>0.80717123006955105</v>
      </c>
      <c r="E1755">
        <v>0.86463500181463104</v>
      </c>
      <c r="F1755">
        <v>0.60462261830631103</v>
      </c>
      <c r="G1755">
        <v>0.29371734971413599</v>
      </c>
      <c r="H1755">
        <v>0.216172910710867</v>
      </c>
      <c r="I1755">
        <v>0.17608147360624199</v>
      </c>
      <c r="J1755">
        <v>0.16900544310808699</v>
      </c>
      <c r="K1755">
        <v>0.121521485040319</v>
      </c>
      <c r="L1755">
        <v>804.521818216474</v>
      </c>
      <c r="M1755">
        <v>15.973014555495499</v>
      </c>
      <c r="N1755">
        <v>51.199093157921098</v>
      </c>
      <c r="O1755">
        <v>49.597938766698903</v>
      </c>
      <c r="P1755">
        <v>-7.1319545710113702E-2</v>
      </c>
      <c r="Q1755">
        <v>0.114250277904148</v>
      </c>
      <c r="R1755">
        <v>0.97682608120624204</v>
      </c>
      <c r="S1755" t="s">
        <v>7306</v>
      </c>
      <c r="T1755" t="s">
        <v>11100</v>
      </c>
      <c r="U1755" t="s">
        <v>11100</v>
      </c>
      <c r="V1755" t="s">
        <v>11100</v>
      </c>
      <c r="W1755" t="s">
        <v>12820</v>
      </c>
      <c r="X1755">
        <v>6</v>
      </c>
      <c r="Y1755" t="s">
        <v>18306</v>
      </c>
      <c r="Z1755" t="s">
        <v>23760</v>
      </c>
      <c r="AA1755">
        <v>0.52563171895569183</v>
      </c>
      <c r="AB1755" t="str">
        <f>HYPERLINK("Melting_Curves/meltCurve_P07948_LYN.pdf", "Melting_Curves/meltCurve_P07948_LYN.pdf")</f>
        <v>Melting_Curves/meltCurve_P07948_LYN.pdf</v>
      </c>
    </row>
    <row r="1756" spans="1:28" x14ac:dyDescent="0.25">
      <c r="A1756" t="s">
        <v>1760</v>
      </c>
      <c r="B1756">
        <v>0.99299721793515405</v>
      </c>
      <c r="C1756">
        <v>0.96250359430315002</v>
      </c>
      <c r="D1756">
        <v>0.86446083416826003</v>
      </c>
      <c r="E1756">
        <v>0.87587016566874998</v>
      </c>
      <c r="F1756">
        <v>0.749196438569527</v>
      </c>
      <c r="G1756">
        <v>0.76708249989983701</v>
      </c>
      <c r="H1756">
        <v>0.32276090785477102</v>
      </c>
      <c r="I1756">
        <v>0.17889421853238799</v>
      </c>
      <c r="J1756">
        <v>0.175730533317773</v>
      </c>
      <c r="K1756">
        <v>0.12830765528802099</v>
      </c>
      <c r="L1756">
        <v>701.73034153108995</v>
      </c>
      <c r="M1756">
        <v>12.629026414117501</v>
      </c>
      <c r="N1756">
        <v>55.564880436890398</v>
      </c>
      <c r="O1756">
        <v>54.226913267142599</v>
      </c>
      <c r="P1756">
        <v>-5.8234562808247001E-2</v>
      </c>
      <c r="Q1756">
        <v>0</v>
      </c>
      <c r="R1756">
        <v>0.95102246326406303</v>
      </c>
      <c r="S1756" t="s">
        <v>7307</v>
      </c>
      <c r="T1756" t="s">
        <v>11100</v>
      </c>
      <c r="U1756" t="s">
        <v>11100</v>
      </c>
      <c r="V1756" t="s">
        <v>11100</v>
      </c>
      <c r="W1756" t="s">
        <v>12821</v>
      </c>
      <c r="X1756">
        <v>17</v>
      </c>
      <c r="Y1756" t="s">
        <v>18307</v>
      </c>
      <c r="Z1756" t="s">
        <v>23761</v>
      </c>
      <c r="AA1756">
        <v>0.63107021534229146</v>
      </c>
      <c r="AB1756" t="str">
        <f>HYPERLINK("Melting_Curves/meltCurve_P07954_2_FH.pdf", "Melting_Curves/meltCurve_P07954_2_FH.pdf")</f>
        <v>Melting_Curves/meltCurve_P07954_2_FH.pdf</v>
      </c>
    </row>
    <row r="1757" spans="1:28" x14ac:dyDescent="0.25">
      <c r="A1757" t="s">
        <v>1761</v>
      </c>
      <c r="B1757">
        <v>0.99299721793515405</v>
      </c>
      <c r="C1757">
        <v>0.86938628612322599</v>
      </c>
      <c r="D1757">
        <v>0.88469802534256403</v>
      </c>
      <c r="E1757">
        <v>0.73008808151596105</v>
      </c>
      <c r="F1757">
        <v>0.692359167163068</v>
      </c>
      <c r="G1757">
        <v>0.35637439803746102</v>
      </c>
      <c r="H1757">
        <v>0.21913119458219399</v>
      </c>
      <c r="I1757">
        <v>0.175893858053186</v>
      </c>
      <c r="J1757">
        <v>0.16625113399347899</v>
      </c>
      <c r="K1757">
        <v>0.15087934545440501</v>
      </c>
      <c r="L1757">
        <v>556.81299428923501</v>
      </c>
      <c r="M1757">
        <v>10.8837679865785</v>
      </c>
      <c r="N1757">
        <v>51.690541984923001</v>
      </c>
      <c r="O1757">
        <v>49.523723482371899</v>
      </c>
      <c r="P1757">
        <v>-5.2056628528488302E-2</v>
      </c>
      <c r="Q1757">
        <v>5.28529113306773E-2</v>
      </c>
      <c r="R1757">
        <v>0.97215260820225702</v>
      </c>
      <c r="S1757" t="s">
        <v>7308</v>
      </c>
      <c r="T1757" t="s">
        <v>11100</v>
      </c>
      <c r="U1757" t="s">
        <v>11100</v>
      </c>
      <c r="V1757" t="s">
        <v>11100</v>
      </c>
      <c r="W1757" t="s">
        <v>12822</v>
      </c>
      <c r="X1757">
        <v>3</v>
      </c>
      <c r="Y1757" t="s">
        <v>18308</v>
      </c>
      <c r="Z1757" t="s">
        <v>23762</v>
      </c>
      <c r="AA1757">
        <v>0.52645144905466068</v>
      </c>
      <c r="AB1757" t="str">
        <f>HYPERLINK("Melting_Curves/meltCurve_P07992_ERCC1.pdf", "Melting_Curves/meltCurve_P07992_ERCC1.pdf")</f>
        <v>Melting_Curves/meltCurve_P07992_ERCC1.pdf</v>
      </c>
    </row>
    <row r="1758" spans="1:28" x14ac:dyDescent="0.25">
      <c r="A1758" t="s">
        <v>1762</v>
      </c>
      <c r="B1758">
        <v>0.99299721793515405</v>
      </c>
      <c r="C1758">
        <v>0.81551631566432503</v>
      </c>
      <c r="D1758">
        <v>0.98372338918092905</v>
      </c>
      <c r="E1758">
        <v>0.75800046957163802</v>
      </c>
      <c r="F1758">
        <v>0.69715158396198795</v>
      </c>
      <c r="G1758">
        <v>0.49619104826113902</v>
      </c>
      <c r="H1758">
        <v>0.359323092185374</v>
      </c>
      <c r="I1758">
        <v>0.31088440233130499</v>
      </c>
      <c r="J1758">
        <v>0.30298500688860802</v>
      </c>
      <c r="K1758">
        <v>0.245814331876749</v>
      </c>
      <c r="L1758">
        <v>499.04124490219101</v>
      </c>
      <c r="M1758">
        <v>9.61615613067484</v>
      </c>
      <c r="N1758">
        <v>54.034400482728202</v>
      </c>
      <c r="O1758">
        <v>49.80077053211</v>
      </c>
      <c r="P1758">
        <v>-4.06567502212015E-2</v>
      </c>
      <c r="Q1758">
        <v>0.15825254842303399</v>
      </c>
      <c r="R1758">
        <v>0.95594272451079199</v>
      </c>
      <c r="S1758" t="s">
        <v>7309</v>
      </c>
      <c r="T1758" t="s">
        <v>11100</v>
      </c>
      <c r="U1758" t="s">
        <v>11100</v>
      </c>
      <c r="V1758" t="s">
        <v>11100</v>
      </c>
      <c r="W1758" t="s">
        <v>12823</v>
      </c>
      <c r="X1758">
        <v>9</v>
      </c>
      <c r="Y1758" t="s">
        <v>18309</v>
      </c>
      <c r="Z1758" t="s">
        <v>23763</v>
      </c>
      <c r="AA1758">
        <v>0.59943773987707027</v>
      </c>
      <c r="AB1758" t="str">
        <f>HYPERLINK("Melting_Curves/meltCurve_P08047_SP1.pdf", "Melting_Curves/meltCurve_P08047_SP1.pdf")</f>
        <v>Melting_Curves/meltCurve_P08047_SP1.pdf</v>
      </c>
    </row>
    <row r="1759" spans="1:28" x14ac:dyDescent="0.25">
      <c r="A1759" t="s">
        <v>1763</v>
      </c>
      <c r="B1759">
        <v>0.99299721793515405</v>
      </c>
      <c r="C1759">
        <v>1.03574020947986</v>
      </c>
      <c r="D1759">
        <v>0.96745924762712099</v>
      </c>
      <c r="E1759">
        <v>0.90575405634690398</v>
      </c>
      <c r="F1759">
        <v>0.76560930373946101</v>
      </c>
      <c r="G1759">
        <v>0.80233270982228699</v>
      </c>
      <c r="H1759">
        <v>0.54119161587887499</v>
      </c>
      <c r="I1759">
        <v>0.184309499380724</v>
      </c>
      <c r="J1759">
        <v>8.7586430686224306E-2</v>
      </c>
      <c r="K1759">
        <v>6.7538796181572006E-2</v>
      </c>
      <c r="L1759">
        <v>981.73468642324497</v>
      </c>
      <c r="M1759">
        <v>17.215280766460801</v>
      </c>
      <c r="N1759">
        <v>57.0269343944695</v>
      </c>
      <c r="O1759">
        <v>56.274129525536402</v>
      </c>
      <c r="P1759">
        <v>-7.6484050607604798E-2</v>
      </c>
      <c r="Q1759">
        <v>0</v>
      </c>
      <c r="R1759">
        <v>0.967660290063871</v>
      </c>
      <c r="S1759" t="s">
        <v>7310</v>
      </c>
      <c r="T1759" t="s">
        <v>11100</v>
      </c>
      <c r="U1759" t="s">
        <v>11100</v>
      </c>
      <c r="V1759" t="s">
        <v>11100</v>
      </c>
      <c r="W1759" t="s">
        <v>12824</v>
      </c>
      <c r="X1759">
        <v>75</v>
      </c>
      <c r="Y1759" t="s">
        <v>18310</v>
      </c>
      <c r="Z1759" t="s">
        <v>23764</v>
      </c>
      <c r="AA1759">
        <v>0.67641906469937896</v>
      </c>
      <c r="AB1759" t="str">
        <f>HYPERLINK("Melting_Curves/meltCurve_P08107_HSPA1A.pdf", "Melting_Curves/meltCurve_P08107_HSPA1A.pdf")</f>
        <v>Melting_Curves/meltCurve_P08107_HSPA1A.pdf</v>
      </c>
    </row>
    <row r="1760" spans="1:28" x14ac:dyDescent="0.25">
      <c r="A1760" t="s">
        <v>1764</v>
      </c>
      <c r="B1760">
        <v>0.99299721793515405</v>
      </c>
      <c r="C1760">
        <v>1.0513492903199899</v>
      </c>
      <c r="D1760">
        <v>0.98336091264217995</v>
      </c>
      <c r="E1760">
        <v>0.92113322981197898</v>
      </c>
      <c r="F1760">
        <v>0.739257869723006</v>
      </c>
      <c r="G1760">
        <v>0.40479904397890198</v>
      </c>
      <c r="H1760">
        <v>0.17150114522274201</v>
      </c>
      <c r="I1760">
        <v>0.14359235434050999</v>
      </c>
      <c r="J1760">
        <v>0.124325395385568</v>
      </c>
      <c r="K1760">
        <v>9.4792928210305397E-2</v>
      </c>
      <c r="L1760">
        <v>1176.56124211307</v>
      </c>
      <c r="M1760">
        <v>22.573612663124401</v>
      </c>
      <c r="N1760">
        <v>52.628013265129198</v>
      </c>
      <c r="O1760">
        <v>51.717228843663797</v>
      </c>
      <c r="P1760">
        <v>-9.8460331541336293E-2</v>
      </c>
      <c r="Q1760">
        <v>9.7708957836004903E-2</v>
      </c>
      <c r="R1760">
        <v>0.99700667768684903</v>
      </c>
      <c r="S1760" t="s">
        <v>7311</v>
      </c>
      <c r="T1760" t="s">
        <v>11100</v>
      </c>
      <c r="U1760" t="s">
        <v>11100</v>
      </c>
      <c r="V1760" t="s">
        <v>11100</v>
      </c>
      <c r="W1760" t="s">
        <v>12825</v>
      </c>
      <c r="X1760">
        <v>52</v>
      </c>
      <c r="Y1760" t="s">
        <v>16644</v>
      </c>
      <c r="Z1760" t="s">
        <v>23765</v>
      </c>
      <c r="AA1760">
        <v>0.56204676059085046</v>
      </c>
      <c r="AB1760" t="str">
        <f>HYPERLINK("Melting_Curves/meltCurve_P08133_ANXA6.pdf", "Melting_Curves/meltCurve_P08133_ANXA6.pdf")</f>
        <v>Melting_Curves/meltCurve_P08133_ANXA6.pdf</v>
      </c>
    </row>
    <row r="1761" spans="1:28" x14ac:dyDescent="0.25">
      <c r="A1761" t="s">
        <v>1765</v>
      </c>
      <c r="B1761">
        <v>0.99299721793515405</v>
      </c>
      <c r="C1761">
        <v>1.0306584236618099</v>
      </c>
      <c r="D1761">
        <v>0.956116981100811</v>
      </c>
      <c r="E1761">
        <v>0.88989415154792695</v>
      </c>
      <c r="F1761">
        <v>0.73725807521446196</v>
      </c>
      <c r="G1761">
        <v>0.65604118076624196</v>
      </c>
      <c r="H1761">
        <v>0.75102383276743701</v>
      </c>
      <c r="I1761">
        <v>0.84150373826487201</v>
      </c>
      <c r="J1761">
        <v>0.90830074893329904</v>
      </c>
      <c r="K1761">
        <v>0.64506946658332698</v>
      </c>
      <c r="L1761">
        <v>11658.9294867431</v>
      </c>
      <c r="M1761">
        <v>250</v>
      </c>
      <c r="O1761">
        <v>46.632733550616202</v>
      </c>
      <c r="P1761">
        <v>-0.32630936178986503</v>
      </c>
      <c r="Q1761">
        <v>0.75653283980764297</v>
      </c>
      <c r="R1761">
        <v>0.67139979303420305</v>
      </c>
      <c r="S1761" t="s">
        <v>7312</v>
      </c>
      <c r="T1761" t="s">
        <v>11100</v>
      </c>
      <c r="U1761" t="s">
        <v>11100</v>
      </c>
      <c r="V1761" t="s">
        <v>11100</v>
      </c>
      <c r="W1761" t="s">
        <v>12826</v>
      </c>
      <c r="X1761">
        <v>28</v>
      </c>
      <c r="Y1761" t="s">
        <v>18311</v>
      </c>
      <c r="Z1761" t="s">
        <v>23766</v>
      </c>
      <c r="AA1761">
        <v>0.83475212919955588</v>
      </c>
      <c r="AB1761" t="str">
        <f>HYPERLINK("Melting_Curves/meltCurve_P08237_PFKM.pdf", "Melting_Curves/meltCurve_P08237_PFKM.pdf")</f>
        <v>Melting_Curves/meltCurve_P08237_PFKM.pdf</v>
      </c>
    </row>
    <row r="1762" spans="1:28" x14ac:dyDescent="0.25">
      <c r="A1762" t="s">
        <v>1766</v>
      </c>
      <c r="B1762">
        <v>0.99299721793515405</v>
      </c>
      <c r="C1762">
        <v>1.0646252583883</v>
      </c>
      <c r="D1762">
        <v>1.0277071761096701</v>
      </c>
      <c r="E1762">
        <v>0.95329606866653405</v>
      </c>
      <c r="F1762">
        <v>0.82747504986704701</v>
      </c>
      <c r="G1762">
        <v>0.70409144920702005</v>
      </c>
      <c r="H1762">
        <v>0.22040027192134801</v>
      </c>
      <c r="I1762">
        <v>0.16835859464995001</v>
      </c>
      <c r="J1762">
        <v>0.14131204743723699</v>
      </c>
      <c r="K1762">
        <v>0.118174263709265</v>
      </c>
      <c r="L1762">
        <v>1445.15174802156</v>
      </c>
      <c r="M1762">
        <v>26.525806147940902</v>
      </c>
      <c r="N1762">
        <v>54.981136399814297</v>
      </c>
      <c r="O1762">
        <v>54.174157245495202</v>
      </c>
      <c r="P1762">
        <v>-0.109288590711349</v>
      </c>
      <c r="Q1762">
        <v>0.107200829615899</v>
      </c>
      <c r="R1762">
        <v>0.98310832287004302</v>
      </c>
      <c r="S1762" t="s">
        <v>7313</v>
      </c>
      <c r="T1762" t="s">
        <v>11100</v>
      </c>
      <c r="U1762" t="s">
        <v>11100</v>
      </c>
      <c r="V1762" t="s">
        <v>11100</v>
      </c>
      <c r="W1762" t="s">
        <v>12827</v>
      </c>
      <c r="X1762">
        <v>78</v>
      </c>
      <c r="Y1762" t="s">
        <v>18312</v>
      </c>
      <c r="Z1762" t="s">
        <v>23767</v>
      </c>
      <c r="AA1762">
        <v>0.63445213798262523</v>
      </c>
      <c r="AB1762" t="str">
        <f>HYPERLINK("Melting_Curves/meltCurve_P08238_HSP90AB1.pdf", "Melting_Curves/meltCurve_P08238_HSP90AB1.pdf")</f>
        <v>Melting_Curves/meltCurve_P08238_HSP90AB1.pdf</v>
      </c>
    </row>
    <row r="1763" spans="1:28" x14ac:dyDescent="0.25">
      <c r="A1763" t="s">
        <v>1767</v>
      </c>
      <c r="B1763">
        <v>0.99299721793515405</v>
      </c>
      <c r="C1763">
        <v>0.98876487900097798</v>
      </c>
      <c r="D1763">
        <v>0.998032343940915</v>
      </c>
      <c r="E1763">
        <v>0.87991875138370002</v>
      </c>
      <c r="F1763">
        <v>0.68810376770306503</v>
      </c>
      <c r="G1763">
        <v>0.371670735888533</v>
      </c>
      <c r="H1763">
        <v>0.174486555093819</v>
      </c>
      <c r="I1763">
        <v>0.145579990119106</v>
      </c>
      <c r="J1763">
        <v>0.13212583538557299</v>
      </c>
      <c r="K1763">
        <v>0.100226454824523</v>
      </c>
      <c r="L1763">
        <v>1053.6512671445901</v>
      </c>
      <c r="M1763">
        <v>20.434199140162001</v>
      </c>
      <c r="N1763">
        <v>52.130083629728098</v>
      </c>
      <c r="O1763">
        <v>51.076923132742998</v>
      </c>
      <c r="P1763">
        <v>-9.0054453603974002E-2</v>
      </c>
      <c r="Q1763">
        <v>9.9633545276475194E-2</v>
      </c>
      <c r="R1763">
        <v>0.99830329045663202</v>
      </c>
      <c r="S1763" t="s">
        <v>7314</v>
      </c>
      <c r="T1763" t="s">
        <v>11100</v>
      </c>
      <c r="U1763" t="s">
        <v>11100</v>
      </c>
      <c r="V1763" t="s">
        <v>11100</v>
      </c>
      <c r="W1763" t="s">
        <v>12828</v>
      </c>
      <c r="X1763">
        <v>11</v>
      </c>
      <c r="Y1763" t="s">
        <v>18313</v>
      </c>
      <c r="Z1763" t="s">
        <v>23768</v>
      </c>
      <c r="AA1763">
        <v>0.54801497868579796</v>
      </c>
      <c r="AB1763" t="str">
        <f>HYPERLINK("Melting_Curves/meltCurve_P08240_SRPR.pdf", "Melting_Curves/meltCurve_P08240_SRPR.pdf")</f>
        <v>Melting_Curves/meltCurve_P08240_SRPR.pdf</v>
      </c>
    </row>
    <row r="1764" spans="1:28" x14ac:dyDescent="0.25">
      <c r="A1764" t="s">
        <v>1768</v>
      </c>
      <c r="B1764">
        <v>0.99299721793515405</v>
      </c>
      <c r="C1764">
        <v>1.09527011363611</v>
      </c>
      <c r="D1764">
        <v>0.969219039392614</v>
      </c>
      <c r="E1764">
        <v>0.95389396173580498</v>
      </c>
      <c r="F1764">
        <v>0.74907150282411195</v>
      </c>
      <c r="G1764">
        <v>0.56002825499548903</v>
      </c>
      <c r="H1764">
        <v>0.18676349219615901</v>
      </c>
      <c r="I1764">
        <v>0.11575753999169699</v>
      </c>
      <c r="J1764">
        <v>0.101562705062428</v>
      </c>
      <c r="K1764">
        <v>8.0130383616991901E-2</v>
      </c>
      <c r="L1764">
        <v>1059.4390515776499</v>
      </c>
      <c r="M1764">
        <v>19.826360783987099</v>
      </c>
      <c r="N1764">
        <v>53.726882806393803</v>
      </c>
      <c r="O1764">
        <v>52.901160276022203</v>
      </c>
      <c r="P1764">
        <v>-8.8928211138646504E-2</v>
      </c>
      <c r="Q1764">
        <v>5.0910516060347903E-2</v>
      </c>
      <c r="R1764">
        <v>0.98755790862499904</v>
      </c>
      <c r="S1764" t="s">
        <v>7315</v>
      </c>
      <c r="T1764" t="s">
        <v>11100</v>
      </c>
      <c r="U1764" t="s">
        <v>11100</v>
      </c>
      <c r="V1764" t="s">
        <v>11100</v>
      </c>
      <c r="W1764" t="s">
        <v>12829</v>
      </c>
      <c r="X1764">
        <v>32</v>
      </c>
      <c r="Y1764" t="s">
        <v>18314</v>
      </c>
      <c r="Z1764" t="s">
        <v>23769</v>
      </c>
      <c r="AA1764">
        <v>0.58279455608660213</v>
      </c>
      <c r="AB1764" t="str">
        <f>HYPERLINK("Melting_Curves/meltCurve_P08243_2_ASNS.pdf", "Melting_Curves/meltCurve_P08243_2_ASNS.pdf")</f>
        <v>Melting_Curves/meltCurve_P08243_2_ASNS.pdf</v>
      </c>
    </row>
    <row r="1765" spans="1:28" x14ac:dyDescent="0.25">
      <c r="A1765" t="s">
        <v>1769</v>
      </c>
      <c r="B1765">
        <v>0.99299721793515405</v>
      </c>
      <c r="C1765">
        <v>0.92280019381707701</v>
      </c>
      <c r="D1765">
        <v>0.85380361873675303</v>
      </c>
      <c r="E1765">
        <v>0.730560363657069</v>
      </c>
      <c r="F1765">
        <v>0.62390033007998003</v>
      </c>
      <c r="G1765">
        <v>0.386542904024189</v>
      </c>
      <c r="H1765">
        <v>0.434731618585253</v>
      </c>
      <c r="I1765">
        <v>0.684609921842944</v>
      </c>
      <c r="J1765">
        <v>0.84181190521820004</v>
      </c>
      <c r="K1765">
        <v>0.77828763794332301</v>
      </c>
      <c r="L1765">
        <v>1049.05718872069</v>
      </c>
      <c r="M1765">
        <v>24.0434643488665</v>
      </c>
      <c r="O1765">
        <v>43.3332338061348</v>
      </c>
      <c r="P1765">
        <v>-5.1734280889930498E-2</v>
      </c>
      <c r="Q1765">
        <v>0.62704569881486705</v>
      </c>
      <c r="R1765">
        <v>0.51266264540694495</v>
      </c>
      <c r="S1765" t="s">
        <v>7316</v>
      </c>
      <c r="T1765" t="s">
        <v>11100</v>
      </c>
      <c r="U1765" t="s">
        <v>11100</v>
      </c>
      <c r="V1765" t="s">
        <v>11100</v>
      </c>
      <c r="W1765" t="s">
        <v>12830</v>
      </c>
      <c r="X1765">
        <v>12</v>
      </c>
      <c r="Y1765" t="s">
        <v>18315</v>
      </c>
      <c r="Z1765" t="s">
        <v>23770</v>
      </c>
      <c r="AA1765">
        <v>0.71284345373020319</v>
      </c>
      <c r="AB1765" t="str">
        <f>HYPERLINK("Melting_Curves/meltCurve_P08397_2_HMBS.pdf", "Melting_Curves/meltCurve_P08397_2_HMBS.pdf")</f>
        <v>Melting_Curves/meltCurve_P08397_2_HMBS.pdf</v>
      </c>
    </row>
    <row r="1766" spans="1:28" x14ac:dyDescent="0.25">
      <c r="A1766" t="s">
        <v>1770</v>
      </c>
      <c r="B1766">
        <v>0.99299721793515405</v>
      </c>
      <c r="C1766">
        <v>1.02428474867131</v>
      </c>
      <c r="D1766">
        <v>1.00593085245877</v>
      </c>
      <c r="E1766">
        <v>0.86719565274328503</v>
      </c>
      <c r="F1766">
        <v>0.79800392097665196</v>
      </c>
      <c r="G1766">
        <v>0.47927504902837498</v>
      </c>
      <c r="H1766">
        <v>0.23257926545387</v>
      </c>
      <c r="I1766">
        <v>0.158528181403674</v>
      </c>
      <c r="J1766">
        <v>0.141956009303178</v>
      </c>
      <c r="K1766">
        <v>0.13128716761359099</v>
      </c>
      <c r="L1766">
        <v>1050.7302426163101</v>
      </c>
      <c r="M1766">
        <v>19.898109500323098</v>
      </c>
      <c r="N1766">
        <v>53.454106602674997</v>
      </c>
      <c r="O1766">
        <v>52.280866289001899</v>
      </c>
      <c r="P1766">
        <v>-8.4948217922206706E-2</v>
      </c>
      <c r="Q1766">
        <v>0.10724807472575</v>
      </c>
      <c r="R1766">
        <v>0.99392510347859597</v>
      </c>
      <c r="S1766" t="s">
        <v>7317</v>
      </c>
      <c r="T1766" t="s">
        <v>11100</v>
      </c>
      <c r="U1766" t="s">
        <v>11100</v>
      </c>
      <c r="V1766" t="s">
        <v>11100</v>
      </c>
      <c r="W1766" t="s">
        <v>12831</v>
      </c>
      <c r="X1766">
        <v>26</v>
      </c>
      <c r="Y1766" t="s">
        <v>18316</v>
      </c>
      <c r="Z1766" t="s">
        <v>23771</v>
      </c>
      <c r="AA1766">
        <v>0.58899257065730415</v>
      </c>
      <c r="AB1766" t="str">
        <f>HYPERLINK("Melting_Curves/meltCurve_P08559_3_PDHA1.pdf", "Melting_Curves/meltCurve_P08559_3_PDHA1.pdf")</f>
        <v>Melting_Curves/meltCurve_P08559_3_PDHA1.pdf</v>
      </c>
    </row>
    <row r="1767" spans="1:28" x14ac:dyDescent="0.25">
      <c r="A1767" t="s">
        <v>1771</v>
      </c>
      <c r="B1767">
        <v>0.99299721793515405</v>
      </c>
      <c r="C1767">
        <v>0.95933512132079002</v>
      </c>
      <c r="D1767">
        <v>0.86581723216210305</v>
      </c>
      <c r="E1767">
        <v>0.78091089074752096</v>
      </c>
      <c r="F1767">
        <v>0.73532783079450803</v>
      </c>
      <c r="G1767">
        <v>1.2440984862420701</v>
      </c>
      <c r="H1767">
        <v>2.0205845410358698</v>
      </c>
      <c r="I1767">
        <v>1.80411401708321</v>
      </c>
      <c r="J1767">
        <v>0.53477482152946199</v>
      </c>
      <c r="K1767">
        <v>0.22816797970200201</v>
      </c>
      <c r="L1767">
        <v>15000</v>
      </c>
      <c r="M1767">
        <v>234.426019519118</v>
      </c>
      <c r="N1767">
        <v>64.152812801229302</v>
      </c>
      <c r="O1767">
        <v>63.9814147001508</v>
      </c>
      <c r="P1767">
        <v>-0.70702264939251502</v>
      </c>
      <c r="Q1767">
        <v>0.22813501240222001</v>
      </c>
      <c r="R1767">
        <v>0.300336191943197</v>
      </c>
      <c r="S1767" t="s">
        <v>7318</v>
      </c>
      <c r="T1767" t="s">
        <v>11100</v>
      </c>
      <c r="U1767" t="s">
        <v>11100</v>
      </c>
      <c r="V1767" t="s">
        <v>11100</v>
      </c>
      <c r="W1767" t="s">
        <v>12832</v>
      </c>
      <c r="X1767">
        <v>3</v>
      </c>
      <c r="Y1767" t="s">
        <v>18317</v>
      </c>
      <c r="Z1767" t="s">
        <v>23772</v>
      </c>
      <c r="AA1767">
        <v>0.922553506027189</v>
      </c>
      <c r="AB1767" t="str">
        <f>HYPERLINK("Melting_Curves/meltCurve_P08574_CYC1.pdf", "Melting_Curves/meltCurve_P08574_CYC1.pdf")</f>
        <v>Melting_Curves/meltCurve_P08574_CYC1.pdf</v>
      </c>
    </row>
    <row r="1768" spans="1:28" x14ac:dyDescent="0.25">
      <c r="A1768" t="s">
        <v>1772</v>
      </c>
      <c r="B1768">
        <v>0.99299721793515405</v>
      </c>
      <c r="C1768">
        <v>0.87934360256257005</v>
      </c>
      <c r="D1768">
        <v>0.98919490433881097</v>
      </c>
      <c r="E1768">
        <v>0.77725190844480596</v>
      </c>
      <c r="F1768">
        <v>0.765852853979337</v>
      </c>
      <c r="G1768">
        <v>0.73611719185504698</v>
      </c>
      <c r="H1768">
        <v>0.63620139330569803</v>
      </c>
      <c r="I1768">
        <v>0.53382708204310303</v>
      </c>
      <c r="J1768">
        <v>0.34432904321051999</v>
      </c>
      <c r="K1768">
        <v>0.24504119343816899</v>
      </c>
      <c r="L1768">
        <v>416.10460838928702</v>
      </c>
      <c r="M1768">
        <v>6.9495677029814296</v>
      </c>
      <c r="N1768">
        <v>59.874890621252703</v>
      </c>
      <c r="O1768">
        <v>55.507336538582202</v>
      </c>
      <c r="P1768">
        <v>-3.1359802897231302E-2</v>
      </c>
      <c r="Q1768">
        <v>0</v>
      </c>
      <c r="R1768">
        <v>0.93005238080478603</v>
      </c>
      <c r="S1768" t="s">
        <v>7319</v>
      </c>
      <c r="T1768" t="s">
        <v>11100</v>
      </c>
      <c r="U1768" t="s">
        <v>11100</v>
      </c>
      <c r="V1768" t="s">
        <v>11100</v>
      </c>
      <c r="W1768" t="s">
        <v>12833</v>
      </c>
      <c r="X1768">
        <v>2</v>
      </c>
      <c r="Y1768" t="s">
        <v>18318</v>
      </c>
      <c r="Z1768" t="s">
        <v>23773</v>
      </c>
      <c r="AA1768">
        <v>0.70855594191807714</v>
      </c>
      <c r="AB1768" t="str">
        <f>HYPERLINK("Melting_Curves/meltCurve_P08579_SNRPB2.pdf", "Melting_Curves/meltCurve_P08579_SNRPB2.pdf")</f>
        <v>Melting_Curves/meltCurve_P08579_SNRPB2.pdf</v>
      </c>
    </row>
    <row r="1769" spans="1:28" x14ac:dyDescent="0.25">
      <c r="A1769" t="s">
        <v>1773</v>
      </c>
      <c r="B1769">
        <v>0.99299721793515405</v>
      </c>
      <c r="C1769">
        <v>0.968579831638542</v>
      </c>
      <c r="D1769">
        <v>0.98482515851408303</v>
      </c>
      <c r="E1769">
        <v>0.84933321514802496</v>
      </c>
      <c r="F1769">
        <v>0.78270591072874396</v>
      </c>
      <c r="G1769">
        <v>0.54380733557025196</v>
      </c>
      <c r="H1769">
        <v>0.35196244966797502</v>
      </c>
      <c r="I1769">
        <v>0.28613487399431498</v>
      </c>
      <c r="J1769">
        <v>0.200729356028926</v>
      </c>
      <c r="K1769">
        <v>0.18322759726938101</v>
      </c>
      <c r="L1769">
        <v>710.92892046635995</v>
      </c>
      <c r="M1769">
        <v>13.2754013852466</v>
      </c>
      <c r="N1769">
        <v>54.694794134188299</v>
      </c>
      <c r="O1769">
        <v>52.3809455476759</v>
      </c>
      <c r="P1769">
        <v>-5.569711692788E-2</v>
      </c>
      <c r="Q1769">
        <v>0.121083387243619</v>
      </c>
      <c r="R1769">
        <v>0.99470888754958997</v>
      </c>
      <c r="S1769" t="s">
        <v>7320</v>
      </c>
      <c r="T1769" t="s">
        <v>11100</v>
      </c>
      <c r="U1769" t="s">
        <v>11100</v>
      </c>
      <c r="V1769" t="s">
        <v>11100</v>
      </c>
      <c r="W1769" t="s">
        <v>12834</v>
      </c>
      <c r="X1769">
        <v>5</v>
      </c>
      <c r="Y1769" t="s">
        <v>18319</v>
      </c>
      <c r="Z1769" t="s">
        <v>23774</v>
      </c>
      <c r="AA1769">
        <v>0.62229632111374922</v>
      </c>
      <c r="AB1769" t="str">
        <f>HYPERLINK("Melting_Curves/meltCurve_P08581_MET.pdf", "Melting_Curves/meltCurve_P08581_MET.pdf")</f>
        <v>Melting_Curves/meltCurve_P08581_MET.pdf</v>
      </c>
    </row>
    <row r="1770" spans="1:28" x14ac:dyDescent="0.25">
      <c r="A1770" t="s">
        <v>1774</v>
      </c>
      <c r="B1770">
        <v>0.99299721793515405</v>
      </c>
      <c r="C1770">
        <v>0.989807399092417</v>
      </c>
      <c r="D1770">
        <v>0.89695419861002601</v>
      </c>
      <c r="E1770">
        <v>0.87535478127471</v>
      </c>
      <c r="F1770">
        <v>0.72578464076261395</v>
      </c>
      <c r="G1770">
        <v>0.60258611245848703</v>
      </c>
      <c r="H1770">
        <v>0.53696898668193804</v>
      </c>
      <c r="I1770">
        <v>0.41366327223654398</v>
      </c>
      <c r="J1770">
        <v>0.34229518319743801</v>
      </c>
      <c r="K1770">
        <v>0.30138944180050697</v>
      </c>
      <c r="L1770">
        <v>448.00145259204203</v>
      </c>
      <c r="M1770">
        <v>8.0498239442741202</v>
      </c>
      <c r="N1770">
        <v>57.696027039255803</v>
      </c>
      <c r="O1770">
        <v>52.534389671396703</v>
      </c>
      <c r="P1770">
        <v>-3.3595164209884801E-2</v>
      </c>
      <c r="Q1770">
        <v>0.123979173748561</v>
      </c>
      <c r="R1770">
        <v>0.99415744771541603</v>
      </c>
      <c r="S1770" t="s">
        <v>7321</v>
      </c>
      <c r="T1770" t="s">
        <v>11100</v>
      </c>
      <c r="U1770" t="s">
        <v>11100</v>
      </c>
      <c r="V1770" t="s">
        <v>11100</v>
      </c>
      <c r="W1770" t="s">
        <v>12835</v>
      </c>
      <c r="X1770">
        <v>11</v>
      </c>
      <c r="Y1770" t="s">
        <v>18320</v>
      </c>
      <c r="Z1770" t="s">
        <v>23775</v>
      </c>
      <c r="AA1770">
        <v>0.67002653619746078</v>
      </c>
      <c r="AB1770" t="str">
        <f>HYPERLINK("Melting_Curves/meltCurve_P08582_MFI2.pdf", "Melting_Curves/meltCurve_P08582_MFI2.pdf")</f>
        <v>Melting_Curves/meltCurve_P08582_MFI2.pdf</v>
      </c>
    </row>
    <row r="1771" spans="1:28" x14ac:dyDescent="0.25">
      <c r="A1771" t="s">
        <v>1775</v>
      </c>
      <c r="B1771">
        <v>0.99299721793515405</v>
      </c>
      <c r="C1771">
        <v>0.84046230067859695</v>
      </c>
      <c r="D1771">
        <v>0.86150568527006699</v>
      </c>
      <c r="E1771">
        <v>0.89281169733948496</v>
      </c>
      <c r="F1771">
        <v>0.76994585770258495</v>
      </c>
      <c r="G1771">
        <v>0.56031690697798597</v>
      </c>
      <c r="H1771">
        <v>0.68595614129274096</v>
      </c>
      <c r="I1771">
        <v>0.68119722492195101</v>
      </c>
      <c r="J1771">
        <v>0.58232069332314396</v>
      </c>
      <c r="K1771">
        <v>0.499610529467792</v>
      </c>
      <c r="L1771">
        <v>255.246940865841</v>
      </c>
      <c r="M1771">
        <v>4.4874143772737396</v>
      </c>
      <c r="O1771">
        <v>48.305375189963499</v>
      </c>
      <c r="P1771">
        <v>-1.6118174908882801E-2</v>
      </c>
      <c r="Q1771">
        <v>0.31204822028915002</v>
      </c>
      <c r="R1771">
        <v>0.81708572533467805</v>
      </c>
      <c r="S1771" t="s">
        <v>7322</v>
      </c>
      <c r="T1771" t="s">
        <v>11100</v>
      </c>
      <c r="U1771" t="s">
        <v>11100</v>
      </c>
      <c r="V1771" t="s">
        <v>11100</v>
      </c>
      <c r="W1771" t="s">
        <v>12836</v>
      </c>
      <c r="X1771">
        <v>6</v>
      </c>
      <c r="Y1771" t="s">
        <v>18321</v>
      </c>
      <c r="Z1771" t="s">
        <v>23776</v>
      </c>
      <c r="AA1771">
        <v>0.73477652817306349</v>
      </c>
      <c r="AB1771" t="str">
        <f>HYPERLINK("Melting_Curves/meltCurve_P08648_ITGA5.pdf", "Melting_Curves/meltCurve_P08648_ITGA5.pdf")</f>
        <v>Melting_Curves/meltCurve_P08648_ITGA5.pdf</v>
      </c>
    </row>
    <row r="1772" spans="1:28" x14ac:dyDescent="0.25">
      <c r="A1772" t="s">
        <v>1776</v>
      </c>
      <c r="B1772">
        <v>0.99299721793515405</v>
      </c>
      <c r="C1772">
        <v>0.95229591667902003</v>
      </c>
      <c r="D1772">
        <v>1.0164314920228901</v>
      </c>
      <c r="E1772">
        <v>0.85598789496650896</v>
      </c>
      <c r="F1772">
        <v>0.73348074870388602</v>
      </c>
      <c r="G1772">
        <v>1.4305957458593299</v>
      </c>
      <c r="H1772">
        <v>1.1898580619116901</v>
      </c>
      <c r="I1772">
        <v>1.3183186235664299</v>
      </c>
      <c r="J1772">
        <v>0.75709883468158501</v>
      </c>
      <c r="K1772">
        <v>0.65278714569460194</v>
      </c>
      <c r="L1772">
        <v>15000</v>
      </c>
      <c r="M1772">
        <v>234.85413094436501</v>
      </c>
      <c r="O1772">
        <v>63.864800910508798</v>
      </c>
      <c r="P1772">
        <v>-0.31922335207282299</v>
      </c>
      <c r="Q1772">
        <v>0.65276938991834899</v>
      </c>
      <c r="R1772">
        <v>0.29972998348001101</v>
      </c>
      <c r="S1772" t="s">
        <v>7323</v>
      </c>
      <c r="T1772" t="s">
        <v>11100</v>
      </c>
      <c r="U1772" t="s">
        <v>11100</v>
      </c>
      <c r="V1772" t="s">
        <v>11100</v>
      </c>
      <c r="W1772" t="s">
        <v>12837</v>
      </c>
      <c r="X1772">
        <v>46</v>
      </c>
      <c r="Y1772" t="s">
        <v>18322</v>
      </c>
      <c r="Z1772" t="s">
        <v>23777</v>
      </c>
      <c r="AA1772">
        <v>0.96380974576887002</v>
      </c>
      <c r="AB1772" t="str">
        <f>HYPERLINK("Melting_Curves/meltCurve_P08670_VIM.pdf", "Melting_Curves/meltCurve_P08670_VIM.pdf")</f>
        <v>Melting_Curves/meltCurve_P08670_VIM.pdf</v>
      </c>
    </row>
    <row r="1773" spans="1:28" x14ac:dyDescent="0.25">
      <c r="A1773" t="s">
        <v>1777</v>
      </c>
      <c r="B1773">
        <v>0.99299721793515405</v>
      </c>
      <c r="C1773">
        <v>1.0064282590496101</v>
      </c>
      <c r="D1773">
        <v>0.95343291397389396</v>
      </c>
      <c r="E1773">
        <v>0.91386971012956197</v>
      </c>
      <c r="F1773">
        <v>0.779389254608019</v>
      </c>
      <c r="G1773">
        <v>0.78798000754466602</v>
      </c>
      <c r="H1773">
        <v>0.57930689859850704</v>
      </c>
      <c r="I1773">
        <v>0.21627211669862101</v>
      </c>
      <c r="J1773">
        <v>0.14391659243618801</v>
      </c>
      <c r="K1773">
        <v>0.11205900805732801</v>
      </c>
      <c r="L1773">
        <v>856.50858731702704</v>
      </c>
      <c r="M1773">
        <v>14.9283680068365</v>
      </c>
      <c r="N1773">
        <v>57.374562887354003</v>
      </c>
      <c r="O1773">
        <v>56.374543677103297</v>
      </c>
      <c r="P1773">
        <v>-6.6208542708396295E-2</v>
      </c>
      <c r="Q1773">
        <v>0</v>
      </c>
      <c r="R1773">
        <v>0.97080256424508904</v>
      </c>
      <c r="S1773" t="s">
        <v>7324</v>
      </c>
      <c r="T1773" t="s">
        <v>11100</v>
      </c>
      <c r="U1773" t="s">
        <v>11100</v>
      </c>
      <c r="V1773" t="s">
        <v>11100</v>
      </c>
      <c r="W1773" t="s">
        <v>12838</v>
      </c>
      <c r="X1773">
        <v>19</v>
      </c>
      <c r="Y1773" t="s">
        <v>18323</v>
      </c>
      <c r="Z1773" t="s">
        <v>23778</v>
      </c>
      <c r="AA1773">
        <v>0.68586880274247874</v>
      </c>
      <c r="AB1773" t="str">
        <f>HYPERLINK("Melting_Curves/meltCurve_P08754_GNAI3.pdf", "Melting_Curves/meltCurve_P08754_GNAI3.pdf")</f>
        <v>Melting_Curves/meltCurve_P08754_GNAI3.pdf</v>
      </c>
    </row>
    <row r="1774" spans="1:28" x14ac:dyDescent="0.25">
      <c r="A1774" t="s">
        <v>1778</v>
      </c>
      <c r="B1774">
        <v>0.99299721793515405</v>
      </c>
      <c r="C1774">
        <v>1.06584750794758</v>
      </c>
      <c r="D1774">
        <v>0.95293905079777397</v>
      </c>
      <c r="E1774">
        <v>0.92785082349245396</v>
      </c>
      <c r="F1774">
        <v>0.75700188725408002</v>
      </c>
      <c r="G1774">
        <v>0.28360289503693598</v>
      </c>
      <c r="H1774">
        <v>0.13547080226525399</v>
      </c>
      <c r="I1774">
        <v>0.112164029548817</v>
      </c>
      <c r="J1774">
        <v>9.6142700303447307E-2</v>
      </c>
      <c r="K1774">
        <v>7.7489788885633307E-2</v>
      </c>
      <c r="L1774">
        <v>1603.7627540000699</v>
      </c>
      <c r="M1774">
        <v>31.033855971786199</v>
      </c>
      <c r="N1774">
        <v>52.013999731793398</v>
      </c>
      <c r="O1774">
        <v>51.464685961107399</v>
      </c>
      <c r="P1774">
        <v>-0.13705550237335001</v>
      </c>
      <c r="Q1774">
        <v>9.0866660646531802E-2</v>
      </c>
      <c r="R1774">
        <v>0.99453481083392503</v>
      </c>
      <c r="S1774" t="s">
        <v>7325</v>
      </c>
      <c r="T1774" t="s">
        <v>11100</v>
      </c>
      <c r="U1774" t="s">
        <v>11100</v>
      </c>
      <c r="V1774" t="s">
        <v>11100</v>
      </c>
      <c r="W1774" t="s">
        <v>12839</v>
      </c>
      <c r="X1774">
        <v>26</v>
      </c>
      <c r="Y1774" t="s">
        <v>18324</v>
      </c>
      <c r="Z1774" t="s">
        <v>23779</v>
      </c>
      <c r="AA1774">
        <v>0.54102270611449954</v>
      </c>
      <c r="AB1774" t="str">
        <f>HYPERLINK("Melting_Curves/meltCurve_P08758_ANXA5.pdf", "Melting_Curves/meltCurve_P08758_ANXA5.pdf")</f>
        <v>Melting_Curves/meltCurve_P08758_ANXA5.pdf</v>
      </c>
    </row>
    <row r="1775" spans="1:28" x14ac:dyDescent="0.25">
      <c r="A1775" t="s">
        <v>1779</v>
      </c>
      <c r="B1775">
        <v>0.99299721793515405</v>
      </c>
      <c r="C1775">
        <v>0.94384745759489497</v>
      </c>
      <c r="D1775">
        <v>0.88782313098167098</v>
      </c>
      <c r="E1775">
        <v>0.86921615349526604</v>
      </c>
      <c r="F1775">
        <v>0.75312061622229998</v>
      </c>
      <c r="G1775">
        <v>0.55789915120119304</v>
      </c>
      <c r="H1775">
        <v>0.57936503342585399</v>
      </c>
      <c r="I1775">
        <v>0.61374622637918996</v>
      </c>
      <c r="J1775">
        <v>0.41928234528529901</v>
      </c>
      <c r="K1775">
        <v>0.124657430890254</v>
      </c>
      <c r="L1775">
        <v>389.60822685608599</v>
      </c>
      <c r="M1775">
        <v>6.6139829507727796</v>
      </c>
      <c r="N1775">
        <v>58.906747963343399</v>
      </c>
      <c r="O1775">
        <v>54.219768590257601</v>
      </c>
      <c r="P1775">
        <v>-3.05657237528996E-2</v>
      </c>
      <c r="Q1775">
        <v>0</v>
      </c>
      <c r="R1775">
        <v>0.88152560628283605</v>
      </c>
      <c r="S1775" t="s">
        <v>7326</v>
      </c>
      <c r="T1775" t="s">
        <v>11100</v>
      </c>
      <c r="U1775" t="s">
        <v>11100</v>
      </c>
      <c r="V1775" t="s">
        <v>11100</v>
      </c>
      <c r="W1775" t="s">
        <v>12840</v>
      </c>
      <c r="X1775">
        <v>17</v>
      </c>
      <c r="Y1775" t="s">
        <v>18325</v>
      </c>
      <c r="Z1775" t="s">
        <v>23780</v>
      </c>
      <c r="AA1775">
        <v>0.68462990041058158</v>
      </c>
      <c r="AB1775" t="str">
        <f>HYPERLINK("Melting_Curves/meltCurve_P09104_ENO2.pdf", "Melting_Curves/meltCurve_P09104_ENO2.pdf")</f>
        <v>Melting_Curves/meltCurve_P09104_ENO2.pdf</v>
      </c>
    </row>
    <row r="1776" spans="1:28" x14ac:dyDescent="0.25">
      <c r="A1776" t="s">
        <v>1780</v>
      </c>
      <c r="B1776">
        <v>0.99299721793515405</v>
      </c>
      <c r="C1776">
        <v>0.942539134122378</v>
      </c>
      <c r="D1776">
        <v>0.924249879858282</v>
      </c>
      <c r="E1776">
        <v>0.87831330786502204</v>
      </c>
      <c r="F1776">
        <v>0.84149627567561902</v>
      </c>
      <c r="G1776">
        <v>0.568463616310527</v>
      </c>
      <c r="H1776">
        <v>0.52076499885824201</v>
      </c>
      <c r="I1776">
        <v>0.51317783638604397</v>
      </c>
      <c r="J1776">
        <v>0.22303356677078101</v>
      </c>
      <c r="K1776">
        <v>0.110153165909517</v>
      </c>
      <c r="L1776">
        <v>537.65527723740797</v>
      </c>
      <c r="M1776">
        <v>9.3709711356240408</v>
      </c>
      <c r="N1776">
        <v>57.374533072471699</v>
      </c>
      <c r="O1776">
        <v>54.943660218259602</v>
      </c>
      <c r="P1776">
        <v>-4.2665569463354397E-2</v>
      </c>
      <c r="Q1776">
        <v>0</v>
      </c>
      <c r="R1776">
        <v>0.94704205331795499</v>
      </c>
      <c r="S1776" t="s">
        <v>7327</v>
      </c>
      <c r="T1776" t="s">
        <v>11100</v>
      </c>
      <c r="U1776" t="s">
        <v>11100</v>
      </c>
      <c r="V1776" t="s">
        <v>11100</v>
      </c>
      <c r="W1776" t="s">
        <v>12841</v>
      </c>
      <c r="X1776">
        <v>10</v>
      </c>
      <c r="Y1776" t="s">
        <v>18326</v>
      </c>
      <c r="Z1776" t="s">
        <v>23781</v>
      </c>
      <c r="AA1776">
        <v>0.67271926348732203</v>
      </c>
      <c r="AB1776" t="str">
        <f>HYPERLINK("Melting_Curves/meltCurve_P09110_ACAA1.pdf", "Melting_Curves/meltCurve_P09110_ACAA1.pdf")</f>
        <v>Melting_Curves/meltCurve_P09110_ACAA1.pdf</v>
      </c>
    </row>
    <row r="1777" spans="1:28" x14ac:dyDescent="0.25">
      <c r="A1777" t="s">
        <v>1781</v>
      </c>
      <c r="B1777">
        <v>0.99299721793515405</v>
      </c>
      <c r="C1777">
        <v>0.86085624465939303</v>
      </c>
      <c r="D1777">
        <v>0.89306097352140601</v>
      </c>
      <c r="E1777">
        <v>0.801096538777748</v>
      </c>
      <c r="F1777">
        <v>0.74657772458816896</v>
      </c>
      <c r="G1777">
        <v>0.73741173668027404</v>
      </c>
      <c r="H1777">
        <v>0.495381023885894</v>
      </c>
      <c r="I1777">
        <v>0.38274538656767698</v>
      </c>
      <c r="J1777">
        <v>0.27784102835789798</v>
      </c>
      <c r="K1777">
        <v>0.218822759652336</v>
      </c>
      <c r="L1777">
        <v>430.69961241698297</v>
      </c>
      <c r="M1777">
        <v>7.5111495649144597</v>
      </c>
      <c r="N1777">
        <v>57.341370698171403</v>
      </c>
      <c r="O1777">
        <v>53.699142331059903</v>
      </c>
      <c r="P1777">
        <v>-3.5018669114106803E-2</v>
      </c>
      <c r="Q1777">
        <v>0</v>
      </c>
      <c r="R1777">
        <v>0.95600032390595102</v>
      </c>
      <c r="S1777" t="s">
        <v>7328</v>
      </c>
      <c r="T1777" t="s">
        <v>11100</v>
      </c>
      <c r="U1777" t="s">
        <v>11100</v>
      </c>
      <c r="V1777" t="s">
        <v>11100</v>
      </c>
      <c r="W1777" t="s">
        <v>12842</v>
      </c>
      <c r="X1777">
        <v>5</v>
      </c>
      <c r="Y1777" t="s">
        <v>18327</v>
      </c>
      <c r="Z1777" t="s">
        <v>23782</v>
      </c>
      <c r="AA1777">
        <v>0.66008999758864007</v>
      </c>
      <c r="AB1777" t="str">
        <f>HYPERLINK("Melting_Curves/meltCurve_P09132_SRP19.pdf", "Melting_Curves/meltCurve_P09132_SRP19.pdf")</f>
        <v>Melting_Curves/meltCurve_P09132_SRP19.pdf</v>
      </c>
    </row>
    <row r="1778" spans="1:28" x14ac:dyDescent="0.25">
      <c r="A1778" t="s">
        <v>1782</v>
      </c>
      <c r="B1778">
        <v>0.99299721793515405</v>
      </c>
      <c r="C1778">
        <v>1.1068284826353001</v>
      </c>
      <c r="D1778">
        <v>0.96299258767237705</v>
      </c>
      <c r="E1778">
        <v>0.99296377190233898</v>
      </c>
      <c r="F1778">
        <v>0.72840781672659305</v>
      </c>
      <c r="G1778">
        <v>0.53333165147537898</v>
      </c>
      <c r="H1778">
        <v>0.24199189814160901</v>
      </c>
      <c r="I1778">
        <v>0.12770163301812401</v>
      </c>
      <c r="J1778">
        <v>0.108918595819369</v>
      </c>
      <c r="K1778">
        <v>8.2433465073590201E-2</v>
      </c>
      <c r="L1778">
        <v>1001.53830106661</v>
      </c>
      <c r="M1778">
        <v>18.7653608525351</v>
      </c>
      <c r="N1778">
        <v>53.732363397466997</v>
      </c>
      <c r="O1778">
        <v>52.776627767658901</v>
      </c>
      <c r="P1778">
        <v>-8.3633346741929501E-2</v>
      </c>
      <c r="Q1778">
        <v>5.9181171901812699E-2</v>
      </c>
      <c r="R1778">
        <v>0.987426770552291</v>
      </c>
      <c r="S1778" t="s">
        <v>7329</v>
      </c>
      <c r="T1778" t="s">
        <v>11100</v>
      </c>
      <c r="U1778" t="s">
        <v>11100</v>
      </c>
      <c r="V1778" t="s">
        <v>11100</v>
      </c>
      <c r="W1778" t="s">
        <v>12843</v>
      </c>
      <c r="X1778">
        <v>19</v>
      </c>
      <c r="Y1778" t="s">
        <v>18328</v>
      </c>
      <c r="Z1778" t="s">
        <v>23783</v>
      </c>
      <c r="AA1778">
        <v>0.58534610876212245</v>
      </c>
      <c r="AB1778" t="str">
        <f>HYPERLINK("Melting_Curves/meltCurve_P09211_GSTP1.pdf", "Melting_Curves/meltCurve_P09211_GSTP1.pdf")</f>
        <v>Melting_Curves/meltCurve_P09211_GSTP1.pdf</v>
      </c>
    </row>
    <row r="1779" spans="1:28" x14ac:dyDescent="0.25">
      <c r="A1779" t="s">
        <v>1783</v>
      </c>
      <c r="B1779">
        <v>0.99299721793515405</v>
      </c>
      <c r="C1779">
        <v>0.83935176313071802</v>
      </c>
      <c r="D1779">
        <v>0.91259801513966399</v>
      </c>
      <c r="E1779">
        <v>0.80255983610505699</v>
      </c>
      <c r="F1779">
        <v>0.74724261697841599</v>
      </c>
      <c r="G1779">
        <v>0.66872178177706598</v>
      </c>
      <c r="H1779">
        <v>0.89612409649881897</v>
      </c>
      <c r="I1779">
        <v>1.0035140611982301</v>
      </c>
      <c r="J1779">
        <v>1.09999299448354</v>
      </c>
      <c r="K1779">
        <v>1.0793764925340601</v>
      </c>
      <c r="L1779">
        <v>15000</v>
      </c>
      <c r="M1779">
        <v>242.71520762231901</v>
      </c>
      <c r="O1779">
        <v>61.7966289472376</v>
      </c>
      <c r="P1779">
        <v>8.8068033782219501E-2</v>
      </c>
      <c r="Q1779">
        <v>1.0896904260801601</v>
      </c>
      <c r="R1779">
        <v>-0.41638878378115302</v>
      </c>
      <c r="S1779" t="s">
        <v>7330</v>
      </c>
      <c r="T1779" t="s">
        <v>11100</v>
      </c>
      <c r="U1779" t="s">
        <v>11100</v>
      </c>
      <c r="V1779" t="s">
        <v>11100</v>
      </c>
      <c r="W1779" t="s">
        <v>12844</v>
      </c>
      <c r="X1779">
        <v>3</v>
      </c>
      <c r="Y1779" t="s">
        <v>18329</v>
      </c>
      <c r="Z1779" t="s">
        <v>23784</v>
      </c>
      <c r="AA1779">
        <v>1.0155335543019759</v>
      </c>
      <c r="AB1779" t="str">
        <f>HYPERLINK("Melting_Curves/meltCurve_P09234_SNRPC.pdf", "Melting_Curves/meltCurve_P09234_SNRPC.pdf")</f>
        <v>Melting_Curves/meltCurve_P09234_SNRPC.pdf</v>
      </c>
    </row>
    <row r="1780" spans="1:28" x14ac:dyDescent="0.25">
      <c r="A1780" t="s">
        <v>1784</v>
      </c>
      <c r="B1780">
        <v>0.99299721793515405</v>
      </c>
      <c r="C1780">
        <v>1.22342208990843</v>
      </c>
      <c r="D1780">
        <v>2.23082134035347</v>
      </c>
      <c r="E1780">
        <v>1.3193478654355599</v>
      </c>
      <c r="F1780">
        <v>0.94901044296701798</v>
      </c>
      <c r="G1780">
        <v>1.5944644767404901</v>
      </c>
      <c r="H1780">
        <v>0.708744524049994</v>
      </c>
      <c r="I1780">
        <v>0.67406552270101705</v>
      </c>
      <c r="J1780">
        <v>0.48521399726152398</v>
      </c>
      <c r="K1780">
        <v>0.38187107881159299</v>
      </c>
      <c r="L1780">
        <v>2011.4148944838601</v>
      </c>
      <c r="M1780">
        <v>33.578267117364099</v>
      </c>
      <c r="N1780">
        <v>62.997009945729197</v>
      </c>
      <c r="O1780">
        <v>59.691028251540899</v>
      </c>
      <c r="P1780">
        <v>-8.3827842274274394E-2</v>
      </c>
      <c r="Q1780">
        <v>0.40393011380453903</v>
      </c>
      <c r="R1780">
        <v>0.26634915416655203</v>
      </c>
      <c r="S1780" t="s">
        <v>7331</v>
      </c>
      <c r="T1780" t="s">
        <v>11100</v>
      </c>
      <c r="U1780" t="s">
        <v>11100</v>
      </c>
      <c r="V1780" t="s">
        <v>11100</v>
      </c>
      <c r="W1780" t="s">
        <v>12845</v>
      </c>
      <c r="X1780">
        <v>6</v>
      </c>
      <c r="Y1780" t="s">
        <v>18330</v>
      </c>
      <c r="Z1780" t="s">
        <v>23785</v>
      </c>
      <c r="AA1780">
        <v>0.86115175797885024</v>
      </c>
      <c r="AB1780" t="str">
        <f>HYPERLINK("Melting_Curves/meltCurve_P09382_LGALS1.pdf", "Melting_Curves/meltCurve_P09382_LGALS1.pdf")</f>
        <v>Melting_Curves/meltCurve_P09382_LGALS1.pdf</v>
      </c>
    </row>
    <row r="1781" spans="1:28" x14ac:dyDescent="0.25">
      <c r="A1781" t="s">
        <v>1785</v>
      </c>
      <c r="B1781">
        <v>0.99299721793515405</v>
      </c>
      <c r="C1781">
        <v>0.97734638824144104</v>
      </c>
      <c r="D1781">
        <v>0.90281401448870102</v>
      </c>
      <c r="E1781">
        <v>0.89327769965944004</v>
      </c>
      <c r="F1781">
        <v>0.72558208790471002</v>
      </c>
      <c r="G1781">
        <v>0.52267520627512098</v>
      </c>
      <c r="H1781">
        <v>0.45695605962336799</v>
      </c>
      <c r="I1781">
        <v>0.202652488680194</v>
      </c>
      <c r="J1781">
        <v>0.18728718378912901</v>
      </c>
      <c r="K1781">
        <v>0.11354697218224601</v>
      </c>
      <c r="L1781">
        <v>582.72823182960599</v>
      </c>
      <c r="M1781">
        <v>10.623460494984901</v>
      </c>
      <c r="N1781">
        <v>54.852952337375498</v>
      </c>
      <c r="O1781">
        <v>53.016376563889501</v>
      </c>
      <c r="P1781">
        <v>-5.0114512218255698E-2</v>
      </c>
      <c r="Q1781">
        <v>0</v>
      </c>
      <c r="R1781">
        <v>0.98889443280757505</v>
      </c>
      <c r="S1781" t="s">
        <v>7332</v>
      </c>
      <c r="T1781" t="s">
        <v>11100</v>
      </c>
      <c r="U1781" t="s">
        <v>11100</v>
      </c>
      <c r="V1781" t="s">
        <v>11100</v>
      </c>
      <c r="W1781" t="s">
        <v>12846</v>
      </c>
      <c r="X1781">
        <v>6</v>
      </c>
      <c r="Y1781" t="s">
        <v>18331</v>
      </c>
      <c r="Z1781" t="s">
        <v>23786</v>
      </c>
      <c r="AA1781">
        <v>0.60892110354032392</v>
      </c>
      <c r="AB1781" t="str">
        <f>HYPERLINK("Melting_Curves/meltCurve_P09417_QDPR.pdf", "Melting_Curves/meltCurve_P09417_QDPR.pdf")</f>
        <v>Melting_Curves/meltCurve_P09417_QDPR.pdf</v>
      </c>
    </row>
    <row r="1782" spans="1:28" x14ac:dyDescent="0.25">
      <c r="A1782" t="s">
        <v>1786</v>
      </c>
      <c r="B1782">
        <v>0.99299721793515405</v>
      </c>
      <c r="C1782">
        <v>1.0373708999243501</v>
      </c>
      <c r="D1782">
        <v>1.28436199903602</v>
      </c>
      <c r="E1782">
        <v>0.87732212072415505</v>
      </c>
      <c r="F1782">
        <v>0.73301815785392499</v>
      </c>
      <c r="G1782">
        <v>0.58358172757379601</v>
      </c>
      <c r="H1782">
        <v>0.41722733213515101</v>
      </c>
      <c r="I1782">
        <v>0.40690377729740801</v>
      </c>
      <c r="J1782">
        <v>0.40198504174866301</v>
      </c>
      <c r="K1782">
        <v>0.40524691009962499</v>
      </c>
      <c r="L1782">
        <v>1152.2013404588599</v>
      </c>
      <c r="M1782">
        <v>22.5874977890644</v>
      </c>
      <c r="N1782">
        <v>54.849336717469697</v>
      </c>
      <c r="O1782">
        <v>50.615797315015698</v>
      </c>
      <c r="P1782">
        <v>-6.7263120408544694E-2</v>
      </c>
      <c r="Q1782">
        <v>0.39709868854457803</v>
      </c>
      <c r="R1782">
        <v>0.89860074044647398</v>
      </c>
      <c r="S1782" t="s">
        <v>7333</v>
      </c>
      <c r="T1782" t="s">
        <v>11100</v>
      </c>
      <c r="U1782" t="s">
        <v>11100</v>
      </c>
      <c r="V1782" t="s">
        <v>11100</v>
      </c>
      <c r="W1782" t="s">
        <v>12847</v>
      </c>
      <c r="X1782">
        <v>25</v>
      </c>
      <c r="Y1782" t="s">
        <v>18332</v>
      </c>
      <c r="Z1782" t="s">
        <v>23787</v>
      </c>
      <c r="AA1782">
        <v>0.68506405694895467</v>
      </c>
      <c r="AB1782" t="str">
        <f>HYPERLINK("Melting_Curves/meltCurve_P09429_HMGB1.pdf", "Melting_Curves/meltCurve_P09429_HMGB1.pdf")</f>
        <v>Melting_Curves/meltCurve_P09429_HMGB1.pdf</v>
      </c>
    </row>
    <row r="1783" spans="1:28" x14ac:dyDescent="0.25">
      <c r="A1783" t="s">
        <v>1787</v>
      </c>
      <c r="B1783">
        <v>0.99299721793515405</v>
      </c>
      <c r="C1783">
        <v>0.988975079491484</v>
      </c>
      <c r="D1783">
        <v>0.99347940855581096</v>
      </c>
      <c r="E1783">
        <v>0.96867717841536505</v>
      </c>
      <c r="F1783">
        <v>0.756656586008983</v>
      </c>
      <c r="G1783">
        <v>0.70652326844161595</v>
      </c>
      <c r="H1783">
        <v>0.48546161287792</v>
      </c>
      <c r="I1783">
        <v>0.44700615303358399</v>
      </c>
      <c r="J1783">
        <v>0.44368717995923301</v>
      </c>
      <c r="K1783">
        <v>0.34131468146527999</v>
      </c>
      <c r="L1783">
        <v>759.62492191997399</v>
      </c>
      <c r="M1783">
        <v>14.199755202639199</v>
      </c>
      <c r="N1783">
        <v>58.2088013847792</v>
      </c>
      <c r="O1783">
        <v>52.468197196048202</v>
      </c>
      <c r="P1783">
        <v>-4.4549292618412298E-2</v>
      </c>
      <c r="Q1783">
        <v>0.341642675633617</v>
      </c>
      <c r="R1783">
        <v>0.980540158456077</v>
      </c>
      <c r="S1783" t="s">
        <v>7334</v>
      </c>
      <c r="T1783" t="s">
        <v>11100</v>
      </c>
      <c r="U1783" t="s">
        <v>11100</v>
      </c>
      <c r="V1783" t="s">
        <v>11100</v>
      </c>
      <c r="W1783" t="s">
        <v>12848</v>
      </c>
      <c r="X1783">
        <v>6</v>
      </c>
      <c r="Y1783" t="s">
        <v>12848</v>
      </c>
      <c r="Z1783" t="s">
        <v>23788</v>
      </c>
      <c r="AA1783">
        <v>0.71538781052550204</v>
      </c>
      <c r="AB1783" t="str">
        <f>HYPERLINK("Melting_Curves/meltCurve_P09486_SPARC.pdf", "Melting_Curves/meltCurve_P09486_SPARC.pdf")</f>
        <v>Melting_Curves/meltCurve_P09486_SPARC.pdf</v>
      </c>
    </row>
    <row r="1784" spans="1:28" x14ac:dyDescent="0.25">
      <c r="A1784" t="s">
        <v>1788</v>
      </c>
      <c r="B1784">
        <v>0.99299721793515405</v>
      </c>
      <c r="C1784">
        <v>1.00259375891083</v>
      </c>
      <c r="D1784">
        <v>0.93459224981469002</v>
      </c>
      <c r="E1784">
        <v>0.97776807902866103</v>
      </c>
      <c r="F1784">
        <v>0.79305484069242405</v>
      </c>
      <c r="G1784">
        <v>0.59153789431220605</v>
      </c>
      <c r="H1784">
        <v>0.57085552619780799</v>
      </c>
      <c r="I1784">
        <v>0.65347316790807597</v>
      </c>
      <c r="J1784">
        <v>0.72643869613822998</v>
      </c>
      <c r="K1784">
        <v>0.625895123306624</v>
      </c>
      <c r="L1784">
        <v>12536.9005839614</v>
      </c>
      <c r="M1784">
        <v>250</v>
      </c>
      <c r="O1784">
        <v>50.144392637941898</v>
      </c>
      <c r="P1784">
        <v>-0.45663121196669898</v>
      </c>
      <c r="Q1784">
        <v>0.63364007962447699</v>
      </c>
      <c r="R1784">
        <v>0.92984848952193799</v>
      </c>
      <c r="S1784" t="s">
        <v>7335</v>
      </c>
      <c r="T1784" t="s">
        <v>11100</v>
      </c>
      <c r="U1784" t="s">
        <v>11100</v>
      </c>
      <c r="V1784" t="s">
        <v>11100</v>
      </c>
      <c r="W1784" t="s">
        <v>12849</v>
      </c>
      <c r="X1784">
        <v>33</v>
      </c>
      <c r="Y1784" t="s">
        <v>17505</v>
      </c>
      <c r="Z1784" t="s">
        <v>23789</v>
      </c>
      <c r="AA1784">
        <v>0.79423080715384808</v>
      </c>
      <c r="AB1784" t="str">
        <f>HYPERLINK("Melting_Curves/meltCurve_P09493_4_TPM1.pdf", "Melting_Curves/meltCurve_P09493_4_TPM1.pdf")</f>
        <v>Melting_Curves/meltCurve_P09493_4_TPM1.pdf</v>
      </c>
    </row>
    <row r="1785" spans="1:28" x14ac:dyDescent="0.25">
      <c r="A1785" t="s">
        <v>1789</v>
      </c>
      <c r="B1785">
        <v>0.99299721793515405</v>
      </c>
      <c r="C1785">
        <v>0.85031169176425203</v>
      </c>
      <c r="D1785">
        <v>0.91387285338943602</v>
      </c>
      <c r="E1785">
        <v>0.79788022614335696</v>
      </c>
      <c r="F1785">
        <v>0.71114885459863397</v>
      </c>
      <c r="G1785">
        <v>1.00898377041939</v>
      </c>
      <c r="H1785">
        <v>1.5099391730426299</v>
      </c>
      <c r="I1785">
        <v>2.0849698606814999</v>
      </c>
      <c r="J1785">
        <v>2.5632058475726098</v>
      </c>
      <c r="K1785">
        <v>2.7675590252354998</v>
      </c>
      <c r="L1785">
        <v>13665.2357005146</v>
      </c>
      <c r="M1785">
        <v>250</v>
      </c>
      <c r="O1785">
        <v>54.657445714898699</v>
      </c>
      <c r="P1785">
        <v>0.57174279028433295</v>
      </c>
      <c r="Q1785">
        <v>1.5</v>
      </c>
      <c r="R1785">
        <v>0.40059135764892501</v>
      </c>
      <c r="S1785" t="s">
        <v>7336</v>
      </c>
      <c r="T1785" t="s">
        <v>11100</v>
      </c>
      <c r="U1785" t="s">
        <v>11100</v>
      </c>
      <c r="V1785" t="s">
        <v>11100</v>
      </c>
      <c r="W1785" t="s">
        <v>12850</v>
      </c>
      <c r="X1785">
        <v>20</v>
      </c>
      <c r="Y1785" t="s">
        <v>18333</v>
      </c>
      <c r="Z1785" t="s">
        <v>23790</v>
      </c>
      <c r="AA1785">
        <v>1.205602988747051</v>
      </c>
      <c r="AB1785" t="str">
        <f>HYPERLINK("Melting_Curves/meltCurve_P09496_2_CLTA.pdf", "Melting_Curves/meltCurve_P09496_2_CLTA.pdf")</f>
        <v>Melting_Curves/meltCurve_P09496_2_CLTA.pdf</v>
      </c>
    </row>
    <row r="1786" spans="1:28" x14ac:dyDescent="0.25">
      <c r="A1786" t="s">
        <v>1790</v>
      </c>
      <c r="B1786">
        <v>0.99299721793515405</v>
      </c>
      <c r="C1786">
        <v>0.84183397931352599</v>
      </c>
      <c r="D1786">
        <v>0.92765190318066704</v>
      </c>
      <c r="E1786">
        <v>0.78948060447467105</v>
      </c>
      <c r="F1786">
        <v>0.74257814099702801</v>
      </c>
      <c r="G1786">
        <v>0.794158262917387</v>
      </c>
      <c r="H1786">
        <v>1.3560978415102001</v>
      </c>
      <c r="I1786">
        <v>1.73441200323567</v>
      </c>
      <c r="J1786">
        <v>2.1453056272847002</v>
      </c>
      <c r="K1786">
        <v>1.8985440180761399</v>
      </c>
      <c r="L1786">
        <v>14297.991457264599</v>
      </c>
      <c r="M1786">
        <v>250</v>
      </c>
      <c r="O1786">
        <v>57.188306003166502</v>
      </c>
      <c r="P1786">
        <v>0.54644038728700695</v>
      </c>
      <c r="Q1786">
        <v>1.5</v>
      </c>
      <c r="R1786">
        <v>0.67123980171560205</v>
      </c>
      <c r="S1786" t="s">
        <v>7337</v>
      </c>
      <c r="T1786" t="s">
        <v>11100</v>
      </c>
      <c r="U1786" t="s">
        <v>11100</v>
      </c>
      <c r="V1786" t="s">
        <v>11100</v>
      </c>
      <c r="W1786" t="s">
        <v>12851</v>
      </c>
      <c r="X1786">
        <v>23</v>
      </c>
      <c r="Y1786" t="s">
        <v>18334</v>
      </c>
      <c r="Z1786" t="s">
        <v>23791</v>
      </c>
      <c r="AA1786">
        <v>1.163417050677396</v>
      </c>
      <c r="AB1786" t="str">
        <f>HYPERLINK("Melting_Curves/meltCurve_P09497_2_CLTB.pdf", "Melting_Curves/meltCurve_P09497_2_CLTB.pdf")</f>
        <v>Melting_Curves/meltCurve_P09497_2_CLTB.pdf</v>
      </c>
    </row>
    <row r="1787" spans="1:28" x14ac:dyDescent="0.25">
      <c r="A1787" t="s">
        <v>1791</v>
      </c>
      <c r="B1787">
        <v>0.99299721793515405</v>
      </c>
      <c r="C1787">
        <v>1.00401439234305</v>
      </c>
      <c r="D1787">
        <v>0.90340714352139095</v>
      </c>
      <c r="E1787">
        <v>0.86936830490396599</v>
      </c>
      <c r="F1787">
        <v>0.69034905885479603</v>
      </c>
      <c r="G1787">
        <v>0.298186725459607</v>
      </c>
      <c r="H1787">
        <v>0.18138820991368401</v>
      </c>
      <c r="I1787">
        <v>0.14705749687249201</v>
      </c>
      <c r="J1787">
        <v>0.13195339331690001</v>
      </c>
      <c r="K1787">
        <v>9.9477901156976495E-2</v>
      </c>
      <c r="L1787">
        <v>1078.3824270720499</v>
      </c>
      <c r="M1787">
        <v>21.080611365730899</v>
      </c>
      <c r="N1787">
        <v>51.726577395878998</v>
      </c>
      <c r="O1787">
        <v>50.701512846286398</v>
      </c>
      <c r="P1787">
        <v>-9.3150321591707996E-2</v>
      </c>
      <c r="Q1787">
        <v>0.103870804101669</v>
      </c>
      <c r="R1787">
        <v>0.99126378284967298</v>
      </c>
      <c r="S1787" t="s">
        <v>7338</v>
      </c>
      <c r="T1787" t="s">
        <v>11100</v>
      </c>
      <c r="U1787" t="s">
        <v>11100</v>
      </c>
      <c r="V1787" t="s">
        <v>11100</v>
      </c>
      <c r="W1787" t="s">
        <v>12852</v>
      </c>
      <c r="X1787">
        <v>17</v>
      </c>
      <c r="Y1787" t="s">
        <v>18335</v>
      </c>
      <c r="Z1787" t="s">
        <v>23792</v>
      </c>
      <c r="AA1787">
        <v>0.53742382434560831</v>
      </c>
      <c r="AB1787" t="str">
        <f>HYPERLINK("Melting_Curves/meltCurve_P09525_ANXA4.pdf", "Melting_Curves/meltCurve_P09525_ANXA4.pdf")</f>
        <v>Melting_Curves/meltCurve_P09525_ANXA4.pdf</v>
      </c>
    </row>
    <row r="1788" spans="1:28" x14ac:dyDescent="0.25">
      <c r="A1788" t="s">
        <v>1792</v>
      </c>
      <c r="B1788">
        <v>0.99299721793515405</v>
      </c>
      <c r="C1788">
        <v>0.952788972465897</v>
      </c>
      <c r="D1788">
        <v>0.94777787597103202</v>
      </c>
      <c r="E1788">
        <v>0.83806964239392301</v>
      </c>
      <c r="F1788">
        <v>0.663851980416854</v>
      </c>
      <c r="G1788">
        <v>0.29620283287282101</v>
      </c>
      <c r="H1788">
        <v>0.16892977530913</v>
      </c>
      <c r="I1788">
        <v>0.147228930314207</v>
      </c>
      <c r="J1788">
        <v>0.12694493237521301</v>
      </c>
      <c r="K1788">
        <v>0.103075284131245</v>
      </c>
      <c r="L1788">
        <v>998.63153412487395</v>
      </c>
      <c r="M1788">
        <v>19.612839120954799</v>
      </c>
      <c r="N1788">
        <v>51.488286543133803</v>
      </c>
      <c r="O1788">
        <v>50.396759154644599</v>
      </c>
      <c r="P1788">
        <v>-8.7785199489035903E-2</v>
      </c>
      <c r="Q1788">
        <v>9.7747364283831503E-2</v>
      </c>
      <c r="R1788">
        <v>0.99357814485135698</v>
      </c>
      <c r="S1788" t="s">
        <v>7339</v>
      </c>
      <c r="T1788" t="s">
        <v>11100</v>
      </c>
      <c r="U1788" t="s">
        <v>11100</v>
      </c>
      <c r="V1788" t="s">
        <v>11100</v>
      </c>
      <c r="W1788" t="s">
        <v>12853</v>
      </c>
      <c r="X1788">
        <v>28</v>
      </c>
      <c r="Y1788" t="s">
        <v>18336</v>
      </c>
      <c r="Z1788" t="s">
        <v>23793</v>
      </c>
      <c r="AA1788">
        <v>0.52852172982809376</v>
      </c>
      <c r="AB1788" t="str">
        <f>HYPERLINK("Melting_Curves/meltCurve_P09543_2_CNP.pdf", "Melting_Curves/meltCurve_P09543_2_CNP.pdf")</f>
        <v>Melting_Curves/meltCurve_P09543_2_CNP.pdf</v>
      </c>
    </row>
    <row r="1789" spans="1:28" x14ac:dyDescent="0.25">
      <c r="A1789" t="s">
        <v>1793</v>
      </c>
      <c r="B1789">
        <v>0.99299721793515405</v>
      </c>
      <c r="C1789">
        <v>0.82619259373123499</v>
      </c>
      <c r="D1789">
        <v>1.0442473898105</v>
      </c>
      <c r="E1789">
        <v>0.73280753942092103</v>
      </c>
      <c r="F1789">
        <v>0.71862946259345495</v>
      </c>
      <c r="G1789">
        <v>0.62531044306655703</v>
      </c>
      <c r="H1789">
        <v>0.366989355145521</v>
      </c>
      <c r="I1789">
        <v>0.15762823726041</v>
      </c>
      <c r="J1789">
        <v>9.9579241855103001E-2</v>
      </c>
      <c r="K1789">
        <v>0.125853321161361</v>
      </c>
      <c r="L1789">
        <v>601.48751651290002</v>
      </c>
      <c r="M1789">
        <v>11.0883125133716</v>
      </c>
      <c r="N1789">
        <v>54.245178872736901</v>
      </c>
      <c r="O1789">
        <v>52.570474772497903</v>
      </c>
      <c r="P1789">
        <v>-5.27479406469799E-2</v>
      </c>
      <c r="Q1789">
        <v>0</v>
      </c>
      <c r="R1789">
        <v>0.94040014253242099</v>
      </c>
      <c r="S1789" t="s">
        <v>7340</v>
      </c>
      <c r="T1789" t="s">
        <v>11100</v>
      </c>
      <c r="U1789" t="s">
        <v>11100</v>
      </c>
      <c r="V1789" t="s">
        <v>11100</v>
      </c>
      <c r="W1789" t="s">
        <v>12854</v>
      </c>
      <c r="X1789">
        <v>1</v>
      </c>
      <c r="Y1789" t="s">
        <v>18337</v>
      </c>
      <c r="Z1789" t="s">
        <v>23794</v>
      </c>
      <c r="AA1789">
        <v>0.59180726972668474</v>
      </c>
      <c r="AB1789" t="str">
        <f>HYPERLINK("Melting_Curves/meltCurve_P09601_HMOX1.pdf", "Melting_Curves/meltCurve_P09601_HMOX1.pdf")</f>
        <v>Melting_Curves/meltCurve_P09601_HMOX1.pdf</v>
      </c>
    </row>
    <row r="1790" spans="1:28" x14ac:dyDescent="0.25">
      <c r="A1790" t="s">
        <v>1794</v>
      </c>
      <c r="B1790">
        <v>0.99299721793515405</v>
      </c>
      <c r="C1790">
        <v>0.97429369155810197</v>
      </c>
      <c r="D1790">
        <v>1.0581644606949601</v>
      </c>
      <c r="E1790">
        <v>0.89937401536513395</v>
      </c>
      <c r="F1790">
        <v>0.77945077489771997</v>
      </c>
      <c r="G1790">
        <v>1.11100965968179</v>
      </c>
      <c r="H1790">
        <v>0.56679502871382303</v>
      </c>
      <c r="I1790">
        <v>0.652046698182703</v>
      </c>
      <c r="J1790">
        <v>0.62204464566134599</v>
      </c>
      <c r="K1790">
        <v>1.05127653308425</v>
      </c>
      <c r="L1790">
        <v>797.04631314295898</v>
      </c>
      <c r="M1790">
        <v>15.985972925704299</v>
      </c>
      <c r="O1790">
        <v>49.098452941112299</v>
      </c>
      <c r="P1790">
        <v>-1.94959560269484E-2</v>
      </c>
      <c r="Q1790">
        <v>0.76050353529319503</v>
      </c>
      <c r="R1790">
        <v>0.25652004682912499</v>
      </c>
      <c r="S1790" t="s">
        <v>7341</v>
      </c>
      <c r="T1790" t="s">
        <v>11100</v>
      </c>
      <c r="U1790" t="s">
        <v>11100</v>
      </c>
      <c r="V1790" t="s">
        <v>11100</v>
      </c>
      <c r="W1790" t="s">
        <v>12855</v>
      </c>
      <c r="X1790">
        <v>30</v>
      </c>
      <c r="Y1790" t="s">
        <v>18338</v>
      </c>
      <c r="Z1790" t="s">
        <v>23795</v>
      </c>
      <c r="AA1790">
        <v>0.86773097232162477</v>
      </c>
      <c r="AB1790" t="str">
        <f>HYPERLINK("Melting_Curves/meltCurve_P09622_DLD.pdf", "Melting_Curves/meltCurve_P09622_DLD.pdf")</f>
        <v>Melting_Curves/meltCurve_P09622_DLD.pdf</v>
      </c>
    </row>
    <row r="1791" spans="1:28" x14ac:dyDescent="0.25">
      <c r="A1791" t="s">
        <v>1795</v>
      </c>
      <c r="B1791">
        <v>0.99299721793515405</v>
      </c>
      <c r="C1791">
        <v>1.0105859579349199</v>
      </c>
      <c r="D1791">
        <v>0.991109395946701</v>
      </c>
      <c r="E1791">
        <v>0.87577893033318399</v>
      </c>
      <c r="F1791">
        <v>0.73727683964013502</v>
      </c>
      <c r="G1791">
        <v>1.39402205670625</v>
      </c>
      <c r="H1791">
        <v>1.7260006107241199</v>
      </c>
      <c r="I1791">
        <v>1.09367164437648</v>
      </c>
      <c r="J1791">
        <v>0.36692923335736499</v>
      </c>
      <c r="K1791">
        <v>0.26305607032307998</v>
      </c>
      <c r="L1791">
        <v>15000</v>
      </c>
      <c r="M1791">
        <v>235.81613546500699</v>
      </c>
      <c r="N1791">
        <v>63.810924217972698</v>
      </c>
      <c r="O1791">
        <v>63.604299245845702</v>
      </c>
      <c r="P1791">
        <v>-0.68309063300625605</v>
      </c>
      <c r="Q1791">
        <v>0.26302745763455498</v>
      </c>
      <c r="R1791">
        <v>0.54082728423476101</v>
      </c>
      <c r="S1791" t="s">
        <v>7342</v>
      </c>
      <c r="T1791" t="s">
        <v>11100</v>
      </c>
      <c r="U1791" t="s">
        <v>11100</v>
      </c>
      <c r="V1791" t="s">
        <v>11100</v>
      </c>
      <c r="W1791" t="s">
        <v>12856</v>
      </c>
      <c r="X1791">
        <v>9</v>
      </c>
      <c r="Y1791" t="s">
        <v>18339</v>
      </c>
      <c r="Z1791" t="s">
        <v>23796</v>
      </c>
      <c r="AA1791">
        <v>0.91678698016768445</v>
      </c>
      <c r="AB1791" t="str">
        <f>HYPERLINK("Melting_Curves/meltCurve_P09661_SNRPA1.pdf", "Melting_Curves/meltCurve_P09661_SNRPA1.pdf")</f>
        <v>Melting_Curves/meltCurve_P09661_SNRPA1.pdf</v>
      </c>
    </row>
    <row r="1792" spans="1:28" x14ac:dyDescent="0.25">
      <c r="A1792" t="s">
        <v>1796</v>
      </c>
      <c r="B1792">
        <v>0.99299721793515405</v>
      </c>
      <c r="C1792">
        <v>1.0456912088891099</v>
      </c>
      <c r="D1792">
        <v>1.08543122369675</v>
      </c>
      <c r="E1792">
        <v>0.84875879538550203</v>
      </c>
      <c r="F1792">
        <v>0.497920422046221</v>
      </c>
      <c r="G1792">
        <v>0.21396946036092901</v>
      </c>
      <c r="H1792">
        <v>0.147801810842387</v>
      </c>
      <c r="I1792">
        <v>0.12888820019962799</v>
      </c>
      <c r="J1792">
        <v>0.12774558442796999</v>
      </c>
      <c r="K1792">
        <v>0.10451992093132</v>
      </c>
      <c r="L1792">
        <v>1358.0486136747299</v>
      </c>
      <c r="M1792">
        <v>27.363771426983401</v>
      </c>
      <c r="N1792">
        <v>50.133072312015301</v>
      </c>
      <c r="O1792">
        <v>49.366652702059802</v>
      </c>
      <c r="P1792">
        <v>-0.12192230837576901</v>
      </c>
      <c r="Q1792">
        <v>0.120173961346451</v>
      </c>
      <c r="R1792">
        <v>0.99216371394646097</v>
      </c>
      <c r="S1792" t="s">
        <v>7343</v>
      </c>
      <c r="T1792" t="s">
        <v>11100</v>
      </c>
      <c r="U1792" t="s">
        <v>11100</v>
      </c>
      <c r="V1792" t="s">
        <v>11100</v>
      </c>
      <c r="W1792" t="s">
        <v>12857</v>
      </c>
      <c r="X1792">
        <v>35</v>
      </c>
      <c r="Y1792" t="s">
        <v>18340</v>
      </c>
      <c r="Z1792" t="s">
        <v>23797</v>
      </c>
      <c r="AA1792">
        <v>0.49699526612074718</v>
      </c>
      <c r="AB1792" t="str">
        <f>HYPERLINK("Melting_Curves/meltCurve_P09874_PARP1.pdf", "Melting_Curves/meltCurve_P09874_PARP1.pdf")</f>
        <v>Melting_Curves/meltCurve_P09874_PARP1.pdf</v>
      </c>
    </row>
    <row r="1793" spans="1:28" x14ac:dyDescent="0.25">
      <c r="A1793" t="s">
        <v>1797</v>
      </c>
      <c r="B1793">
        <v>0.99299721793515405</v>
      </c>
      <c r="C1793">
        <v>0.94803804560264304</v>
      </c>
      <c r="D1793">
        <v>0.88170010187150605</v>
      </c>
      <c r="E1793">
        <v>0.81056882491860605</v>
      </c>
      <c r="F1793">
        <v>0.73565253320046098</v>
      </c>
      <c r="G1793">
        <v>0.53550542902102505</v>
      </c>
      <c r="H1793">
        <v>0.36821839395454498</v>
      </c>
      <c r="I1793">
        <v>0.28440587784760102</v>
      </c>
      <c r="J1793">
        <v>0.27181029891899899</v>
      </c>
      <c r="K1793">
        <v>0.29395827932651802</v>
      </c>
      <c r="L1793">
        <v>560.68716041301298</v>
      </c>
      <c r="M1793">
        <v>10.7337279765426</v>
      </c>
      <c r="N1793">
        <v>54.469160051358898</v>
      </c>
      <c r="O1793">
        <v>50.520874390083698</v>
      </c>
      <c r="P1793">
        <v>-4.3676792937910297E-2</v>
      </c>
      <c r="Q1793">
        <v>0.178003396424883</v>
      </c>
      <c r="R1793">
        <v>0.98572350830080102</v>
      </c>
      <c r="S1793" t="s">
        <v>7344</v>
      </c>
      <c r="T1793" t="s">
        <v>11100</v>
      </c>
      <c r="U1793" t="s">
        <v>11100</v>
      </c>
      <c r="V1793" t="s">
        <v>11100</v>
      </c>
      <c r="W1793" t="s">
        <v>12858</v>
      </c>
      <c r="X1793">
        <v>17</v>
      </c>
      <c r="Y1793" t="s">
        <v>18341</v>
      </c>
      <c r="Z1793" t="s">
        <v>23798</v>
      </c>
      <c r="AA1793">
        <v>0.61589668662561159</v>
      </c>
      <c r="AB1793" t="str">
        <f>HYPERLINK("Melting_Curves/meltCurve_P09936_UCHL1.pdf", "Melting_Curves/meltCurve_P09936_UCHL1.pdf")</f>
        <v>Melting_Curves/meltCurve_P09936_UCHL1.pdf</v>
      </c>
    </row>
    <row r="1794" spans="1:28" x14ac:dyDescent="0.25">
      <c r="A1794" t="s">
        <v>1798</v>
      </c>
      <c r="B1794">
        <v>0.99299721793515405</v>
      </c>
      <c r="C1794">
        <v>1.0443218518927</v>
      </c>
      <c r="D1794">
        <v>0.97027277445122695</v>
      </c>
      <c r="E1794">
        <v>0.94162631102234695</v>
      </c>
      <c r="F1794">
        <v>0.82180455734095603</v>
      </c>
      <c r="G1794">
        <v>0.79901703363292897</v>
      </c>
      <c r="H1794">
        <v>0.61531091266460303</v>
      </c>
      <c r="I1794">
        <v>0.38334816298024299</v>
      </c>
      <c r="J1794">
        <v>0.29475990472889302</v>
      </c>
      <c r="K1794">
        <v>0.30943022802839598</v>
      </c>
      <c r="L1794">
        <v>707.86646575342297</v>
      </c>
      <c r="M1794">
        <v>12.261391382041401</v>
      </c>
      <c r="N1794">
        <v>59.221342001997002</v>
      </c>
      <c r="O1794">
        <v>56.260141815275297</v>
      </c>
      <c r="P1794">
        <v>-4.7264184521100303E-2</v>
      </c>
      <c r="Q1794">
        <v>0.132724787572463</v>
      </c>
      <c r="R1794">
        <v>0.98060416273100004</v>
      </c>
      <c r="S1794" t="s">
        <v>7345</v>
      </c>
      <c r="T1794" t="s">
        <v>11100</v>
      </c>
      <c r="U1794" t="s">
        <v>11100</v>
      </c>
      <c r="V1794" t="s">
        <v>11100</v>
      </c>
      <c r="W1794" t="s">
        <v>12859</v>
      </c>
      <c r="X1794">
        <v>2</v>
      </c>
      <c r="Y1794" t="s">
        <v>18342</v>
      </c>
      <c r="Z1794" t="s">
        <v>23799</v>
      </c>
      <c r="AA1794">
        <v>0.73290681488633047</v>
      </c>
      <c r="AB1794" t="str">
        <f>HYPERLINK("Melting_Curves/meltCurve_P09958_FURIN.pdf", "Melting_Curves/meltCurve_P09958_FURIN.pdf")</f>
        <v>Melting_Curves/meltCurve_P09958_FURIN.pdf</v>
      </c>
    </row>
    <row r="1795" spans="1:28" x14ac:dyDescent="0.25">
      <c r="A1795" t="s">
        <v>1799</v>
      </c>
      <c r="B1795">
        <v>0.99299721793515405</v>
      </c>
      <c r="C1795">
        <v>1.1060122393339</v>
      </c>
      <c r="D1795">
        <v>1.01146077363405</v>
      </c>
      <c r="E1795">
        <v>0.98709949359751703</v>
      </c>
      <c r="F1795">
        <v>0.84586495232951497</v>
      </c>
      <c r="G1795">
        <v>0.72434375809677598</v>
      </c>
      <c r="H1795">
        <v>0.59448896031651599</v>
      </c>
      <c r="I1795">
        <v>0.32445860385440101</v>
      </c>
      <c r="J1795">
        <v>0.15456928482149301</v>
      </c>
      <c r="K1795">
        <v>0.122221858502881</v>
      </c>
      <c r="L1795">
        <v>831.11431131908603</v>
      </c>
      <c r="M1795">
        <v>14.3577605235712</v>
      </c>
      <c r="N1795">
        <v>57.8860687114271</v>
      </c>
      <c r="O1795">
        <v>56.797882165481397</v>
      </c>
      <c r="P1795">
        <v>-6.3204302348830496E-2</v>
      </c>
      <c r="Q1795">
        <v>0</v>
      </c>
      <c r="R1795">
        <v>0.98227576546678297</v>
      </c>
      <c r="S1795" t="s">
        <v>7346</v>
      </c>
      <c r="T1795" t="s">
        <v>11100</v>
      </c>
      <c r="U1795" t="s">
        <v>11100</v>
      </c>
      <c r="V1795" t="s">
        <v>11100</v>
      </c>
      <c r="W1795" t="s">
        <v>12860</v>
      </c>
      <c r="X1795">
        <v>31</v>
      </c>
      <c r="Y1795" t="s">
        <v>18343</v>
      </c>
      <c r="Z1795" t="s">
        <v>23800</v>
      </c>
      <c r="AA1795">
        <v>0.70009163993235046</v>
      </c>
      <c r="AB1795" t="str">
        <f>HYPERLINK("Melting_Curves/meltCurve_P09960_LTA4H.pdf", "Melting_Curves/meltCurve_P09960_LTA4H.pdf")</f>
        <v>Melting_Curves/meltCurve_P09960_LTA4H.pdf</v>
      </c>
    </row>
    <row r="1796" spans="1:28" x14ac:dyDescent="0.25">
      <c r="A1796" t="s">
        <v>1800</v>
      </c>
      <c r="B1796">
        <v>0.99299721793515405</v>
      </c>
      <c r="C1796">
        <v>1.0114873899123</v>
      </c>
      <c r="D1796">
        <v>0.937843996260041</v>
      </c>
      <c r="E1796">
        <v>0.88683920581187203</v>
      </c>
      <c r="F1796">
        <v>0.79277433724632196</v>
      </c>
      <c r="G1796">
        <v>0.70747806230522103</v>
      </c>
      <c r="H1796">
        <v>0.79010477190265405</v>
      </c>
      <c r="I1796">
        <v>0.86692491423840601</v>
      </c>
      <c r="J1796">
        <v>0.757488708835522</v>
      </c>
      <c r="K1796">
        <v>0.33186293328503402</v>
      </c>
      <c r="L1796">
        <v>320.227053056307</v>
      </c>
      <c r="M1796">
        <v>4.5118037567711902</v>
      </c>
      <c r="O1796">
        <v>60.363977898416401</v>
      </c>
      <c r="P1796">
        <v>-1.8847841101560601E-2</v>
      </c>
      <c r="Q1796">
        <v>0</v>
      </c>
      <c r="R1796">
        <v>0.61743910887402098</v>
      </c>
      <c r="S1796" t="s">
        <v>7347</v>
      </c>
      <c r="T1796" t="s">
        <v>11100</v>
      </c>
      <c r="U1796" t="s">
        <v>11100</v>
      </c>
      <c r="V1796" t="s">
        <v>11100</v>
      </c>
      <c r="W1796" t="s">
        <v>12861</v>
      </c>
      <c r="X1796">
        <v>31</v>
      </c>
      <c r="Y1796" t="s">
        <v>18344</v>
      </c>
      <c r="Z1796" t="s">
        <v>23801</v>
      </c>
      <c r="AA1796">
        <v>0.81587184641704147</v>
      </c>
      <c r="AB1796" t="str">
        <f>HYPERLINK("Melting_Curves/meltCurve_P09972_ALDOC.pdf", "Melting_Curves/meltCurve_P09972_ALDOC.pdf")</f>
        <v>Melting_Curves/meltCurve_P09972_ALDOC.pdf</v>
      </c>
    </row>
    <row r="1797" spans="1:28" x14ac:dyDescent="0.25">
      <c r="A1797" t="s">
        <v>1801</v>
      </c>
      <c r="B1797">
        <v>0.99299721793515405</v>
      </c>
      <c r="C1797">
        <v>1.14266228496321</v>
      </c>
      <c r="D1797">
        <v>0.90356139957886505</v>
      </c>
      <c r="E1797">
        <v>0.76346776418950602</v>
      </c>
      <c r="F1797">
        <v>0.53038397069978904</v>
      </c>
      <c r="G1797">
        <v>0.14048980989055401</v>
      </c>
      <c r="H1797">
        <v>0.13768093824048699</v>
      </c>
      <c r="I1797">
        <v>6.3658266930022703E-2</v>
      </c>
      <c r="J1797">
        <v>5.0590755472830699E-2</v>
      </c>
      <c r="K1797">
        <v>4.5416658821801903E-2</v>
      </c>
      <c r="L1797">
        <v>972.18052981533901</v>
      </c>
      <c r="M1797">
        <v>19.569100559544001</v>
      </c>
      <c r="N1797">
        <v>49.882718547380698</v>
      </c>
      <c r="O1797">
        <v>49.1693105019489</v>
      </c>
      <c r="P1797">
        <v>-9.5687467199869203E-2</v>
      </c>
      <c r="Q1797">
        <v>3.8337021094015503E-2</v>
      </c>
      <c r="R1797">
        <v>0.97905800451792002</v>
      </c>
      <c r="S1797" t="s">
        <v>7348</v>
      </c>
      <c r="T1797" t="s">
        <v>11100</v>
      </c>
      <c r="U1797" t="s">
        <v>11100</v>
      </c>
      <c r="V1797" t="s">
        <v>11100</v>
      </c>
      <c r="W1797" t="s">
        <v>12862</v>
      </c>
      <c r="X1797">
        <v>1</v>
      </c>
      <c r="Y1797" t="s">
        <v>18345</v>
      </c>
      <c r="Z1797" t="s">
        <v>23802</v>
      </c>
      <c r="AA1797">
        <v>0.4579483782441604</v>
      </c>
      <c r="AB1797" t="str">
        <f>HYPERLINK("Melting_Curves/meltCurve_P0C2W1_FBXO45.pdf", "Melting_Curves/meltCurve_P0C2W1_FBXO45.pdf")</f>
        <v>Melting_Curves/meltCurve_P0C2W1_FBXO45.pdf</v>
      </c>
    </row>
    <row r="1798" spans="1:28" x14ac:dyDescent="0.25">
      <c r="A1798" t="s">
        <v>1802</v>
      </c>
      <c r="B1798">
        <v>0.99299721793515405</v>
      </c>
      <c r="C1798">
        <v>0.86949542512905598</v>
      </c>
      <c r="D1798">
        <v>0.89797979739693101</v>
      </c>
      <c r="E1798">
        <v>0.74208644750151098</v>
      </c>
      <c r="F1798">
        <v>0.417638329683515</v>
      </c>
      <c r="G1798">
        <v>0.161725475019496</v>
      </c>
      <c r="H1798">
        <v>9.7282442988155304E-2</v>
      </c>
      <c r="I1798">
        <v>7.6806577130558606E-2</v>
      </c>
      <c r="J1798">
        <v>6.9036793803489205E-2</v>
      </c>
      <c r="K1798">
        <v>4.4337446935674402E-2</v>
      </c>
      <c r="L1798">
        <v>848.12840470764502</v>
      </c>
      <c r="M1798">
        <v>17.357574734323801</v>
      </c>
      <c r="N1798">
        <v>49.076559218321599</v>
      </c>
      <c r="O1798">
        <v>48.227423121527202</v>
      </c>
      <c r="P1798">
        <v>-8.6697140707783393E-2</v>
      </c>
      <c r="Q1798">
        <v>3.6514621795558699E-2</v>
      </c>
      <c r="R1798">
        <v>0.98883688003475501</v>
      </c>
      <c r="S1798" t="s">
        <v>7349</v>
      </c>
      <c r="T1798" t="s">
        <v>11100</v>
      </c>
      <c r="U1798" t="s">
        <v>11100</v>
      </c>
      <c r="V1798" t="s">
        <v>11100</v>
      </c>
      <c r="W1798" t="s">
        <v>12863</v>
      </c>
      <c r="X1798">
        <v>4</v>
      </c>
      <c r="Y1798" t="s">
        <v>18346</v>
      </c>
      <c r="Z1798" t="s">
        <v>23803</v>
      </c>
      <c r="AA1798">
        <v>0.43381408794341281</v>
      </c>
      <c r="AB1798" t="str">
        <f>HYPERLINK("Melting_Curves/meltCurve_P0C7P0_CISD3.pdf", "Melting_Curves/meltCurve_P0C7P0_CISD3.pdf")</f>
        <v>Melting_Curves/meltCurve_P0C7P0_CISD3.pdf</v>
      </c>
    </row>
    <row r="1799" spans="1:28" x14ac:dyDescent="0.25">
      <c r="A1799" t="s">
        <v>1803</v>
      </c>
      <c r="B1799">
        <v>0.99299721793515405</v>
      </c>
      <c r="C1799">
        <v>0.86866798917174604</v>
      </c>
      <c r="D1799">
        <v>0.96861440466062398</v>
      </c>
      <c r="E1799">
        <v>0.78162542128949197</v>
      </c>
      <c r="F1799">
        <v>0.64875838056169299</v>
      </c>
      <c r="G1799">
        <v>0.317337900553818</v>
      </c>
      <c r="H1799">
        <v>0.19082098851991799</v>
      </c>
      <c r="I1799">
        <v>0.179401008371253</v>
      </c>
      <c r="J1799">
        <v>0.15312467359451001</v>
      </c>
      <c r="K1799">
        <v>0.13483272151529799</v>
      </c>
      <c r="L1799">
        <v>811.77924768041396</v>
      </c>
      <c r="M1799">
        <v>16.054661774212398</v>
      </c>
      <c r="N1799">
        <v>51.3640142655291</v>
      </c>
      <c r="O1799">
        <v>49.798486023649097</v>
      </c>
      <c r="P1799">
        <v>-7.1682465037962995E-2</v>
      </c>
      <c r="Q1799">
        <v>0.11068771114593599</v>
      </c>
      <c r="R1799">
        <v>0.97991006503193301</v>
      </c>
      <c r="S1799" t="s">
        <v>7350</v>
      </c>
      <c r="T1799" t="s">
        <v>11100</v>
      </c>
      <c r="U1799" t="s">
        <v>11100</v>
      </c>
      <c r="V1799" t="s">
        <v>11100</v>
      </c>
      <c r="W1799" t="s">
        <v>12864</v>
      </c>
      <c r="X1799">
        <v>4</v>
      </c>
      <c r="Y1799" t="s">
        <v>18347</v>
      </c>
      <c r="Z1799" t="s">
        <v>23804</v>
      </c>
      <c r="AA1799">
        <v>0.52931306854730031</v>
      </c>
      <c r="AB1799" t="str">
        <f>HYPERLINK("Melting_Curves/meltCurve_P0C7T5_ATXN1L.pdf", "Melting_Curves/meltCurve_P0C7T5_ATXN1L.pdf")</f>
        <v>Melting_Curves/meltCurve_P0C7T5_ATXN1L.pdf</v>
      </c>
    </row>
    <row r="1800" spans="1:28" x14ac:dyDescent="0.25">
      <c r="A1800" t="s">
        <v>1804</v>
      </c>
      <c r="B1800">
        <v>0.99299721793515405</v>
      </c>
      <c r="C1800">
        <v>0.940353213234003</v>
      </c>
      <c r="D1800">
        <v>0.87365727156301598</v>
      </c>
      <c r="E1800">
        <v>0.88136052033288703</v>
      </c>
      <c r="F1800">
        <v>0.75047405714104898</v>
      </c>
      <c r="G1800">
        <v>0.54372904862525095</v>
      </c>
      <c r="H1800">
        <v>0.574372748504829</v>
      </c>
      <c r="I1800">
        <v>0.70962774997934697</v>
      </c>
      <c r="J1800">
        <v>0.91106286807513104</v>
      </c>
      <c r="K1800">
        <v>0.79434538175941505</v>
      </c>
      <c r="L1800">
        <v>836.46894983465995</v>
      </c>
      <c r="M1800">
        <v>18.775660551011299</v>
      </c>
      <c r="O1800">
        <v>44.054537462067898</v>
      </c>
      <c r="P1800">
        <v>-3.04628593031833E-2</v>
      </c>
      <c r="Q1800">
        <v>0.71410395221940304</v>
      </c>
      <c r="R1800">
        <v>0.48813699961273799</v>
      </c>
      <c r="S1800" t="s">
        <v>7351</v>
      </c>
      <c r="T1800" t="s">
        <v>11100</v>
      </c>
      <c r="U1800" t="s">
        <v>11100</v>
      </c>
      <c r="V1800" t="s">
        <v>11100</v>
      </c>
      <c r="W1800" t="s">
        <v>12865</v>
      </c>
      <c r="X1800">
        <v>5</v>
      </c>
      <c r="Y1800" t="s">
        <v>18348</v>
      </c>
      <c r="Z1800" t="s">
        <v>23805</v>
      </c>
      <c r="AA1800">
        <v>0.79038795459175337</v>
      </c>
      <c r="AB1800" t="str">
        <f>HYPERLINK("Melting_Curves/meltCurve_P0CG12_CHTF8.pdf", "Melting_Curves/meltCurve_P0CG12_CHTF8.pdf")</f>
        <v>Melting_Curves/meltCurve_P0CG12_CHTF8.pdf</v>
      </c>
    </row>
    <row r="1801" spans="1:28" x14ac:dyDescent="0.25">
      <c r="A1801" t="s">
        <v>1805</v>
      </c>
      <c r="B1801">
        <v>0.99299721793515405</v>
      </c>
      <c r="C1801">
        <v>0.88303564360437503</v>
      </c>
      <c r="D1801">
        <v>0.80135520085643097</v>
      </c>
      <c r="E1801">
        <v>1.0161619207986401</v>
      </c>
      <c r="F1801">
        <v>0.90234654608352505</v>
      </c>
      <c r="G1801">
        <v>0.50178459740414205</v>
      </c>
      <c r="H1801">
        <v>0.81986501814954005</v>
      </c>
      <c r="I1801">
        <v>0.88690170424873904</v>
      </c>
      <c r="J1801">
        <v>0.97577511103564696</v>
      </c>
      <c r="K1801">
        <v>0.84978474948306404</v>
      </c>
      <c r="L1801">
        <v>9930.9608509145401</v>
      </c>
      <c r="M1801">
        <v>250</v>
      </c>
      <c r="O1801">
        <v>39.721301514957801</v>
      </c>
      <c r="P1801">
        <v>-0.245071817316076</v>
      </c>
      <c r="Q1801">
        <v>0.84424685608910899</v>
      </c>
      <c r="R1801">
        <v>0.104555399906234</v>
      </c>
      <c r="S1801" t="s">
        <v>7352</v>
      </c>
      <c r="T1801" t="s">
        <v>11100</v>
      </c>
      <c r="U1801" t="s">
        <v>11100</v>
      </c>
      <c r="V1801" t="s">
        <v>11100</v>
      </c>
      <c r="W1801" t="s">
        <v>12866</v>
      </c>
      <c r="X1801">
        <v>2</v>
      </c>
      <c r="Y1801" t="s">
        <v>18349</v>
      </c>
      <c r="Z1801" t="s">
        <v>23806</v>
      </c>
      <c r="AA1801">
        <v>0.85839928683891709</v>
      </c>
      <c r="AB1801" t="str">
        <f>HYPERLINK("Melting_Curves/meltCurve_P0CG35_TMSB15B.pdf", "Melting_Curves/meltCurve_P0CG35_TMSB15B.pdf")</f>
        <v>Melting_Curves/meltCurve_P0CG35_TMSB15B.pdf</v>
      </c>
    </row>
    <row r="1802" spans="1:28" x14ac:dyDescent="0.25">
      <c r="A1802" t="s">
        <v>1806</v>
      </c>
      <c r="B1802">
        <v>0.99299721793515405</v>
      </c>
      <c r="C1802">
        <v>1.0297354250153701</v>
      </c>
      <c r="D1802">
        <v>1.16098214987068</v>
      </c>
      <c r="E1802">
        <v>1.05670929489344</v>
      </c>
      <c r="F1802">
        <v>0.94787326136052497</v>
      </c>
      <c r="G1802">
        <v>1.1196675431988501</v>
      </c>
      <c r="H1802">
        <v>1.0190907945063701</v>
      </c>
      <c r="I1802">
        <v>0.86066495723185799</v>
      </c>
      <c r="J1802">
        <v>0.59227935601006898</v>
      </c>
      <c r="K1802">
        <v>0.42818035184018</v>
      </c>
      <c r="L1802">
        <v>2579.5157396907598</v>
      </c>
      <c r="M1802">
        <v>40.947107143453401</v>
      </c>
      <c r="N1802">
        <v>65.293689834093897</v>
      </c>
      <c r="O1802">
        <v>62.846601739873996</v>
      </c>
      <c r="P1802">
        <v>-0.100724094348129</v>
      </c>
      <c r="Q1802">
        <v>0.38162623272865098</v>
      </c>
      <c r="R1802">
        <v>0.90285399467900695</v>
      </c>
      <c r="S1802" t="s">
        <v>7353</v>
      </c>
      <c r="T1802" t="s">
        <v>11100</v>
      </c>
      <c r="U1802" t="s">
        <v>11100</v>
      </c>
      <c r="V1802" t="s">
        <v>11100</v>
      </c>
      <c r="W1802" t="s">
        <v>12867</v>
      </c>
      <c r="X1802">
        <v>8</v>
      </c>
      <c r="Y1802" t="s">
        <v>18350</v>
      </c>
      <c r="Z1802" t="s">
        <v>23807</v>
      </c>
      <c r="AA1802">
        <v>0.91689302725006128</v>
      </c>
      <c r="AB1802" t="str">
        <f>HYPERLINK("Melting_Curves/meltCurve_P0CW22_RPS17L.pdf", "Melting_Curves/meltCurve_P0CW22_RPS17L.pdf")</f>
        <v>Melting_Curves/meltCurve_P0CW22_RPS17L.pdf</v>
      </c>
    </row>
    <row r="1803" spans="1:28" x14ac:dyDescent="0.25">
      <c r="A1803" t="s">
        <v>1807</v>
      </c>
      <c r="B1803">
        <v>0.99299721793515405</v>
      </c>
      <c r="C1803">
        <v>0.94427688821325395</v>
      </c>
      <c r="D1803">
        <v>1.2293842737456699</v>
      </c>
      <c r="E1803">
        <v>1.2393710510221601</v>
      </c>
      <c r="F1803">
        <v>0.683084473010792</v>
      </c>
      <c r="G1803">
        <v>0.61473865552710505</v>
      </c>
      <c r="H1803">
        <v>0.56613841170222301</v>
      </c>
      <c r="I1803">
        <v>0.39417565919810599</v>
      </c>
      <c r="J1803">
        <v>0.41347224522583598</v>
      </c>
      <c r="K1803">
        <v>0.57421133694525694</v>
      </c>
      <c r="L1803">
        <v>10818.9232965871</v>
      </c>
      <c r="M1803">
        <v>216.136079607564</v>
      </c>
      <c r="O1803">
        <v>50.051787067678497</v>
      </c>
      <c r="P1803">
        <v>-0.526235642699734</v>
      </c>
      <c r="Q1803">
        <v>0.51254719983474695</v>
      </c>
      <c r="R1803">
        <v>0.82716705529527101</v>
      </c>
      <c r="S1803" t="s">
        <v>7354</v>
      </c>
      <c r="T1803" t="s">
        <v>11100</v>
      </c>
      <c r="U1803" t="s">
        <v>11100</v>
      </c>
      <c r="V1803" t="s">
        <v>11100</v>
      </c>
      <c r="W1803" t="s">
        <v>11172</v>
      </c>
      <c r="X1803">
        <v>1</v>
      </c>
      <c r="Y1803" t="s">
        <v>16664</v>
      </c>
      <c r="Z1803" t="s">
        <v>23808</v>
      </c>
      <c r="AA1803">
        <v>0.7247451339299148</v>
      </c>
      <c r="AB1803" t="str">
        <f>HYPERLINK("Melting_Curves/meltCurve_P0DI83_RAB34.pdf", "Melting_Curves/meltCurve_P0DI83_RAB34.pdf")</f>
        <v>Melting_Curves/meltCurve_P0DI83_RAB34.pdf</v>
      </c>
    </row>
    <row r="1804" spans="1:28" x14ac:dyDescent="0.25">
      <c r="A1804" t="s">
        <v>1808</v>
      </c>
      <c r="B1804">
        <v>0.99299721793515405</v>
      </c>
      <c r="C1804">
        <v>0.77176420029048598</v>
      </c>
      <c r="D1804">
        <v>1.4501038642414299</v>
      </c>
      <c r="E1804">
        <v>0.87654125688118001</v>
      </c>
      <c r="F1804">
        <v>0.87431088627848397</v>
      </c>
      <c r="G1804">
        <v>1.1952275363990199</v>
      </c>
      <c r="H1804">
        <v>0.57486039975461101</v>
      </c>
      <c r="I1804">
        <v>0.74482177454578002</v>
      </c>
      <c r="J1804">
        <v>0.70266447091874995</v>
      </c>
      <c r="K1804">
        <v>0.99793111972256299</v>
      </c>
      <c r="L1804">
        <v>4245.4695393934799</v>
      </c>
      <c r="M1804">
        <v>76.401381863993805</v>
      </c>
      <c r="O1804">
        <v>55.529953476312997</v>
      </c>
      <c r="P1804">
        <v>-8.3161622881920694E-2</v>
      </c>
      <c r="Q1804">
        <v>0.758226435805893</v>
      </c>
      <c r="R1804">
        <v>0.26725164501670801</v>
      </c>
      <c r="S1804" t="s">
        <v>7355</v>
      </c>
      <c r="T1804" t="s">
        <v>11100</v>
      </c>
      <c r="U1804" t="s">
        <v>11100</v>
      </c>
      <c r="V1804" t="s">
        <v>11100</v>
      </c>
      <c r="W1804" t="s">
        <v>12868</v>
      </c>
      <c r="X1804">
        <v>2</v>
      </c>
      <c r="Y1804" t="s">
        <v>18351</v>
      </c>
      <c r="Z1804" t="s">
        <v>23809</v>
      </c>
      <c r="AA1804">
        <v>0.90812087637219363</v>
      </c>
      <c r="AB1804" t="str">
        <f>HYPERLINK("Melting_Curves/meltCurve_P0DJ93_SMIM13.pdf", "Melting_Curves/meltCurve_P0DJ93_SMIM13.pdf")</f>
        <v>Melting_Curves/meltCurve_P0DJ93_SMIM13.pdf</v>
      </c>
    </row>
    <row r="1805" spans="1:28" x14ac:dyDescent="0.25">
      <c r="A1805" t="s">
        <v>1809</v>
      </c>
      <c r="B1805">
        <v>0.99299721793515405</v>
      </c>
      <c r="C1805">
        <v>0.95946143399807104</v>
      </c>
      <c r="D1805">
        <v>1.1111953292359</v>
      </c>
      <c r="E1805">
        <v>0.96516287415068203</v>
      </c>
      <c r="F1805">
        <v>0.83516357968384902</v>
      </c>
      <c r="G1805">
        <v>0.61548593091801695</v>
      </c>
      <c r="H1805">
        <v>0.48765954617657498</v>
      </c>
      <c r="I1805">
        <v>0.59210825833141301</v>
      </c>
      <c r="J1805">
        <v>0.69014991168728501</v>
      </c>
      <c r="K1805">
        <v>0.66846378883225799</v>
      </c>
      <c r="L1805">
        <v>2958.61380900004</v>
      </c>
      <c r="M1805">
        <v>58.637708543236201</v>
      </c>
      <c r="O1805">
        <v>50.397238350797302</v>
      </c>
      <c r="P1805">
        <v>-0.11377688542837</v>
      </c>
      <c r="Q1805">
        <v>0.60884977087750003</v>
      </c>
      <c r="R1805">
        <v>0.89708657217088195</v>
      </c>
      <c r="S1805" t="s">
        <v>7356</v>
      </c>
      <c r="T1805" t="s">
        <v>11100</v>
      </c>
      <c r="U1805" t="s">
        <v>11100</v>
      </c>
      <c r="V1805" t="s">
        <v>11100</v>
      </c>
      <c r="W1805" t="s">
        <v>12869</v>
      </c>
      <c r="X1805">
        <v>8</v>
      </c>
      <c r="Y1805" t="s">
        <v>18352</v>
      </c>
      <c r="Z1805" t="s">
        <v>23810</v>
      </c>
      <c r="AA1805">
        <v>0.78492335920992429</v>
      </c>
      <c r="AB1805" t="str">
        <f>HYPERLINK("Melting_Curves/meltCurve_P10109_FDX1.pdf", "Melting_Curves/meltCurve_P10109_FDX1.pdf")</f>
        <v>Melting_Curves/meltCurve_P10109_FDX1.pdf</v>
      </c>
    </row>
    <row r="1806" spans="1:28" x14ac:dyDescent="0.25">
      <c r="A1806" t="s">
        <v>1810</v>
      </c>
      <c r="B1806">
        <v>0.99299721793515405</v>
      </c>
      <c r="C1806">
        <v>0.89448290206654901</v>
      </c>
      <c r="D1806">
        <v>0.88470705138314598</v>
      </c>
      <c r="E1806">
        <v>0.77800191724838297</v>
      </c>
      <c r="F1806">
        <v>0.69168106056477197</v>
      </c>
      <c r="G1806">
        <v>0.63110403306116003</v>
      </c>
      <c r="H1806">
        <v>0.79980665783733096</v>
      </c>
      <c r="I1806">
        <v>1.0648159862905899</v>
      </c>
      <c r="J1806">
        <v>1.1118522843935701</v>
      </c>
      <c r="K1806">
        <v>0.80761944866048296</v>
      </c>
      <c r="L1806">
        <v>1430.61357357201</v>
      </c>
      <c r="M1806">
        <v>36.397088618500497</v>
      </c>
      <c r="O1806">
        <v>39.187627736466503</v>
      </c>
      <c r="P1806">
        <v>-3.6064735712481401E-2</v>
      </c>
      <c r="Q1806">
        <v>0.84468129736269504</v>
      </c>
      <c r="R1806">
        <v>9.3129308806495406E-2</v>
      </c>
      <c r="S1806" t="s">
        <v>7357</v>
      </c>
      <c r="T1806" t="s">
        <v>11100</v>
      </c>
      <c r="U1806" t="s">
        <v>11100</v>
      </c>
      <c r="V1806" t="s">
        <v>11100</v>
      </c>
      <c r="W1806" t="s">
        <v>12870</v>
      </c>
      <c r="X1806">
        <v>17</v>
      </c>
      <c r="Y1806" t="s">
        <v>18353</v>
      </c>
      <c r="Z1806" t="s">
        <v>23811</v>
      </c>
      <c r="AA1806">
        <v>0.85759333923150816</v>
      </c>
      <c r="AB1806" t="str">
        <f>HYPERLINK("Melting_Curves/meltCurve_P10155_3_TROVE2.pdf", "Melting_Curves/meltCurve_P10155_3_TROVE2.pdf")</f>
        <v>Melting_Curves/meltCurve_P10155_3_TROVE2.pdf</v>
      </c>
    </row>
    <row r="1807" spans="1:28" x14ac:dyDescent="0.25">
      <c r="A1807" t="s">
        <v>1811</v>
      </c>
      <c r="B1807">
        <v>0.99299721793515405</v>
      </c>
      <c r="C1807">
        <v>1.0622322467976</v>
      </c>
      <c r="D1807">
        <v>0.93758880443831405</v>
      </c>
      <c r="E1807">
        <v>0.89138030298075999</v>
      </c>
      <c r="F1807">
        <v>0.78429952610603004</v>
      </c>
      <c r="G1807">
        <v>0.63488137148954105</v>
      </c>
      <c r="H1807">
        <v>0.741604452528423</v>
      </c>
      <c r="I1807">
        <v>0.91521890830392205</v>
      </c>
      <c r="J1807">
        <v>0.94313004480460005</v>
      </c>
      <c r="K1807">
        <v>0.58701650719936405</v>
      </c>
      <c r="L1807">
        <v>1482.3349894048899</v>
      </c>
      <c r="M1807">
        <v>31.956166162600201</v>
      </c>
      <c r="O1807">
        <v>46.205991314468598</v>
      </c>
      <c r="P1807">
        <v>-4.0589203170720199E-2</v>
      </c>
      <c r="Q1807">
        <v>0.76524657330788104</v>
      </c>
      <c r="R1807">
        <v>0.49573140419898998</v>
      </c>
      <c r="S1807" t="s">
        <v>7358</v>
      </c>
      <c r="T1807" t="s">
        <v>11100</v>
      </c>
      <c r="U1807" t="s">
        <v>11100</v>
      </c>
      <c r="V1807" t="s">
        <v>11100</v>
      </c>
      <c r="W1807" t="s">
        <v>12871</v>
      </c>
      <c r="X1807">
        <v>12</v>
      </c>
      <c r="Y1807" t="s">
        <v>18354</v>
      </c>
      <c r="Z1807" t="s">
        <v>23812</v>
      </c>
      <c r="AA1807">
        <v>0.83988345235093398</v>
      </c>
      <c r="AB1807" t="str">
        <f>HYPERLINK("Melting_Curves/meltCurve_P10253_GAA.pdf", "Melting_Curves/meltCurve_P10253_GAA.pdf")</f>
        <v>Melting_Curves/meltCurve_P10253_GAA.pdf</v>
      </c>
    </row>
    <row r="1808" spans="1:28" x14ac:dyDescent="0.25">
      <c r="A1808" t="s">
        <v>1812</v>
      </c>
      <c r="B1808">
        <v>0.99299721793515405</v>
      </c>
      <c r="C1808">
        <v>1.4270128646468401</v>
      </c>
      <c r="D1808">
        <v>1.048125136466</v>
      </c>
      <c r="E1808">
        <v>0.96207464413090704</v>
      </c>
      <c r="F1808">
        <v>0.92728792292221196</v>
      </c>
      <c r="G1808">
        <v>0.81204595081306996</v>
      </c>
      <c r="H1808">
        <v>0.54597159229787695</v>
      </c>
      <c r="I1808">
        <v>0.46048760484163898</v>
      </c>
      <c r="J1808">
        <v>0.25842959292648099</v>
      </c>
      <c r="K1808">
        <v>0.12799394577898901</v>
      </c>
      <c r="L1808">
        <v>830.20628462023205</v>
      </c>
      <c r="M1808">
        <v>14.0345936517688</v>
      </c>
      <c r="N1808">
        <v>59.154277596734701</v>
      </c>
      <c r="O1808">
        <v>57.992131836566301</v>
      </c>
      <c r="P1808">
        <v>-6.05100762587438E-2</v>
      </c>
      <c r="Q1808">
        <v>0</v>
      </c>
      <c r="R1808">
        <v>0.86422123457012301</v>
      </c>
      <c r="S1808" t="s">
        <v>7359</v>
      </c>
      <c r="T1808" t="s">
        <v>11100</v>
      </c>
      <c r="U1808" t="s">
        <v>11100</v>
      </c>
      <c r="V1808" t="s">
        <v>11100</v>
      </c>
      <c r="W1808" t="s">
        <v>12872</v>
      </c>
      <c r="X1808">
        <v>4</v>
      </c>
      <c r="Y1808" t="s">
        <v>18355</v>
      </c>
      <c r="Z1808" t="s">
        <v>23813</v>
      </c>
      <c r="AA1808">
        <v>0.73489534208101337</v>
      </c>
      <c r="AB1808" t="str">
        <f>HYPERLINK("Melting_Curves/meltCurve_P10301_RRAS.pdf", "Melting_Curves/meltCurve_P10301_RRAS.pdf")</f>
        <v>Melting_Curves/meltCurve_P10301_RRAS.pdf</v>
      </c>
    </row>
    <row r="1809" spans="1:28" x14ac:dyDescent="0.25">
      <c r="A1809" t="s">
        <v>1813</v>
      </c>
      <c r="B1809">
        <v>0.99299721793515405</v>
      </c>
      <c r="C1809">
        <v>1.0094211335032199</v>
      </c>
      <c r="D1809">
        <v>0.90917373875922403</v>
      </c>
      <c r="E1809">
        <v>0.82563221537755405</v>
      </c>
      <c r="F1809">
        <v>0.55407457337575505</v>
      </c>
      <c r="G1809">
        <v>0.302180232845918</v>
      </c>
      <c r="H1809">
        <v>0.16743137950644399</v>
      </c>
      <c r="I1809">
        <v>0.16194308388999601</v>
      </c>
      <c r="J1809">
        <v>0.13078778510723599</v>
      </c>
      <c r="K1809">
        <v>0.10130334756813</v>
      </c>
      <c r="L1809">
        <v>883.34050206385803</v>
      </c>
      <c r="M1809">
        <v>17.6206047168812</v>
      </c>
      <c r="N1809">
        <v>50.788635726647797</v>
      </c>
      <c r="O1809">
        <v>49.498800894731602</v>
      </c>
      <c r="P1809">
        <v>-7.9923127411764494E-2</v>
      </c>
      <c r="Q1809">
        <v>0.101986118726448</v>
      </c>
      <c r="R1809">
        <v>0.997073378954759</v>
      </c>
      <c r="S1809" t="s">
        <v>7360</v>
      </c>
      <c r="T1809" t="s">
        <v>11100</v>
      </c>
      <c r="U1809" t="s">
        <v>11100</v>
      </c>
      <c r="V1809" t="s">
        <v>11100</v>
      </c>
      <c r="W1809" t="s">
        <v>12873</v>
      </c>
      <c r="X1809">
        <v>6</v>
      </c>
      <c r="Y1809" t="s">
        <v>18356</v>
      </c>
      <c r="Z1809" t="s">
        <v>23814</v>
      </c>
      <c r="AA1809">
        <v>0.50967287507678727</v>
      </c>
      <c r="AB1809" t="str">
        <f>HYPERLINK("Melting_Curves/meltCurve_P10398_ARAF.pdf", "Melting_Curves/meltCurve_P10398_ARAF.pdf")</f>
        <v>Melting_Curves/meltCurve_P10398_ARAF.pdf</v>
      </c>
    </row>
    <row r="1810" spans="1:28" x14ac:dyDescent="0.25">
      <c r="A1810" t="s">
        <v>1814</v>
      </c>
      <c r="B1810">
        <v>0.99299721793515405</v>
      </c>
      <c r="C1810">
        <v>0.92751783261555198</v>
      </c>
      <c r="D1810">
        <v>1.0182824142531</v>
      </c>
      <c r="E1810">
        <v>0.85788577678334599</v>
      </c>
      <c r="F1810">
        <v>0.68809962340382802</v>
      </c>
      <c r="G1810">
        <v>0.36973755445954298</v>
      </c>
      <c r="H1810">
        <v>0.290876431473446</v>
      </c>
      <c r="I1810">
        <v>0.24630553300052799</v>
      </c>
      <c r="J1810">
        <v>0.227947962727336</v>
      </c>
      <c r="K1810">
        <v>0.26098341565555999</v>
      </c>
      <c r="L1810">
        <v>1109.13757708042</v>
      </c>
      <c r="M1810">
        <v>21.908504705834201</v>
      </c>
      <c r="N1810">
        <v>52.118292272739403</v>
      </c>
      <c r="O1810">
        <v>50.209778854796802</v>
      </c>
      <c r="P1810">
        <v>-8.3670359742084699E-2</v>
      </c>
      <c r="Q1810">
        <v>0.23299677458697099</v>
      </c>
      <c r="R1810">
        <v>0.98960267516767098</v>
      </c>
      <c r="S1810" t="s">
        <v>7361</v>
      </c>
      <c r="T1810" t="s">
        <v>11100</v>
      </c>
      <c r="U1810" t="s">
        <v>11100</v>
      </c>
      <c r="V1810" t="s">
        <v>11100</v>
      </c>
      <c r="W1810" t="s">
        <v>12874</v>
      </c>
      <c r="X1810">
        <v>32</v>
      </c>
      <c r="Y1810" t="s">
        <v>18357</v>
      </c>
      <c r="Z1810" t="s">
        <v>23815</v>
      </c>
      <c r="AA1810">
        <v>0.58996047999480861</v>
      </c>
      <c r="AB1810" t="str">
        <f>HYPERLINK("Melting_Curves/meltCurve_P10586_2_PTPRF.pdf", "Melting_Curves/meltCurve_P10586_2_PTPRF.pdf")</f>
        <v>Melting_Curves/meltCurve_P10586_2_PTPRF.pdf</v>
      </c>
    </row>
    <row r="1811" spans="1:28" x14ac:dyDescent="0.25">
      <c r="A1811" t="s">
        <v>1815</v>
      </c>
      <c r="B1811">
        <v>0.99299721793515405</v>
      </c>
      <c r="C1811">
        <v>0.93311859425246502</v>
      </c>
      <c r="D1811">
        <v>0.91920007555155703</v>
      </c>
      <c r="E1811">
        <v>0.79217749166746798</v>
      </c>
      <c r="F1811">
        <v>0.48530697688670699</v>
      </c>
      <c r="G1811">
        <v>0.25871075047777298</v>
      </c>
      <c r="H1811">
        <v>0.191772000595472</v>
      </c>
      <c r="I1811">
        <v>0.139787311597697</v>
      </c>
      <c r="J1811">
        <v>0.111077014664051</v>
      </c>
      <c r="K1811">
        <v>0.108359963945375</v>
      </c>
      <c r="L1811">
        <v>854.93889382223199</v>
      </c>
      <c r="M1811">
        <v>17.297765459625001</v>
      </c>
      <c r="N1811">
        <v>50.075247780084801</v>
      </c>
      <c r="O1811">
        <v>48.778437797472002</v>
      </c>
      <c r="P1811">
        <v>-7.97394318310779E-2</v>
      </c>
      <c r="Q1811">
        <v>0.100614338686069</v>
      </c>
      <c r="R1811">
        <v>0.99647950638990201</v>
      </c>
      <c r="S1811" t="s">
        <v>7362</v>
      </c>
      <c r="T1811" t="s">
        <v>11100</v>
      </c>
      <c r="U1811" t="s">
        <v>11100</v>
      </c>
      <c r="V1811" t="s">
        <v>11100</v>
      </c>
      <c r="W1811" t="s">
        <v>12875</v>
      </c>
      <c r="X1811">
        <v>5</v>
      </c>
      <c r="Y1811" t="s">
        <v>18358</v>
      </c>
      <c r="Z1811" t="s">
        <v>23816</v>
      </c>
      <c r="AA1811">
        <v>0.48834612519893789</v>
      </c>
      <c r="AB1811" t="str">
        <f>HYPERLINK("Melting_Curves/meltCurve_P10588_NR2F6.pdf", "Melting_Curves/meltCurve_P10588_NR2F6.pdf")</f>
        <v>Melting_Curves/meltCurve_P10588_NR2F6.pdf</v>
      </c>
    </row>
    <row r="1812" spans="1:28" x14ac:dyDescent="0.25">
      <c r="A1812" t="s">
        <v>1816</v>
      </c>
      <c r="B1812">
        <v>0.99299721793515405</v>
      </c>
      <c r="C1812">
        <v>0.94065838834030302</v>
      </c>
      <c r="D1812">
        <v>1.1449871340345099</v>
      </c>
      <c r="E1812">
        <v>0.81542063538610798</v>
      </c>
      <c r="F1812">
        <v>0.763608114300248</v>
      </c>
      <c r="G1812">
        <v>0.94281895390220105</v>
      </c>
      <c r="H1812">
        <v>0.53995723816955499</v>
      </c>
      <c r="I1812">
        <v>0.823991400512609</v>
      </c>
      <c r="J1812">
        <v>0.926326931263452</v>
      </c>
      <c r="K1812">
        <v>0.90631825648321895</v>
      </c>
      <c r="L1812">
        <v>11285.0345755895</v>
      </c>
      <c r="M1812">
        <v>250</v>
      </c>
      <c r="O1812">
        <v>45.137249705747102</v>
      </c>
      <c r="P1812">
        <v>-0.25351842091895099</v>
      </c>
      <c r="Q1812">
        <v>0.816910012189624</v>
      </c>
      <c r="R1812">
        <v>0.391096848975369</v>
      </c>
      <c r="S1812" t="s">
        <v>7363</v>
      </c>
      <c r="T1812" t="s">
        <v>11100</v>
      </c>
      <c r="U1812" t="s">
        <v>11100</v>
      </c>
      <c r="V1812" t="s">
        <v>11100</v>
      </c>
      <c r="W1812" t="s">
        <v>12876</v>
      </c>
      <c r="X1812">
        <v>12</v>
      </c>
      <c r="Y1812" t="s">
        <v>18359</v>
      </c>
      <c r="Z1812" t="s">
        <v>23817</v>
      </c>
      <c r="AA1812">
        <v>0.86660377737421723</v>
      </c>
      <c r="AB1812" t="str">
        <f>HYPERLINK("Melting_Curves/meltCurve_P10599_TXN.pdf", "Melting_Curves/meltCurve_P10599_TXN.pdf")</f>
        <v>Melting_Curves/meltCurve_P10599_TXN.pdf</v>
      </c>
    </row>
    <row r="1813" spans="1:28" x14ac:dyDescent="0.25">
      <c r="A1813" t="s">
        <v>1817</v>
      </c>
      <c r="B1813">
        <v>0.99299721793515405</v>
      </c>
      <c r="C1813">
        <v>0.92787962367838495</v>
      </c>
      <c r="D1813">
        <v>0.988827954206561</v>
      </c>
      <c r="E1813">
        <v>0.83486383584945001</v>
      </c>
      <c r="F1813">
        <v>0.74984463900354803</v>
      </c>
      <c r="G1813">
        <v>0.52289710526775401</v>
      </c>
      <c r="H1813">
        <v>0.723613169412338</v>
      </c>
      <c r="I1813">
        <v>1.0800216052875899</v>
      </c>
      <c r="J1813">
        <v>1.46891396774701</v>
      </c>
      <c r="K1813">
        <v>1.93537293043396</v>
      </c>
      <c r="L1813">
        <v>6387.2871352249704</v>
      </c>
      <c r="M1813">
        <v>103.013150315356</v>
      </c>
      <c r="O1813">
        <v>61.981223039319502</v>
      </c>
      <c r="P1813">
        <v>0.20775073225115501</v>
      </c>
      <c r="Q1813">
        <v>1.5</v>
      </c>
      <c r="R1813">
        <v>0.60593368760405397</v>
      </c>
      <c r="S1813" t="s">
        <v>7364</v>
      </c>
      <c r="T1813" t="s">
        <v>11100</v>
      </c>
      <c r="U1813" t="s">
        <v>11100</v>
      </c>
      <c r="V1813" t="s">
        <v>11100</v>
      </c>
      <c r="W1813" t="s">
        <v>12877</v>
      </c>
      <c r="X1813">
        <v>11</v>
      </c>
      <c r="Y1813" t="s">
        <v>18360</v>
      </c>
      <c r="Z1813" t="s">
        <v>23818</v>
      </c>
      <c r="AA1813">
        <v>1.0829417233754011</v>
      </c>
      <c r="AB1813" t="str">
        <f>HYPERLINK("Melting_Curves/meltCurve_P10606_COX5B.pdf", "Melting_Curves/meltCurve_P10606_COX5B.pdf")</f>
        <v>Melting_Curves/meltCurve_P10606_COX5B.pdf</v>
      </c>
    </row>
    <row r="1814" spans="1:28" x14ac:dyDescent="0.25">
      <c r="A1814" t="s">
        <v>1818</v>
      </c>
      <c r="B1814">
        <v>0.99299721793515405</v>
      </c>
      <c r="C1814">
        <v>0.983844051538599</v>
      </c>
      <c r="D1814">
        <v>0.78828943988337696</v>
      </c>
      <c r="E1814">
        <v>0.82136475014731303</v>
      </c>
      <c r="F1814">
        <v>0.83195204010804602</v>
      </c>
      <c r="G1814">
        <v>0.64241280811058699</v>
      </c>
      <c r="H1814">
        <v>0.83144869620081896</v>
      </c>
      <c r="I1814">
        <v>0.72067479646754695</v>
      </c>
      <c r="J1814">
        <v>0.51359212596849302</v>
      </c>
      <c r="K1814">
        <v>0.210435355076557</v>
      </c>
      <c r="L1814">
        <v>354.08730548397</v>
      </c>
      <c r="M1814">
        <v>5.55246836123258</v>
      </c>
      <c r="N1814">
        <v>63.771152295041503</v>
      </c>
      <c r="O1814">
        <v>56.933756817856498</v>
      </c>
      <c r="P1814">
        <v>-2.44851449231684E-2</v>
      </c>
      <c r="Q1814">
        <v>0</v>
      </c>
      <c r="R1814">
        <v>0.70684811819710003</v>
      </c>
      <c r="S1814" t="s">
        <v>7365</v>
      </c>
      <c r="T1814" t="s">
        <v>11100</v>
      </c>
      <c r="U1814" t="s">
        <v>11100</v>
      </c>
      <c r="V1814" t="s">
        <v>11100</v>
      </c>
      <c r="W1814" t="s">
        <v>12878</v>
      </c>
      <c r="X1814">
        <v>4</v>
      </c>
      <c r="Y1814" t="s">
        <v>18361</v>
      </c>
      <c r="Z1814" t="s">
        <v>23819</v>
      </c>
      <c r="AA1814">
        <v>0.75282334016843322</v>
      </c>
      <c r="AB1814" t="str">
        <f>HYPERLINK("Melting_Curves/meltCurve_P10619_CTSA.pdf", "Melting_Curves/meltCurve_P10619_CTSA.pdf")</f>
        <v>Melting_Curves/meltCurve_P10619_CTSA.pdf</v>
      </c>
    </row>
    <row r="1815" spans="1:28" x14ac:dyDescent="0.25">
      <c r="A1815" t="s">
        <v>1819</v>
      </c>
      <c r="B1815">
        <v>0.99299721793515405</v>
      </c>
      <c r="C1815">
        <v>0.99280271496263695</v>
      </c>
      <c r="D1815">
        <v>0.87595525664589702</v>
      </c>
      <c r="E1815">
        <v>0.82809847676159198</v>
      </c>
      <c r="F1815">
        <v>0.74791185514607295</v>
      </c>
      <c r="G1815">
        <v>0.58493128783570403</v>
      </c>
      <c r="H1815">
        <v>0.58222753626832502</v>
      </c>
      <c r="I1815">
        <v>0.63146943060145599</v>
      </c>
      <c r="J1815">
        <v>0.75774591700746796</v>
      </c>
      <c r="K1815">
        <v>0.61580385402096804</v>
      </c>
      <c r="L1815">
        <v>793.021437912034</v>
      </c>
      <c r="M1815">
        <v>17.191486628147</v>
      </c>
      <c r="O1815">
        <v>45.518140270548798</v>
      </c>
      <c r="P1815">
        <v>-3.4598692489686403E-2</v>
      </c>
      <c r="Q1815">
        <v>0.63359189565052498</v>
      </c>
      <c r="R1815">
        <v>0.86856901043578105</v>
      </c>
      <c r="S1815" t="s">
        <v>7366</v>
      </c>
      <c r="T1815" t="s">
        <v>11100</v>
      </c>
      <c r="U1815" t="s">
        <v>11100</v>
      </c>
      <c r="V1815" t="s">
        <v>11100</v>
      </c>
      <c r="W1815" t="s">
        <v>12879</v>
      </c>
      <c r="X1815">
        <v>7</v>
      </c>
      <c r="Y1815" t="s">
        <v>18362</v>
      </c>
      <c r="Z1815" t="s">
        <v>23820</v>
      </c>
      <c r="AA1815">
        <v>0.75156355805447483</v>
      </c>
      <c r="AB1815" t="str">
        <f>HYPERLINK("Melting_Curves/meltCurve_P10636_MAPT.pdf", "Melting_Curves/meltCurve_P10636_MAPT.pdf")</f>
        <v>Melting_Curves/meltCurve_P10636_MAPT.pdf</v>
      </c>
    </row>
    <row r="1816" spans="1:28" x14ac:dyDescent="0.25">
      <c r="A1816" t="s">
        <v>1820</v>
      </c>
      <c r="B1816">
        <v>0.99299721793515405</v>
      </c>
      <c r="C1816">
        <v>0.97154327620258996</v>
      </c>
      <c r="D1816">
        <v>0.91808505284117803</v>
      </c>
      <c r="E1816">
        <v>0.87564128026541899</v>
      </c>
      <c r="F1816">
        <v>0.84480586174140704</v>
      </c>
      <c r="G1816">
        <v>0.37422896231131197</v>
      </c>
      <c r="H1816">
        <v>0.20868947226800799</v>
      </c>
      <c r="I1816">
        <v>0.18595895106114399</v>
      </c>
      <c r="J1816">
        <v>0.15118670324202199</v>
      </c>
      <c r="K1816">
        <v>0.147866554225142</v>
      </c>
      <c r="L1816">
        <v>1630.0907899608801</v>
      </c>
      <c r="M1816">
        <v>31.233823154462598</v>
      </c>
      <c r="N1816">
        <v>52.823340614110101</v>
      </c>
      <c r="O1816">
        <v>51.977381419574499</v>
      </c>
      <c r="P1816">
        <v>-0.12676364691981201</v>
      </c>
      <c r="Q1816">
        <v>0.15619604720028599</v>
      </c>
      <c r="R1816">
        <v>0.98417157375791298</v>
      </c>
      <c r="S1816" t="s">
        <v>7367</v>
      </c>
      <c r="T1816" t="s">
        <v>11100</v>
      </c>
      <c r="U1816" t="s">
        <v>11100</v>
      </c>
      <c r="V1816" t="s">
        <v>11100</v>
      </c>
      <c r="W1816" t="s">
        <v>12880</v>
      </c>
      <c r="X1816">
        <v>13</v>
      </c>
      <c r="Y1816" t="s">
        <v>18363</v>
      </c>
      <c r="Z1816" t="s">
        <v>23821</v>
      </c>
      <c r="AA1816">
        <v>0.58837778053083378</v>
      </c>
      <c r="AB1816" t="str">
        <f>HYPERLINK("Melting_Curves/meltCurve_P10644_PRKAR1A.pdf", "Melting_Curves/meltCurve_P10644_PRKAR1A.pdf")</f>
        <v>Melting_Curves/meltCurve_P10644_PRKAR1A.pdf</v>
      </c>
    </row>
    <row r="1817" spans="1:28" x14ac:dyDescent="0.25">
      <c r="A1817" t="s">
        <v>1821</v>
      </c>
      <c r="B1817">
        <v>0.99299721793515405</v>
      </c>
      <c r="C1817">
        <v>1.0223189240975099</v>
      </c>
      <c r="D1817">
        <v>0.93221317722006403</v>
      </c>
      <c r="E1817">
        <v>0.90346751026342698</v>
      </c>
      <c r="F1817">
        <v>0.795209199592537</v>
      </c>
      <c r="G1817">
        <v>0.44498156041575598</v>
      </c>
      <c r="H1817">
        <v>0.17169687784967</v>
      </c>
      <c r="I1817">
        <v>0.15378121826388699</v>
      </c>
      <c r="J1817">
        <v>0.12847735575834801</v>
      </c>
      <c r="K1817">
        <v>0.11420592858031101</v>
      </c>
      <c r="L1817">
        <v>1230.7509810250001</v>
      </c>
      <c r="M1817">
        <v>23.4254133711263</v>
      </c>
      <c r="N1817">
        <v>53.076262787111702</v>
      </c>
      <c r="O1817">
        <v>52.160742728081701</v>
      </c>
      <c r="P1817">
        <v>-0.100428578510116</v>
      </c>
      <c r="Q1817">
        <v>0.10552887959200501</v>
      </c>
      <c r="R1817">
        <v>0.99297304260498598</v>
      </c>
      <c r="S1817" t="s">
        <v>7368</v>
      </c>
      <c r="T1817" t="s">
        <v>11100</v>
      </c>
      <c r="U1817" t="s">
        <v>11100</v>
      </c>
      <c r="V1817" t="s">
        <v>11100</v>
      </c>
      <c r="W1817" t="s">
        <v>12881</v>
      </c>
      <c r="X1817">
        <v>10</v>
      </c>
      <c r="Y1817" t="s">
        <v>18364</v>
      </c>
      <c r="Z1817" t="s">
        <v>23822</v>
      </c>
      <c r="AA1817">
        <v>0.57770180679595262</v>
      </c>
      <c r="AB1817" t="str">
        <f>HYPERLINK("Melting_Curves/meltCurve_P10746_UROS.pdf", "Melting_Curves/meltCurve_P10746_UROS.pdf")</f>
        <v>Melting_Curves/meltCurve_P10746_UROS.pdf</v>
      </c>
    </row>
    <row r="1818" spans="1:28" x14ac:dyDescent="0.25">
      <c r="A1818" t="s">
        <v>1822</v>
      </c>
      <c r="B1818">
        <v>0.99299721793515405</v>
      </c>
      <c r="C1818">
        <v>0.97331330777801295</v>
      </c>
      <c r="D1818">
        <v>0.94549662431666903</v>
      </c>
      <c r="E1818">
        <v>0.87075236711187098</v>
      </c>
      <c r="F1818">
        <v>0.75206158189348105</v>
      </c>
      <c r="G1818">
        <v>0.58552365643777105</v>
      </c>
      <c r="H1818">
        <v>0.491507724084148</v>
      </c>
      <c r="I1818">
        <v>0.34512649155043301</v>
      </c>
      <c r="J1818">
        <v>0.15102681357794401</v>
      </c>
      <c r="K1818">
        <v>0.118838711062642</v>
      </c>
      <c r="L1818">
        <v>575.31825192069005</v>
      </c>
      <c r="M1818">
        <v>10.2827874758785</v>
      </c>
      <c r="N1818">
        <v>55.949616303564802</v>
      </c>
      <c r="O1818">
        <v>53.957509952454899</v>
      </c>
      <c r="P1818">
        <v>-4.7663812460514703E-2</v>
      </c>
      <c r="Q1818">
        <v>0</v>
      </c>
      <c r="R1818">
        <v>0.98883663128994403</v>
      </c>
      <c r="S1818" t="s">
        <v>7369</v>
      </c>
      <c r="T1818" t="s">
        <v>11100</v>
      </c>
      <c r="U1818" t="s">
        <v>11100</v>
      </c>
      <c r="V1818" t="s">
        <v>11100</v>
      </c>
      <c r="W1818" t="s">
        <v>12882</v>
      </c>
      <c r="X1818">
        <v>10</v>
      </c>
      <c r="Y1818" t="s">
        <v>18365</v>
      </c>
      <c r="Z1818" t="s">
        <v>23823</v>
      </c>
      <c r="AA1818">
        <v>0.6387434966370481</v>
      </c>
      <c r="AB1818" t="str">
        <f>HYPERLINK("Melting_Curves/meltCurve_P10768_ESD.pdf", "Melting_Curves/meltCurve_P10768_ESD.pdf")</f>
        <v>Melting_Curves/meltCurve_P10768_ESD.pdf</v>
      </c>
    </row>
    <row r="1819" spans="1:28" x14ac:dyDescent="0.25">
      <c r="A1819" t="s">
        <v>1823</v>
      </c>
      <c r="B1819">
        <v>0.99299721793515405</v>
      </c>
      <c r="C1819">
        <v>0.992777052204176</v>
      </c>
      <c r="D1819">
        <v>0.98964290382652498</v>
      </c>
      <c r="E1819">
        <v>0.92669004397687904</v>
      </c>
      <c r="F1819">
        <v>0.80835670140376303</v>
      </c>
      <c r="G1819">
        <v>0.89851217225755098</v>
      </c>
      <c r="H1819">
        <v>0.60610485777241196</v>
      </c>
      <c r="I1819">
        <v>0.25366435486935901</v>
      </c>
      <c r="J1819">
        <v>0.102860146031118</v>
      </c>
      <c r="K1819">
        <v>6.9022975780818493E-2</v>
      </c>
      <c r="L1819">
        <v>1253.97036746404</v>
      </c>
      <c r="M1819">
        <v>21.5194863090898</v>
      </c>
      <c r="N1819">
        <v>58.271411647469399</v>
      </c>
      <c r="O1819">
        <v>57.775188757007797</v>
      </c>
      <c r="P1819">
        <v>-9.3119603159300096E-2</v>
      </c>
      <c r="Q1819">
        <v>0</v>
      </c>
      <c r="R1819">
        <v>0.97371513294193501</v>
      </c>
      <c r="S1819" t="s">
        <v>7370</v>
      </c>
      <c r="T1819" t="s">
        <v>11100</v>
      </c>
      <c r="U1819" t="s">
        <v>11100</v>
      </c>
      <c r="V1819" t="s">
        <v>11100</v>
      </c>
      <c r="W1819" t="s">
        <v>12883</v>
      </c>
      <c r="X1819">
        <v>71</v>
      </c>
      <c r="Y1819" t="s">
        <v>18366</v>
      </c>
      <c r="Z1819" t="s">
        <v>23824</v>
      </c>
      <c r="AA1819">
        <v>0.71534753343625934</v>
      </c>
      <c r="AB1819" t="str">
        <f>HYPERLINK("Melting_Curves/meltCurve_P10809_HSPD1.pdf", "Melting_Curves/meltCurve_P10809_HSPD1.pdf")</f>
        <v>Melting_Curves/meltCurve_P10809_HSPD1.pdf</v>
      </c>
    </row>
    <row r="1820" spans="1:28" x14ac:dyDescent="0.25">
      <c r="A1820" t="s">
        <v>1824</v>
      </c>
      <c r="B1820">
        <v>0.99299721793515405</v>
      </c>
      <c r="C1820">
        <v>1.0675954314255101</v>
      </c>
      <c r="D1820">
        <v>0.95211186994290797</v>
      </c>
      <c r="E1820">
        <v>0.90599614031457698</v>
      </c>
      <c r="F1820">
        <v>0.62055782437012297</v>
      </c>
      <c r="G1820">
        <v>0.371433977199782</v>
      </c>
      <c r="H1820">
        <v>0.34634376853878801</v>
      </c>
      <c r="I1820">
        <v>0.263536747932965</v>
      </c>
      <c r="J1820">
        <v>0.287983527288246</v>
      </c>
      <c r="K1820">
        <v>0.24540547856526801</v>
      </c>
      <c r="L1820">
        <v>1189.8871138442901</v>
      </c>
      <c r="M1820">
        <v>23.767760268073999</v>
      </c>
      <c r="N1820">
        <v>51.751331322485903</v>
      </c>
      <c r="O1820">
        <v>49.7127126673372</v>
      </c>
      <c r="P1820">
        <v>-8.72871421367728E-2</v>
      </c>
      <c r="Q1820">
        <v>0.26973189521152302</v>
      </c>
      <c r="R1820">
        <v>0.99098751652425299</v>
      </c>
      <c r="S1820" t="s">
        <v>7371</v>
      </c>
      <c r="T1820" t="s">
        <v>11100</v>
      </c>
      <c r="U1820" t="s">
        <v>11100</v>
      </c>
      <c r="V1820" t="s">
        <v>11100</v>
      </c>
      <c r="W1820" t="s">
        <v>12884</v>
      </c>
      <c r="X1820">
        <v>4</v>
      </c>
      <c r="Y1820" t="s">
        <v>18367</v>
      </c>
      <c r="Z1820" t="s">
        <v>23825</v>
      </c>
      <c r="AA1820">
        <v>0.59474759113821685</v>
      </c>
      <c r="AB1820" t="str">
        <f>HYPERLINK("Melting_Curves/meltCurve_P10909_4_CLU.pdf", "Melting_Curves/meltCurve_P10909_4_CLU.pdf")</f>
        <v>Melting_Curves/meltCurve_P10909_4_CLU.pdf</v>
      </c>
    </row>
    <row r="1821" spans="1:28" x14ac:dyDescent="0.25">
      <c r="A1821" t="s">
        <v>1825</v>
      </c>
      <c r="B1821">
        <v>0.99299721793515405</v>
      </c>
      <c r="C1821">
        <v>0.99999023004199605</v>
      </c>
      <c r="D1821">
        <v>0.91917872110645504</v>
      </c>
      <c r="E1821">
        <v>0.936244913330746</v>
      </c>
      <c r="F1821">
        <v>0.79933909242197398</v>
      </c>
      <c r="G1821">
        <v>0.72622931632838506</v>
      </c>
      <c r="H1821">
        <v>0.63760026645991996</v>
      </c>
      <c r="I1821">
        <v>0.46429689977111299</v>
      </c>
      <c r="J1821">
        <v>0.37502788194000097</v>
      </c>
      <c r="K1821">
        <v>0.27926401310195798</v>
      </c>
      <c r="L1821">
        <v>493.79301847431401</v>
      </c>
      <c r="M1821">
        <v>8.2146624737666691</v>
      </c>
      <c r="N1821">
        <v>60.111169581427802</v>
      </c>
      <c r="O1821">
        <v>56.864295265582101</v>
      </c>
      <c r="P1821">
        <v>-3.6152196805407599E-2</v>
      </c>
      <c r="Q1821">
        <v>0</v>
      </c>
      <c r="R1821">
        <v>0.99026944280706197</v>
      </c>
      <c r="S1821" t="s">
        <v>7372</v>
      </c>
      <c r="T1821" t="s">
        <v>11100</v>
      </c>
      <c r="U1821" t="s">
        <v>11100</v>
      </c>
      <c r="V1821" t="s">
        <v>11100</v>
      </c>
      <c r="W1821" t="s">
        <v>12885</v>
      </c>
      <c r="X1821">
        <v>50</v>
      </c>
      <c r="Y1821" t="s">
        <v>18368</v>
      </c>
      <c r="Z1821" t="s">
        <v>23826</v>
      </c>
      <c r="AA1821">
        <v>0.72780935203635977</v>
      </c>
      <c r="AB1821" t="str">
        <f>HYPERLINK("Melting_Curves/meltCurve_P11021_HSPA5.pdf", "Melting_Curves/meltCurve_P11021_HSPA5.pdf")</f>
        <v>Melting_Curves/meltCurve_P11021_HSPA5.pdf</v>
      </c>
    </row>
    <row r="1822" spans="1:28" x14ac:dyDescent="0.25">
      <c r="A1822" t="s">
        <v>1826</v>
      </c>
      <c r="B1822">
        <v>0.99299721793515405</v>
      </c>
      <c r="C1822">
        <v>0.969855070021586</v>
      </c>
      <c r="D1822">
        <v>0.91173284518407605</v>
      </c>
      <c r="E1822">
        <v>0.87548393100128397</v>
      </c>
      <c r="F1822">
        <v>0.70845332082991597</v>
      </c>
      <c r="G1822">
        <v>0.44695415756805501</v>
      </c>
      <c r="H1822">
        <v>0.41057287562047201</v>
      </c>
      <c r="I1822">
        <v>0.322197679317407</v>
      </c>
      <c r="J1822">
        <v>0.28473340409092701</v>
      </c>
      <c r="K1822">
        <v>0.25207157834326899</v>
      </c>
      <c r="L1822">
        <v>714.87018451880294</v>
      </c>
      <c r="M1822">
        <v>13.9086135601226</v>
      </c>
      <c r="N1822">
        <v>53.870701986406701</v>
      </c>
      <c r="O1822">
        <v>50.370128397095897</v>
      </c>
      <c r="P1822">
        <v>-5.2750459170175998E-2</v>
      </c>
      <c r="Q1822">
        <v>0.23595929329077001</v>
      </c>
      <c r="R1822">
        <v>0.99091385887580996</v>
      </c>
      <c r="S1822" t="s">
        <v>7373</v>
      </c>
      <c r="T1822" t="s">
        <v>11100</v>
      </c>
      <c r="U1822" t="s">
        <v>11100</v>
      </c>
      <c r="V1822" t="s">
        <v>11100</v>
      </c>
      <c r="W1822" t="s">
        <v>12886</v>
      </c>
      <c r="X1822">
        <v>37</v>
      </c>
      <c r="Y1822" t="s">
        <v>18369</v>
      </c>
      <c r="Z1822" t="s">
        <v>23827</v>
      </c>
      <c r="AA1822">
        <v>0.61916680283852588</v>
      </c>
      <c r="AB1822" t="str">
        <f>HYPERLINK("Melting_Curves/meltCurve_P11047_LAMC1.pdf", "Melting_Curves/meltCurve_P11047_LAMC1.pdf")</f>
        <v>Melting_Curves/meltCurve_P11047_LAMC1.pdf</v>
      </c>
    </row>
    <row r="1823" spans="1:28" x14ac:dyDescent="0.25">
      <c r="A1823" t="s">
        <v>1827</v>
      </c>
      <c r="B1823">
        <v>0.99299721793515405</v>
      </c>
      <c r="C1823">
        <v>0.993709644686955</v>
      </c>
      <c r="D1823">
        <v>0.94462971923333805</v>
      </c>
      <c r="E1823">
        <v>0.91437833394366497</v>
      </c>
      <c r="F1823">
        <v>0.79433910133808905</v>
      </c>
      <c r="G1823">
        <v>0.87215225702015198</v>
      </c>
      <c r="H1823">
        <v>0.51427452206126201</v>
      </c>
      <c r="I1823">
        <v>0.18936020126731601</v>
      </c>
      <c r="J1823">
        <v>0.10808799150736199</v>
      </c>
      <c r="K1823">
        <v>8.7637311269977106E-2</v>
      </c>
      <c r="L1823">
        <v>1118.7676638210201</v>
      </c>
      <c r="M1823">
        <v>19.4866803931242</v>
      </c>
      <c r="N1823">
        <v>57.411921529969</v>
      </c>
      <c r="O1823">
        <v>56.817559060533199</v>
      </c>
      <c r="P1823">
        <v>-8.5745426614917103E-2</v>
      </c>
      <c r="Q1823">
        <v>0</v>
      </c>
      <c r="R1823">
        <v>0.96805291757121803</v>
      </c>
      <c r="S1823" t="s">
        <v>7374</v>
      </c>
      <c r="T1823" t="s">
        <v>11100</v>
      </c>
      <c r="U1823" t="s">
        <v>11100</v>
      </c>
      <c r="V1823" t="s">
        <v>11100</v>
      </c>
      <c r="W1823" t="s">
        <v>12887</v>
      </c>
      <c r="X1823">
        <v>59</v>
      </c>
      <c r="Y1823" t="s">
        <v>18370</v>
      </c>
      <c r="Z1823" t="s">
        <v>23828</v>
      </c>
      <c r="AA1823">
        <v>0.688448338586372</v>
      </c>
      <c r="AB1823" t="str">
        <f>HYPERLINK("Melting_Curves/meltCurve_P11142_HSPA8.pdf", "Melting_Curves/meltCurve_P11142_HSPA8.pdf")</f>
        <v>Melting_Curves/meltCurve_P11142_HSPA8.pdf</v>
      </c>
    </row>
    <row r="1824" spans="1:28" x14ac:dyDescent="0.25">
      <c r="A1824" t="s">
        <v>1828</v>
      </c>
      <c r="B1824">
        <v>0.99299721793515405</v>
      </c>
      <c r="C1824">
        <v>1.0303922539420101</v>
      </c>
      <c r="D1824">
        <v>0.93153176619101696</v>
      </c>
      <c r="E1824">
        <v>0.96863856151099603</v>
      </c>
      <c r="F1824">
        <v>0.806084637531569</v>
      </c>
      <c r="G1824">
        <v>0.54257361414592598</v>
      </c>
      <c r="H1824">
        <v>0.53041692300709598</v>
      </c>
      <c r="I1824">
        <v>0.58869811077698497</v>
      </c>
      <c r="J1824">
        <v>0.61648760438134997</v>
      </c>
      <c r="K1824">
        <v>0.42333841585988502</v>
      </c>
      <c r="L1824">
        <v>2759.7348298666502</v>
      </c>
      <c r="M1824">
        <v>54.670438240582001</v>
      </c>
      <c r="O1824">
        <v>50.4120689700231</v>
      </c>
      <c r="P1824">
        <v>-0.125439139615145</v>
      </c>
      <c r="Q1824">
        <v>0.53732638771086305</v>
      </c>
      <c r="R1824">
        <v>0.93860572469164205</v>
      </c>
      <c r="S1824" t="s">
        <v>7375</v>
      </c>
      <c r="T1824" t="s">
        <v>11100</v>
      </c>
      <c r="U1824" t="s">
        <v>11100</v>
      </c>
      <c r="V1824" t="s">
        <v>11100</v>
      </c>
      <c r="W1824" t="s">
        <v>12888</v>
      </c>
      <c r="X1824">
        <v>3</v>
      </c>
      <c r="Y1824" t="s">
        <v>18371</v>
      </c>
      <c r="Z1824" t="s">
        <v>23829</v>
      </c>
      <c r="AA1824">
        <v>0.74607380317745786</v>
      </c>
      <c r="AB1824" t="str">
        <f>HYPERLINK("Melting_Curves/meltCurve_P11166_SLC2A1.pdf", "Melting_Curves/meltCurve_P11166_SLC2A1.pdf")</f>
        <v>Melting_Curves/meltCurve_P11166_SLC2A1.pdf</v>
      </c>
    </row>
    <row r="1825" spans="1:28" x14ac:dyDescent="0.25">
      <c r="A1825" t="s">
        <v>1829</v>
      </c>
      <c r="B1825">
        <v>0.99299721793515405</v>
      </c>
      <c r="C1825">
        <v>0.96041785738807794</v>
      </c>
      <c r="D1825">
        <v>0.89563356927341198</v>
      </c>
      <c r="E1825">
        <v>0.72749267258732797</v>
      </c>
      <c r="F1825">
        <v>0.65449534219099803</v>
      </c>
      <c r="G1825">
        <v>0.52664027581270001</v>
      </c>
      <c r="H1825">
        <v>0.53419234040610297</v>
      </c>
      <c r="I1825">
        <v>0.5396157107774</v>
      </c>
      <c r="J1825">
        <v>0.58931206607750097</v>
      </c>
      <c r="K1825">
        <v>0.54276346259146102</v>
      </c>
      <c r="L1825">
        <v>826.91902655885895</v>
      </c>
      <c r="M1825">
        <v>18.056502581065299</v>
      </c>
      <c r="O1825">
        <v>45.245566231558001</v>
      </c>
      <c r="P1825">
        <v>-4.5698193078865502E-2</v>
      </c>
      <c r="Q1825">
        <v>0.54198446072274198</v>
      </c>
      <c r="R1825">
        <v>0.98162176361273801</v>
      </c>
      <c r="S1825" t="s">
        <v>7376</v>
      </c>
      <c r="T1825" t="s">
        <v>11100</v>
      </c>
      <c r="U1825" t="s">
        <v>11100</v>
      </c>
      <c r="V1825" t="s">
        <v>11100</v>
      </c>
      <c r="W1825" t="s">
        <v>12889</v>
      </c>
      <c r="X1825">
        <v>2</v>
      </c>
      <c r="Y1825" t="s">
        <v>18372</v>
      </c>
      <c r="Z1825" t="s">
        <v>23830</v>
      </c>
      <c r="AA1825">
        <v>0.68364890459381789</v>
      </c>
      <c r="AB1825" t="str">
        <f>HYPERLINK("Melting_Curves/meltCurve_P11169_SLC2A3.pdf", "Melting_Curves/meltCurve_P11169_SLC2A3.pdf")</f>
        <v>Melting_Curves/meltCurve_P11169_SLC2A3.pdf</v>
      </c>
    </row>
    <row r="1826" spans="1:28" x14ac:dyDescent="0.25">
      <c r="A1826" t="s">
        <v>1830</v>
      </c>
      <c r="B1826">
        <v>0.99299721793515405</v>
      </c>
      <c r="C1826">
        <v>0.95668707741176695</v>
      </c>
      <c r="D1826">
        <v>0.912023561750683</v>
      </c>
      <c r="E1826">
        <v>0.84736671556737397</v>
      </c>
      <c r="F1826">
        <v>0.71445324897510498</v>
      </c>
      <c r="G1826">
        <v>0.41709140240394099</v>
      </c>
      <c r="H1826">
        <v>0.21142406732980401</v>
      </c>
      <c r="I1826">
        <v>0.17234156871430401</v>
      </c>
      <c r="J1826">
        <v>0.15253904859419501</v>
      </c>
      <c r="K1826">
        <v>0.12053498569397</v>
      </c>
      <c r="L1826">
        <v>818.86832283280296</v>
      </c>
      <c r="M1826">
        <v>15.7725158404544</v>
      </c>
      <c r="N1826">
        <v>52.577903360629001</v>
      </c>
      <c r="O1826">
        <v>51.104346047197097</v>
      </c>
      <c r="P1826">
        <v>-7.0230013061745006E-2</v>
      </c>
      <c r="Q1826">
        <v>8.9869750445756402E-2</v>
      </c>
      <c r="R1826">
        <v>0.99213381478473395</v>
      </c>
      <c r="S1826" t="s">
        <v>7377</v>
      </c>
      <c r="T1826" t="s">
        <v>11100</v>
      </c>
      <c r="U1826" t="s">
        <v>11100</v>
      </c>
      <c r="V1826" t="s">
        <v>11100</v>
      </c>
      <c r="W1826" t="s">
        <v>12890</v>
      </c>
      <c r="X1826">
        <v>29</v>
      </c>
      <c r="Y1826" t="s">
        <v>18373</v>
      </c>
      <c r="Z1826" t="s">
        <v>23831</v>
      </c>
      <c r="AA1826">
        <v>0.55890209195877349</v>
      </c>
      <c r="AB1826" t="str">
        <f>HYPERLINK("Melting_Curves/meltCurve_P11171_EPB41.pdf", "Melting_Curves/meltCurve_P11171_EPB41.pdf")</f>
        <v>Melting_Curves/meltCurve_P11171_EPB41.pdf</v>
      </c>
    </row>
    <row r="1827" spans="1:28" x14ac:dyDescent="0.25">
      <c r="A1827" t="s">
        <v>1831</v>
      </c>
      <c r="B1827">
        <v>0.99299721793515405</v>
      </c>
      <c r="C1827">
        <v>0.89117190930367596</v>
      </c>
      <c r="D1827">
        <v>0.84726428940750897</v>
      </c>
      <c r="E1827">
        <v>0.80919268185730697</v>
      </c>
      <c r="F1827">
        <v>0.69597778902554297</v>
      </c>
      <c r="G1827">
        <v>0.39035433959466798</v>
      </c>
      <c r="H1827">
        <v>0.25358821978792301</v>
      </c>
      <c r="I1827">
        <v>0.25109867657908502</v>
      </c>
      <c r="J1827">
        <v>0.178014510229622</v>
      </c>
      <c r="K1827">
        <v>6.8729563630759702E-2</v>
      </c>
      <c r="L1827">
        <v>516.83294978616902</v>
      </c>
      <c r="M1827">
        <v>9.8262505493211894</v>
      </c>
      <c r="N1827">
        <v>52.597167878355698</v>
      </c>
      <c r="O1827">
        <v>50.557640463557597</v>
      </c>
      <c r="P1827">
        <v>-4.8614619763854901E-2</v>
      </c>
      <c r="Q1827">
        <v>0</v>
      </c>
      <c r="R1827">
        <v>0.97643367144087601</v>
      </c>
      <c r="S1827" t="s">
        <v>7378</v>
      </c>
      <c r="T1827" t="s">
        <v>11100</v>
      </c>
      <c r="U1827" t="s">
        <v>11100</v>
      </c>
      <c r="V1827" t="s">
        <v>11100</v>
      </c>
      <c r="W1827" t="s">
        <v>12891</v>
      </c>
      <c r="X1827">
        <v>26</v>
      </c>
      <c r="Y1827" t="s">
        <v>18373</v>
      </c>
      <c r="Z1827" t="s">
        <v>23832</v>
      </c>
      <c r="AA1827">
        <v>0.54419395040700957</v>
      </c>
      <c r="AB1827" t="str">
        <f>HYPERLINK("Melting_Curves/meltCurve_P11171_4_EPB41.pdf", "Melting_Curves/meltCurve_P11171_4_EPB41.pdf")</f>
        <v>Melting_Curves/meltCurve_P11171_4_EPB41.pdf</v>
      </c>
    </row>
    <row r="1828" spans="1:28" x14ac:dyDescent="0.25">
      <c r="A1828" t="s">
        <v>1832</v>
      </c>
      <c r="B1828">
        <v>0.99299721793515405</v>
      </c>
      <c r="C1828">
        <v>1.0296419817323399</v>
      </c>
      <c r="D1828">
        <v>0.99810557345465001</v>
      </c>
      <c r="E1828">
        <v>0.91419477607594801</v>
      </c>
      <c r="F1828">
        <v>0.74145779551156199</v>
      </c>
      <c r="G1828">
        <v>0.568434236709638</v>
      </c>
      <c r="H1828">
        <v>0.37272287203038301</v>
      </c>
      <c r="I1828">
        <v>0.24448576653554299</v>
      </c>
      <c r="J1828">
        <v>0.15982367247214299</v>
      </c>
      <c r="K1828">
        <v>0.132604968593734</v>
      </c>
      <c r="L1828">
        <v>728.61919097595103</v>
      </c>
      <c r="M1828">
        <v>13.418677506014101</v>
      </c>
      <c r="N1828">
        <v>54.849708528503001</v>
      </c>
      <c r="O1828">
        <v>53.135482361615999</v>
      </c>
      <c r="P1828">
        <v>-5.9163693941968E-2</v>
      </c>
      <c r="Q1828">
        <v>6.3037059073099602E-2</v>
      </c>
      <c r="R1828">
        <v>0.99764162063386097</v>
      </c>
      <c r="S1828" t="s">
        <v>7379</v>
      </c>
      <c r="T1828" t="s">
        <v>11100</v>
      </c>
      <c r="U1828" t="s">
        <v>11100</v>
      </c>
      <c r="V1828" t="s">
        <v>11100</v>
      </c>
      <c r="W1828" t="s">
        <v>12892</v>
      </c>
      <c r="X1828">
        <v>28</v>
      </c>
      <c r="Y1828" t="s">
        <v>18374</v>
      </c>
      <c r="Z1828" t="s">
        <v>23833</v>
      </c>
      <c r="AA1828">
        <v>0.61878095211468864</v>
      </c>
      <c r="AB1828" t="str">
        <f>HYPERLINK("Melting_Curves/meltCurve_P11172_UMPS.pdf", "Melting_Curves/meltCurve_P11172_UMPS.pdf")</f>
        <v>Melting_Curves/meltCurve_P11172_UMPS.pdf</v>
      </c>
    </row>
    <row r="1829" spans="1:28" x14ac:dyDescent="0.25">
      <c r="A1829" t="s">
        <v>1833</v>
      </c>
      <c r="B1829">
        <v>0.99299721793515405</v>
      </c>
      <c r="C1829">
        <v>1.0503386614421</v>
      </c>
      <c r="D1829">
        <v>0.90100474040085099</v>
      </c>
      <c r="E1829">
        <v>0.92287836811567403</v>
      </c>
      <c r="F1829">
        <v>0.765938466791938</v>
      </c>
      <c r="G1829">
        <v>0.40873415260101398</v>
      </c>
      <c r="H1829">
        <v>0.27202633757857703</v>
      </c>
      <c r="I1829">
        <v>0.151814506891918</v>
      </c>
      <c r="J1829">
        <v>0.12810060784352101</v>
      </c>
      <c r="K1829">
        <v>0.10070718076779001</v>
      </c>
      <c r="L1829">
        <v>991.96225522211796</v>
      </c>
      <c r="M1829">
        <v>18.888561032849399</v>
      </c>
      <c r="N1829">
        <v>53.104547028750403</v>
      </c>
      <c r="O1829">
        <v>51.938545354711202</v>
      </c>
      <c r="P1829">
        <v>-8.2342315905952104E-2</v>
      </c>
      <c r="Q1829">
        <v>9.4358652995157194E-2</v>
      </c>
      <c r="R1829">
        <v>0.99030020008113395</v>
      </c>
      <c r="S1829" t="s">
        <v>7380</v>
      </c>
      <c r="T1829" t="s">
        <v>11100</v>
      </c>
      <c r="U1829" t="s">
        <v>11100</v>
      </c>
      <c r="V1829" t="s">
        <v>11100</v>
      </c>
      <c r="W1829" t="s">
        <v>12893</v>
      </c>
      <c r="X1829">
        <v>9</v>
      </c>
      <c r="Y1829" t="s">
        <v>18375</v>
      </c>
      <c r="Z1829" t="s">
        <v>23834</v>
      </c>
      <c r="AA1829">
        <v>0.57534938378405587</v>
      </c>
      <c r="AB1829" t="str">
        <f>HYPERLINK("Melting_Curves/meltCurve_P11177_2_PDHB.pdf", "Melting_Curves/meltCurve_P11177_2_PDHB.pdf")</f>
        <v>Melting_Curves/meltCurve_P11177_2_PDHB.pdf</v>
      </c>
    </row>
    <row r="1830" spans="1:28" x14ac:dyDescent="0.25">
      <c r="A1830" t="s">
        <v>1834</v>
      </c>
      <c r="B1830">
        <v>0.99299721793515405</v>
      </c>
      <c r="C1830">
        <v>0.94418188390616198</v>
      </c>
      <c r="D1830">
        <v>0.91570157443715805</v>
      </c>
      <c r="E1830">
        <v>0.83734780900674899</v>
      </c>
      <c r="F1830">
        <v>0.73953952956563695</v>
      </c>
      <c r="G1830">
        <v>0.625018835134168</v>
      </c>
      <c r="H1830">
        <v>0.55092760404568697</v>
      </c>
      <c r="I1830">
        <v>0.34412779300055502</v>
      </c>
      <c r="J1830">
        <v>0.14159252965249899</v>
      </c>
      <c r="K1830">
        <v>0.102053164747174</v>
      </c>
      <c r="L1830">
        <v>560.38880095682896</v>
      </c>
      <c r="M1830">
        <v>9.9724519471485493</v>
      </c>
      <c r="N1830">
        <v>56.193663881368103</v>
      </c>
      <c r="O1830">
        <v>54.074201647740502</v>
      </c>
      <c r="P1830">
        <v>-4.61280679824198E-2</v>
      </c>
      <c r="Q1830">
        <v>0</v>
      </c>
      <c r="R1830">
        <v>0.96970194565101298</v>
      </c>
      <c r="S1830" t="s">
        <v>7381</v>
      </c>
      <c r="T1830" t="s">
        <v>11100</v>
      </c>
      <c r="U1830" t="s">
        <v>11100</v>
      </c>
      <c r="V1830" t="s">
        <v>11100</v>
      </c>
      <c r="W1830" t="s">
        <v>12894</v>
      </c>
      <c r="X1830">
        <v>22</v>
      </c>
      <c r="Y1830" t="s">
        <v>18376</v>
      </c>
      <c r="Z1830" t="s">
        <v>23835</v>
      </c>
      <c r="AA1830">
        <v>0.64449182905512636</v>
      </c>
      <c r="AB1830" t="str">
        <f>HYPERLINK("Melting_Curves/meltCurve_P11216_PYGB.pdf", "Melting_Curves/meltCurve_P11216_PYGB.pdf")</f>
        <v>Melting_Curves/meltCurve_P11216_PYGB.pdf</v>
      </c>
    </row>
    <row r="1831" spans="1:28" x14ac:dyDescent="0.25">
      <c r="A1831" t="s">
        <v>1835</v>
      </c>
      <c r="B1831">
        <v>0.99299721793515405</v>
      </c>
      <c r="C1831">
        <v>1.0176925435408599</v>
      </c>
      <c r="D1831">
        <v>0.92042967341221604</v>
      </c>
      <c r="E1831">
        <v>0.87896762415668395</v>
      </c>
      <c r="F1831">
        <v>0.78668222417897005</v>
      </c>
      <c r="G1831">
        <v>0.59599743608665101</v>
      </c>
      <c r="H1831">
        <v>0.64258306824510503</v>
      </c>
      <c r="I1831">
        <v>0.68806382989753601</v>
      </c>
      <c r="J1831">
        <v>0.60472670979861998</v>
      </c>
      <c r="K1831">
        <v>0.33723445978906902</v>
      </c>
      <c r="L1831">
        <v>312.089320099242</v>
      </c>
      <c r="M1831">
        <v>4.8338606155157304</v>
      </c>
      <c r="N1831">
        <v>64.563167735253998</v>
      </c>
      <c r="O1831">
        <v>55.8949818899859</v>
      </c>
      <c r="P1831">
        <v>-2.1768950776804501E-2</v>
      </c>
      <c r="Q1831">
        <v>0</v>
      </c>
      <c r="R1831">
        <v>0.85584263364461999</v>
      </c>
      <c r="S1831" t="s">
        <v>7382</v>
      </c>
      <c r="T1831" t="s">
        <v>11100</v>
      </c>
      <c r="U1831" t="s">
        <v>11100</v>
      </c>
      <c r="V1831" t="s">
        <v>11100</v>
      </c>
      <c r="W1831" t="s">
        <v>12895</v>
      </c>
      <c r="X1831">
        <v>11</v>
      </c>
      <c r="Y1831" t="s">
        <v>18377</v>
      </c>
      <c r="Z1831" t="s">
        <v>23836</v>
      </c>
      <c r="AA1831">
        <v>0.74612242359972891</v>
      </c>
      <c r="AB1831" t="str">
        <f>HYPERLINK("Melting_Curves/meltCurve_P11233_RALA.pdf", "Melting_Curves/meltCurve_P11233_RALA.pdf")</f>
        <v>Melting_Curves/meltCurve_P11233_RALA.pdf</v>
      </c>
    </row>
    <row r="1832" spans="1:28" x14ac:dyDescent="0.25">
      <c r="A1832" t="s">
        <v>1836</v>
      </c>
      <c r="B1832">
        <v>0.99299721793515405</v>
      </c>
      <c r="C1832">
        <v>0.88734098454176003</v>
      </c>
      <c r="D1832">
        <v>1.14322292493042</v>
      </c>
      <c r="E1832">
        <v>0.87693386060161205</v>
      </c>
      <c r="F1832">
        <v>0.78327149015589703</v>
      </c>
      <c r="G1832">
        <v>0.66647550159992996</v>
      </c>
      <c r="H1832">
        <v>0.48463929979949399</v>
      </c>
      <c r="I1832">
        <v>0.44887984885137999</v>
      </c>
      <c r="J1832">
        <v>0.339825779227026</v>
      </c>
      <c r="K1832">
        <v>0.22488908489258999</v>
      </c>
      <c r="L1832">
        <v>586.91356734240003</v>
      </c>
      <c r="M1832">
        <v>10.4325288609758</v>
      </c>
      <c r="N1832">
        <v>57.877993327093598</v>
      </c>
      <c r="O1832">
        <v>54.308775611979499</v>
      </c>
      <c r="P1832">
        <v>-4.1960902713632002E-2</v>
      </c>
      <c r="Q1832">
        <v>0.12661514840072799</v>
      </c>
      <c r="R1832">
        <v>0.93999233092809797</v>
      </c>
      <c r="S1832" t="s">
        <v>7383</v>
      </c>
      <c r="T1832" t="s">
        <v>11100</v>
      </c>
      <c r="U1832" t="s">
        <v>11100</v>
      </c>
      <c r="V1832" t="s">
        <v>11100</v>
      </c>
      <c r="W1832" t="s">
        <v>12896</v>
      </c>
      <c r="X1832">
        <v>11</v>
      </c>
      <c r="Y1832" t="s">
        <v>18378</v>
      </c>
      <c r="Z1832" t="s">
        <v>23837</v>
      </c>
      <c r="AA1832">
        <v>0.69210753840216421</v>
      </c>
      <c r="AB1832" t="str">
        <f>HYPERLINK("Melting_Curves/meltCurve_P11234_RALB.pdf", "Melting_Curves/meltCurve_P11234_RALB.pdf")</f>
        <v>Melting_Curves/meltCurve_P11234_RALB.pdf</v>
      </c>
    </row>
    <row r="1833" spans="1:28" x14ac:dyDescent="0.25">
      <c r="A1833" t="s">
        <v>1837</v>
      </c>
      <c r="B1833">
        <v>0.99299721793515405</v>
      </c>
      <c r="C1833">
        <v>1.10959650343245</v>
      </c>
      <c r="D1833">
        <v>1.10075325596155</v>
      </c>
      <c r="E1833">
        <v>0.99532549130745096</v>
      </c>
      <c r="F1833">
        <v>0.57471571733383198</v>
      </c>
      <c r="G1833">
        <v>0.21980852864880901</v>
      </c>
      <c r="H1833">
        <v>0.21927300494029101</v>
      </c>
      <c r="I1833">
        <v>0.19373296860976799</v>
      </c>
      <c r="J1833">
        <v>0.18398886963101799</v>
      </c>
      <c r="K1833">
        <v>0.13752929108266099</v>
      </c>
      <c r="L1833">
        <v>2520.9596152939398</v>
      </c>
      <c r="M1833">
        <v>50.293645129323203</v>
      </c>
      <c r="N1833">
        <v>50.590246840347902</v>
      </c>
      <c r="O1833">
        <v>50.045757849184298</v>
      </c>
      <c r="P1833">
        <v>-0.20470678061535599</v>
      </c>
      <c r="Q1833">
        <v>0.18520941044960201</v>
      </c>
      <c r="R1833">
        <v>0.98434239952192404</v>
      </c>
      <c r="S1833" t="s">
        <v>7384</v>
      </c>
      <c r="T1833" t="s">
        <v>11100</v>
      </c>
      <c r="U1833" t="s">
        <v>11100</v>
      </c>
      <c r="V1833" t="s">
        <v>11100</v>
      </c>
      <c r="W1833" t="s">
        <v>12897</v>
      </c>
      <c r="X1833">
        <v>7</v>
      </c>
      <c r="Y1833" t="s">
        <v>18379</v>
      </c>
      <c r="Z1833" t="s">
        <v>23838</v>
      </c>
      <c r="AA1833">
        <v>0.54345551739319198</v>
      </c>
      <c r="AB1833" t="str">
        <f>HYPERLINK("Melting_Curves/meltCurve_P11274_2_BCR.pdf", "Melting_Curves/meltCurve_P11274_2_BCR.pdf")</f>
        <v>Melting_Curves/meltCurve_P11274_2_BCR.pdf</v>
      </c>
    </row>
    <row r="1834" spans="1:28" x14ac:dyDescent="0.25">
      <c r="A1834" t="s">
        <v>1838</v>
      </c>
      <c r="B1834">
        <v>0.99299721793515405</v>
      </c>
      <c r="C1834">
        <v>0.91448931886530405</v>
      </c>
      <c r="D1834">
        <v>1.0864960404364601</v>
      </c>
      <c r="E1834">
        <v>0.70182854110525805</v>
      </c>
      <c r="F1834">
        <v>0.61668948337340701</v>
      </c>
      <c r="G1834">
        <v>0.43047189693615101</v>
      </c>
      <c r="H1834">
        <v>0.55061301694604103</v>
      </c>
      <c r="I1834">
        <v>0.702469855738173</v>
      </c>
      <c r="J1834">
        <v>1.5619880757472999</v>
      </c>
      <c r="K1834">
        <v>2.2340855227260099</v>
      </c>
      <c r="L1834">
        <v>15000</v>
      </c>
      <c r="M1834">
        <v>239.188052444899</v>
      </c>
      <c r="O1834">
        <v>62.707778329940801</v>
      </c>
      <c r="P1834">
        <v>0.476791036159745</v>
      </c>
      <c r="Q1834">
        <v>1.5</v>
      </c>
      <c r="R1834">
        <v>0.47816366210787598</v>
      </c>
      <c r="S1834" t="s">
        <v>7385</v>
      </c>
      <c r="T1834" t="s">
        <v>11100</v>
      </c>
      <c r="U1834" t="s">
        <v>11100</v>
      </c>
      <c r="V1834" t="s">
        <v>11100</v>
      </c>
      <c r="W1834" t="s">
        <v>12898</v>
      </c>
      <c r="X1834">
        <v>5</v>
      </c>
      <c r="Y1834" t="s">
        <v>18380</v>
      </c>
      <c r="Z1834" t="s">
        <v>23839</v>
      </c>
      <c r="AA1834">
        <v>1.0714038423061649</v>
      </c>
      <c r="AB1834" t="str">
        <f>HYPERLINK("Melting_Curves/meltCurve_P11279_LAMP1.pdf", "Melting_Curves/meltCurve_P11279_LAMP1.pdf")</f>
        <v>Melting_Curves/meltCurve_P11279_LAMP1.pdf</v>
      </c>
    </row>
    <row r="1835" spans="1:28" x14ac:dyDescent="0.25">
      <c r="A1835" t="s">
        <v>1839</v>
      </c>
      <c r="B1835">
        <v>0.99299721793515405</v>
      </c>
      <c r="C1835">
        <v>0.89296791001000997</v>
      </c>
      <c r="D1835">
        <v>0.79275604117340104</v>
      </c>
      <c r="E1835">
        <v>0.88744247468165205</v>
      </c>
      <c r="F1835">
        <v>0.59802430572340703</v>
      </c>
      <c r="G1835">
        <v>0.34033241299407702</v>
      </c>
      <c r="H1835">
        <v>0.35621079439736802</v>
      </c>
      <c r="I1835">
        <v>0.347657237473043</v>
      </c>
      <c r="J1835">
        <v>0.25550550454250398</v>
      </c>
      <c r="K1835">
        <v>0.24804832810098801</v>
      </c>
      <c r="L1835">
        <v>582.69236502174795</v>
      </c>
      <c r="M1835">
        <v>11.706281559661599</v>
      </c>
      <c r="N1835">
        <v>52.239405366362298</v>
      </c>
      <c r="O1835">
        <v>48.390054404691199</v>
      </c>
      <c r="P1835">
        <v>-4.7663505898880999E-2</v>
      </c>
      <c r="Q1835">
        <v>0.212105639869164</v>
      </c>
      <c r="R1835">
        <v>0.94185847696529601</v>
      </c>
      <c r="S1835" t="s">
        <v>7386</v>
      </c>
      <c r="T1835" t="s">
        <v>11100</v>
      </c>
      <c r="U1835" t="s">
        <v>11100</v>
      </c>
      <c r="V1835" t="s">
        <v>11100</v>
      </c>
      <c r="W1835" t="s">
        <v>12899</v>
      </c>
      <c r="X1835">
        <v>2</v>
      </c>
      <c r="Y1835" t="s">
        <v>18381</v>
      </c>
      <c r="Z1835" t="s">
        <v>23840</v>
      </c>
      <c r="AA1835">
        <v>0.57068755969028895</v>
      </c>
      <c r="AB1835" t="str">
        <f>HYPERLINK("Melting_Curves/meltCurve_P11387_TOP1.pdf", "Melting_Curves/meltCurve_P11387_TOP1.pdf")</f>
        <v>Melting_Curves/meltCurve_P11387_TOP1.pdf</v>
      </c>
    </row>
    <row r="1836" spans="1:28" x14ac:dyDescent="0.25">
      <c r="A1836" t="s">
        <v>1840</v>
      </c>
      <c r="B1836">
        <v>0.99299721793515405</v>
      </c>
      <c r="C1836">
        <v>0.99784850984549001</v>
      </c>
      <c r="D1836">
        <v>0.96625796086234494</v>
      </c>
      <c r="E1836">
        <v>0.886335320967227</v>
      </c>
      <c r="F1836">
        <v>0.74200836045613705</v>
      </c>
      <c r="G1836">
        <v>0.644334322244553</v>
      </c>
      <c r="H1836">
        <v>0.39344758485729298</v>
      </c>
      <c r="I1836">
        <v>0.174210228944332</v>
      </c>
      <c r="J1836">
        <v>0.15387281634247399</v>
      </c>
      <c r="K1836">
        <v>0.121289343544725</v>
      </c>
      <c r="L1836">
        <v>688.37979628236906</v>
      </c>
      <c r="M1836">
        <v>12.461889579756001</v>
      </c>
      <c r="N1836">
        <v>55.238797658291901</v>
      </c>
      <c r="O1836">
        <v>53.874229879526297</v>
      </c>
      <c r="P1836">
        <v>-5.7840661612074802E-2</v>
      </c>
      <c r="Q1836">
        <v>0</v>
      </c>
      <c r="R1836">
        <v>0.99170288815948704</v>
      </c>
      <c r="S1836" t="s">
        <v>7387</v>
      </c>
      <c r="T1836" t="s">
        <v>11100</v>
      </c>
      <c r="U1836" t="s">
        <v>11100</v>
      </c>
      <c r="V1836" t="s">
        <v>11100</v>
      </c>
      <c r="W1836" t="s">
        <v>12900</v>
      </c>
      <c r="X1836">
        <v>23</v>
      </c>
      <c r="Y1836" t="s">
        <v>18382</v>
      </c>
      <c r="Z1836" t="s">
        <v>23841</v>
      </c>
      <c r="AA1836">
        <v>0.62140064584011634</v>
      </c>
      <c r="AB1836" t="str">
        <f>HYPERLINK("Melting_Curves/meltCurve_P11413_G6PD.pdf", "Melting_Curves/meltCurve_P11413_G6PD.pdf")</f>
        <v>Melting_Curves/meltCurve_P11413_G6PD.pdf</v>
      </c>
    </row>
    <row r="1837" spans="1:28" x14ac:dyDescent="0.25">
      <c r="A1837" t="s">
        <v>1841</v>
      </c>
      <c r="B1837">
        <v>0.99299721793515405</v>
      </c>
      <c r="C1837">
        <v>1.05558922095494</v>
      </c>
      <c r="D1837">
        <v>0.92442784641755904</v>
      </c>
      <c r="E1837">
        <v>0.89082063767201103</v>
      </c>
      <c r="F1837">
        <v>0.70442728956474299</v>
      </c>
      <c r="G1837">
        <v>0.562230558047216</v>
      </c>
      <c r="H1837">
        <v>0.4210636199651</v>
      </c>
      <c r="I1837">
        <v>0.39469577590134802</v>
      </c>
      <c r="J1837">
        <v>0.403654271819259</v>
      </c>
      <c r="K1837">
        <v>0.35271284139120002</v>
      </c>
      <c r="L1837">
        <v>810.29207907376201</v>
      </c>
      <c r="M1837">
        <v>15.923153598613199</v>
      </c>
      <c r="N1837">
        <v>55.131653761305103</v>
      </c>
      <c r="O1837">
        <v>50.105336525788999</v>
      </c>
      <c r="P1837">
        <v>-5.1388830411055998E-2</v>
      </c>
      <c r="Q1837">
        <v>0.35323137855772202</v>
      </c>
      <c r="R1837">
        <v>0.98860466154889304</v>
      </c>
      <c r="S1837" t="s">
        <v>7388</v>
      </c>
      <c r="T1837" t="s">
        <v>11100</v>
      </c>
      <c r="U1837" t="s">
        <v>11100</v>
      </c>
      <c r="V1837" t="s">
        <v>11100</v>
      </c>
      <c r="W1837" t="s">
        <v>12901</v>
      </c>
      <c r="X1837">
        <v>11</v>
      </c>
      <c r="Y1837" t="s">
        <v>18383</v>
      </c>
      <c r="Z1837" t="s">
        <v>23842</v>
      </c>
      <c r="AA1837">
        <v>0.66469306763343183</v>
      </c>
      <c r="AB1837" t="str">
        <f>HYPERLINK("Melting_Curves/meltCurve_P11441_UBL4A.pdf", "Melting_Curves/meltCurve_P11441_UBL4A.pdf")</f>
        <v>Melting_Curves/meltCurve_P11441_UBL4A.pdf</v>
      </c>
    </row>
    <row r="1838" spans="1:28" x14ac:dyDescent="0.25">
      <c r="A1838" t="s">
        <v>1842</v>
      </c>
      <c r="B1838">
        <v>0.99299721793515405</v>
      </c>
      <c r="C1838">
        <v>0.95294975361050904</v>
      </c>
      <c r="D1838">
        <v>0.89043739431638702</v>
      </c>
      <c r="E1838">
        <v>0.84907595064371399</v>
      </c>
      <c r="F1838">
        <v>0.70259437683206805</v>
      </c>
      <c r="G1838">
        <v>0.41036900005218901</v>
      </c>
      <c r="H1838">
        <v>0.198410056621415</v>
      </c>
      <c r="I1838">
        <v>0.178562470497344</v>
      </c>
      <c r="J1838">
        <v>0.16482472398195999</v>
      </c>
      <c r="K1838">
        <v>0.14424458090942499</v>
      </c>
      <c r="L1838">
        <v>831.10608685032696</v>
      </c>
      <c r="M1838">
        <v>16.1099832268482</v>
      </c>
      <c r="N1838">
        <v>52.385480546759602</v>
      </c>
      <c r="O1838">
        <v>50.8142376883468</v>
      </c>
      <c r="P1838">
        <v>-7.0659822191015006E-2</v>
      </c>
      <c r="Q1838">
        <v>0.108565132095509</v>
      </c>
      <c r="R1838">
        <v>0.98833917263305504</v>
      </c>
      <c r="S1838" t="s">
        <v>7389</v>
      </c>
      <c r="T1838" t="s">
        <v>11100</v>
      </c>
      <c r="U1838" t="s">
        <v>11100</v>
      </c>
      <c r="V1838" t="s">
        <v>11100</v>
      </c>
      <c r="W1838" t="s">
        <v>12902</v>
      </c>
      <c r="X1838">
        <v>20</v>
      </c>
      <c r="Y1838" t="s">
        <v>18384</v>
      </c>
      <c r="Z1838" t="s">
        <v>23843</v>
      </c>
      <c r="AA1838">
        <v>0.55802023494184039</v>
      </c>
      <c r="AB1838" t="str">
        <f>HYPERLINK("Melting_Curves/meltCurve_P11498_PC.pdf", "Melting_Curves/meltCurve_P11498_PC.pdf")</f>
        <v>Melting_Curves/meltCurve_P11498_PC.pdf</v>
      </c>
    </row>
    <row r="1839" spans="1:28" x14ac:dyDescent="0.25">
      <c r="A1839" t="s">
        <v>1843</v>
      </c>
      <c r="B1839">
        <v>0.99299721793515405</v>
      </c>
      <c r="C1839">
        <v>0.98812540612452304</v>
      </c>
      <c r="D1839">
        <v>0.94770822648481301</v>
      </c>
      <c r="E1839">
        <v>0.86809433436904604</v>
      </c>
      <c r="F1839">
        <v>0.734253393448006</v>
      </c>
      <c r="G1839">
        <v>0.35470332659939802</v>
      </c>
      <c r="H1839">
        <v>0.14059918491017001</v>
      </c>
      <c r="I1839">
        <v>0.12436333457823399</v>
      </c>
      <c r="J1839">
        <v>0.105509037583652</v>
      </c>
      <c r="K1839">
        <v>8.1317144193263802E-2</v>
      </c>
      <c r="L1839">
        <v>1118.62996232247</v>
      </c>
      <c r="M1839">
        <v>21.5860462737555</v>
      </c>
      <c r="N1839">
        <v>52.2159662695815</v>
      </c>
      <c r="O1839">
        <v>51.383299313451801</v>
      </c>
      <c r="P1839">
        <v>-9.7132881992979703E-2</v>
      </c>
      <c r="Q1839">
        <v>7.5164063211605306E-2</v>
      </c>
      <c r="R1839">
        <v>0.99421469334408896</v>
      </c>
      <c r="S1839" t="s">
        <v>7390</v>
      </c>
      <c r="T1839" t="s">
        <v>11100</v>
      </c>
      <c r="U1839" t="s">
        <v>11100</v>
      </c>
      <c r="V1839" t="s">
        <v>11100</v>
      </c>
      <c r="W1839" t="s">
        <v>12903</v>
      </c>
      <c r="X1839">
        <v>61</v>
      </c>
      <c r="Y1839" t="s">
        <v>18385</v>
      </c>
      <c r="Z1839" t="s">
        <v>23844</v>
      </c>
      <c r="AA1839">
        <v>0.54267234214781768</v>
      </c>
      <c r="AB1839" t="str">
        <f>HYPERLINK("Melting_Curves/meltCurve_P11586_MTHFD1.pdf", "Melting_Curves/meltCurve_P11586_MTHFD1.pdf")</f>
        <v>Melting_Curves/meltCurve_P11586_MTHFD1.pdf</v>
      </c>
    </row>
    <row r="1840" spans="1:28" x14ac:dyDescent="0.25">
      <c r="A1840" t="s">
        <v>1844</v>
      </c>
      <c r="B1840">
        <v>0.99299721793515405</v>
      </c>
      <c r="C1840">
        <v>0.88332876809384198</v>
      </c>
      <c r="D1840">
        <v>0.82414613211122401</v>
      </c>
      <c r="E1840">
        <v>0.75951915171758599</v>
      </c>
      <c r="F1840">
        <v>0.75665413652532898</v>
      </c>
      <c r="G1840">
        <v>0.923725099650064</v>
      </c>
      <c r="H1840">
        <v>1.3862358147899201</v>
      </c>
      <c r="I1840">
        <v>1.04790700161951</v>
      </c>
      <c r="J1840">
        <v>0.88238020616977697</v>
      </c>
      <c r="K1840">
        <v>0.79622100508833604</v>
      </c>
      <c r="L1840">
        <v>1.0064385618114199E-5</v>
      </c>
      <c r="M1840">
        <v>15.079740796735599</v>
      </c>
      <c r="Q1840">
        <v>0.92531143227497403</v>
      </c>
      <c r="R1840">
        <v>-1.5543122344752199E-15</v>
      </c>
      <c r="S1840" t="s">
        <v>7391</v>
      </c>
      <c r="T1840" t="s">
        <v>11100</v>
      </c>
      <c r="U1840" t="s">
        <v>11100</v>
      </c>
      <c r="V1840" t="s">
        <v>11100</v>
      </c>
      <c r="W1840" t="s">
        <v>12904</v>
      </c>
      <c r="X1840">
        <v>29</v>
      </c>
      <c r="Y1840" t="s">
        <v>18386</v>
      </c>
      <c r="Z1840" t="s">
        <v>23845</v>
      </c>
      <c r="AA1840">
        <v>0.92531145337125387</v>
      </c>
      <c r="AB1840" t="str">
        <f>HYPERLINK("Melting_Curves/meltCurve_P11717_IGF2R.pdf", "Melting_Curves/meltCurve_P11717_IGF2R.pdf")</f>
        <v>Melting_Curves/meltCurve_P11717_IGF2R.pdf</v>
      </c>
    </row>
    <row r="1841" spans="1:28" x14ac:dyDescent="0.25">
      <c r="A1841" t="s">
        <v>1845</v>
      </c>
      <c r="B1841">
        <v>0.99299721793515405</v>
      </c>
      <c r="C1841">
        <v>0.99563283418162596</v>
      </c>
      <c r="D1841">
        <v>1.02239916034696</v>
      </c>
      <c r="E1841">
        <v>0.88681718459405801</v>
      </c>
      <c r="F1841">
        <v>0.74226857541108104</v>
      </c>
      <c r="G1841">
        <v>0.65968465508409402</v>
      </c>
      <c r="H1841">
        <v>0.53572749247082097</v>
      </c>
      <c r="I1841">
        <v>0.49192054867627999</v>
      </c>
      <c r="J1841">
        <v>0.25762227196943999</v>
      </c>
      <c r="K1841">
        <v>0.15536604899352799</v>
      </c>
      <c r="L1841">
        <v>530.90257582399499</v>
      </c>
      <c r="M1841">
        <v>9.1693148673475395</v>
      </c>
      <c r="N1841">
        <v>57.899898905851202</v>
      </c>
      <c r="O1841">
        <v>55.345522884205302</v>
      </c>
      <c r="P1841">
        <v>-4.1446531685609703E-2</v>
      </c>
      <c r="Q1841">
        <v>0</v>
      </c>
      <c r="R1841">
        <v>0.97083100646473197</v>
      </c>
      <c r="S1841" t="s">
        <v>7392</v>
      </c>
      <c r="T1841" t="s">
        <v>11100</v>
      </c>
      <c r="U1841" t="s">
        <v>11100</v>
      </c>
      <c r="V1841" t="s">
        <v>11100</v>
      </c>
      <c r="W1841" t="s">
        <v>12905</v>
      </c>
      <c r="X1841">
        <v>17</v>
      </c>
      <c r="Y1841" t="s">
        <v>18387</v>
      </c>
      <c r="Z1841" t="s">
        <v>23846</v>
      </c>
      <c r="AA1841">
        <v>0.68464196496378782</v>
      </c>
      <c r="AB1841" t="str">
        <f>HYPERLINK("Melting_Curves/meltCurve_P11766_ADH5.pdf", "Melting_Curves/meltCurve_P11766_ADH5.pdf")</f>
        <v>Melting_Curves/meltCurve_P11766_ADH5.pdf</v>
      </c>
    </row>
    <row r="1842" spans="1:28" x14ac:dyDescent="0.25">
      <c r="A1842" t="s">
        <v>1846</v>
      </c>
      <c r="B1842">
        <v>0.99299721793515405</v>
      </c>
      <c r="C1842">
        <v>1.00684914962282</v>
      </c>
      <c r="D1842">
        <v>1.00133664590236</v>
      </c>
      <c r="E1842">
        <v>0.89270978410623902</v>
      </c>
      <c r="F1842">
        <v>0.744175309891841</v>
      </c>
      <c r="G1842">
        <v>0.57580551794457402</v>
      </c>
      <c r="H1842">
        <v>0.43569064559418103</v>
      </c>
      <c r="I1842">
        <v>0.31484594170190799</v>
      </c>
      <c r="J1842">
        <v>0.21203253697684099</v>
      </c>
      <c r="K1842">
        <v>0.17828122081169201</v>
      </c>
      <c r="L1842">
        <v>634.09347963331595</v>
      </c>
      <c r="M1842">
        <v>11.587996259839899</v>
      </c>
      <c r="N1842">
        <v>55.602619255284601</v>
      </c>
      <c r="O1842">
        <v>53.166416455180602</v>
      </c>
      <c r="P1842">
        <v>-4.9924770000702001E-2</v>
      </c>
      <c r="Q1842">
        <v>8.4021535952379794E-2</v>
      </c>
      <c r="R1842">
        <v>0.99700415490806704</v>
      </c>
      <c r="S1842" t="s">
        <v>7393</v>
      </c>
      <c r="T1842" t="s">
        <v>11100</v>
      </c>
      <c r="U1842" t="s">
        <v>11100</v>
      </c>
      <c r="V1842" t="s">
        <v>11100</v>
      </c>
      <c r="W1842" t="s">
        <v>12906</v>
      </c>
      <c r="X1842">
        <v>17</v>
      </c>
      <c r="Y1842" t="s">
        <v>18388</v>
      </c>
      <c r="Z1842" t="s">
        <v>23847</v>
      </c>
      <c r="AA1842">
        <v>0.63893329130859011</v>
      </c>
      <c r="AB1842" t="str">
        <f>HYPERLINK("Melting_Curves/meltCurve_P11802_CDK4.pdf", "Melting_Curves/meltCurve_P11802_CDK4.pdf")</f>
        <v>Melting_Curves/meltCurve_P11802_CDK4.pdf</v>
      </c>
    </row>
    <row r="1843" spans="1:28" x14ac:dyDescent="0.25">
      <c r="A1843" t="s">
        <v>1847</v>
      </c>
      <c r="B1843">
        <v>0.99299721793515405</v>
      </c>
      <c r="C1843">
        <v>0.99813940269823098</v>
      </c>
      <c r="D1843">
        <v>1.0530003494720299</v>
      </c>
      <c r="E1843">
        <v>0.80699360548216503</v>
      </c>
      <c r="F1843">
        <v>0.75190593062580002</v>
      </c>
      <c r="G1843">
        <v>0.46858546736456202</v>
      </c>
      <c r="H1843">
        <v>0.406227627748109</v>
      </c>
      <c r="I1843">
        <v>0.41602373878024501</v>
      </c>
      <c r="J1843">
        <v>0.34980112550501302</v>
      </c>
      <c r="K1843">
        <v>0.37027587870508</v>
      </c>
      <c r="L1843">
        <v>948.10988566243702</v>
      </c>
      <c r="M1843">
        <v>18.8186575879282</v>
      </c>
      <c r="N1843">
        <v>53.9957720041036</v>
      </c>
      <c r="O1843">
        <v>49.822828244426603</v>
      </c>
      <c r="P1843">
        <v>-6.0613029824793899E-2</v>
      </c>
      <c r="Q1843">
        <v>0.35812926149519497</v>
      </c>
      <c r="R1843">
        <v>0.974355346235113</v>
      </c>
      <c r="S1843" t="s">
        <v>7394</v>
      </c>
      <c r="T1843" t="s">
        <v>11100</v>
      </c>
      <c r="U1843" t="s">
        <v>11100</v>
      </c>
      <c r="V1843" t="s">
        <v>11100</v>
      </c>
      <c r="W1843" t="s">
        <v>12907</v>
      </c>
      <c r="X1843">
        <v>1</v>
      </c>
      <c r="Y1843" t="s">
        <v>18389</v>
      </c>
      <c r="Z1843" t="s">
        <v>23848</v>
      </c>
      <c r="AA1843">
        <v>0.65378827752836588</v>
      </c>
      <c r="AB1843" t="str">
        <f>HYPERLINK("Melting_Curves/meltCurve_P11831_SRF.pdf", "Melting_Curves/meltCurve_P11831_SRF.pdf")</f>
        <v>Melting_Curves/meltCurve_P11831_SRF.pdf</v>
      </c>
    </row>
    <row r="1844" spans="1:28" x14ac:dyDescent="0.25">
      <c r="A1844" t="s">
        <v>1848</v>
      </c>
      <c r="B1844">
        <v>0.99299721793515405</v>
      </c>
      <c r="C1844">
        <v>1.0344640976847701</v>
      </c>
      <c r="D1844">
        <v>0.99976362463816204</v>
      </c>
      <c r="E1844">
        <v>0.90084540877313901</v>
      </c>
      <c r="F1844">
        <v>0.76447958087614798</v>
      </c>
      <c r="G1844">
        <v>0.41305969682242999</v>
      </c>
      <c r="H1844">
        <v>0.188754513486936</v>
      </c>
      <c r="I1844">
        <v>0.16525500236101301</v>
      </c>
      <c r="J1844">
        <v>0.15001240042067299</v>
      </c>
      <c r="K1844">
        <v>0.12519309726125999</v>
      </c>
      <c r="L1844">
        <v>1213.4475026611201</v>
      </c>
      <c r="M1844">
        <v>23.283282726552802</v>
      </c>
      <c r="N1844">
        <v>52.769133445290898</v>
      </c>
      <c r="O1844">
        <v>51.736801599312599</v>
      </c>
      <c r="P1844">
        <v>-9.8438595787017094E-2</v>
      </c>
      <c r="Q1844">
        <v>0.12507057640317801</v>
      </c>
      <c r="R1844">
        <v>0.99648050137389799</v>
      </c>
      <c r="S1844" t="s">
        <v>7395</v>
      </c>
      <c r="T1844" t="s">
        <v>11100</v>
      </c>
      <c r="U1844" t="s">
        <v>11100</v>
      </c>
      <c r="V1844" t="s">
        <v>11100</v>
      </c>
      <c r="W1844" t="s">
        <v>12908</v>
      </c>
      <c r="X1844">
        <v>33</v>
      </c>
      <c r="Y1844" t="s">
        <v>18390</v>
      </c>
      <c r="Z1844" t="s">
        <v>23849</v>
      </c>
      <c r="AA1844">
        <v>0.57472247675655019</v>
      </c>
      <c r="AB1844" t="str">
        <f>HYPERLINK("Melting_Curves/meltCurve_P11940_PABPC1.pdf", "Melting_Curves/meltCurve_P11940_PABPC1.pdf")</f>
        <v>Melting_Curves/meltCurve_P11940_PABPC1.pdf</v>
      </c>
    </row>
    <row r="1845" spans="1:28" x14ac:dyDescent="0.25">
      <c r="A1845" t="s">
        <v>1849</v>
      </c>
      <c r="B1845">
        <v>0.99299721793515405</v>
      </c>
      <c r="C1845">
        <v>0.99913588566641798</v>
      </c>
      <c r="D1845">
        <v>0.968379725430213</v>
      </c>
      <c r="E1845">
        <v>0.92785706519820199</v>
      </c>
      <c r="F1845">
        <v>0.78827080722363196</v>
      </c>
      <c r="G1845">
        <v>0.73400420534739097</v>
      </c>
      <c r="H1845">
        <v>0.55767764069741499</v>
      </c>
      <c r="I1845">
        <v>0.43312646966541002</v>
      </c>
      <c r="J1845">
        <v>0.201824916591164</v>
      </c>
      <c r="K1845">
        <v>0.11328397623699001</v>
      </c>
      <c r="L1845">
        <v>673.08983194065399</v>
      </c>
      <c r="M1845">
        <v>11.6016280631758</v>
      </c>
      <c r="N1845">
        <v>58.016842907762801</v>
      </c>
      <c r="O1845">
        <v>56.3734929588881</v>
      </c>
      <c r="P1845">
        <v>-5.1463970960223301E-2</v>
      </c>
      <c r="Q1845">
        <v>0</v>
      </c>
      <c r="R1845">
        <v>0.98193317683780201</v>
      </c>
      <c r="S1845" t="s">
        <v>7396</v>
      </c>
      <c r="T1845" t="s">
        <v>11100</v>
      </c>
      <c r="U1845" t="s">
        <v>11100</v>
      </c>
      <c r="V1845" t="s">
        <v>11100</v>
      </c>
      <c r="W1845" t="s">
        <v>12909</v>
      </c>
      <c r="X1845">
        <v>28</v>
      </c>
      <c r="Y1845" t="s">
        <v>18391</v>
      </c>
      <c r="Z1845" t="s">
        <v>23850</v>
      </c>
      <c r="AA1845">
        <v>0.69795689229763125</v>
      </c>
      <c r="AB1845" t="str">
        <f>HYPERLINK("Melting_Curves/meltCurve_P12004_PCNA.pdf", "Melting_Curves/meltCurve_P12004_PCNA.pdf")</f>
        <v>Melting_Curves/meltCurve_P12004_PCNA.pdf</v>
      </c>
    </row>
    <row r="1846" spans="1:28" x14ac:dyDescent="0.25">
      <c r="A1846" t="s">
        <v>1850</v>
      </c>
      <c r="B1846">
        <v>0.99299721793515405</v>
      </c>
      <c r="C1846">
        <v>1.0956258450795999</v>
      </c>
      <c r="D1846">
        <v>1.0221616258886399</v>
      </c>
      <c r="E1846">
        <v>0.95925177296767095</v>
      </c>
      <c r="F1846">
        <v>0.79065724358751199</v>
      </c>
      <c r="G1846">
        <v>0.640952824796441</v>
      </c>
      <c r="H1846">
        <v>0.223198294679368</v>
      </c>
      <c r="I1846">
        <v>0.16782612430229801</v>
      </c>
      <c r="J1846">
        <v>0.13605363911941101</v>
      </c>
      <c r="K1846">
        <v>0.11773213700738901</v>
      </c>
      <c r="L1846">
        <v>1158.9531632471301</v>
      </c>
      <c r="M1846">
        <v>21.4658508997341</v>
      </c>
      <c r="N1846">
        <v>54.515328094259601</v>
      </c>
      <c r="O1846">
        <v>53.528548526680403</v>
      </c>
      <c r="P1846">
        <v>-9.0898587078884499E-2</v>
      </c>
      <c r="Q1846">
        <v>9.33415623939617E-2</v>
      </c>
      <c r="R1846">
        <v>0.98386450647099</v>
      </c>
      <c r="S1846" t="s">
        <v>7397</v>
      </c>
      <c r="T1846" t="s">
        <v>11100</v>
      </c>
      <c r="U1846" t="s">
        <v>11100</v>
      </c>
      <c r="V1846" t="s">
        <v>11100</v>
      </c>
      <c r="W1846" t="s">
        <v>12910</v>
      </c>
      <c r="X1846">
        <v>35</v>
      </c>
      <c r="Y1846" t="s">
        <v>18392</v>
      </c>
      <c r="Z1846" t="s">
        <v>23851</v>
      </c>
      <c r="AA1846">
        <v>0.61680173192361143</v>
      </c>
      <c r="AB1846" t="str">
        <f>HYPERLINK("Melting_Curves/meltCurve_P12081_HARS.pdf", "Melting_Curves/meltCurve_P12081_HARS.pdf")</f>
        <v>Melting_Curves/meltCurve_P12081_HARS.pdf</v>
      </c>
    </row>
    <row r="1847" spans="1:28" x14ac:dyDescent="0.25">
      <c r="A1847" t="s">
        <v>1851</v>
      </c>
      <c r="B1847">
        <v>0.99299721793515405</v>
      </c>
      <c r="C1847">
        <v>0.89295280863692805</v>
      </c>
      <c r="D1847">
        <v>1.13249349639159</v>
      </c>
      <c r="E1847">
        <v>0.76559667113970298</v>
      </c>
      <c r="F1847">
        <v>0.61047939236332904</v>
      </c>
      <c r="G1847">
        <v>0.66374423674417304</v>
      </c>
      <c r="H1847">
        <v>0.54615149703214305</v>
      </c>
      <c r="I1847">
        <v>0.64243043553912804</v>
      </c>
      <c r="J1847">
        <v>0.56281101139940903</v>
      </c>
      <c r="K1847">
        <v>0.960889245216626</v>
      </c>
      <c r="L1847">
        <v>11610.848931117</v>
      </c>
      <c r="M1847">
        <v>250</v>
      </c>
      <c r="O1847">
        <v>46.440410912564502</v>
      </c>
      <c r="P1847">
        <v>-0.45163019839683199</v>
      </c>
      <c r="Q1847">
        <v>0.664417636013521</v>
      </c>
      <c r="R1847">
        <v>0.61755267656861401</v>
      </c>
      <c r="S1847" t="s">
        <v>7398</v>
      </c>
      <c r="T1847" t="s">
        <v>11100</v>
      </c>
      <c r="U1847" t="s">
        <v>11100</v>
      </c>
      <c r="V1847" t="s">
        <v>11100</v>
      </c>
      <c r="W1847" t="s">
        <v>12911</v>
      </c>
      <c r="X1847">
        <v>5</v>
      </c>
      <c r="Y1847" t="s">
        <v>18393</v>
      </c>
      <c r="Z1847" t="s">
        <v>23852</v>
      </c>
      <c r="AA1847">
        <v>0.77007955718102972</v>
      </c>
      <c r="AB1847" t="str">
        <f>HYPERLINK("Melting_Curves/meltCurve_P12109_COL6A1.pdf", "Melting_Curves/meltCurve_P12109_COL6A1.pdf")</f>
        <v>Melting_Curves/meltCurve_P12109_COL6A1.pdf</v>
      </c>
    </row>
    <row r="1848" spans="1:28" x14ac:dyDescent="0.25">
      <c r="A1848" t="s">
        <v>1852</v>
      </c>
      <c r="B1848">
        <v>0.99299721793515405</v>
      </c>
      <c r="C1848">
        <v>1.0792097806162599</v>
      </c>
      <c r="D1848">
        <v>1.0074012503382599</v>
      </c>
      <c r="E1848">
        <v>0.909656363514733</v>
      </c>
      <c r="F1848">
        <v>0.74733743511816597</v>
      </c>
      <c r="G1848">
        <v>0.63208643215169802</v>
      </c>
      <c r="H1848">
        <v>0.64258335075325201</v>
      </c>
      <c r="I1848">
        <v>0.53773796276463404</v>
      </c>
      <c r="J1848">
        <v>0.59310455870813805</v>
      </c>
      <c r="K1848">
        <v>0.44112666861939198</v>
      </c>
      <c r="L1848">
        <v>835.41522760726298</v>
      </c>
      <c r="M1848">
        <v>16.5219927418423</v>
      </c>
      <c r="O1848">
        <v>49.840507318821103</v>
      </c>
      <c r="P1848">
        <v>-3.9842405201634401E-2</v>
      </c>
      <c r="Q1848">
        <v>0.51927632243117805</v>
      </c>
      <c r="R1848">
        <v>0.94535105643731399</v>
      </c>
      <c r="S1848" t="s">
        <v>7399</v>
      </c>
      <c r="T1848" t="s">
        <v>11100</v>
      </c>
      <c r="U1848" t="s">
        <v>11100</v>
      </c>
      <c r="V1848" t="s">
        <v>11100</v>
      </c>
      <c r="W1848" t="s">
        <v>12912</v>
      </c>
      <c r="X1848">
        <v>20</v>
      </c>
      <c r="Y1848" t="s">
        <v>18394</v>
      </c>
      <c r="Z1848" t="s">
        <v>23853</v>
      </c>
      <c r="AA1848">
        <v>0.745201945465228</v>
      </c>
      <c r="AB1848" t="str">
        <f>HYPERLINK("Melting_Curves/meltCurve_P12235_SLC25A4.pdf", "Melting_Curves/meltCurve_P12235_SLC25A4.pdf")</f>
        <v>Melting_Curves/meltCurve_P12235_SLC25A4.pdf</v>
      </c>
    </row>
    <row r="1849" spans="1:28" x14ac:dyDescent="0.25">
      <c r="A1849" t="s">
        <v>1853</v>
      </c>
      <c r="B1849">
        <v>0.99299721793515405</v>
      </c>
      <c r="C1849">
        <v>0.99141729132116696</v>
      </c>
      <c r="D1849">
        <v>1.14615195308574</v>
      </c>
      <c r="E1849">
        <v>0.92360338493684802</v>
      </c>
      <c r="F1849">
        <v>0.76570222357870499</v>
      </c>
      <c r="G1849">
        <v>0.695682199548458</v>
      </c>
      <c r="H1849">
        <v>0.57864363734880397</v>
      </c>
      <c r="I1849">
        <v>0.61971259870377504</v>
      </c>
      <c r="J1849">
        <v>0.80727298868714403</v>
      </c>
      <c r="K1849">
        <v>0.799243072554638</v>
      </c>
      <c r="L1849">
        <v>1955.27126763105</v>
      </c>
      <c r="M1849">
        <v>40.555312988683497</v>
      </c>
      <c r="O1849">
        <v>48.095678595153899</v>
      </c>
      <c r="P1849">
        <v>-6.2997897824317403E-2</v>
      </c>
      <c r="Q1849">
        <v>0.70115672981922395</v>
      </c>
      <c r="R1849">
        <v>0.77636098935750097</v>
      </c>
      <c r="S1849" t="s">
        <v>7400</v>
      </c>
      <c r="T1849" t="s">
        <v>11100</v>
      </c>
      <c r="U1849" t="s">
        <v>11100</v>
      </c>
      <c r="V1849" t="s">
        <v>11100</v>
      </c>
      <c r="W1849" t="s">
        <v>12913</v>
      </c>
      <c r="X1849">
        <v>32</v>
      </c>
      <c r="Y1849" t="s">
        <v>18395</v>
      </c>
      <c r="Z1849" t="s">
        <v>23854</v>
      </c>
      <c r="AA1849">
        <v>0.81381759484225535</v>
      </c>
      <c r="AB1849" t="str">
        <f>HYPERLINK("Melting_Curves/meltCurve_P12236_SLC25A6.pdf", "Melting_Curves/meltCurve_P12236_SLC25A6.pdf")</f>
        <v>Melting_Curves/meltCurve_P12236_SLC25A6.pdf</v>
      </c>
    </row>
    <row r="1850" spans="1:28" x14ac:dyDescent="0.25">
      <c r="A1850" t="s">
        <v>1854</v>
      </c>
      <c r="B1850">
        <v>0.99299721793515405</v>
      </c>
      <c r="C1850">
        <v>0.99189688501923601</v>
      </c>
      <c r="D1850">
        <v>0.97122561151845599</v>
      </c>
      <c r="E1850">
        <v>0.85566062666548304</v>
      </c>
      <c r="F1850">
        <v>0.75415071040553106</v>
      </c>
      <c r="G1850">
        <v>0.89952402935801901</v>
      </c>
      <c r="H1850">
        <v>0.723863273665867</v>
      </c>
      <c r="I1850">
        <v>0.53502701250484497</v>
      </c>
      <c r="J1850">
        <v>0.32877111870227299</v>
      </c>
      <c r="K1850">
        <v>0.24261600262798899</v>
      </c>
      <c r="L1850">
        <v>647.80125982810705</v>
      </c>
      <c r="M1850">
        <v>10.608013812589901</v>
      </c>
      <c r="N1850">
        <v>61.067167915038702</v>
      </c>
      <c r="O1850">
        <v>59.016865297325197</v>
      </c>
      <c r="P1850">
        <v>-4.4953787872040497E-2</v>
      </c>
      <c r="Q1850">
        <v>0</v>
      </c>
      <c r="R1850">
        <v>0.92179028944687902</v>
      </c>
      <c r="S1850" t="s">
        <v>7401</v>
      </c>
      <c r="T1850" t="s">
        <v>11100</v>
      </c>
      <c r="U1850" t="s">
        <v>11100</v>
      </c>
      <c r="V1850" t="s">
        <v>11100</v>
      </c>
      <c r="W1850" t="s">
        <v>12914</v>
      </c>
      <c r="X1850">
        <v>90</v>
      </c>
      <c r="Y1850" t="s">
        <v>18396</v>
      </c>
      <c r="Z1850" t="s">
        <v>23855</v>
      </c>
      <c r="AA1850">
        <v>0.76812801139736087</v>
      </c>
      <c r="AB1850" t="str">
        <f>HYPERLINK("Melting_Curves/meltCurve_P12270_TPR.pdf", "Melting_Curves/meltCurve_P12270_TPR.pdf")</f>
        <v>Melting_Curves/meltCurve_P12270_TPR.pdf</v>
      </c>
    </row>
    <row r="1851" spans="1:28" x14ac:dyDescent="0.25">
      <c r="A1851" t="s">
        <v>1855</v>
      </c>
      <c r="B1851">
        <v>0.99299721793515405</v>
      </c>
      <c r="C1851">
        <v>1.0000898681050501</v>
      </c>
      <c r="D1851">
        <v>0.98379705183289701</v>
      </c>
      <c r="E1851">
        <v>0.98199506282047699</v>
      </c>
      <c r="F1851">
        <v>0.84336878090901701</v>
      </c>
      <c r="G1851">
        <v>0.54716786051821897</v>
      </c>
      <c r="H1851">
        <v>0.18086600032360001</v>
      </c>
      <c r="I1851">
        <v>0.163359408115445</v>
      </c>
      <c r="J1851">
        <v>0.11477980830377001</v>
      </c>
      <c r="K1851">
        <v>7.7341145015534699E-2</v>
      </c>
      <c r="L1851">
        <v>1393.3717105035901</v>
      </c>
      <c r="M1851">
        <v>26.016334524222401</v>
      </c>
      <c r="N1851">
        <v>53.974524879995798</v>
      </c>
      <c r="O1851">
        <v>53.244143720075201</v>
      </c>
      <c r="P1851">
        <v>-0.11103679151256</v>
      </c>
      <c r="Q1851">
        <v>9.1033978676002894E-2</v>
      </c>
      <c r="R1851">
        <v>0.99653536862132097</v>
      </c>
      <c r="S1851" t="s">
        <v>7402</v>
      </c>
      <c r="T1851" t="s">
        <v>11100</v>
      </c>
      <c r="U1851" t="s">
        <v>11100</v>
      </c>
      <c r="V1851" t="s">
        <v>11100</v>
      </c>
      <c r="W1851" t="s">
        <v>12915</v>
      </c>
      <c r="X1851">
        <v>32</v>
      </c>
      <c r="Y1851" t="s">
        <v>18397</v>
      </c>
      <c r="Z1851" t="s">
        <v>23856</v>
      </c>
      <c r="AA1851">
        <v>0.60018000345632461</v>
      </c>
      <c r="AB1851" t="str">
        <f>HYPERLINK("Melting_Curves/meltCurve_P12277_CKB.pdf", "Melting_Curves/meltCurve_P12277_CKB.pdf")</f>
        <v>Melting_Curves/meltCurve_P12277_CKB.pdf</v>
      </c>
    </row>
    <row r="1852" spans="1:28" x14ac:dyDescent="0.25">
      <c r="A1852" t="s">
        <v>1856</v>
      </c>
      <c r="B1852">
        <v>0.99299721793515405</v>
      </c>
      <c r="C1852">
        <v>1.06468599807616</v>
      </c>
      <c r="D1852">
        <v>0.92618935804467695</v>
      </c>
      <c r="E1852">
        <v>0.94843298341336801</v>
      </c>
      <c r="F1852">
        <v>0.71768171679802295</v>
      </c>
      <c r="G1852">
        <v>0.53073885846510604</v>
      </c>
      <c r="H1852">
        <v>0.234313822469156</v>
      </c>
      <c r="I1852">
        <v>0.13998794452472099</v>
      </c>
      <c r="J1852">
        <v>0.124230596079537</v>
      </c>
      <c r="K1852">
        <v>0.102242571429559</v>
      </c>
      <c r="L1852">
        <v>923.75490168721797</v>
      </c>
      <c r="M1852">
        <v>17.386824759585799</v>
      </c>
      <c r="N1852">
        <v>53.570345914342099</v>
      </c>
      <c r="O1852">
        <v>52.441709854010803</v>
      </c>
      <c r="P1852">
        <v>-7.7366822949604605E-2</v>
      </c>
      <c r="Q1852">
        <v>6.66452026904399E-2</v>
      </c>
      <c r="R1852">
        <v>0.99045542947963605</v>
      </c>
      <c r="S1852" t="s">
        <v>7403</v>
      </c>
      <c r="T1852" t="s">
        <v>11100</v>
      </c>
      <c r="U1852" t="s">
        <v>11100</v>
      </c>
      <c r="V1852" t="s">
        <v>11100</v>
      </c>
      <c r="W1852" t="s">
        <v>12916</v>
      </c>
      <c r="X1852">
        <v>22</v>
      </c>
      <c r="Y1852" t="s">
        <v>18398</v>
      </c>
      <c r="Z1852" t="s">
        <v>23857</v>
      </c>
      <c r="AA1852">
        <v>0.58253955414079561</v>
      </c>
      <c r="AB1852" t="str">
        <f>HYPERLINK("Melting_Curves/meltCurve_P12429_ANXA3.pdf", "Melting_Curves/meltCurve_P12429_ANXA3.pdf")</f>
        <v>Melting_Curves/meltCurve_P12429_ANXA3.pdf</v>
      </c>
    </row>
    <row r="1853" spans="1:28" x14ac:dyDescent="0.25">
      <c r="A1853" t="s">
        <v>1857</v>
      </c>
      <c r="B1853">
        <v>0.99299721793515405</v>
      </c>
      <c r="C1853">
        <v>0.94230877334832397</v>
      </c>
      <c r="D1853">
        <v>0.86674543465478804</v>
      </c>
      <c r="E1853">
        <v>0.78353913676718301</v>
      </c>
      <c r="F1853">
        <v>0.68173762264714299</v>
      </c>
      <c r="G1853">
        <v>0.73128484215471801</v>
      </c>
      <c r="H1853">
        <v>0.76571647374130103</v>
      </c>
      <c r="I1853">
        <v>0.81978859967402395</v>
      </c>
      <c r="J1853">
        <v>0.79258847147151701</v>
      </c>
      <c r="K1853">
        <v>0.68900187644147004</v>
      </c>
      <c r="L1853">
        <v>1035.9341724702399</v>
      </c>
      <c r="M1853">
        <v>24.388251324922699</v>
      </c>
      <c r="O1853">
        <v>42.194249814352602</v>
      </c>
      <c r="P1853">
        <v>-3.6449195338123103E-2</v>
      </c>
      <c r="Q1853">
        <v>0.74775978514430197</v>
      </c>
      <c r="R1853">
        <v>0.82165444270703103</v>
      </c>
      <c r="S1853" t="s">
        <v>7404</v>
      </c>
      <c r="T1853" t="s">
        <v>11100</v>
      </c>
      <c r="U1853" t="s">
        <v>11100</v>
      </c>
      <c r="V1853" t="s">
        <v>11100</v>
      </c>
      <c r="W1853" t="s">
        <v>12917</v>
      </c>
      <c r="X1853">
        <v>14</v>
      </c>
      <c r="Y1853" t="s">
        <v>18399</v>
      </c>
      <c r="Z1853" t="s">
        <v>23858</v>
      </c>
      <c r="AA1853">
        <v>0.79610416826411945</v>
      </c>
      <c r="AB1853" t="str">
        <f>HYPERLINK("Melting_Curves/meltCurve_P12532_CKMT1A.pdf", "Melting_Curves/meltCurve_P12532_CKMT1A.pdf")</f>
        <v>Melting_Curves/meltCurve_P12532_CKMT1A.pdf</v>
      </c>
    </row>
    <row r="1854" spans="1:28" x14ac:dyDescent="0.25">
      <c r="A1854" t="s">
        <v>1858</v>
      </c>
      <c r="B1854">
        <v>0.99299721793515405</v>
      </c>
      <c r="C1854">
        <v>1.0179583035698201</v>
      </c>
      <c r="D1854">
        <v>0.91179494133893602</v>
      </c>
      <c r="E1854">
        <v>0.83275975238477995</v>
      </c>
      <c r="F1854">
        <v>0.75226035031516003</v>
      </c>
      <c r="G1854">
        <v>0.73977598544789203</v>
      </c>
      <c r="H1854">
        <v>0.76829334239631097</v>
      </c>
      <c r="I1854">
        <v>0.67488938477251004</v>
      </c>
      <c r="J1854">
        <v>0.14067884464289099</v>
      </c>
      <c r="K1854">
        <v>7.1292643265027406E-2</v>
      </c>
      <c r="L1854">
        <v>806.043572056377</v>
      </c>
      <c r="M1854">
        <v>13.4126195858142</v>
      </c>
      <c r="N1854">
        <v>60.095893044493401</v>
      </c>
      <c r="O1854">
        <v>58.807186073572097</v>
      </c>
      <c r="P1854">
        <v>-5.7028394498202302E-2</v>
      </c>
      <c r="Q1854">
        <v>0</v>
      </c>
      <c r="R1854">
        <v>0.81766159058441501</v>
      </c>
      <c r="S1854" t="s">
        <v>7405</v>
      </c>
      <c r="T1854" t="s">
        <v>11100</v>
      </c>
      <c r="U1854" t="s">
        <v>11100</v>
      </c>
      <c r="V1854" t="s">
        <v>11100</v>
      </c>
      <c r="W1854" t="s">
        <v>12918</v>
      </c>
      <c r="X1854">
        <v>14</v>
      </c>
      <c r="Y1854" t="s">
        <v>18400</v>
      </c>
      <c r="Z1854" t="s">
        <v>23859</v>
      </c>
      <c r="AA1854">
        <v>0.75807250111993107</v>
      </c>
      <c r="AB1854" t="str">
        <f>HYPERLINK("Melting_Curves/meltCurve_P12814_2_ACTN1.pdf", "Melting_Curves/meltCurve_P12814_2_ACTN1.pdf")</f>
        <v>Melting_Curves/meltCurve_P12814_2_ACTN1.pdf</v>
      </c>
    </row>
    <row r="1855" spans="1:28" x14ac:dyDescent="0.25">
      <c r="A1855" t="s">
        <v>1859</v>
      </c>
      <c r="B1855">
        <v>0.99299721793515405</v>
      </c>
      <c r="C1855">
        <v>0.543686334260024</v>
      </c>
      <c r="D1855">
        <v>0.70371407730531099</v>
      </c>
      <c r="E1855">
        <v>0.58692265411678801</v>
      </c>
      <c r="F1855">
        <v>1.5367133315966299</v>
      </c>
      <c r="G1855">
        <v>0.37679838680966599</v>
      </c>
      <c r="H1855">
        <v>0.311004595718261</v>
      </c>
      <c r="I1855">
        <v>0.3116874462525</v>
      </c>
      <c r="J1855">
        <v>0.450839689342724</v>
      </c>
      <c r="K1855">
        <v>0.14477720708844899</v>
      </c>
      <c r="L1855">
        <v>363.22028900302303</v>
      </c>
      <c r="M1855">
        <v>6.4220679853080096</v>
      </c>
      <c r="N1855">
        <v>56.558153401154598</v>
      </c>
      <c r="O1855">
        <v>51.821607228697303</v>
      </c>
      <c r="P1855">
        <v>-3.1060213649897101E-2</v>
      </c>
      <c r="Q1855">
        <v>0</v>
      </c>
      <c r="R1855">
        <v>0.29568124972966903</v>
      </c>
      <c r="S1855" t="s">
        <v>7406</v>
      </c>
      <c r="T1855" t="s">
        <v>11100</v>
      </c>
      <c r="U1855" t="s">
        <v>11100</v>
      </c>
      <c r="V1855" t="s">
        <v>11100</v>
      </c>
      <c r="W1855" t="s">
        <v>12919</v>
      </c>
      <c r="X1855">
        <v>2</v>
      </c>
      <c r="Y1855" t="s">
        <v>18401</v>
      </c>
      <c r="Z1855" t="s">
        <v>23860</v>
      </c>
      <c r="AA1855">
        <v>0.63302107703144095</v>
      </c>
      <c r="AB1855" t="str">
        <f>HYPERLINK("Melting_Curves/meltCurve_P12882_MYH1.pdf", "Melting_Curves/meltCurve_P12882_MYH1.pdf")</f>
        <v>Melting_Curves/meltCurve_P12882_MYH1.pdf</v>
      </c>
    </row>
    <row r="1856" spans="1:28" x14ac:dyDescent="0.25">
      <c r="A1856" t="s">
        <v>1860</v>
      </c>
      <c r="B1856">
        <v>0.99299721793515405</v>
      </c>
      <c r="C1856">
        <v>0.94135865370655103</v>
      </c>
      <c r="D1856">
        <v>0.88277075462698995</v>
      </c>
      <c r="E1856">
        <v>0.74038569652205299</v>
      </c>
      <c r="F1856">
        <v>0.61035803659920096</v>
      </c>
      <c r="G1856">
        <v>0.39563744547789598</v>
      </c>
      <c r="H1856">
        <v>0.23699911804431201</v>
      </c>
      <c r="I1856">
        <v>0.18577473333654901</v>
      </c>
      <c r="J1856">
        <v>0.135505343918293</v>
      </c>
      <c r="K1856">
        <v>9.6268065337924896E-2</v>
      </c>
      <c r="L1856">
        <v>535.69041528456398</v>
      </c>
      <c r="M1856">
        <v>10.3912069640186</v>
      </c>
      <c r="N1856">
        <v>51.682958867730399</v>
      </c>
      <c r="O1856">
        <v>49.752646881568403</v>
      </c>
      <c r="P1856">
        <v>-5.1558979996815003E-2</v>
      </c>
      <c r="Q1856">
        <v>1.2965830095798299E-2</v>
      </c>
      <c r="R1856">
        <v>0.99749063483036005</v>
      </c>
      <c r="S1856" t="s">
        <v>7407</v>
      </c>
      <c r="T1856" t="s">
        <v>11100</v>
      </c>
      <c r="U1856" t="s">
        <v>11100</v>
      </c>
      <c r="V1856" t="s">
        <v>11100</v>
      </c>
      <c r="W1856" t="s">
        <v>12920</v>
      </c>
      <c r="X1856">
        <v>8</v>
      </c>
      <c r="Y1856" t="s">
        <v>18402</v>
      </c>
      <c r="Z1856" t="s">
        <v>23861</v>
      </c>
      <c r="AA1856">
        <v>0.51913031102385609</v>
      </c>
      <c r="AB1856" t="str">
        <f>HYPERLINK("Melting_Curves/meltCurve_P12931_SRC.pdf", "Melting_Curves/meltCurve_P12931_SRC.pdf")</f>
        <v>Melting_Curves/meltCurve_P12931_SRC.pdf</v>
      </c>
    </row>
    <row r="1857" spans="1:28" x14ac:dyDescent="0.25">
      <c r="A1857" t="s">
        <v>1861</v>
      </c>
      <c r="B1857">
        <v>0.99299721793515405</v>
      </c>
      <c r="C1857">
        <v>0.91388767324379605</v>
      </c>
      <c r="D1857">
        <v>0.76045665113426397</v>
      </c>
      <c r="E1857">
        <v>0.76372169643227805</v>
      </c>
      <c r="F1857">
        <v>0.62336041411273402</v>
      </c>
      <c r="G1857">
        <v>0.52393264056245603</v>
      </c>
      <c r="H1857">
        <v>0.50333379107685805</v>
      </c>
      <c r="I1857">
        <v>0.31899922291847399</v>
      </c>
      <c r="J1857">
        <v>0.16064678475994701</v>
      </c>
      <c r="K1857">
        <v>0.106151408391534</v>
      </c>
      <c r="L1857">
        <v>390.451584952254</v>
      </c>
      <c r="M1857">
        <v>7.2598403748943703</v>
      </c>
      <c r="N1857">
        <v>53.7823925572823</v>
      </c>
      <c r="O1857">
        <v>50.151816715432702</v>
      </c>
      <c r="P1857">
        <v>-3.6248009478048397E-2</v>
      </c>
      <c r="Q1857">
        <v>0</v>
      </c>
      <c r="R1857">
        <v>0.95287213285773098</v>
      </c>
      <c r="S1857" t="s">
        <v>7408</v>
      </c>
      <c r="T1857" t="s">
        <v>11100</v>
      </c>
      <c r="U1857" t="s">
        <v>11100</v>
      </c>
      <c r="V1857" t="s">
        <v>11100</v>
      </c>
      <c r="W1857" t="s">
        <v>12921</v>
      </c>
      <c r="X1857">
        <v>9</v>
      </c>
      <c r="Y1857" t="s">
        <v>18403</v>
      </c>
      <c r="Z1857" t="s">
        <v>23862</v>
      </c>
      <c r="AA1857">
        <v>0.57370444801918097</v>
      </c>
      <c r="AB1857" t="str">
        <f>HYPERLINK("Melting_Curves/meltCurve_P12955_3_PEPD.pdf", "Melting_Curves/meltCurve_P12955_3_PEPD.pdf")</f>
        <v>Melting_Curves/meltCurve_P12955_3_PEPD.pdf</v>
      </c>
    </row>
    <row r="1858" spans="1:28" x14ac:dyDescent="0.25">
      <c r="A1858" t="s">
        <v>1862</v>
      </c>
      <c r="B1858">
        <v>0.99299721793515405</v>
      </c>
      <c r="C1858">
        <v>1.02089464411103</v>
      </c>
      <c r="D1858">
        <v>1.09888988090149</v>
      </c>
      <c r="E1858">
        <v>0.94912630462710801</v>
      </c>
      <c r="F1858">
        <v>0.94679153584278697</v>
      </c>
      <c r="G1858">
        <v>0.46445382858421203</v>
      </c>
      <c r="H1858">
        <v>0.214641498301996</v>
      </c>
      <c r="I1858">
        <v>0.161896845606677</v>
      </c>
      <c r="J1858">
        <v>0.14870850320088999</v>
      </c>
      <c r="K1858">
        <v>0.10962024724811401</v>
      </c>
      <c r="L1858">
        <v>2120.4271221000299</v>
      </c>
      <c r="M1858">
        <v>39.870805406874801</v>
      </c>
      <c r="N1858">
        <v>53.6415032658672</v>
      </c>
      <c r="O1858">
        <v>53.0491723127355</v>
      </c>
      <c r="P1858">
        <v>-0.16073664803555199</v>
      </c>
      <c r="Q1858">
        <v>0.144543890781898</v>
      </c>
      <c r="R1858">
        <v>0.99063707818446001</v>
      </c>
      <c r="S1858" t="s">
        <v>7409</v>
      </c>
      <c r="T1858" t="s">
        <v>11100</v>
      </c>
      <c r="U1858" t="s">
        <v>11100</v>
      </c>
      <c r="V1858" t="s">
        <v>11100</v>
      </c>
      <c r="W1858" t="s">
        <v>12922</v>
      </c>
      <c r="X1858">
        <v>35</v>
      </c>
      <c r="Y1858" t="s">
        <v>18404</v>
      </c>
      <c r="Z1858" t="s">
        <v>23863</v>
      </c>
      <c r="AA1858">
        <v>0.60913868191777309</v>
      </c>
      <c r="AB1858" t="str">
        <f>HYPERLINK("Melting_Curves/meltCurve_P12956_XRCC6.pdf", "Melting_Curves/meltCurve_P12956_XRCC6.pdf")</f>
        <v>Melting_Curves/meltCurve_P12956_XRCC6.pdf</v>
      </c>
    </row>
    <row r="1859" spans="1:28" x14ac:dyDescent="0.25">
      <c r="A1859" t="s">
        <v>1863</v>
      </c>
      <c r="B1859">
        <v>0.99299721793515405</v>
      </c>
      <c r="C1859">
        <v>1.08420694964501</v>
      </c>
      <c r="D1859">
        <v>1.0083159553318299</v>
      </c>
      <c r="E1859">
        <v>0.99334016964472904</v>
      </c>
      <c r="F1859">
        <v>0.66960109696495695</v>
      </c>
      <c r="G1859">
        <v>0.25612750137472701</v>
      </c>
      <c r="H1859">
        <v>0.20053539166652401</v>
      </c>
      <c r="I1859">
        <v>0.163284607306907</v>
      </c>
      <c r="J1859">
        <v>0.14427050635747099</v>
      </c>
      <c r="K1859">
        <v>0.11790016599736799</v>
      </c>
      <c r="L1859">
        <v>1824.83253908851</v>
      </c>
      <c r="M1859">
        <v>35.873225192376204</v>
      </c>
      <c r="N1859">
        <v>51.386491111980199</v>
      </c>
      <c r="O1859">
        <v>50.711630916942902</v>
      </c>
      <c r="P1859">
        <v>-0.150035064056041</v>
      </c>
      <c r="Q1859">
        <v>0.15162374418333999</v>
      </c>
      <c r="R1859">
        <v>0.99356889254121605</v>
      </c>
      <c r="S1859" t="s">
        <v>7410</v>
      </c>
      <c r="T1859" t="s">
        <v>11100</v>
      </c>
      <c r="U1859" t="s">
        <v>11100</v>
      </c>
      <c r="V1859" t="s">
        <v>11100</v>
      </c>
      <c r="W1859" t="s">
        <v>12923</v>
      </c>
      <c r="X1859">
        <v>25</v>
      </c>
      <c r="Y1859" t="s">
        <v>18405</v>
      </c>
      <c r="Z1859" t="s">
        <v>23864</v>
      </c>
      <c r="AA1859">
        <v>0.54753076777338949</v>
      </c>
      <c r="AB1859" t="str">
        <f>HYPERLINK("Melting_Curves/meltCurve_P13010_XRCC5.pdf", "Melting_Curves/meltCurve_P13010_XRCC5.pdf")</f>
        <v>Melting_Curves/meltCurve_P13010_XRCC5.pdf</v>
      </c>
    </row>
    <row r="1860" spans="1:28" x14ac:dyDescent="0.25">
      <c r="A1860" t="s">
        <v>1864</v>
      </c>
      <c r="B1860">
        <v>0.99299721793515405</v>
      </c>
      <c r="C1860">
        <v>0.99071441654484205</v>
      </c>
      <c r="D1860">
        <v>0.866201758547548</v>
      </c>
      <c r="E1860">
        <v>0.86512095252523302</v>
      </c>
      <c r="F1860">
        <v>0.69743752023910799</v>
      </c>
      <c r="G1860">
        <v>0.354200711843079</v>
      </c>
      <c r="H1860">
        <v>0.22493304535215899</v>
      </c>
      <c r="I1860">
        <v>0.24424295179386399</v>
      </c>
      <c r="J1860">
        <v>0.28088586348415101</v>
      </c>
      <c r="K1860">
        <v>0.24303237452094401</v>
      </c>
      <c r="L1860">
        <v>1113.02984475222</v>
      </c>
      <c r="M1860">
        <v>22.035282090038901</v>
      </c>
      <c r="N1860">
        <v>51.944918763111303</v>
      </c>
      <c r="O1860">
        <v>50.100770894424301</v>
      </c>
      <c r="P1860">
        <v>-8.4906165134411501E-2</v>
      </c>
      <c r="Q1860">
        <v>0.22782563930476199</v>
      </c>
      <c r="R1860">
        <v>0.97583943090245795</v>
      </c>
      <c r="S1860" t="s">
        <v>7411</v>
      </c>
      <c r="T1860" t="s">
        <v>11100</v>
      </c>
      <c r="U1860" t="s">
        <v>11100</v>
      </c>
      <c r="V1860" t="s">
        <v>11100</v>
      </c>
      <c r="W1860" t="s">
        <v>12924</v>
      </c>
      <c r="X1860">
        <v>3</v>
      </c>
      <c r="Y1860" t="s">
        <v>18406</v>
      </c>
      <c r="Z1860" t="s">
        <v>23865</v>
      </c>
      <c r="AA1860">
        <v>0.58415561846620867</v>
      </c>
      <c r="AB1860" t="str">
        <f>HYPERLINK("Melting_Curves/meltCurve_P13051_UNG.pdf", "Melting_Curves/meltCurve_P13051_UNG.pdf")</f>
        <v>Melting_Curves/meltCurve_P13051_UNG.pdf</v>
      </c>
    </row>
    <row r="1861" spans="1:28" x14ac:dyDescent="0.25">
      <c r="A1861" t="s">
        <v>1865</v>
      </c>
      <c r="B1861">
        <v>0.99299721793515405</v>
      </c>
      <c r="C1861">
        <v>0.78765262208461695</v>
      </c>
      <c r="D1861">
        <v>1.0097999463864999</v>
      </c>
      <c r="E1861">
        <v>0.64268476674569897</v>
      </c>
      <c r="F1861">
        <v>0.63896267310510302</v>
      </c>
      <c r="G1861">
        <v>0.37208817845021103</v>
      </c>
      <c r="H1861">
        <v>0.22836906437358301</v>
      </c>
      <c r="I1861">
        <v>0.20377457392540399</v>
      </c>
      <c r="J1861">
        <v>0.19178814895822199</v>
      </c>
      <c r="K1861">
        <v>0.20202256811008501</v>
      </c>
      <c r="L1861">
        <v>570.63745877916995</v>
      </c>
      <c r="M1861">
        <v>11.423879138389401</v>
      </c>
      <c r="N1861">
        <v>51.1797038030642</v>
      </c>
      <c r="O1861">
        <v>48.494149408820398</v>
      </c>
      <c r="P1861">
        <v>-5.1846408529662803E-2</v>
      </c>
      <c r="Q1861">
        <v>0.119908551442806</v>
      </c>
      <c r="R1861">
        <v>0.933306744559806</v>
      </c>
      <c r="S1861" t="s">
        <v>7412</v>
      </c>
      <c r="T1861" t="s">
        <v>11100</v>
      </c>
      <c r="U1861" t="s">
        <v>11100</v>
      </c>
      <c r="V1861" t="s">
        <v>11100</v>
      </c>
      <c r="W1861" t="s">
        <v>12925</v>
      </c>
      <c r="X1861">
        <v>3</v>
      </c>
      <c r="Y1861" t="s">
        <v>18407</v>
      </c>
      <c r="Z1861" t="s">
        <v>23866</v>
      </c>
      <c r="AA1861">
        <v>0.52600040327704023</v>
      </c>
      <c r="AB1861" t="str">
        <f>HYPERLINK("Melting_Curves/meltCurve_P13056_NR2C1.pdf", "Melting_Curves/meltCurve_P13056_NR2C1.pdf")</f>
        <v>Melting_Curves/meltCurve_P13056_NR2C1.pdf</v>
      </c>
    </row>
    <row r="1862" spans="1:28" x14ac:dyDescent="0.25">
      <c r="A1862" t="s">
        <v>1866</v>
      </c>
      <c r="B1862">
        <v>0.99299721793515405</v>
      </c>
      <c r="C1862">
        <v>0.95213351542811098</v>
      </c>
      <c r="D1862">
        <v>0.96313236135970604</v>
      </c>
      <c r="E1862">
        <v>0.82805769579003996</v>
      </c>
      <c r="F1862">
        <v>0.76492345053486699</v>
      </c>
      <c r="G1862">
        <v>0.51654749388209498</v>
      </c>
      <c r="H1862">
        <v>0.74045988701537402</v>
      </c>
      <c r="I1862">
        <v>0.98609354881101996</v>
      </c>
      <c r="J1862">
        <v>1.32949461904287</v>
      </c>
      <c r="K1862">
        <v>1.31080642183357</v>
      </c>
      <c r="L1862">
        <v>15000</v>
      </c>
      <c r="M1862">
        <v>239.75965213397001</v>
      </c>
      <c r="O1862">
        <v>62.558295420651397</v>
      </c>
      <c r="P1862">
        <v>0.307207594755872</v>
      </c>
      <c r="Q1862">
        <v>1.3206275088734001</v>
      </c>
      <c r="R1862">
        <v>0.29992019538168502</v>
      </c>
      <c r="S1862" t="s">
        <v>7413</v>
      </c>
      <c r="T1862" t="s">
        <v>11100</v>
      </c>
      <c r="U1862" t="s">
        <v>11100</v>
      </c>
      <c r="V1862" t="s">
        <v>11100</v>
      </c>
      <c r="W1862" t="s">
        <v>12926</v>
      </c>
      <c r="X1862">
        <v>14</v>
      </c>
      <c r="Y1862" t="s">
        <v>18408</v>
      </c>
      <c r="Z1862" t="s">
        <v>23867</v>
      </c>
      <c r="AA1862">
        <v>1.0473862380914141</v>
      </c>
      <c r="AB1862" t="str">
        <f>HYPERLINK("Melting_Curves/meltCurve_P13073_COX4I1.pdf", "Melting_Curves/meltCurve_P13073_COX4I1.pdf")</f>
        <v>Melting_Curves/meltCurve_P13073_COX4I1.pdf</v>
      </c>
    </row>
    <row r="1863" spans="1:28" x14ac:dyDescent="0.25">
      <c r="A1863" t="s">
        <v>1867</v>
      </c>
      <c r="B1863">
        <v>0.99299721793515405</v>
      </c>
      <c r="C1863">
        <v>1.0110009503458299</v>
      </c>
      <c r="D1863">
        <v>1.06304014105958</v>
      </c>
      <c r="E1863">
        <v>0.86181485316221995</v>
      </c>
      <c r="F1863">
        <v>0.59068225565499199</v>
      </c>
      <c r="G1863">
        <v>0.35333170025046201</v>
      </c>
      <c r="H1863">
        <v>0.196102279876887</v>
      </c>
      <c r="I1863">
        <v>0.16426090348408001</v>
      </c>
      <c r="J1863">
        <v>0.18181296885807599</v>
      </c>
      <c r="K1863">
        <v>0.14905030444610101</v>
      </c>
      <c r="L1863">
        <v>1096.70050217784</v>
      </c>
      <c r="M1863">
        <v>21.733311992130499</v>
      </c>
      <c r="N1863">
        <v>51.334321910487297</v>
      </c>
      <c r="O1863">
        <v>50.040327496753498</v>
      </c>
      <c r="P1863">
        <v>-9.1812996011522693E-2</v>
      </c>
      <c r="Q1863">
        <v>0.15443265197637299</v>
      </c>
      <c r="R1863">
        <v>0.99362153786144303</v>
      </c>
      <c r="S1863" t="s">
        <v>7414</v>
      </c>
      <c r="T1863" t="s">
        <v>11100</v>
      </c>
      <c r="U1863" t="s">
        <v>11100</v>
      </c>
      <c r="V1863" t="s">
        <v>11100</v>
      </c>
      <c r="W1863" t="s">
        <v>12927</v>
      </c>
      <c r="X1863">
        <v>3</v>
      </c>
      <c r="Y1863" t="s">
        <v>18409</v>
      </c>
      <c r="Z1863" t="s">
        <v>23868</v>
      </c>
      <c r="AA1863">
        <v>0.54346869017562516</v>
      </c>
      <c r="AB1863" t="str">
        <f>HYPERLINK("Melting_Curves/meltCurve_P13196_ALAS1.pdf", "Melting_Curves/meltCurve_P13196_ALAS1.pdf")</f>
        <v>Melting_Curves/meltCurve_P13196_ALAS1.pdf</v>
      </c>
    </row>
    <row r="1864" spans="1:28" x14ac:dyDescent="0.25">
      <c r="A1864" t="s">
        <v>1868</v>
      </c>
      <c r="B1864">
        <v>0.99299721793515405</v>
      </c>
      <c r="C1864">
        <v>1.01470574975144</v>
      </c>
      <c r="D1864">
        <v>0.96143314121550905</v>
      </c>
      <c r="E1864">
        <v>0.93343003287349702</v>
      </c>
      <c r="F1864">
        <v>0.83290322434099495</v>
      </c>
      <c r="G1864">
        <v>0.64674550177494905</v>
      </c>
      <c r="H1864">
        <v>0.44304609864890698</v>
      </c>
      <c r="I1864">
        <v>0.15024826466497701</v>
      </c>
      <c r="J1864">
        <v>0.124718711743133</v>
      </c>
      <c r="K1864">
        <v>9.5676792923832105E-2</v>
      </c>
      <c r="L1864">
        <v>848.72890348220699</v>
      </c>
      <c r="M1864">
        <v>15.2009342994644</v>
      </c>
      <c r="N1864">
        <v>55.833996560036297</v>
      </c>
      <c r="O1864">
        <v>54.894450617832902</v>
      </c>
      <c r="P1864">
        <v>-6.9234648640810997E-2</v>
      </c>
      <c r="Q1864">
        <v>0</v>
      </c>
      <c r="R1864">
        <v>0.99349885155564199</v>
      </c>
      <c r="S1864" t="s">
        <v>7415</v>
      </c>
      <c r="T1864" t="s">
        <v>11100</v>
      </c>
      <c r="U1864" t="s">
        <v>11100</v>
      </c>
      <c r="V1864" t="s">
        <v>11100</v>
      </c>
      <c r="W1864" t="s">
        <v>12928</v>
      </c>
      <c r="X1864">
        <v>30</v>
      </c>
      <c r="Y1864" t="s">
        <v>18410</v>
      </c>
      <c r="Z1864" t="s">
        <v>23869</v>
      </c>
      <c r="AA1864">
        <v>0.63974515573283253</v>
      </c>
      <c r="AB1864" t="str">
        <f>HYPERLINK("Melting_Curves/meltCurve_P13489_RNH1.pdf", "Melting_Curves/meltCurve_P13489_RNH1.pdf")</f>
        <v>Melting_Curves/meltCurve_P13489_RNH1.pdf</v>
      </c>
    </row>
    <row r="1865" spans="1:28" x14ac:dyDescent="0.25">
      <c r="A1865" t="s">
        <v>1869</v>
      </c>
      <c r="B1865">
        <v>0.99299721793515405</v>
      </c>
      <c r="C1865">
        <v>1.1085732475263399</v>
      </c>
      <c r="D1865">
        <v>1.0265850204271101</v>
      </c>
      <c r="E1865">
        <v>0.83921146459040696</v>
      </c>
      <c r="F1865">
        <v>0.97230581505788805</v>
      </c>
      <c r="G1865">
        <v>0.65093198385830797</v>
      </c>
      <c r="H1865">
        <v>0.49075122923700598</v>
      </c>
      <c r="I1865">
        <v>0.51739218629980499</v>
      </c>
      <c r="J1865">
        <v>0.37367437068533099</v>
      </c>
      <c r="K1865">
        <v>0.18356926864994899</v>
      </c>
      <c r="L1865">
        <v>579.32152875241695</v>
      </c>
      <c r="M1865">
        <v>9.8349777491725199</v>
      </c>
      <c r="N1865">
        <v>59.111037085364103</v>
      </c>
      <c r="O1865">
        <v>56.623901542246301</v>
      </c>
      <c r="P1865">
        <v>-4.2710074626879903E-2</v>
      </c>
      <c r="Q1865">
        <v>1.6913594081654399E-2</v>
      </c>
      <c r="R1865">
        <v>0.925936163179641</v>
      </c>
      <c r="S1865" t="s">
        <v>7416</v>
      </c>
      <c r="T1865" t="s">
        <v>11100</v>
      </c>
      <c r="U1865" t="s">
        <v>11100</v>
      </c>
      <c r="V1865" t="s">
        <v>11100</v>
      </c>
      <c r="W1865" t="s">
        <v>12929</v>
      </c>
      <c r="X1865">
        <v>2</v>
      </c>
      <c r="Y1865" t="s">
        <v>18411</v>
      </c>
      <c r="Z1865" t="s">
        <v>23870</v>
      </c>
      <c r="AA1865">
        <v>0.71769609834490977</v>
      </c>
      <c r="AB1865" t="str">
        <f>HYPERLINK("Melting_Curves/meltCurve_P13498_CYBA.pdf", "Melting_Curves/meltCurve_P13498_CYBA.pdf")</f>
        <v>Melting_Curves/meltCurve_P13498_CYBA.pdf</v>
      </c>
    </row>
    <row r="1866" spans="1:28" x14ac:dyDescent="0.25">
      <c r="A1866" t="s">
        <v>1870</v>
      </c>
      <c r="B1866">
        <v>0.99299721793515405</v>
      </c>
      <c r="C1866">
        <v>1.0067243891528299</v>
      </c>
      <c r="D1866">
        <v>1.03856387920648</v>
      </c>
      <c r="E1866">
        <v>0.86936776669109905</v>
      </c>
      <c r="F1866">
        <v>0.79081164514855495</v>
      </c>
      <c r="G1866">
        <v>0.66919496725340699</v>
      </c>
      <c r="H1866">
        <v>0.63662301633445295</v>
      </c>
      <c r="I1866">
        <v>0.64080014381581996</v>
      </c>
      <c r="J1866">
        <v>0.57645533936041204</v>
      </c>
      <c r="K1866">
        <v>0.53162905789400405</v>
      </c>
      <c r="L1866">
        <v>786.39704233791394</v>
      </c>
      <c r="M1866">
        <v>15.624495868043301</v>
      </c>
      <c r="O1866">
        <v>49.528192764913001</v>
      </c>
      <c r="P1866">
        <v>-3.4200763863436602E-2</v>
      </c>
      <c r="Q1866">
        <v>0.56638442165435998</v>
      </c>
      <c r="R1866">
        <v>0.96797035994381397</v>
      </c>
      <c r="S1866" t="s">
        <v>7417</v>
      </c>
      <c r="T1866" t="s">
        <v>11100</v>
      </c>
      <c r="U1866" t="s">
        <v>11100</v>
      </c>
      <c r="V1866" t="s">
        <v>11100</v>
      </c>
      <c r="W1866" t="s">
        <v>12930</v>
      </c>
      <c r="X1866">
        <v>12</v>
      </c>
      <c r="Y1866" t="s">
        <v>18412</v>
      </c>
      <c r="Z1866" t="s">
        <v>23871</v>
      </c>
      <c r="AA1866">
        <v>0.76752427857255612</v>
      </c>
      <c r="AB1866" t="str">
        <f>HYPERLINK("Melting_Curves/meltCurve_P13591_1_NCAM1.pdf", "Melting_Curves/meltCurve_P13591_1_NCAM1.pdf")</f>
        <v>Melting_Curves/meltCurve_P13591_1_NCAM1.pdf</v>
      </c>
    </row>
    <row r="1867" spans="1:28" x14ac:dyDescent="0.25">
      <c r="A1867" t="s">
        <v>1871</v>
      </c>
      <c r="B1867">
        <v>0.99299721793515405</v>
      </c>
      <c r="C1867">
        <v>0.77407443972152101</v>
      </c>
      <c r="D1867">
        <v>0.84784735404643397</v>
      </c>
      <c r="E1867">
        <v>0.76098113847235005</v>
      </c>
      <c r="F1867">
        <v>0.67102672748384895</v>
      </c>
      <c r="G1867">
        <v>0.51577458722443603</v>
      </c>
      <c r="H1867">
        <v>0.506731649444642</v>
      </c>
      <c r="I1867">
        <v>0.63323480662785703</v>
      </c>
      <c r="J1867">
        <v>0.58682840044120799</v>
      </c>
      <c r="K1867">
        <v>0.49912104645035699</v>
      </c>
      <c r="L1867">
        <v>407.92407075294</v>
      </c>
      <c r="M1867">
        <v>9.07688410937625</v>
      </c>
      <c r="O1867">
        <v>42.920692871612999</v>
      </c>
      <c r="P1867">
        <v>-2.5885865328394899E-2</v>
      </c>
      <c r="Q1867">
        <v>0.51073148216937003</v>
      </c>
      <c r="R1867">
        <v>0.83404357478279401</v>
      </c>
      <c r="S1867" t="s">
        <v>7418</v>
      </c>
      <c r="T1867" t="s">
        <v>11100</v>
      </c>
      <c r="U1867" t="s">
        <v>11100</v>
      </c>
      <c r="V1867" t="s">
        <v>11100</v>
      </c>
      <c r="W1867" t="s">
        <v>12931</v>
      </c>
      <c r="X1867">
        <v>1</v>
      </c>
      <c r="Y1867" t="s">
        <v>18413</v>
      </c>
      <c r="Z1867" t="s">
        <v>23872</v>
      </c>
      <c r="AA1867">
        <v>0.66852462651522215</v>
      </c>
      <c r="AB1867" t="str">
        <f>HYPERLINK("Melting_Curves/meltCurve_P13612_ITGA4.pdf", "Melting_Curves/meltCurve_P13612_ITGA4.pdf")</f>
        <v>Melting_Curves/meltCurve_P13612_ITGA4.pdf</v>
      </c>
    </row>
    <row r="1868" spans="1:28" x14ac:dyDescent="0.25">
      <c r="A1868" t="s">
        <v>1872</v>
      </c>
      <c r="B1868">
        <v>0.99299721793515405</v>
      </c>
      <c r="C1868">
        <v>0.99164310210505302</v>
      </c>
      <c r="D1868">
        <v>1.0293864628162399</v>
      </c>
      <c r="E1868">
        <v>0.90894150820753905</v>
      </c>
      <c r="F1868">
        <v>0.79837129552395203</v>
      </c>
      <c r="G1868">
        <v>0.91189450945720396</v>
      </c>
      <c r="H1868">
        <v>0.53859278531131805</v>
      </c>
      <c r="I1868">
        <v>0.55425195730965404</v>
      </c>
      <c r="J1868">
        <v>0.19615292740304199</v>
      </c>
      <c r="K1868">
        <v>7.8844107679259798E-2</v>
      </c>
      <c r="L1868">
        <v>864.373305400557</v>
      </c>
      <c r="M1868">
        <v>14.565095919209</v>
      </c>
      <c r="N1868">
        <v>59.345527871126002</v>
      </c>
      <c r="O1868">
        <v>58.260497256049902</v>
      </c>
      <c r="P1868">
        <v>-6.2506971974869999E-2</v>
      </c>
      <c r="Q1868">
        <v>0</v>
      </c>
      <c r="R1868">
        <v>0.93107129921000198</v>
      </c>
      <c r="S1868" t="s">
        <v>7419</v>
      </c>
      <c r="T1868" t="s">
        <v>11100</v>
      </c>
      <c r="U1868" t="s">
        <v>11100</v>
      </c>
      <c r="V1868" t="s">
        <v>11100</v>
      </c>
      <c r="W1868" t="s">
        <v>12932</v>
      </c>
      <c r="X1868">
        <v>79</v>
      </c>
      <c r="Y1868" t="s">
        <v>18414</v>
      </c>
      <c r="Z1868" t="s">
        <v>23873</v>
      </c>
      <c r="AA1868">
        <v>0.7412580779554595</v>
      </c>
      <c r="AB1868" t="str">
        <f>HYPERLINK("Melting_Curves/meltCurve_P13639_EEF2.pdf", "Melting_Curves/meltCurve_P13639_EEF2.pdf")</f>
        <v>Melting_Curves/meltCurve_P13639_EEF2.pdf</v>
      </c>
    </row>
    <row r="1869" spans="1:28" x14ac:dyDescent="0.25">
      <c r="A1869" t="s">
        <v>1873</v>
      </c>
      <c r="B1869">
        <v>0.99299721793515405</v>
      </c>
      <c r="C1869">
        <v>1.0176095061584001</v>
      </c>
      <c r="D1869">
        <v>1.08239792916509</v>
      </c>
      <c r="E1869">
        <v>0.94478252258185902</v>
      </c>
      <c r="F1869">
        <v>0.75431836976655797</v>
      </c>
      <c r="G1869">
        <v>0.43173800395220602</v>
      </c>
      <c r="H1869">
        <v>0.33504177975571597</v>
      </c>
      <c r="I1869">
        <v>0.25506612946079299</v>
      </c>
      <c r="J1869">
        <v>0.22107599182735499</v>
      </c>
      <c r="K1869">
        <v>0.193719241650398</v>
      </c>
      <c r="L1869">
        <v>1194.12716697973</v>
      </c>
      <c r="M1869">
        <v>23.023147203545602</v>
      </c>
      <c r="N1869">
        <v>53.187450985763597</v>
      </c>
      <c r="O1869">
        <v>51.479828522539698</v>
      </c>
      <c r="P1869">
        <v>-8.7461061667742507E-2</v>
      </c>
      <c r="Q1869">
        <v>0.21776173493687601</v>
      </c>
      <c r="R1869">
        <v>0.99054960010448001</v>
      </c>
      <c r="S1869" t="s">
        <v>7420</v>
      </c>
      <c r="T1869" t="s">
        <v>11100</v>
      </c>
      <c r="U1869" t="s">
        <v>11100</v>
      </c>
      <c r="V1869" t="s">
        <v>11100</v>
      </c>
      <c r="W1869" t="s">
        <v>12933</v>
      </c>
      <c r="X1869">
        <v>47</v>
      </c>
      <c r="Y1869" t="s">
        <v>18415</v>
      </c>
      <c r="Z1869" t="s">
        <v>23874</v>
      </c>
      <c r="AA1869">
        <v>0.61341325703612881</v>
      </c>
      <c r="AB1869" t="str">
        <f>HYPERLINK("Melting_Curves/meltCurve_P13667_PDIA4.pdf", "Melting_Curves/meltCurve_P13667_PDIA4.pdf")</f>
        <v>Melting_Curves/meltCurve_P13667_PDIA4.pdf</v>
      </c>
    </row>
    <row r="1870" spans="1:28" x14ac:dyDescent="0.25">
      <c r="A1870" t="s">
        <v>1874</v>
      </c>
      <c r="B1870">
        <v>0.99299721793515405</v>
      </c>
      <c r="C1870">
        <v>0.90637732793102599</v>
      </c>
      <c r="D1870">
        <v>0.91069380778618503</v>
      </c>
      <c r="E1870">
        <v>0.81558929323295104</v>
      </c>
      <c r="F1870">
        <v>0.710665872749906</v>
      </c>
      <c r="G1870">
        <v>0.54251101250756795</v>
      </c>
      <c r="H1870">
        <v>0.77076527025532005</v>
      </c>
      <c r="I1870">
        <v>0.67060934307540099</v>
      </c>
      <c r="J1870">
        <v>0.491246987433682</v>
      </c>
      <c r="K1870">
        <v>0.39356628983085101</v>
      </c>
      <c r="L1870">
        <v>252.30529865042399</v>
      </c>
      <c r="M1870">
        <v>3.8863597142501898</v>
      </c>
      <c r="N1870">
        <v>64.920742927448003</v>
      </c>
      <c r="O1870">
        <v>52.802811055687201</v>
      </c>
      <c r="P1870">
        <v>-1.8659667265340699E-2</v>
      </c>
      <c r="Q1870">
        <v>0</v>
      </c>
      <c r="R1870">
        <v>0.80960434349000499</v>
      </c>
      <c r="S1870" t="s">
        <v>7421</v>
      </c>
      <c r="T1870" t="s">
        <v>11100</v>
      </c>
      <c r="U1870" t="s">
        <v>11100</v>
      </c>
      <c r="V1870" t="s">
        <v>11100</v>
      </c>
      <c r="W1870" t="s">
        <v>12934</v>
      </c>
      <c r="X1870">
        <v>12</v>
      </c>
      <c r="Y1870" t="s">
        <v>18416</v>
      </c>
      <c r="Z1870" t="s">
        <v>23875</v>
      </c>
      <c r="AA1870">
        <v>0.72021695082458459</v>
      </c>
      <c r="AB1870" t="str">
        <f>HYPERLINK("Melting_Curves/meltCurve_P13674_2_P4HA1.pdf", "Melting_Curves/meltCurve_P13674_2_P4HA1.pdf")</f>
        <v>Melting_Curves/meltCurve_P13674_2_P4HA1.pdf</v>
      </c>
    </row>
    <row r="1871" spans="1:28" x14ac:dyDescent="0.25">
      <c r="A1871" t="s">
        <v>1875</v>
      </c>
      <c r="B1871">
        <v>0.99299721793515405</v>
      </c>
      <c r="C1871">
        <v>1.01126723979976</v>
      </c>
      <c r="D1871">
        <v>1.0254960043777499</v>
      </c>
      <c r="E1871">
        <v>0.98471474715157503</v>
      </c>
      <c r="F1871">
        <v>0.76855828128734105</v>
      </c>
      <c r="G1871">
        <v>0.60496498411359101</v>
      </c>
      <c r="H1871">
        <v>0.406853510327847</v>
      </c>
      <c r="I1871">
        <v>0.28970435200082001</v>
      </c>
      <c r="J1871">
        <v>0.26130197408529998</v>
      </c>
      <c r="K1871">
        <v>0.214731482287632</v>
      </c>
      <c r="L1871">
        <v>904.76655945905804</v>
      </c>
      <c r="M1871">
        <v>16.857468374558099</v>
      </c>
      <c r="N1871">
        <v>55.356137425010601</v>
      </c>
      <c r="O1871">
        <v>52.933339872453999</v>
      </c>
      <c r="P1871">
        <v>-6.3645382650276805E-2</v>
      </c>
      <c r="Q1871">
        <v>0.20065162857448399</v>
      </c>
      <c r="R1871">
        <v>0.99458502479048405</v>
      </c>
      <c r="S1871" t="s">
        <v>7422</v>
      </c>
      <c r="T1871" t="s">
        <v>11100</v>
      </c>
      <c r="U1871" t="s">
        <v>11100</v>
      </c>
      <c r="V1871" t="s">
        <v>11100</v>
      </c>
      <c r="W1871" t="s">
        <v>12935</v>
      </c>
      <c r="X1871">
        <v>11</v>
      </c>
      <c r="Y1871" t="s">
        <v>18417</v>
      </c>
      <c r="Z1871" t="s">
        <v>23876</v>
      </c>
      <c r="AA1871">
        <v>0.65690797607620088</v>
      </c>
      <c r="AB1871" t="str">
        <f>HYPERLINK("Melting_Curves/meltCurve_P13693_TPT1.pdf", "Melting_Curves/meltCurve_P13693_TPT1.pdf")</f>
        <v>Melting_Curves/meltCurve_P13693_TPT1.pdf</v>
      </c>
    </row>
    <row r="1872" spans="1:28" x14ac:dyDescent="0.25">
      <c r="A1872" t="s">
        <v>1876</v>
      </c>
      <c r="B1872">
        <v>0.99299721793515405</v>
      </c>
      <c r="C1872">
        <v>0.99161092440443599</v>
      </c>
      <c r="D1872">
        <v>0.93852596607092598</v>
      </c>
      <c r="E1872">
        <v>0.77777926457178703</v>
      </c>
      <c r="F1872">
        <v>0.68215439313328596</v>
      </c>
      <c r="G1872">
        <v>0.59172542413893103</v>
      </c>
      <c r="H1872">
        <v>0.43794153764636401</v>
      </c>
      <c r="I1872">
        <v>0.211453646596301</v>
      </c>
      <c r="J1872">
        <v>0.13060961577757799</v>
      </c>
      <c r="K1872">
        <v>0.1145758947598</v>
      </c>
      <c r="L1872">
        <v>550.83954421756505</v>
      </c>
      <c r="M1872">
        <v>10.1113420219275</v>
      </c>
      <c r="N1872">
        <v>54.477391896192501</v>
      </c>
      <c r="O1872">
        <v>52.4753360498351</v>
      </c>
      <c r="P1872">
        <v>-4.8194336679831203E-2</v>
      </c>
      <c r="Q1872">
        <v>0</v>
      </c>
      <c r="R1872">
        <v>0.98392034139533002</v>
      </c>
      <c r="S1872" t="s">
        <v>7423</v>
      </c>
      <c r="T1872" t="s">
        <v>11100</v>
      </c>
      <c r="U1872" t="s">
        <v>11100</v>
      </c>
      <c r="V1872" t="s">
        <v>11100</v>
      </c>
      <c r="W1872" t="s">
        <v>12936</v>
      </c>
      <c r="X1872">
        <v>33</v>
      </c>
      <c r="Y1872" t="s">
        <v>18418</v>
      </c>
      <c r="Z1872" t="s">
        <v>23877</v>
      </c>
      <c r="AA1872">
        <v>0.59778904720963477</v>
      </c>
      <c r="AB1872" t="str">
        <f>HYPERLINK("Melting_Curves/meltCurve_P13797_PLS3.pdf", "Melting_Curves/meltCurve_P13797_PLS3.pdf")</f>
        <v>Melting_Curves/meltCurve_P13797_PLS3.pdf</v>
      </c>
    </row>
    <row r="1873" spans="1:28" x14ac:dyDescent="0.25">
      <c r="A1873" t="s">
        <v>1877</v>
      </c>
      <c r="B1873">
        <v>0.99299721793515405</v>
      </c>
      <c r="C1873">
        <v>1.0260147956583201</v>
      </c>
      <c r="D1873">
        <v>0.99514364433923597</v>
      </c>
      <c r="E1873">
        <v>0.91414806842874796</v>
      </c>
      <c r="F1873">
        <v>0.75937083290336804</v>
      </c>
      <c r="G1873">
        <v>0.55362627812720799</v>
      </c>
      <c r="H1873">
        <v>0.37691011949166497</v>
      </c>
      <c r="I1873">
        <v>0.26373139196682199</v>
      </c>
      <c r="J1873">
        <v>0.187096380436167</v>
      </c>
      <c r="K1873">
        <v>9.8074996334064204E-2</v>
      </c>
      <c r="L1873">
        <v>701.93966297037798</v>
      </c>
      <c r="M1873">
        <v>12.855355242375699</v>
      </c>
      <c r="N1873">
        <v>55.009237240646698</v>
      </c>
      <c r="O1873">
        <v>53.332218142739301</v>
      </c>
      <c r="P1873">
        <v>-5.7541945527643197E-2</v>
      </c>
      <c r="Q1873">
        <v>4.52930917934476E-2</v>
      </c>
      <c r="R1873">
        <v>0.99691231532786895</v>
      </c>
      <c r="S1873" t="s">
        <v>7424</v>
      </c>
      <c r="T1873" t="s">
        <v>11100</v>
      </c>
      <c r="U1873" t="s">
        <v>11100</v>
      </c>
      <c r="V1873" t="s">
        <v>11100</v>
      </c>
      <c r="W1873" t="s">
        <v>12937</v>
      </c>
      <c r="X1873">
        <v>20</v>
      </c>
      <c r="Y1873" t="s">
        <v>18419</v>
      </c>
      <c r="Z1873" t="s">
        <v>23878</v>
      </c>
      <c r="AA1873">
        <v>0.62052256205675704</v>
      </c>
      <c r="AB1873" t="str">
        <f>HYPERLINK("Melting_Curves/meltCurve_P13804_ETFA.pdf", "Melting_Curves/meltCurve_P13804_ETFA.pdf")</f>
        <v>Melting_Curves/meltCurve_P13804_ETFA.pdf</v>
      </c>
    </row>
    <row r="1874" spans="1:28" x14ac:dyDescent="0.25">
      <c r="A1874" t="s">
        <v>1878</v>
      </c>
      <c r="B1874">
        <v>0.99299721793515405</v>
      </c>
      <c r="C1874">
        <v>0.95284907389829998</v>
      </c>
      <c r="D1874">
        <v>0.95751995476386098</v>
      </c>
      <c r="E1874">
        <v>0.89181684409842799</v>
      </c>
      <c r="F1874">
        <v>0.68538528877425497</v>
      </c>
      <c r="G1874">
        <v>0.46414011440085001</v>
      </c>
      <c r="H1874">
        <v>0.23391178469159599</v>
      </c>
      <c r="I1874">
        <v>0.132739264235987</v>
      </c>
      <c r="J1874">
        <v>0.10579286982740201</v>
      </c>
      <c r="K1874">
        <v>8.6676016111299506E-2</v>
      </c>
      <c r="L1874">
        <v>810.749464459509</v>
      </c>
      <c r="M1874">
        <v>15.400749048707899</v>
      </c>
      <c r="N1874">
        <v>52.948675584551999</v>
      </c>
      <c r="O1874">
        <v>51.779865024730803</v>
      </c>
      <c r="P1874">
        <v>-7.1205514635056505E-2</v>
      </c>
      <c r="Q1874">
        <v>4.24682940884143E-2</v>
      </c>
      <c r="R1874">
        <v>0.99778832582737498</v>
      </c>
      <c r="S1874" t="s">
        <v>7425</v>
      </c>
      <c r="T1874" t="s">
        <v>11100</v>
      </c>
      <c r="U1874" t="s">
        <v>11100</v>
      </c>
      <c r="V1874" t="s">
        <v>11100</v>
      </c>
      <c r="W1874" t="s">
        <v>12938</v>
      </c>
      <c r="X1874">
        <v>27</v>
      </c>
      <c r="Y1874" t="s">
        <v>18420</v>
      </c>
      <c r="Z1874" t="s">
        <v>23879</v>
      </c>
      <c r="AA1874">
        <v>0.55885665395421791</v>
      </c>
      <c r="AB1874" t="str">
        <f>HYPERLINK("Melting_Curves/meltCurve_P13861_PRKAR2A.pdf", "Melting_Curves/meltCurve_P13861_PRKAR2A.pdf")</f>
        <v>Melting_Curves/meltCurve_P13861_PRKAR2A.pdf</v>
      </c>
    </row>
    <row r="1875" spans="1:28" x14ac:dyDescent="0.25">
      <c r="A1875" t="s">
        <v>1879</v>
      </c>
      <c r="B1875">
        <v>0.99299721793515405</v>
      </c>
      <c r="C1875">
        <v>0.95409043328211096</v>
      </c>
      <c r="D1875">
        <v>0.95432861277408498</v>
      </c>
      <c r="E1875">
        <v>0.69736982759848098</v>
      </c>
      <c r="F1875">
        <v>0.53237370098960901</v>
      </c>
      <c r="G1875">
        <v>0.37557015225048701</v>
      </c>
      <c r="H1875">
        <v>0.19694560281003301</v>
      </c>
      <c r="I1875">
        <v>0.104683375300407</v>
      </c>
      <c r="J1875">
        <v>4.5827194687094501E-2</v>
      </c>
      <c r="K1875">
        <v>3.5440850579896398E-2</v>
      </c>
      <c r="L1875">
        <v>622.09304854427603</v>
      </c>
      <c r="M1875">
        <v>12.2525397829261</v>
      </c>
      <c r="N1875">
        <v>50.772580742346399</v>
      </c>
      <c r="O1875">
        <v>49.4769425916272</v>
      </c>
      <c r="P1875">
        <v>-6.1924135663369899E-2</v>
      </c>
      <c r="Q1875">
        <v>0</v>
      </c>
      <c r="R1875">
        <v>0.99393346282357398</v>
      </c>
      <c r="S1875" t="s">
        <v>7426</v>
      </c>
      <c r="T1875" t="s">
        <v>11100</v>
      </c>
      <c r="U1875" t="s">
        <v>11100</v>
      </c>
      <c r="V1875" t="s">
        <v>11100</v>
      </c>
      <c r="W1875" t="s">
        <v>12939</v>
      </c>
      <c r="X1875">
        <v>4</v>
      </c>
      <c r="Y1875" t="s">
        <v>18421</v>
      </c>
      <c r="Z1875" t="s">
        <v>23880</v>
      </c>
      <c r="AA1875">
        <v>0.48501630148472691</v>
      </c>
      <c r="AB1875" t="str">
        <f>HYPERLINK("Melting_Curves/meltCurve_P13984_GTF2F2.pdf", "Melting_Curves/meltCurve_P13984_GTF2F2.pdf")</f>
        <v>Melting_Curves/meltCurve_P13984_GTF2F2.pdf</v>
      </c>
    </row>
    <row r="1876" spans="1:28" x14ac:dyDescent="0.25">
      <c r="A1876" t="s">
        <v>1880</v>
      </c>
      <c r="B1876">
        <v>0.99299721793515405</v>
      </c>
      <c r="C1876">
        <v>0.97514667414566703</v>
      </c>
      <c r="D1876">
        <v>1.1692475643918501</v>
      </c>
      <c r="E1876">
        <v>0.906663859897479</v>
      </c>
      <c r="F1876">
        <v>0.75466185612728198</v>
      </c>
      <c r="G1876">
        <v>0.67146268455023606</v>
      </c>
      <c r="H1876">
        <v>0.42533120492801901</v>
      </c>
      <c r="I1876">
        <v>0.22596373248691101</v>
      </c>
      <c r="J1876">
        <v>0.13520423089314701</v>
      </c>
      <c r="K1876">
        <v>0.10522377788465299</v>
      </c>
      <c r="L1876">
        <v>760.62971801493597</v>
      </c>
      <c r="M1876">
        <v>13.6069365298666</v>
      </c>
      <c r="N1876">
        <v>55.900144763013799</v>
      </c>
      <c r="O1876">
        <v>54.734222793540397</v>
      </c>
      <c r="P1876">
        <v>-6.2159232966807497E-2</v>
      </c>
      <c r="Q1876">
        <v>0</v>
      </c>
      <c r="R1876">
        <v>0.96816430697969502</v>
      </c>
      <c r="S1876" t="s">
        <v>7427</v>
      </c>
      <c r="T1876" t="s">
        <v>11100</v>
      </c>
      <c r="U1876" t="s">
        <v>11100</v>
      </c>
      <c r="V1876" t="s">
        <v>11100</v>
      </c>
      <c r="W1876" t="s">
        <v>12940</v>
      </c>
      <c r="X1876">
        <v>13</v>
      </c>
      <c r="Y1876" t="s">
        <v>18422</v>
      </c>
      <c r="Z1876" t="s">
        <v>23881</v>
      </c>
      <c r="AA1876">
        <v>0.6414567318530856</v>
      </c>
      <c r="AB1876" t="str">
        <f>HYPERLINK("Melting_Curves/meltCurve_P13995_MTHFD2.pdf", "Melting_Curves/meltCurve_P13995_MTHFD2.pdf")</f>
        <v>Melting_Curves/meltCurve_P13995_MTHFD2.pdf</v>
      </c>
    </row>
    <row r="1877" spans="1:28" x14ac:dyDescent="0.25">
      <c r="A1877" t="s">
        <v>1881</v>
      </c>
      <c r="B1877">
        <v>0.99299721793515405</v>
      </c>
      <c r="C1877">
        <v>1.01376071649438</v>
      </c>
      <c r="D1877">
        <v>1.0021904817487199</v>
      </c>
      <c r="E1877">
        <v>1.0221857412349</v>
      </c>
      <c r="F1877">
        <v>0.85647860788405605</v>
      </c>
      <c r="G1877">
        <v>0.74595021308893605</v>
      </c>
      <c r="H1877">
        <v>0.66034566715850096</v>
      </c>
      <c r="I1877">
        <v>0.96442637222421002</v>
      </c>
      <c r="J1877">
        <v>1.18291547329617</v>
      </c>
      <c r="K1877">
        <v>1.24838903756109</v>
      </c>
      <c r="L1877">
        <v>15000</v>
      </c>
      <c r="M1877">
        <v>235.036582188886</v>
      </c>
      <c r="O1877">
        <v>63.815231936736197</v>
      </c>
      <c r="P1877">
        <v>0.22871417030820601</v>
      </c>
      <c r="Q1877">
        <v>1.24839448672728</v>
      </c>
      <c r="R1877">
        <v>0.29692373196367999</v>
      </c>
      <c r="S1877" t="s">
        <v>7428</v>
      </c>
      <c r="T1877" t="s">
        <v>11100</v>
      </c>
      <c r="U1877" t="s">
        <v>11100</v>
      </c>
      <c r="V1877" t="s">
        <v>11100</v>
      </c>
      <c r="W1877" t="s">
        <v>12941</v>
      </c>
      <c r="X1877">
        <v>10</v>
      </c>
      <c r="Y1877" t="s">
        <v>18423</v>
      </c>
      <c r="Z1877" t="s">
        <v>23882</v>
      </c>
      <c r="AA1877">
        <v>1.0262995958981109</v>
      </c>
      <c r="AB1877" t="str">
        <f>HYPERLINK("Melting_Curves/meltCurve_P14174_MIF.pdf", "Melting_Curves/meltCurve_P14174_MIF.pdf")</f>
        <v>Melting_Curves/meltCurve_P14174_MIF.pdf</v>
      </c>
    </row>
    <row r="1878" spans="1:28" x14ac:dyDescent="0.25">
      <c r="A1878" t="s">
        <v>1882</v>
      </c>
      <c r="B1878">
        <v>0.99299721793515405</v>
      </c>
      <c r="C1878">
        <v>0.87655651929846901</v>
      </c>
      <c r="D1878">
        <v>1.10229268911783</v>
      </c>
      <c r="E1878">
        <v>0.87373192843640701</v>
      </c>
      <c r="F1878">
        <v>0.76697133864800004</v>
      </c>
      <c r="G1878">
        <v>0.63242847045876505</v>
      </c>
      <c r="H1878">
        <v>0.59099919661908795</v>
      </c>
      <c r="I1878">
        <v>0.62181627096574899</v>
      </c>
      <c r="J1878">
        <v>0.58531570957756895</v>
      </c>
      <c r="K1878">
        <v>0.44510706504295999</v>
      </c>
      <c r="L1878">
        <v>876.85792804589505</v>
      </c>
      <c r="M1878">
        <v>17.4644593855955</v>
      </c>
      <c r="O1878">
        <v>49.563721962242099</v>
      </c>
      <c r="P1878">
        <v>-4.0868961422113999E-2</v>
      </c>
      <c r="Q1878">
        <v>0.53608520314031205</v>
      </c>
      <c r="R1878">
        <v>0.88143701586145395</v>
      </c>
      <c r="S1878" t="s">
        <v>7429</v>
      </c>
      <c r="T1878" t="s">
        <v>11100</v>
      </c>
      <c r="U1878" t="s">
        <v>11100</v>
      </c>
      <c r="V1878" t="s">
        <v>11100</v>
      </c>
      <c r="W1878" t="s">
        <v>12942</v>
      </c>
      <c r="X1878">
        <v>7</v>
      </c>
      <c r="Y1878" t="s">
        <v>18424</v>
      </c>
      <c r="Z1878" t="s">
        <v>23883</v>
      </c>
      <c r="AA1878">
        <v>0.74798713200339784</v>
      </c>
      <c r="AB1878" t="str">
        <f>HYPERLINK("Melting_Curves/meltCurve_P14209_3_CD99.pdf", "Melting_Curves/meltCurve_P14209_3_CD99.pdf")</f>
        <v>Melting_Curves/meltCurve_P14209_3_CD99.pdf</v>
      </c>
    </row>
    <row r="1879" spans="1:28" x14ac:dyDescent="0.25">
      <c r="A1879" t="s">
        <v>1883</v>
      </c>
      <c r="B1879">
        <v>0.99299721793515405</v>
      </c>
      <c r="C1879">
        <v>0.99635047136230204</v>
      </c>
      <c r="D1879">
        <v>0.98315023441584304</v>
      </c>
      <c r="E1879">
        <v>0.88342832131216498</v>
      </c>
      <c r="F1879">
        <v>0.73586028265427095</v>
      </c>
      <c r="G1879">
        <v>0.30423384700888201</v>
      </c>
      <c r="H1879">
        <v>0.216503169477475</v>
      </c>
      <c r="I1879">
        <v>0.212885875833452</v>
      </c>
      <c r="J1879">
        <v>0.21941001353954301</v>
      </c>
      <c r="K1879">
        <v>0.17801033779935899</v>
      </c>
      <c r="L1879">
        <v>1561.14331663759</v>
      </c>
      <c r="M1879">
        <v>30.5700483540388</v>
      </c>
      <c r="N1879">
        <v>51.901603561316499</v>
      </c>
      <c r="O1879">
        <v>50.850707819963397</v>
      </c>
      <c r="P1879">
        <v>-0.121131388005597</v>
      </c>
      <c r="Q1879">
        <v>0.194037344455843</v>
      </c>
      <c r="R1879">
        <v>0.99269087046723103</v>
      </c>
      <c r="S1879" t="s">
        <v>7430</v>
      </c>
      <c r="T1879" t="s">
        <v>11100</v>
      </c>
      <c r="U1879" t="s">
        <v>11100</v>
      </c>
      <c r="V1879" t="s">
        <v>11100</v>
      </c>
      <c r="W1879" t="s">
        <v>12943</v>
      </c>
      <c r="X1879">
        <v>14</v>
      </c>
      <c r="Y1879" t="s">
        <v>18425</v>
      </c>
      <c r="Z1879" t="s">
        <v>23884</v>
      </c>
      <c r="AA1879">
        <v>0.57681794223093508</v>
      </c>
      <c r="AB1879" t="str">
        <f>HYPERLINK("Melting_Curves/meltCurve_P14324_2_FDPS.pdf", "Melting_Curves/meltCurve_P14324_2_FDPS.pdf")</f>
        <v>Melting_Curves/meltCurve_P14324_2_FDPS.pdf</v>
      </c>
    </row>
    <row r="1880" spans="1:28" x14ac:dyDescent="0.25">
      <c r="A1880" t="s">
        <v>1884</v>
      </c>
      <c r="B1880">
        <v>0.99299721793515405</v>
      </c>
      <c r="C1880">
        <v>1.01370412012543</v>
      </c>
      <c r="D1880">
        <v>0.97240296948432203</v>
      </c>
      <c r="E1880">
        <v>0.90004552493746903</v>
      </c>
      <c r="F1880">
        <v>0.70700850775615998</v>
      </c>
      <c r="G1880">
        <v>0.35963743294825401</v>
      </c>
      <c r="H1880">
        <v>0.170745036249103</v>
      </c>
      <c r="I1880">
        <v>0.13378327700819501</v>
      </c>
      <c r="J1880">
        <v>0.110968331187818</v>
      </c>
      <c r="K1880">
        <v>9.4771666846228994E-2</v>
      </c>
      <c r="L1880">
        <v>1125.1559245124499</v>
      </c>
      <c r="M1880">
        <v>21.758904030916501</v>
      </c>
      <c r="N1880">
        <v>52.1952355445585</v>
      </c>
      <c r="O1880">
        <v>51.279312413686299</v>
      </c>
      <c r="P1880">
        <v>-9.6371645007118506E-2</v>
      </c>
      <c r="Q1880">
        <v>9.15431413840022E-2</v>
      </c>
      <c r="R1880">
        <v>0.99878079647232698</v>
      </c>
      <c r="S1880" t="s">
        <v>7431</v>
      </c>
      <c r="T1880" t="s">
        <v>11100</v>
      </c>
      <c r="U1880" t="s">
        <v>11100</v>
      </c>
      <c r="V1880" t="s">
        <v>11100</v>
      </c>
      <c r="W1880" t="s">
        <v>12944</v>
      </c>
      <c r="X1880">
        <v>23</v>
      </c>
      <c r="Y1880" t="s">
        <v>18426</v>
      </c>
      <c r="Z1880" t="s">
        <v>23885</v>
      </c>
      <c r="AA1880">
        <v>0.54725846343702456</v>
      </c>
      <c r="AB1880" t="str">
        <f>HYPERLINK("Melting_Curves/meltCurve_P14550_AKR1A1.pdf", "Melting_Curves/meltCurve_P14550_AKR1A1.pdf")</f>
        <v>Melting_Curves/meltCurve_P14550_AKR1A1.pdf</v>
      </c>
    </row>
    <row r="1881" spans="1:28" x14ac:dyDescent="0.25">
      <c r="A1881" t="s">
        <v>1885</v>
      </c>
      <c r="B1881">
        <v>0.99299721793515405</v>
      </c>
      <c r="C1881">
        <v>1.0100854865020901</v>
      </c>
      <c r="D1881">
        <v>0.98361547046339604</v>
      </c>
      <c r="E1881">
        <v>0.93986931548187003</v>
      </c>
      <c r="F1881">
        <v>0.81164539673240799</v>
      </c>
      <c r="G1881">
        <v>0.91429646210825</v>
      </c>
      <c r="H1881">
        <v>0.86712879919805197</v>
      </c>
      <c r="I1881">
        <v>0.90693293895368299</v>
      </c>
      <c r="J1881">
        <v>0.22609770302156201</v>
      </c>
      <c r="K1881">
        <v>0.11895625088016699</v>
      </c>
      <c r="L1881">
        <v>5095.3417339113903</v>
      </c>
      <c r="M1881">
        <v>81.412310731337399</v>
      </c>
      <c r="N1881">
        <v>62.786522374694599</v>
      </c>
      <c r="O1881">
        <v>62.549146388380102</v>
      </c>
      <c r="P1881">
        <v>-0.28828514023669399</v>
      </c>
      <c r="Q1881">
        <v>0.114041385346164</v>
      </c>
      <c r="R1881">
        <v>0.93237024805620405</v>
      </c>
      <c r="S1881" t="s">
        <v>7432</v>
      </c>
      <c r="T1881" t="s">
        <v>11100</v>
      </c>
      <c r="U1881" t="s">
        <v>11100</v>
      </c>
      <c r="V1881" t="s">
        <v>11100</v>
      </c>
      <c r="W1881" t="s">
        <v>12945</v>
      </c>
      <c r="X1881">
        <v>51</v>
      </c>
      <c r="Y1881" t="s">
        <v>18427</v>
      </c>
      <c r="Z1881" t="s">
        <v>23886</v>
      </c>
      <c r="AA1881">
        <v>0.87046594870278493</v>
      </c>
      <c r="AB1881" t="str">
        <f>HYPERLINK("Melting_Curves/meltCurve_P14618_PKM.pdf", "Melting_Curves/meltCurve_P14618_PKM.pdf")</f>
        <v>Melting_Curves/meltCurve_P14618_PKM.pdf</v>
      </c>
    </row>
    <row r="1882" spans="1:28" x14ac:dyDescent="0.25">
      <c r="A1882" t="s">
        <v>1886</v>
      </c>
      <c r="B1882">
        <v>0.99299721793515405</v>
      </c>
      <c r="C1882">
        <v>0.97105573776024301</v>
      </c>
      <c r="D1882">
        <v>0.84052142122530604</v>
      </c>
      <c r="E1882">
        <v>0.83868085477686005</v>
      </c>
      <c r="F1882">
        <v>0.76566841192896595</v>
      </c>
      <c r="G1882">
        <v>1.0845842337065399</v>
      </c>
      <c r="H1882">
        <v>1.3409480465244299</v>
      </c>
      <c r="I1882">
        <v>1.5212004600505999</v>
      </c>
      <c r="J1882">
        <v>0.56208187582857105</v>
      </c>
      <c r="K1882">
        <v>7.2507206163072699E-2</v>
      </c>
      <c r="L1882">
        <v>15000</v>
      </c>
      <c r="M1882">
        <v>233.89770954145001</v>
      </c>
      <c r="N1882">
        <v>64.173554384871906</v>
      </c>
      <c r="O1882">
        <v>64.125907791885098</v>
      </c>
      <c r="P1882">
        <v>-0.84579227515108102</v>
      </c>
      <c r="Q1882">
        <v>7.2462931174770595E-2</v>
      </c>
      <c r="R1882">
        <v>0.65414136497227704</v>
      </c>
      <c r="S1882" t="s">
        <v>7433</v>
      </c>
      <c r="T1882" t="s">
        <v>11100</v>
      </c>
      <c r="U1882" t="s">
        <v>11100</v>
      </c>
      <c r="V1882" t="s">
        <v>11100</v>
      </c>
      <c r="W1882" t="s">
        <v>12946</v>
      </c>
      <c r="X1882">
        <v>48</v>
      </c>
      <c r="Y1882" t="s">
        <v>18427</v>
      </c>
      <c r="Z1882" t="s">
        <v>23887</v>
      </c>
      <c r="AA1882">
        <v>0.91140295941044525</v>
      </c>
      <c r="AB1882" t="str">
        <f>HYPERLINK("Melting_Curves/meltCurve_P14618_2_PKM.pdf", "Melting_Curves/meltCurve_P14618_2_PKM.pdf")</f>
        <v>Melting_Curves/meltCurve_P14618_2_PKM.pdf</v>
      </c>
    </row>
    <row r="1883" spans="1:28" x14ac:dyDescent="0.25">
      <c r="A1883" t="s">
        <v>1887</v>
      </c>
      <c r="B1883">
        <v>0.99299721793515405</v>
      </c>
      <c r="C1883">
        <v>0.99978534730492197</v>
      </c>
      <c r="D1883">
        <v>1.0091542056712901</v>
      </c>
      <c r="E1883">
        <v>0.87226020278322502</v>
      </c>
      <c r="F1883">
        <v>0.74383071403439704</v>
      </c>
      <c r="G1883">
        <v>0.64705844439416904</v>
      </c>
      <c r="H1883">
        <v>0.44951890387126903</v>
      </c>
      <c r="I1883">
        <v>0.33280784754481002</v>
      </c>
      <c r="J1883">
        <v>0.28479511461239898</v>
      </c>
      <c r="K1883">
        <v>0.25701187636470701</v>
      </c>
      <c r="L1883">
        <v>638.848121052073</v>
      </c>
      <c r="M1883">
        <v>11.7558521231432</v>
      </c>
      <c r="N1883">
        <v>56.286725930770103</v>
      </c>
      <c r="O1883">
        <v>52.842002351427098</v>
      </c>
      <c r="P1883">
        <v>-4.63511542776072E-2</v>
      </c>
      <c r="Q1883">
        <v>0.16683245555801099</v>
      </c>
      <c r="R1883">
        <v>0.99371704971819597</v>
      </c>
      <c r="S1883" t="s">
        <v>7434</v>
      </c>
      <c r="T1883" t="s">
        <v>11100</v>
      </c>
      <c r="U1883" t="s">
        <v>11100</v>
      </c>
      <c r="V1883" t="s">
        <v>11100</v>
      </c>
      <c r="W1883" t="s">
        <v>12947</v>
      </c>
      <c r="X1883">
        <v>67</v>
      </c>
      <c r="Y1883" t="s">
        <v>18428</v>
      </c>
      <c r="Z1883" t="s">
        <v>23888</v>
      </c>
      <c r="AA1883">
        <v>0.66239723910070836</v>
      </c>
      <c r="AB1883" t="str">
        <f>HYPERLINK("Melting_Curves/meltCurve_P14625_HSP90B1.pdf", "Melting_Curves/meltCurve_P14625_HSP90B1.pdf")</f>
        <v>Melting_Curves/meltCurve_P14625_HSP90B1.pdf</v>
      </c>
    </row>
    <row r="1884" spans="1:28" x14ac:dyDescent="0.25">
      <c r="A1884" t="s">
        <v>1888</v>
      </c>
      <c r="B1884">
        <v>0.99299721793515405</v>
      </c>
      <c r="C1884">
        <v>0.96620869887777905</v>
      </c>
      <c r="D1884">
        <v>0.90345574688920505</v>
      </c>
      <c r="E1884">
        <v>0.75485259601493204</v>
      </c>
      <c r="F1884">
        <v>0.54082966040510505</v>
      </c>
      <c r="G1884">
        <v>0.37261389611353102</v>
      </c>
      <c r="H1884">
        <v>0.33463438475990098</v>
      </c>
      <c r="I1884">
        <v>0.230552884246643</v>
      </c>
      <c r="J1884">
        <v>0.12655064547782099</v>
      </c>
      <c r="K1884">
        <v>9.9867902947264803E-2</v>
      </c>
      <c r="L1884">
        <v>534.78988216061703</v>
      </c>
      <c r="M1884">
        <v>10.454850236271801</v>
      </c>
      <c r="N1884">
        <v>51.651855986448801</v>
      </c>
      <c r="O1884">
        <v>49.387103239264299</v>
      </c>
      <c r="P1884">
        <v>-5.0398921475923002E-2</v>
      </c>
      <c r="Q1884">
        <v>4.8083489663922403E-2</v>
      </c>
      <c r="R1884">
        <v>0.99276803416588399</v>
      </c>
      <c r="S1884" t="s">
        <v>7435</v>
      </c>
      <c r="T1884" t="s">
        <v>11100</v>
      </c>
      <c r="U1884" t="s">
        <v>11100</v>
      </c>
      <c r="V1884" t="s">
        <v>11100</v>
      </c>
      <c r="W1884" t="s">
        <v>12948</v>
      </c>
      <c r="X1884">
        <v>4</v>
      </c>
      <c r="Y1884" t="s">
        <v>18429</v>
      </c>
      <c r="Z1884" t="s">
        <v>23889</v>
      </c>
      <c r="AA1884">
        <v>0.52471251455601231</v>
      </c>
      <c r="AB1884" t="str">
        <f>HYPERLINK("Melting_Curves/meltCurve_P14635_CCNB1.pdf", "Melting_Curves/meltCurve_P14635_CCNB1.pdf")</f>
        <v>Melting_Curves/meltCurve_P14635_CCNB1.pdf</v>
      </c>
    </row>
    <row r="1885" spans="1:28" x14ac:dyDescent="0.25">
      <c r="A1885" t="s">
        <v>1889</v>
      </c>
      <c r="B1885">
        <v>0.99299721793515405</v>
      </c>
      <c r="C1885">
        <v>0.84532327568961096</v>
      </c>
      <c r="D1885">
        <v>0.89806012559230297</v>
      </c>
      <c r="E1885">
        <v>0.79522689312095596</v>
      </c>
      <c r="F1885">
        <v>0.65890498254051399</v>
      </c>
      <c r="G1885">
        <v>0.31840205112766901</v>
      </c>
      <c r="H1885">
        <v>0.66837653737454905</v>
      </c>
      <c r="I1885">
        <v>0.87466388003715301</v>
      </c>
      <c r="J1885">
        <v>0.86424057124062104</v>
      </c>
      <c r="K1885">
        <v>0.84443161511312004</v>
      </c>
      <c r="L1885">
        <v>796.98859523482702</v>
      </c>
      <c r="M1885">
        <v>18.9911829227078</v>
      </c>
      <c r="O1885">
        <v>41.509236740795998</v>
      </c>
      <c r="P1885">
        <v>-3.27683199620699E-2</v>
      </c>
      <c r="Q1885">
        <v>0.71352314658838301</v>
      </c>
      <c r="R1885">
        <v>0.24391470557054301</v>
      </c>
      <c r="S1885" t="s">
        <v>7436</v>
      </c>
      <c r="T1885" t="s">
        <v>11100</v>
      </c>
      <c r="U1885" t="s">
        <v>11100</v>
      </c>
      <c r="V1885" t="s">
        <v>11100</v>
      </c>
      <c r="W1885" t="s">
        <v>12949</v>
      </c>
      <c r="X1885">
        <v>6</v>
      </c>
      <c r="Y1885" t="s">
        <v>18430</v>
      </c>
      <c r="Z1885" t="s">
        <v>23890</v>
      </c>
      <c r="AA1885">
        <v>0.76583359366866144</v>
      </c>
      <c r="AB1885" t="str">
        <f>HYPERLINK("Melting_Curves/meltCurve_P14649_MYL6B.pdf", "Melting_Curves/meltCurve_P14649_MYL6B.pdf")</f>
        <v>Melting_Curves/meltCurve_P14649_MYL6B.pdf</v>
      </c>
    </row>
    <row r="1886" spans="1:28" x14ac:dyDescent="0.25">
      <c r="A1886" t="s">
        <v>1890</v>
      </c>
      <c r="B1886">
        <v>0.99299721793515405</v>
      </c>
      <c r="C1886">
        <v>0.92960487629064703</v>
      </c>
      <c r="D1886">
        <v>0.94759613746519999</v>
      </c>
      <c r="E1886">
        <v>0.86796984769585195</v>
      </c>
      <c r="F1886">
        <v>0.79690265432771701</v>
      </c>
      <c r="G1886">
        <v>0.97548568111602996</v>
      </c>
      <c r="H1886">
        <v>1.0789337620055801</v>
      </c>
      <c r="I1886">
        <v>1.5499168650425199</v>
      </c>
      <c r="J1886">
        <v>1.4725654273183399</v>
      </c>
      <c r="K1886">
        <v>1.2736701269714901</v>
      </c>
      <c r="L1886">
        <v>14435.995094813799</v>
      </c>
      <c r="M1886">
        <v>250</v>
      </c>
      <c r="O1886">
        <v>57.740285161279601</v>
      </c>
      <c r="P1886">
        <v>0.467666228565913</v>
      </c>
      <c r="Q1886">
        <v>1.4320509017537399</v>
      </c>
      <c r="R1886">
        <v>0.819210909776806</v>
      </c>
      <c r="S1886" t="s">
        <v>7437</v>
      </c>
      <c r="T1886" t="s">
        <v>11100</v>
      </c>
      <c r="U1886" t="s">
        <v>11100</v>
      </c>
      <c r="V1886" t="s">
        <v>11100</v>
      </c>
      <c r="W1886" t="s">
        <v>12950</v>
      </c>
      <c r="X1886">
        <v>6</v>
      </c>
      <c r="Y1886" t="s">
        <v>18431</v>
      </c>
      <c r="Z1886" t="s">
        <v>23891</v>
      </c>
      <c r="AA1886">
        <v>1.1332586035134691</v>
      </c>
      <c r="AB1886" t="str">
        <f>HYPERLINK("Melting_Curves/meltCurve_P14678_2_SNRPB.pdf", "Melting_Curves/meltCurve_P14678_2_SNRPB.pdf")</f>
        <v>Melting_Curves/meltCurve_P14678_2_SNRPB.pdf</v>
      </c>
    </row>
    <row r="1887" spans="1:28" x14ac:dyDescent="0.25">
      <c r="A1887" t="s">
        <v>1891</v>
      </c>
      <c r="B1887">
        <v>0.99299721793515405</v>
      </c>
      <c r="C1887">
        <v>0.96401865149652199</v>
      </c>
      <c r="D1887">
        <v>0.90808658119086705</v>
      </c>
      <c r="E1887">
        <v>0.88670053256617998</v>
      </c>
      <c r="F1887">
        <v>0.79767927208012201</v>
      </c>
      <c r="G1887">
        <v>0.83940438869401601</v>
      </c>
      <c r="H1887">
        <v>0.42347670796487102</v>
      </c>
      <c r="I1887">
        <v>0.25118741236740399</v>
      </c>
      <c r="J1887">
        <v>0.153853572404481</v>
      </c>
      <c r="K1887">
        <v>0.14680825476589901</v>
      </c>
      <c r="L1887">
        <v>802.89431426998499</v>
      </c>
      <c r="M1887">
        <v>14.091020864563101</v>
      </c>
      <c r="N1887">
        <v>56.979144791339401</v>
      </c>
      <c r="O1887">
        <v>55.868386546755502</v>
      </c>
      <c r="P1887">
        <v>-6.3062670635606902E-2</v>
      </c>
      <c r="Q1887">
        <v>0</v>
      </c>
      <c r="R1887">
        <v>0.96015792743916395</v>
      </c>
      <c r="S1887" t="s">
        <v>7438</v>
      </c>
      <c r="T1887" t="s">
        <v>11100</v>
      </c>
      <c r="U1887" t="s">
        <v>11100</v>
      </c>
      <c r="V1887" t="s">
        <v>11100</v>
      </c>
      <c r="W1887" t="s">
        <v>12951</v>
      </c>
      <c r="X1887">
        <v>10</v>
      </c>
      <c r="Y1887" t="s">
        <v>18432</v>
      </c>
      <c r="Z1887" t="s">
        <v>23892</v>
      </c>
      <c r="AA1887">
        <v>0.67357644005918926</v>
      </c>
      <c r="AB1887" t="str">
        <f>HYPERLINK("Melting_Curves/meltCurve_P14735_IDE.pdf", "Melting_Curves/meltCurve_P14735_IDE.pdf")</f>
        <v>Melting_Curves/meltCurve_P14735_IDE.pdf</v>
      </c>
    </row>
    <row r="1888" spans="1:28" x14ac:dyDescent="0.25">
      <c r="A1888" t="s">
        <v>1892</v>
      </c>
      <c r="B1888">
        <v>0.99299721793515405</v>
      </c>
      <c r="C1888">
        <v>0.92064712318548902</v>
      </c>
      <c r="D1888">
        <v>0.94027355528185697</v>
      </c>
      <c r="E1888">
        <v>0.94647722494432796</v>
      </c>
      <c r="F1888">
        <v>0.77219717319720005</v>
      </c>
      <c r="G1888">
        <v>0.66417888083294696</v>
      </c>
      <c r="H1888">
        <v>0.77633836467725303</v>
      </c>
      <c r="I1888">
        <v>0.84698404102667701</v>
      </c>
      <c r="J1888">
        <v>0.91885396603761704</v>
      </c>
      <c r="K1888">
        <v>0.77299646542863099</v>
      </c>
      <c r="L1888">
        <v>11699.4158466714</v>
      </c>
      <c r="M1888">
        <v>250</v>
      </c>
      <c r="O1888">
        <v>46.794668471565799</v>
      </c>
      <c r="P1888">
        <v>-0.27790984561080001</v>
      </c>
      <c r="Q1888">
        <v>0.79192481401994197</v>
      </c>
      <c r="R1888">
        <v>0.53315036928891502</v>
      </c>
      <c r="S1888" t="s">
        <v>7439</v>
      </c>
      <c r="T1888" t="s">
        <v>11100</v>
      </c>
      <c r="U1888" t="s">
        <v>11100</v>
      </c>
      <c r="V1888" t="s">
        <v>11100</v>
      </c>
      <c r="W1888" t="s">
        <v>12952</v>
      </c>
      <c r="X1888">
        <v>8</v>
      </c>
      <c r="Y1888" t="s">
        <v>18433</v>
      </c>
      <c r="Z1888" t="s">
        <v>23893</v>
      </c>
      <c r="AA1888">
        <v>0.85989692410760732</v>
      </c>
      <c r="AB1888" t="str">
        <f>HYPERLINK("Melting_Curves/meltCurve_P14854_COX6B1.pdf", "Melting_Curves/meltCurve_P14854_COX6B1.pdf")</f>
        <v>Melting_Curves/meltCurve_P14854_COX6B1.pdf</v>
      </c>
    </row>
    <row r="1889" spans="1:28" x14ac:dyDescent="0.25">
      <c r="A1889" t="s">
        <v>1893</v>
      </c>
      <c r="B1889">
        <v>0.99299721793515405</v>
      </c>
      <c r="C1889">
        <v>0.91499133653134601</v>
      </c>
      <c r="D1889">
        <v>1.43017861981551</v>
      </c>
      <c r="E1889">
        <v>0.86162554798765201</v>
      </c>
      <c r="F1889">
        <v>0.73834728665869298</v>
      </c>
      <c r="G1889">
        <v>0.55573686469749295</v>
      </c>
      <c r="H1889">
        <v>0.23362207464260201</v>
      </c>
      <c r="I1889">
        <v>0.24554414228638599</v>
      </c>
      <c r="J1889">
        <v>0.22766074436279801</v>
      </c>
      <c r="K1889">
        <v>0.273299894008182</v>
      </c>
      <c r="L1889">
        <v>1180.0308343956201</v>
      </c>
      <c r="M1889">
        <v>22.632119247177201</v>
      </c>
      <c r="N1889">
        <v>53.544060841923503</v>
      </c>
      <c r="O1889">
        <v>51.737724791869503</v>
      </c>
      <c r="P1889">
        <v>-8.4883036653499305E-2</v>
      </c>
      <c r="Q1889">
        <v>0.22383483643976201</v>
      </c>
      <c r="R1889">
        <v>0.85471745653651698</v>
      </c>
      <c r="S1889" t="s">
        <v>7440</v>
      </c>
      <c r="T1889" t="s">
        <v>11100</v>
      </c>
      <c r="U1889" t="s">
        <v>11100</v>
      </c>
      <c r="V1889" t="s">
        <v>11100</v>
      </c>
      <c r="W1889" t="s">
        <v>12953</v>
      </c>
      <c r="X1889">
        <v>4</v>
      </c>
      <c r="Y1889" t="s">
        <v>18434</v>
      </c>
      <c r="Z1889" t="s">
        <v>23894</v>
      </c>
      <c r="AA1889">
        <v>0.62370885983670898</v>
      </c>
      <c r="AB1889" t="str">
        <f>HYPERLINK("Melting_Curves/meltCurve_P14866_HNRNPL.pdf", "Melting_Curves/meltCurve_P14866_HNRNPL.pdf")</f>
        <v>Melting_Curves/meltCurve_P14866_HNRNPL.pdf</v>
      </c>
    </row>
    <row r="1890" spans="1:28" x14ac:dyDescent="0.25">
      <c r="A1890" t="s">
        <v>1894</v>
      </c>
      <c r="B1890">
        <v>0.99299721793515405</v>
      </c>
      <c r="C1890">
        <v>1.0584094866848801</v>
      </c>
      <c r="D1890">
        <v>0.96917459403939299</v>
      </c>
      <c r="E1890">
        <v>0.90298978048050405</v>
      </c>
      <c r="F1890">
        <v>0.860118926484566</v>
      </c>
      <c r="G1890">
        <v>0.77289664719259599</v>
      </c>
      <c r="H1890">
        <v>0.585206850454146</v>
      </c>
      <c r="I1890">
        <v>0.36248161551083202</v>
      </c>
      <c r="J1890">
        <v>0.28407337959395801</v>
      </c>
      <c r="K1890">
        <v>0.184325080082481</v>
      </c>
      <c r="L1890">
        <v>682.43715565705099</v>
      </c>
      <c r="M1890">
        <v>11.623244386046499</v>
      </c>
      <c r="N1890">
        <v>58.713138403340899</v>
      </c>
      <c r="O1890">
        <v>57.055959137535901</v>
      </c>
      <c r="P1890">
        <v>-5.0943033680486201E-2</v>
      </c>
      <c r="Q1890">
        <v>0</v>
      </c>
      <c r="R1890">
        <v>0.98979382504428204</v>
      </c>
      <c r="S1890" t="s">
        <v>7441</v>
      </c>
      <c r="T1890" t="s">
        <v>11100</v>
      </c>
      <c r="U1890" t="s">
        <v>11100</v>
      </c>
      <c r="V1890" t="s">
        <v>11100</v>
      </c>
      <c r="W1890" t="s">
        <v>12954</v>
      </c>
      <c r="X1890">
        <v>26</v>
      </c>
      <c r="Y1890" t="s">
        <v>18435</v>
      </c>
      <c r="Z1890" t="s">
        <v>23895</v>
      </c>
      <c r="AA1890">
        <v>0.71628578318514868</v>
      </c>
      <c r="AB1890" t="str">
        <f>HYPERLINK("Melting_Curves/meltCurve_P14868_DARS.pdf", "Melting_Curves/meltCurve_P14868_DARS.pdf")</f>
        <v>Melting_Curves/meltCurve_P14868_DARS.pdf</v>
      </c>
    </row>
    <row r="1891" spans="1:28" x14ac:dyDescent="0.25">
      <c r="A1891" t="s">
        <v>1895</v>
      </c>
      <c r="B1891">
        <v>0.99299721793515405</v>
      </c>
      <c r="C1891">
        <v>0.89906699757235797</v>
      </c>
      <c r="D1891">
        <v>0.84059912895299604</v>
      </c>
      <c r="E1891">
        <v>0.75315954674617203</v>
      </c>
      <c r="F1891">
        <v>0.69525394799436402</v>
      </c>
      <c r="G1891">
        <v>0.68320427057350397</v>
      </c>
      <c r="H1891">
        <v>0.61615232148034804</v>
      </c>
      <c r="I1891">
        <v>0.44120180372978401</v>
      </c>
      <c r="J1891">
        <v>0.187225963540047</v>
      </c>
      <c r="K1891">
        <v>0.16254949688178899</v>
      </c>
      <c r="L1891">
        <v>401.32666204541198</v>
      </c>
      <c r="M1891">
        <v>7.0572759201724402</v>
      </c>
      <c r="N1891">
        <v>56.8670787192058</v>
      </c>
      <c r="O1891">
        <v>52.830253191956601</v>
      </c>
      <c r="P1891">
        <v>-3.3456086694854399E-2</v>
      </c>
      <c r="Q1891">
        <v>0</v>
      </c>
      <c r="R1891">
        <v>0.90943423982164395</v>
      </c>
      <c r="S1891" t="s">
        <v>7442</v>
      </c>
      <c r="T1891" t="s">
        <v>11100</v>
      </c>
      <c r="U1891" t="s">
        <v>11100</v>
      </c>
      <c r="V1891" t="s">
        <v>11100</v>
      </c>
      <c r="W1891" t="s">
        <v>12955</v>
      </c>
      <c r="X1891">
        <v>11</v>
      </c>
      <c r="Y1891" t="s">
        <v>18436</v>
      </c>
      <c r="Z1891" t="s">
        <v>23896</v>
      </c>
      <c r="AA1891">
        <v>0.64557033683995479</v>
      </c>
      <c r="AB1891" t="str">
        <f>HYPERLINK("Melting_Curves/meltCurve_P14923_JUP.pdf", "Melting_Curves/meltCurve_P14923_JUP.pdf")</f>
        <v>Melting_Curves/meltCurve_P14923_JUP.pdf</v>
      </c>
    </row>
    <row r="1892" spans="1:28" x14ac:dyDescent="0.25">
      <c r="A1892" t="s">
        <v>1896</v>
      </c>
      <c r="B1892">
        <v>0.99299721793515405</v>
      </c>
      <c r="C1892">
        <v>0.97518540956222199</v>
      </c>
      <c r="D1892">
        <v>0.93191148657548994</v>
      </c>
      <c r="E1892">
        <v>0.83991079647002098</v>
      </c>
      <c r="F1892">
        <v>0.72662738853764097</v>
      </c>
      <c r="G1892">
        <v>0.68903773498311105</v>
      </c>
      <c r="H1892">
        <v>0.89032625867548099</v>
      </c>
      <c r="I1892">
        <v>1.0714281724139301</v>
      </c>
      <c r="J1892">
        <v>1.4350887687054199</v>
      </c>
      <c r="K1892">
        <v>1.34774343019022</v>
      </c>
      <c r="L1892">
        <v>15000</v>
      </c>
      <c r="M1892">
        <v>244.402187430282</v>
      </c>
      <c r="O1892">
        <v>61.370133063504802</v>
      </c>
      <c r="P1892">
        <v>0.38970115959729301</v>
      </c>
      <c r="Q1892">
        <v>1.3914206107895499</v>
      </c>
      <c r="R1892">
        <v>0.58730066324755004</v>
      </c>
      <c r="S1892" t="s">
        <v>7443</v>
      </c>
      <c r="T1892" t="s">
        <v>11100</v>
      </c>
      <c r="U1892" t="s">
        <v>11100</v>
      </c>
      <c r="V1892" t="s">
        <v>11100</v>
      </c>
      <c r="W1892" t="s">
        <v>11452</v>
      </c>
      <c r="X1892">
        <v>10</v>
      </c>
      <c r="Y1892" t="s">
        <v>16947</v>
      </c>
      <c r="Z1892" t="s">
        <v>23897</v>
      </c>
      <c r="AA1892">
        <v>1.0733570867597979</v>
      </c>
      <c r="AB1892" t="str">
        <f>HYPERLINK("Melting_Curves/meltCurve_P14927_UQCRB.pdf", "Melting_Curves/meltCurve_P14927_UQCRB.pdf")</f>
        <v>Melting_Curves/meltCurve_P14927_UQCRB.pdf</v>
      </c>
    </row>
    <row r="1893" spans="1:28" x14ac:dyDescent="0.25">
      <c r="A1893" t="s">
        <v>1897</v>
      </c>
      <c r="B1893">
        <v>0.99299721793515405</v>
      </c>
      <c r="C1893">
        <v>0.84166300770418101</v>
      </c>
      <c r="D1893">
        <v>0.94480946607022898</v>
      </c>
      <c r="E1893">
        <v>0.93589163557879596</v>
      </c>
      <c r="F1893">
        <v>0.797975393540027</v>
      </c>
      <c r="G1893">
        <v>1.5429429994525301</v>
      </c>
      <c r="H1893">
        <v>2.3188902499239399</v>
      </c>
      <c r="I1893">
        <v>1.3590777218116601</v>
      </c>
      <c r="J1893">
        <v>0.20916207561433101</v>
      </c>
      <c r="K1893">
        <v>0.29608332441124602</v>
      </c>
      <c r="L1893">
        <v>15000</v>
      </c>
      <c r="M1893">
        <v>238.92680064815701</v>
      </c>
      <c r="N1893">
        <v>62.963645055952298</v>
      </c>
      <c r="O1893">
        <v>62.7763308199074</v>
      </c>
      <c r="P1893">
        <v>-0.71340043298282796</v>
      </c>
      <c r="Q1893">
        <v>0.25023622340635099</v>
      </c>
      <c r="R1893">
        <v>0.33132241304695298</v>
      </c>
      <c r="S1893" t="s">
        <v>7444</v>
      </c>
      <c r="T1893" t="s">
        <v>11100</v>
      </c>
      <c r="U1893" t="s">
        <v>11100</v>
      </c>
      <c r="V1893" t="s">
        <v>11100</v>
      </c>
      <c r="W1893" t="s">
        <v>12956</v>
      </c>
      <c r="X1893">
        <v>6</v>
      </c>
      <c r="Y1893" t="s">
        <v>18437</v>
      </c>
      <c r="Z1893" t="s">
        <v>23898</v>
      </c>
      <c r="AA1893">
        <v>0.89464202424172989</v>
      </c>
      <c r="AB1893" t="str">
        <f>HYPERLINK("Melting_Curves/meltCurve_P15104_GLUL.pdf", "Melting_Curves/meltCurve_P15104_GLUL.pdf")</f>
        <v>Melting_Curves/meltCurve_P15104_GLUL.pdf</v>
      </c>
    </row>
    <row r="1894" spans="1:28" x14ac:dyDescent="0.25">
      <c r="A1894" t="s">
        <v>1898</v>
      </c>
      <c r="B1894">
        <v>0.99299721793515405</v>
      </c>
      <c r="C1894">
        <v>0.90808495464220396</v>
      </c>
      <c r="D1894">
        <v>0.92446284490415298</v>
      </c>
      <c r="E1894">
        <v>0.736893936399452</v>
      </c>
      <c r="F1894">
        <v>0.64124972621057996</v>
      </c>
      <c r="G1894">
        <v>0.51440443302356098</v>
      </c>
      <c r="H1894">
        <v>0.36420678014843499</v>
      </c>
      <c r="I1894">
        <v>0.15837712032308801</v>
      </c>
      <c r="J1894">
        <v>0.113820140031346</v>
      </c>
      <c r="K1894">
        <v>8.8861327117558994E-2</v>
      </c>
      <c r="L1894">
        <v>525.376212699598</v>
      </c>
      <c r="M1894">
        <v>9.9237203409478898</v>
      </c>
      <c r="N1894">
        <v>52.941456876176403</v>
      </c>
      <c r="O1894">
        <v>50.926205451751898</v>
      </c>
      <c r="P1894">
        <v>-4.8740576208396801E-2</v>
      </c>
      <c r="Q1894">
        <v>0</v>
      </c>
      <c r="R1894">
        <v>0.98491207407588499</v>
      </c>
      <c r="S1894" t="s">
        <v>7445</v>
      </c>
      <c r="T1894" t="s">
        <v>11100</v>
      </c>
      <c r="U1894" t="s">
        <v>11100</v>
      </c>
      <c r="V1894" t="s">
        <v>11100</v>
      </c>
      <c r="W1894" t="s">
        <v>12957</v>
      </c>
      <c r="X1894">
        <v>19</v>
      </c>
      <c r="Y1894" t="s">
        <v>18438</v>
      </c>
      <c r="Z1894" t="s">
        <v>23899</v>
      </c>
      <c r="AA1894">
        <v>0.55406507342466793</v>
      </c>
      <c r="AB1894" t="str">
        <f>HYPERLINK("Melting_Curves/meltCurve_P15121_AKR1B1.pdf", "Melting_Curves/meltCurve_P15121_AKR1B1.pdf")</f>
        <v>Melting_Curves/meltCurve_P15121_AKR1B1.pdf</v>
      </c>
    </row>
    <row r="1895" spans="1:28" x14ac:dyDescent="0.25">
      <c r="A1895" t="s">
        <v>1899</v>
      </c>
      <c r="B1895">
        <v>0.99299721793515405</v>
      </c>
      <c r="C1895">
        <v>1.10690225451647</v>
      </c>
      <c r="D1895">
        <v>1.18903636352732</v>
      </c>
      <c r="E1895">
        <v>1.0924383518273399</v>
      </c>
      <c r="F1895">
        <v>0.83975462500259601</v>
      </c>
      <c r="G1895">
        <v>0.75343645350836497</v>
      </c>
      <c r="H1895">
        <v>0.58451463375441703</v>
      </c>
      <c r="I1895">
        <v>0.66823456362771005</v>
      </c>
      <c r="J1895">
        <v>0.66976510412993295</v>
      </c>
      <c r="K1895">
        <v>0.56409414345914499</v>
      </c>
      <c r="L1895">
        <v>1602.6227263982601</v>
      </c>
      <c r="M1895">
        <v>31.058090480464099</v>
      </c>
      <c r="O1895">
        <v>51.388303312734699</v>
      </c>
      <c r="P1895">
        <v>-5.6852314677181597E-2</v>
      </c>
      <c r="Q1895">
        <v>0.62373380045471705</v>
      </c>
      <c r="R1895">
        <v>0.84896119696611605</v>
      </c>
      <c r="S1895" t="s">
        <v>7446</v>
      </c>
      <c r="T1895" t="s">
        <v>11100</v>
      </c>
      <c r="U1895" t="s">
        <v>11100</v>
      </c>
      <c r="V1895" t="s">
        <v>11100</v>
      </c>
      <c r="W1895" t="s">
        <v>12958</v>
      </c>
      <c r="X1895">
        <v>5</v>
      </c>
      <c r="Y1895" t="s">
        <v>18439</v>
      </c>
      <c r="Z1895" t="s">
        <v>23900</v>
      </c>
      <c r="AA1895">
        <v>0.8090696921383923</v>
      </c>
      <c r="AB1895" t="str">
        <f>HYPERLINK("Melting_Curves/meltCurve_P15151_3_PVR.pdf", "Melting_Curves/meltCurve_P15151_3_PVR.pdf")</f>
        <v>Melting_Curves/meltCurve_P15151_3_PVR.pdf</v>
      </c>
    </row>
    <row r="1896" spans="1:28" x14ac:dyDescent="0.25">
      <c r="A1896" t="s">
        <v>1900</v>
      </c>
      <c r="B1896">
        <v>0.99299721793515405</v>
      </c>
      <c r="C1896">
        <v>0.98605536529842297</v>
      </c>
      <c r="D1896">
        <v>1.01076645711986</v>
      </c>
      <c r="E1896">
        <v>0.879233093862966</v>
      </c>
      <c r="F1896">
        <v>0.80640641135806101</v>
      </c>
      <c r="G1896">
        <v>0.64858184183477596</v>
      </c>
      <c r="H1896">
        <v>0.47941700866666798</v>
      </c>
      <c r="I1896">
        <v>0.190866201704331</v>
      </c>
      <c r="J1896">
        <v>0.11364391703485199</v>
      </c>
      <c r="K1896">
        <v>9.3694838597277702E-2</v>
      </c>
      <c r="L1896">
        <v>775.42710164610298</v>
      </c>
      <c r="M1896">
        <v>13.861611656950901</v>
      </c>
      <c r="N1896">
        <v>55.940616822914002</v>
      </c>
      <c r="O1896">
        <v>54.814926281656703</v>
      </c>
      <c r="P1896">
        <v>-6.3228765401181594E-2</v>
      </c>
      <c r="Q1896">
        <v>0</v>
      </c>
      <c r="R1896">
        <v>0.98940229851375605</v>
      </c>
      <c r="S1896" t="s">
        <v>7447</v>
      </c>
      <c r="T1896" t="s">
        <v>11100</v>
      </c>
      <c r="U1896" t="s">
        <v>11100</v>
      </c>
      <c r="V1896" t="s">
        <v>11100</v>
      </c>
      <c r="W1896" t="s">
        <v>12959</v>
      </c>
      <c r="X1896">
        <v>34</v>
      </c>
      <c r="Y1896" t="s">
        <v>18440</v>
      </c>
      <c r="Z1896" t="s">
        <v>23901</v>
      </c>
      <c r="AA1896">
        <v>0.6427617703554086</v>
      </c>
      <c r="AB1896" t="str">
        <f>HYPERLINK("Melting_Curves/meltCurve_P15170_2_GSPT1.pdf", "Melting_Curves/meltCurve_P15170_2_GSPT1.pdf")</f>
        <v>Melting_Curves/meltCurve_P15170_2_GSPT1.pdf</v>
      </c>
    </row>
    <row r="1897" spans="1:28" x14ac:dyDescent="0.25">
      <c r="A1897" t="s">
        <v>1901</v>
      </c>
      <c r="B1897">
        <v>0.99299721793515405</v>
      </c>
      <c r="C1897">
        <v>1.2689395030811801</v>
      </c>
      <c r="D1897">
        <v>1.03882935140799</v>
      </c>
      <c r="E1897">
        <v>0.85792465175660204</v>
      </c>
      <c r="F1897">
        <v>0.68292364503622305</v>
      </c>
      <c r="G1897">
        <v>0.47091491763927501</v>
      </c>
      <c r="H1897">
        <v>0.70512165223271805</v>
      </c>
      <c r="I1897">
        <v>0.94238136392779204</v>
      </c>
      <c r="J1897">
        <v>1.0870427105781</v>
      </c>
      <c r="K1897">
        <v>1.12177883921014</v>
      </c>
      <c r="L1897">
        <v>632.77971162029098</v>
      </c>
      <c r="M1897">
        <v>1.0000000000000001E-5</v>
      </c>
      <c r="Q1897">
        <v>1.5</v>
      </c>
      <c r="R1897">
        <v>-0.13331998450414001</v>
      </c>
      <c r="S1897" t="s">
        <v>7448</v>
      </c>
      <c r="T1897" t="s">
        <v>11100</v>
      </c>
      <c r="U1897" t="s">
        <v>11100</v>
      </c>
      <c r="V1897" t="s">
        <v>11100</v>
      </c>
      <c r="W1897" t="s">
        <v>12960</v>
      </c>
      <c r="X1897">
        <v>3</v>
      </c>
      <c r="Y1897" t="s">
        <v>18441</v>
      </c>
      <c r="Z1897" t="s">
        <v>23902</v>
      </c>
      <c r="AA1897">
        <v>1.0000078239238881</v>
      </c>
      <c r="AB1897" t="str">
        <f>HYPERLINK("Melting_Curves/meltCurve_P15289_ARSA.pdf", "Melting_Curves/meltCurve_P15289_ARSA.pdf")</f>
        <v>Melting_Curves/meltCurve_P15289_ARSA.pdf</v>
      </c>
    </row>
    <row r="1898" spans="1:28" x14ac:dyDescent="0.25">
      <c r="A1898" t="s">
        <v>1902</v>
      </c>
      <c r="B1898">
        <v>0.99299721793515405</v>
      </c>
      <c r="C1898">
        <v>1.03742464408486</v>
      </c>
      <c r="D1898">
        <v>1.09019773568599</v>
      </c>
      <c r="E1898">
        <v>0.91824769851303401</v>
      </c>
      <c r="F1898">
        <v>0.74487729830716698</v>
      </c>
      <c r="G1898">
        <v>0.71113203172405004</v>
      </c>
      <c r="H1898">
        <v>0.23522185411843599</v>
      </c>
      <c r="I1898">
        <v>0.12170678272497</v>
      </c>
      <c r="J1898">
        <v>9.3269485631229498E-2</v>
      </c>
      <c r="K1898">
        <v>8.0893121007981406E-2</v>
      </c>
      <c r="L1898">
        <v>1010.70261478548</v>
      </c>
      <c r="M1898">
        <v>18.481451756245001</v>
      </c>
      <c r="N1898">
        <v>54.8158223001669</v>
      </c>
      <c r="O1898">
        <v>54.0591953898737</v>
      </c>
      <c r="P1898">
        <v>-8.3661575112417105E-2</v>
      </c>
      <c r="Q1898">
        <v>2.1185928795481101E-2</v>
      </c>
      <c r="R1898">
        <v>0.971783987663983</v>
      </c>
      <c r="S1898" t="s">
        <v>7449</v>
      </c>
      <c r="T1898" t="s">
        <v>11100</v>
      </c>
      <c r="U1898" t="s">
        <v>11100</v>
      </c>
      <c r="V1898" t="s">
        <v>11100</v>
      </c>
      <c r="W1898" t="s">
        <v>12961</v>
      </c>
      <c r="X1898">
        <v>65</v>
      </c>
      <c r="Y1898" t="s">
        <v>18442</v>
      </c>
      <c r="Z1898" t="s">
        <v>23903</v>
      </c>
      <c r="AA1898">
        <v>0.61064655198558482</v>
      </c>
      <c r="AB1898" t="str">
        <f>HYPERLINK("Melting_Curves/meltCurve_P15311_EZR.pdf", "Melting_Curves/meltCurve_P15311_EZR.pdf")</f>
        <v>Melting_Curves/meltCurve_P15311_EZR.pdf</v>
      </c>
    </row>
    <row r="1899" spans="1:28" x14ac:dyDescent="0.25">
      <c r="A1899" t="s">
        <v>1903</v>
      </c>
      <c r="B1899">
        <v>0.99299721793515405</v>
      </c>
      <c r="C1899">
        <v>1.1411326363018199</v>
      </c>
      <c r="D1899">
        <v>0.89452454776878099</v>
      </c>
      <c r="E1899">
        <v>0.92641581422878805</v>
      </c>
      <c r="F1899">
        <v>0.76348182619717597</v>
      </c>
      <c r="G1899">
        <v>0.49481049024783802</v>
      </c>
      <c r="H1899">
        <v>0.282751378780419</v>
      </c>
      <c r="I1899">
        <v>0.22367354400946099</v>
      </c>
      <c r="J1899">
        <v>0.23172061268344599</v>
      </c>
      <c r="K1899">
        <v>0.15702337118840201</v>
      </c>
      <c r="L1899">
        <v>987.04692697626501</v>
      </c>
      <c r="M1899">
        <v>18.804492990648502</v>
      </c>
      <c r="N1899">
        <v>53.648346249317399</v>
      </c>
      <c r="O1899">
        <v>51.9071505877493</v>
      </c>
      <c r="P1899">
        <v>-7.5459263612527694E-2</v>
      </c>
      <c r="Q1899">
        <v>0.16685605952926899</v>
      </c>
      <c r="R1899">
        <v>0.97452800672442996</v>
      </c>
      <c r="S1899" t="s">
        <v>7450</v>
      </c>
      <c r="T1899" t="s">
        <v>11100</v>
      </c>
      <c r="U1899" t="s">
        <v>11100</v>
      </c>
      <c r="V1899" t="s">
        <v>11100</v>
      </c>
      <c r="W1899" t="s">
        <v>12962</v>
      </c>
      <c r="X1899">
        <v>6</v>
      </c>
      <c r="Y1899" t="s">
        <v>18443</v>
      </c>
      <c r="Z1899" t="s">
        <v>23904</v>
      </c>
      <c r="AA1899">
        <v>0.60868785793574398</v>
      </c>
      <c r="AB1899" t="str">
        <f>HYPERLINK("Melting_Curves/meltCurve_P15374_UCHL3.pdf", "Melting_Curves/meltCurve_P15374_UCHL3.pdf")</f>
        <v>Melting_Curves/meltCurve_P15374_UCHL3.pdf</v>
      </c>
    </row>
    <row r="1900" spans="1:28" x14ac:dyDescent="0.25">
      <c r="A1900" t="s">
        <v>1904</v>
      </c>
      <c r="B1900">
        <v>0.99299721793515405</v>
      </c>
      <c r="C1900">
        <v>0.86186065313607496</v>
      </c>
      <c r="D1900">
        <v>0.99406185095905797</v>
      </c>
      <c r="E1900">
        <v>0.67896178545297003</v>
      </c>
      <c r="F1900">
        <v>0.72148709390501597</v>
      </c>
      <c r="G1900">
        <v>0.61140300655008395</v>
      </c>
      <c r="H1900">
        <v>0.48566553650216199</v>
      </c>
      <c r="I1900">
        <v>0.58488856855986704</v>
      </c>
      <c r="J1900">
        <v>0.52761983897266995</v>
      </c>
      <c r="K1900">
        <v>0.72608000185270605</v>
      </c>
      <c r="L1900">
        <v>876.77654956682602</v>
      </c>
      <c r="M1900">
        <v>19.222406042261699</v>
      </c>
      <c r="O1900">
        <v>45.1271773899688</v>
      </c>
      <c r="P1900">
        <v>-4.3946957070003297E-2</v>
      </c>
      <c r="Q1900">
        <v>0.58733023593656097</v>
      </c>
      <c r="R1900">
        <v>0.77212309283452896</v>
      </c>
      <c r="S1900" t="s">
        <v>7451</v>
      </c>
      <c r="T1900" t="s">
        <v>11100</v>
      </c>
      <c r="U1900" t="s">
        <v>11100</v>
      </c>
      <c r="V1900" t="s">
        <v>11100</v>
      </c>
      <c r="W1900" t="s">
        <v>12963</v>
      </c>
      <c r="X1900">
        <v>2</v>
      </c>
      <c r="Y1900" t="s">
        <v>18444</v>
      </c>
      <c r="Z1900" t="s">
        <v>23905</v>
      </c>
      <c r="AA1900">
        <v>0.71165497439404224</v>
      </c>
      <c r="AB1900" t="str">
        <f>HYPERLINK("Melting_Curves/meltCurve_P15529_16_CD46.pdf", "Melting_Curves/meltCurve_P15529_16_CD46.pdf")</f>
        <v>Melting_Curves/meltCurve_P15529_16_CD46.pdf</v>
      </c>
    </row>
    <row r="1901" spans="1:28" x14ac:dyDescent="0.25">
      <c r="A1901" t="s">
        <v>1905</v>
      </c>
      <c r="B1901">
        <v>0.99299721793515405</v>
      </c>
      <c r="C1901">
        <v>0.82506909695263697</v>
      </c>
      <c r="D1901">
        <v>0.94300128565401997</v>
      </c>
      <c r="E1901">
        <v>0.756884776430091</v>
      </c>
      <c r="F1901">
        <v>0.76900145289418298</v>
      </c>
      <c r="G1901">
        <v>0.63570241760957502</v>
      </c>
      <c r="H1901">
        <v>0.54803956315665603</v>
      </c>
      <c r="I1901">
        <v>0.48142521859665799</v>
      </c>
      <c r="J1901">
        <v>0.58485301120103395</v>
      </c>
      <c r="K1901">
        <v>0.424922357787482</v>
      </c>
      <c r="L1901">
        <v>324.93340867615001</v>
      </c>
      <c r="M1901">
        <v>6.0943305544271</v>
      </c>
      <c r="N1901">
        <v>63.210343427616799</v>
      </c>
      <c r="O1901">
        <v>48.431070913577699</v>
      </c>
      <c r="P1901">
        <v>-2.1856133914171301E-2</v>
      </c>
      <c r="Q1901">
        <v>0.30736684119406898</v>
      </c>
      <c r="R1901">
        <v>0.89893218703845001</v>
      </c>
      <c r="S1901" t="s">
        <v>7452</v>
      </c>
      <c r="T1901" t="s">
        <v>11100</v>
      </c>
      <c r="U1901" t="s">
        <v>11100</v>
      </c>
      <c r="V1901" t="s">
        <v>11100</v>
      </c>
      <c r="W1901" t="s">
        <v>12964</v>
      </c>
      <c r="X1901">
        <v>15</v>
      </c>
      <c r="Y1901" t="s">
        <v>18445</v>
      </c>
      <c r="Z1901" t="s">
        <v>23906</v>
      </c>
      <c r="AA1901">
        <v>0.69423034986823318</v>
      </c>
      <c r="AB1901" t="str">
        <f>HYPERLINK("Melting_Curves/meltCurve_P15531_NME1.pdf", "Melting_Curves/meltCurve_P15531_NME1.pdf")</f>
        <v>Melting_Curves/meltCurve_P15531_NME1.pdf</v>
      </c>
    </row>
    <row r="1902" spans="1:28" x14ac:dyDescent="0.25">
      <c r="A1902" t="s">
        <v>1906</v>
      </c>
      <c r="B1902">
        <v>0.99299721793515405</v>
      </c>
      <c r="C1902">
        <v>0.85421370670056196</v>
      </c>
      <c r="D1902">
        <v>0.90226988362750504</v>
      </c>
      <c r="E1902">
        <v>0.79810609927714604</v>
      </c>
      <c r="F1902">
        <v>0.64783816646032399</v>
      </c>
      <c r="G1902">
        <v>0.65685844702012797</v>
      </c>
      <c r="H1902">
        <v>0.45870790009395801</v>
      </c>
      <c r="I1902">
        <v>0.44613771018515103</v>
      </c>
      <c r="J1902">
        <v>0.43157867063890298</v>
      </c>
      <c r="K1902">
        <v>0.42199780440607598</v>
      </c>
      <c r="L1902">
        <v>392.27605862513599</v>
      </c>
      <c r="M1902">
        <v>7.6494497320274499</v>
      </c>
      <c r="N1902">
        <v>58.369672449002302</v>
      </c>
      <c r="O1902">
        <v>48.1294178435368</v>
      </c>
      <c r="P1902">
        <v>-2.7751070073270399E-2</v>
      </c>
      <c r="Q1902">
        <v>0.30250654466591698</v>
      </c>
      <c r="R1902">
        <v>0.95877391802548495</v>
      </c>
      <c r="S1902" t="s">
        <v>7453</v>
      </c>
      <c r="T1902" t="s">
        <v>11100</v>
      </c>
      <c r="U1902" t="s">
        <v>11100</v>
      </c>
      <c r="V1902" t="s">
        <v>11100</v>
      </c>
      <c r="W1902" t="s">
        <v>12965</v>
      </c>
      <c r="X1902">
        <v>2</v>
      </c>
      <c r="Y1902" t="s">
        <v>18446</v>
      </c>
      <c r="Z1902" t="s">
        <v>23907</v>
      </c>
      <c r="AA1902">
        <v>0.65801182747654929</v>
      </c>
      <c r="AB1902" t="str">
        <f>HYPERLINK("Melting_Curves/meltCurve_P15848_ARSB.pdf", "Melting_Curves/meltCurve_P15848_ARSB.pdf")</f>
        <v>Melting_Curves/meltCurve_P15848_ARSB.pdf</v>
      </c>
    </row>
    <row r="1903" spans="1:28" x14ac:dyDescent="0.25">
      <c r="A1903" t="s">
        <v>1907</v>
      </c>
      <c r="B1903">
        <v>0.99299721793515405</v>
      </c>
      <c r="C1903">
        <v>0.93239395976412798</v>
      </c>
      <c r="D1903">
        <v>0.90842089645093604</v>
      </c>
      <c r="E1903">
        <v>0.90852536561017305</v>
      </c>
      <c r="F1903">
        <v>0.73313075694049301</v>
      </c>
      <c r="G1903">
        <v>0.55344977988570399</v>
      </c>
      <c r="H1903">
        <v>0.27194419681764997</v>
      </c>
      <c r="I1903">
        <v>0.25699386743727598</v>
      </c>
      <c r="J1903">
        <v>0.23953828072161301</v>
      </c>
      <c r="K1903">
        <v>0.21012655341790301</v>
      </c>
      <c r="L1903">
        <v>838.20050830890705</v>
      </c>
      <c r="M1903">
        <v>15.976380753149501</v>
      </c>
      <c r="N1903">
        <v>53.929787820088102</v>
      </c>
      <c r="O1903">
        <v>51.663641229906602</v>
      </c>
      <c r="P1903">
        <v>-6.3706235545201995E-2</v>
      </c>
      <c r="Q1903">
        <v>0.176024574029641</v>
      </c>
      <c r="R1903">
        <v>0.98355144486690504</v>
      </c>
      <c r="S1903" t="s">
        <v>7454</v>
      </c>
      <c r="T1903" t="s">
        <v>11100</v>
      </c>
      <c r="U1903" t="s">
        <v>11100</v>
      </c>
      <c r="V1903" t="s">
        <v>11100</v>
      </c>
      <c r="W1903" t="s">
        <v>12966</v>
      </c>
      <c r="X1903">
        <v>8</v>
      </c>
      <c r="Y1903" t="s">
        <v>18447</v>
      </c>
      <c r="Z1903" t="s">
        <v>23908</v>
      </c>
      <c r="AA1903">
        <v>0.6150458617809752</v>
      </c>
      <c r="AB1903" t="str">
        <f>HYPERLINK("Melting_Curves/meltCurve_P15882_CHN1.pdf", "Melting_Curves/meltCurve_P15882_CHN1.pdf")</f>
        <v>Melting_Curves/meltCurve_P15882_CHN1.pdf</v>
      </c>
    </row>
    <row r="1904" spans="1:28" x14ac:dyDescent="0.25">
      <c r="A1904" t="s">
        <v>1908</v>
      </c>
      <c r="B1904">
        <v>0.99299721793515405</v>
      </c>
      <c r="C1904">
        <v>0.97854191595014794</v>
      </c>
      <c r="D1904">
        <v>0.907725545847342</v>
      </c>
      <c r="E1904">
        <v>0.89287399653934996</v>
      </c>
      <c r="F1904">
        <v>0.63022235621668798</v>
      </c>
      <c r="G1904">
        <v>0.35699316725247199</v>
      </c>
      <c r="H1904">
        <v>0.228878777462653</v>
      </c>
      <c r="I1904">
        <v>0.185655794280807</v>
      </c>
      <c r="J1904">
        <v>0.19387234645950199</v>
      </c>
      <c r="K1904">
        <v>0.14345630293637801</v>
      </c>
      <c r="L1904">
        <v>976.32789425907504</v>
      </c>
      <c r="M1904">
        <v>19.223908933002502</v>
      </c>
      <c r="N1904">
        <v>51.7645287009341</v>
      </c>
      <c r="O1904">
        <v>50.247169177934602</v>
      </c>
      <c r="P1904">
        <v>-8.1092932879618093E-2</v>
      </c>
      <c r="Q1904">
        <v>0.15219409982752799</v>
      </c>
      <c r="R1904">
        <v>0.99463099427223201</v>
      </c>
      <c r="S1904" t="s">
        <v>7455</v>
      </c>
      <c r="T1904" t="s">
        <v>11100</v>
      </c>
      <c r="U1904" t="s">
        <v>11100</v>
      </c>
      <c r="V1904" t="s">
        <v>11100</v>
      </c>
      <c r="W1904" t="s">
        <v>12967</v>
      </c>
      <c r="X1904">
        <v>6</v>
      </c>
      <c r="Y1904" t="s">
        <v>18448</v>
      </c>
      <c r="Z1904" t="s">
        <v>23909</v>
      </c>
      <c r="AA1904">
        <v>0.55369948785184564</v>
      </c>
      <c r="AB1904" t="str">
        <f>HYPERLINK("Melting_Curves/meltCurve_P15923_TCF3.pdf", "Melting_Curves/meltCurve_P15923_TCF3.pdf")</f>
        <v>Melting_Curves/meltCurve_P15923_TCF3.pdf</v>
      </c>
    </row>
    <row r="1905" spans="1:28" x14ac:dyDescent="0.25">
      <c r="A1905" t="s">
        <v>1909</v>
      </c>
      <c r="B1905">
        <v>0.99299721793515405</v>
      </c>
      <c r="C1905">
        <v>0.85019145763367199</v>
      </c>
      <c r="D1905">
        <v>1.19316426960221</v>
      </c>
      <c r="E1905">
        <v>0.84490402815284504</v>
      </c>
      <c r="F1905">
        <v>0.66140880320403606</v>
      </c>
      <c r="G1905">
        <v>0.40272714516550201</v>
      </c>
      <c r="H1905">
        <v>0.22497919328945401</v>
      </c>
      <c r="I1905">
        <v>0.24379296501911699</v>
      </c>
      <c r="J1905">
        <v>0.11523716128963001</v>
      </c>
      <c r="K1905">
        <v>0.191521425443239</v>
      </c>
      <c r="L1905">
        <v>1047.9170173546299</v>
      </c>
      <c r="M1905">
        <v>20.486748892109201</v>
      </c>
      <c r="N1905">
        <v>52.1601623356527</v>
      </c>
      <c r="O1905">
        <v>50.671080262748703</v>
      </c>
      <c r="P1905">
        <v>-8.4541036212789897E-2</v>
      </c>
      <c r="Q1905">
        <v>0.163623516923668</v>
      </c>
      <c r="R1905">
        <v>0.94272877588484005</v>
      </c>
      <c r="S1905" t="s">
        <v>7456</v>
      </c>
      <c r="T1905" t="s">
        <v>11100</v>
      </c>
      <c r="U1905" t="s">
        <v>11100</v>
      </c>
      <c r="V1905" t="s">
        <v>11100</v>
      </c>
      <c r="W1905" t="s">
        <v>12968</v>
      </c>
      <c r="X1905">
        <v>6</v>
      </c>
      <c r="Y1905" t="s">
        <v>18448</v>
      </c>
      <c r="Z1905" t="s">
        <v>23910</v>
      </c>
      <c r="AA1905">
        <v>0.56864642458047598</v>
      </c>
      <c r="AB1905" t="str">
        <f>HYPERLINK("Melting_Curves/meltCurve_P15923_2_TCF3.pdf", "Melting_Curves/meltCurve_P15923_2_TCF3.pdf")</f>
        <v>Melting_Curves/meltCurve_P15923_2_TCF3.pdf</v>
      </c>
    </row>
    <row r="1906" spans="1:28" x14ac:dyDescent="0.25">
      <c r="A1906" t="s">
        <v>1910</v>
      </c>
      <c r="B1906">
        <v>0.99299721793515405</v>
      </c>
      <c r="C1906">
        <v>0.98957385959651001</v>
      </c>
      <c r="D1906">
        <v>0.97498023550929702</v>
      </c>
      <c r="E1906">
        <v>0.79807343119914098</v>
      </c>
      <c r="F1906">
        <v>0.38784773449409299</v>
      </c>
      <c r="G1906">
        <v>0.19246577415740601</v>
      </c>
      <c r="H1906">
        <v>0.13523774841945699</v>
      </c>
      <c r="I1906">
        <v>0.12491102162442801</v>
      </c>
      <c r="J1906">
        <v>0.115343372379237</v>
      </c>
      <c r="K1906">
        <v>9.7999434718012396E-2</v>
      </c>
      <c r="L1906">
        <v>1272.7745383490501</v>
      </c>
      <c r="M1906">
        <v>26.119058757761799</v>
      </c>
      <c r="N1906">
        <v>49.215073628615997</v>
      </c>
      <c r="O1906">
        <v>48.446768702087503</v>
      </c>
      <c r="P1906">
        <v>-0.11948037010189499</v>
      </c>
      <c r="Q1906">
        <v>0.113540459226998</v>
      </c>
      <c r="R1906">
        <v>0.99959794823896098</v>
      </c>
      <c r="S1906" t="s">
        <v>7457</v>
      </c>
      <c r="T1906" t="s">
        <v>11100</v>
      </c>
      <c r="U1906" t="s">
        <v>11100</v>
      </c>
      <c r="V1906" t="s">
        <v>11100</v>
      </c>
      <c r="W1906" t="s">
        <v>12969</v>
      </c>
      <c r="X1906">
        <v>111</v>
      </c>
      <c r="Y1906" t="s">
        <v>18449</v>
      </c>
      <c r="Z1906" t="s">
        <v>23911</v>
      </c>
      <c r="AA1906">
        <v>0.46714237888006999</v>
      </c>
      <c r="AB1906" t="str">
        <f>HYPERLINK("Melting_Curves/meltCurve_P15924_DSP.pdf", "Melting_Curves/meltCurve_P15924_DSP.pdf")</f>
        <v>Melting_Curves/meltCurve_P15924_DSP.pdf</v>
      </c>
    </row>
    <row r="1907" spans="1:28" x14ac:dyDescent="0.25">
      <c r="A1907" t="s">
        <v>1911</v>
      </c>
      <c r="B1907">
        <v>0.99299721793515405</v>
      </c>
      <c r="C1907">
        <v>1.04630374659419</v>
      </c>
      <c r="D1907">
        <v>0.96288167057137997</v>
      </c>
      <c r="E1907">
        <v>0.80866025144495501</v>
      </c>
      <c r="F1907">
        <v>0.74211069404254904</v>
      </c>
      <c r="G1907">
        <v>0.58449479868096899</v>
      </c>
      <c r="H1907">
        <v>0.693154354396738</v>
      </c>
      <c r="I1907">
        <v>0.76827380609292295</v>
      </c>
      <c r="J1907">
        <v>0.29638053091453198</v>
      </c>
      <c r="K1907">
        <v>0.17493398478816699</v>
      </c>
      <c r="L1907">
        <v>416.82262169412598</v>
      </c>
      <c r="M1907">
        <v>6.9116575862607696</v>
      </c>
      <c r="N1907">
        <v>60.307185949624603</v>
      </c>
      <c r="O1907">
        <v>55.8654230562001</v>
      </c>
      <c r="P1907">
        <v>-3.0990006434215501E-2</v>
      </c>
      <c r="Q1907">
        <v>0</v>
      </c>
      <c r="R1907">
        <v>0.78770281212648396</v>
      </c>
      <c r="S1907" t="s">
        <v>7458</v>
      </c>
      <c r="T1907" t="s">
        <v>11100</v>
      </c>
      <c r="U1907" t="s">
        <v>11100</v>
      </c>
      <c r="V1907" t="s">
        <v>11100</v>
      </c>
      <c r="W1907" t="s">
        <v>12970</v>
      </c>
      <c r="X1907">
        <v>6</v>
      </c>
      <c r="Y1907" t="s">
        <v>18450</v>
      </c>
      <c r="Z1907" t="s">
        <v>23912</v>
      </c>
      <c r="AA1907">
        <v>0.71665608883020115</v>
      </c>
      <c r="AB1907" t="str">
        <f>HYPERLINK("Melting_Curves/meltCurve_P15927_RPA2.pdf", "Melting_Curves/meltCurve_P15927_RPA2.pdf")</f>
        <v>Melting_Curves/meltCurve_P15927_RPA2.pdf</v>
      </c>
    </row>
    <row r="1908" spans="1:28" x14ac:dyDescent="0.25">
      <c r="A1908" t="s">
        <v>1912</v>
      </c>
      <c r="B1908">
        <v>0.99299721793515405</v>
      </c>
      <c r="C1908">
        <v>0.98752470874570497</v>
      </c>
      <c r="D1908">
        <v>0.97448497942858403</v>
      </c>
      <c r="E1908">
        <v>0.88084080634471895</v>
      </c>
      <c r="F1908">
        <v>0.75455933939147901</v>
      </c>
      <c r="G1908">
        <v>0.57253006820725105</v>
      </c>
      <c r="H1908">
        <v>0.34561081841334701</v>
      </c>
      <c r="I1908">
        <v>0.187554759539618</v>
      </c>
      <c r="J1908">
        <v>0.146567552082319</v>
      </c>
      <c r="K1908">
        <v>0.117895102784756</v>
      </c>
      <c r="L1908">
        <v>717.14470071989604</v>
      </c>
      <c r="M1908">
        <v>13.1930220484128</v>
      </c>
      <c r="N1908">
        <v>54.599554797257497</v>
      </c>
      <c r="O1908">
        <v>53.154515503152801</v>
      </c>
      <c r="P1908">
        <v>-6.0300582402254402E-2</v>
      </c>
      <c r="Q1908">
        <v>2.8361213704670901E-2</v>
      </c>
      <c r="R1908">
        <v>0.998206796203993</v>
      </c>
      <c r="S1908" t="s">
        <v>7459</v>
      </c>
      <c r="T1908" t="s">
        <v>11100</v>
      </c>
      <c r="U1908" t="s">
        <v>11100</v>
      </c>
      <c r="V1908" t="s">
        <v>11100</v>
      </c>
      <c r="W1908" t="s">
        <v>12971</v>
      </c>
      <c r="X1908">
        <v>23</v>
      </c>
      <c r="Y1908" t="s">
        <v>18451</v>
      </c>
      <c r="Z1908" t="s">
        <v>23913</v>
      </c>
      <c r="AA1908">
        <v>0.60650757130210342</v>
      </c>
      <c r="AB1908" t="str">
        <f>HYPERLINK("Melting_Curves/meltCurve_P16152_CBR1.pdf", "Melting_Curves/meltCurve_P16152_CBR1.pdf")</f>
        <v>Melting_Curves/meltCurve_P16152_CBR1.pdf</v>
      </c>
    </row>
    <row r="1909" spans="1:28" x14ac:dyDescent="0.25">
      <c r="A1909" t="s">
        <v>1913</v>
      </c>
      <c r="B1909">
        <v>0.99299721793515405</v>
      </c>
      <c r="C1909">
        <v>0.79926835563466203</v>
      </c>
      <c r="D1909">
        <v>0.78087686253289601</v>
      </c>
      <c r="E1909">
        <v>0.57288661798137497</v>
      </c>
      <c r="F1909">
        <v>0.55393168543956395</v>
      </c>
      <c r="G1909">
        <v>0.13739817533956999</v>
      </c>
      <c r="H1909">
        <v>0.51700425007518402</v>
      </c>
      <c r="I1909">
        <v>0.381292943605331</v>
      </c>
      <c r="J1909">
        <v>0.48660257463274198</v>
      </c>
      <c r="K1909">
        <v>8.7586039600255905E-2</v>
      </c>
      <c r="L1909">
        <v>496.32476023164497</v>
      </c>
      <c r="M1909">
        <v>10.9750423184094</v>
      </c>
      <c r="N1909">
        <v>49.045843645256497</v>
      </c>
      <c r="O1909">
        <v>43.799390368507702</v>
      </c>
      <c r="P1909">
        <v>-4.4652007330563098E-2</v>
      </c>
      <c r="Q1909">
        <v>0.28745011965568901</v>
      </c>
      <c r="R1909">
        <v>0.73848168678331505</v>
      </c>
      <c r="S1909" t="s">
        <v>7460</v>
      </c>
      <c r="T1909" t="s">
        <v>11100</v>
      </c>
      <c r="U1909" t="s">
        <v>11100</v>
      </c>
      <c r="V1909" t="s">
        <v>11100</v>
      </c>
      <c r="W1909" t="s">
        <v>12972</v>
      </c>
      <c r="X1909">
        <v>4</v>
      </c>
      <c r="Y1909" t="s">
        <v>18452</v>
      </c>
      <c r="Z1909" t="s">
        <v>23914</v>
      </c>
      <c r="AA1909">
        <v>0.51263885576925172</v>
      </c>
      <c r="AB1909" t="str">
        <f>HYPERLINK("Melting_Curves/meltCurve_P16220_3_CREB1.pdf", "Melting_Curves/meltCurve_P16220_3_CREB1.pdf")</f>
        <v>Melting_Curves/meltCurve_P16220_3_CREB1.pdf</v>
      </c>
    </row>
    <row r="1910" spans="1:28" x14ac:dyDescent="0.25">
      <c r="A1910" t="s">
        <v>1914</v>
      </c>
      <c r="B1910">
        <v>0.99299721793515405</v>
      </c>
      <c r="C1910">
        <v>0.94539357357681697</v>
      </c>
      <c r="D1910">
        <v>0.91696179760869501</v>
      </c>
      <c r="E1910">
        <v>0.85130852082333996</v>
      </c>
      <c r="F1910">
        <v>0.72638038577674102</v>
      </c>
      <c r="G1910">
        <v>0.58599822772924504</v>
      </c>
      <c r="H1910">
        <v>0.37030768123499502</v>
      </c>
      <c r="I1910">
        <v>0.22319893581821901</v>
      </c>
      <c r="J1910">
        <v>0.16364990957014999</v>
      </c>
      <c r="K1910">
        <v>0.14512489421914199</v>
      </c>
      <c r="L1910">
        <v>575.39978028829501</v>
      </c>
      <c r="M1910">
        <v>10.5144481863775</v>
      </c>
      <c r="N1910">
        <v>54.7246740241685</v>
      </c>
      <c r="O1910">
        <v>52.8563283728394</v>
      </c>
      <c r="P1910">
        <v>-4.9751220542434998E-2</v>
      </c>
      <c r="Q1910">
        <v>0</v>
      </c>
      <c r="R1910">
        <v>0.99484492899801202</v>
      </c>
      <c r="S1910" t="s">
        <v>7461</v>
      </c>
      <c r="T1910" t="s">
        <v>11100</v>
      </c>
      <c r="U1910" t="s">
        <v>11100</v>
      </c>
      <c r="V1910" t="s">
        <v>11100</v>
      </c>
      <c r="W1910" t="s">
        <v>12973</v>
      </c>
      <c r="X1910">
        <v>15</v>
      </c>
      <c r="Y1910" t="s">
        <v>18453</v>
      </c>
      <c r="Z1910" t="s">
        <v>23915</v>
      </c>
      <c r="AA1910">
        <v>0.60517900072734065</v>
      </c>
      <c r="AB1910" t="str">
        <f>HYPERLINK("Melting_Curves/meltCurve_P16298_PPP3CB.pdf", "Melting_Curves/meltCurve_P16298_PPP3CB.pdf")</f>
        <v>Melting_Curves/meltCurve_P16298_PPP3CB.pdf</v>
      </c>
    </row>
    <row r="1911" spans="1:28" x14ac:dyDescent="0.25">
      <c r="A1911" t="s">
        <v>1915</v>
      </c>
      <c r="B1911">
        <v>0.99299721793515405</v>
      </c>
      <c r="C1911">
        <v>1.0341985555101401</v>
      </c>
      <c r="D1911">
        <v>1.2938851637744</v>
      </c>
      <c r="E1911">
        <v>0.93577186687436698</v>
      </c>
      <c r="F1911">
        <v>0.59576979311099298</v>
      </c>
      <c r="G1911">
        <v>0.30699164661788902</v>
      </c>
      <c r="H1911">
        <v>0.202486437902759</v>
      </c>
      <c r="I1911">
        <v>0.187820344480499</v>
      </c>
      <c r="J1911">
        <v>0.19421579814231699</v>
      </c>
      <c r="K1911">
        <v>0.164959914218409</v>
      </c>
      <c r="L1911">
        <v>1607.73854901442</v>
      </c>
      <c r="M1911">
        <v>31.942971880663599</v>
      </c>
      <c r="N1911">
        <v>51.080960915318798</v>
      </c>
      <c r="O1911">
        <v>50.135501868834297</v>
      </c>
      <c r="P1911">
        <v>-0.12948550202122899</v>
      </c>
      <c r="Q1911">
        <v>0.187077898067667</v>
      </c>
      <c r="R1911">
        <v>0.94645513726865804</v>
      </c>
      <c r="S1911" t="s">
        <v>7462</v>
      </c>
      <c r="T1911" t="s">
        <v>11100</v>
      </c>
      <c r="U1911" t="s">
        <v>11100</v>
      </c>
      <c r="V1911" t="s">
        <v>11100</v>
      </c>
      <c r="W1911" t="s">
        <v>12974</v>
      </c>
      <c r="X1911">
        <v>12</v>
      </c>
      <c r="Y1911" t="s">
        <v>18454</v>
      </c>
      <c r="Z1911" t="s">
        <v>23916</v>
      </c>
      <c r="AA1911">
        <v>0.55275743107945663</v>
      </c>
      <c r="AB1911" t="str">
        <f>HYPERLINK("Melting_Curves/meltCurve_P16383_GCFC2.pdf", "Melting_Curves/meltCurve_P16383_GCFC2.pdf")</f>
        <v>Melting_Curves/meltCurve_P16383_GCFC2.pdf</v>
      </c>
    </row>
    <row r="1912" spans="1:28" x14ac:dyDescent="0.25">
      <c r="A1912" t="s">
        <v>1916</v>
      </c>
      <c r="B1912">
        <v>0.99299721793515405</v>
      </c>
      <c r="C1912">
        <v>0.889507787130149</v>
      </c>
      <c r="D1912">
        <v>0.97795023610289999</v>
      </c>
      <c r="E1912">
        <v>0.93026150283855202</v>
      </c>
      <c r="F1912">
        <v>0.76064152632086901</v>
      </c>
      <c r="G1912">
        <v>0.61163486373201503</v>
      </c>
      <c r="H1912">
        <v>0.62614172177909599</v>
      </c>
      <c r="I1912">
        <v>0.70163395985832899</v>
      </c>
      <c r="J1912">
        <v>0.75999964286949995</v>
      </c>
      <c r="K1912">
        <v>0.56126601773033502</v>
      </c>
      <c r="L1912">
        <v>1661.60122983068</v>
      </c>
      <c r="M1912">
        <v>34.130144869966401</v>
      </c>
      <c r="O1912">
        <v>48.5180464166937</v>
      </c>
      <c r="P1912">
        <v>-6.1255289803434698E-2</v>
      </c>
      <c r="Q1912">
        <v>0.65168909616500303</v>
      </c>
      <c r="R1912">
        <v>0.828072815776699</v>
      </c>
      <c r="S1912" t="s">
        <v>7463</v>
      </c>
      <c r="T1912" t="s">
        <v>11100</v>
      </c>
      <c r="U1912" t="s">
        <v>11100</v>
      </c>
      <c r="V1912" t="s">
        <v>11100</v>
      </c>
      <c r="W1912" t="s">
        <v>12975</v>
      </c>
      <c r="X1912">
        <v>10</v>
      </c>
      <c r="Y1912" t="s">
        <v>18455</v>
      </c>
      <c r="Z1912" t="s">
        <v>23917</v>
      </c>
      <c r="AA1912">
        <v>0.78896073541834022</v>
      </c>
      <c r="AB1912" t="str">
        <f>HYPERLINK("Melting_Curves/meltCurve_P16403_HIST1H1C.pdf", "Melting_Curves/meltCurve_P16403_HIST1H1C.pdf")</f>
        <v>Melting_Curves/meltCurve_P16403_HIST1H1C.pdf</v>
      </c>
    </row>
    <row r="1913" spans="1:28" x14ac:dyDescent="0.25">
      <c r="A1913" t="s">
        <v>1917</v>
      </c>
      <c r="B1913">
        <v>0.99299721793515405</v>
      </c>
      <c r="C1913">
        <v>0.99647194802969496</v>
      </c>
      <c r="D1913">
        <v>0.98558657213920697</v>
      </c>
      <c r="E1913">
        <v>0.84614351626656603</v>
      </c>
      <c r="F1913">
        <v>0.738799510615755</v>
      </c>
      <c r="G1913">
        <v>0.49631321228141301</v>
      </c>
      <c r="H1913">
        <v>0.25179595385353798</v>
      </c>
      <c r="I1913">
        <v>0.20223835470587301</v>
      </c>
      <c r="J1913">
        <v>0.18902169530465701</v>
      </c>
      <c r="K1913">
        <v>0.13980561858700699</v>
      </c>
      <c r="L1913">
        <v>832.27616190653305</v>
      </c>
      <c r="M1913">
        <v>15.8512364181249</v>
      </c>
      <c r="N1913">
        <v>53.391202580810102</v>
      </c>
      <c r="O1913">
        <v>51.691118201931999</v>
      </c>
      <c r="P1913">
        <v>-6.7805125375104303E-2</v>
      </c>
      <c r="Q1913">
        <v>0.115618271697581</v>
      </c>
      <c r="R1913">
        <v>0.99457655807489298</v>
      </c>
      <c r="S1913" t="s">
        <v>7464</v>
      </c>
      <c r="T1913" t="s">
        <v>11100</v>
      </c>
      <c r="U1913" t="s">
        <v>11100</v>
      </c>
      <c r="V1913" t="s">
        <v>11100</v>
      </c>
      <c r="W1913" t="s">
        <v>12976</v>
      </c>
      <c r="X1913">
        <v>22</v>
      </c>
      <c r="Y1913" t="s">
        <v>18456</v>
      </c>
      <c r="Z1913" t="s">
        <v>23918</v>
      </c>
      <c r="AA1913">
        <v>0.5881216752174685</v>
      </c>
      <c r="AB1913" t="str">
        <f>HYPERLINK("Melting_Curves/meltCurve_P16435_POR.pdf", "Melting_Curves/meltCurve_P16435_POR.pdf")</f>
        <v>Melting_Curves/meltCurve_P16435_POR.pdf</v>
      </c>
    </row>
    <row r="1914" spans="1:28" x14ac:dyDescent="0.25">
      <c r="A1914" t="s">
        <v>1918</v>
      </c>
      <c r="B1914">
        <v>0.99299721793515405</v>
      </c>
      <c r="C1914">
        <v>0.96716568779289003</v>
      </c>
      <c r="D1914">
        <v>0.946279607242003</v>
      </c>
      <c r="E1914">
        <v>0.79401054869481202</v>
      </c>
      <c r="F1914">
        <v>0.42235228464962599</v>
      </c>
      <c r="G1914">
        <v>0.17980781965436601</v>
      </c>
      <c r="H1914">
        <v>0.144122776871456</v>
      </c>
      <c r="I1914">
        <v>0.12614837713497901</v>
      </c>
      <c r="J1914">
        <v>0.124970180771155</v>
      </c>
      <c r="K1914">
        <v>9.6558449324196702E-2</v>
      </c>
      <c r="L1914">
        <v>1170.0400797904099</v>
      </c>
      <c r="M1914">
        <v>23.948334890267098</v>
      </c>
      <c r="N1914">
        <v>49.371202623099698</v>
      </c>
      <c r="O1914">
        <v>48.520003977911998</v>
      </c>
      <c r="P1914">
        <v>-0.109772666820002</v>
      </c>
      <c r="Q1914">
        <v>0.110404068473031</v>
      </c>
      <c r="R1914">
        <v>0.99840831797663698</v>
      </c>
      <c r="S1914" t="s">
        <v>7465</v>
      </c>
      <c r="T1914" t="s">
        <v>11100</v>
      </c>
      <c r="U1914" t="s">
        <v>11100</v>
      </c>
      <c r="V1914" t="s">
        <v>11100</v>
      </c>
      <c r="W1914" t="s">
        <v>12977</v>
      </c>
      <c r="X1914">
        <v>9</v>
      </c>
      <c r="Y1914" t="s">
        <v>18457</v>
      </c>
      <c r="Z1914" t="s">
        <v>23919</v>
      </c>
      <c r="AA1914">
        <v>0.47033756386043452</v>
      </c>
      <c r="AB1914" t="str">
        <f>HYPERLINK("Melting_Curves/meltCurve_P16591_3_FER.pdf", "Melting_Curves/meltCurve_P16591_3_FER.pdf")</f>
        <v>Melting_Curves/meltCurve_P16591_3_FER.pdf</v>
      </c>
    </row>
    <row r="1915" spans="1:28" x14ac:dyDescent="0.25">
      <c r="A1915" t="s">
        <v>1919</v>
      </c>
      <c r="B1915">
        <v>0.99299721793515405</v>
      </c>
      <c r="C1915">
        <v>0.96137011501110503</v>
      </c>
      <c r="D1915">
        <v>0.95170496827561901</v>
      </c>
      <c r="E1915">
        <v>0.82080824003651198</v>
      </c>
      <c r="F1915">
        <v>0.74289429870533297</v>
      </c>
      <c r="G1915">
        <v>0.56207615867093497</v>
      </c>
      <c r="H1915">
        <v>0.17627691563692299</v>
      </c>
      <c r="I1915">
        <v>0.13606194972556501</v>
      </c>
      <c r="J1915">
        <v>0.12035792272578801</v>
      </c>
      <c r="K1915">
        <v>0.104910808772117</v>
      </c>
      <c r="L1915">
        <v>792.55940886665803</v>
      </c>
      <c r="M1915">
        <v>14.8931963058817</v>
      </c>
      <c r="N1915">
        <v>53.440655016688503</v>
      </c>
      <c r="O1915">
        <v>52.284404372755198</v>
      </c>
      <c r="P1915">
        <v>-6.9060725823045094E-2</v>
      </c>
      <c r="Q1915">
        <v>3.0315935238087899E-2</v>
      </c>
      <c r="R1915">
        <v>0.98003510910062597</v>
      </c>
      <c r="S1915" t="s">
        <v>7466</v>
      </c>
      <c r="T1915" t="s">
        <v>11100</v>
      </c>
      <c r="U1915" t="s">
        <v>11100</v>
      </c>
      <c r="V1915" t="s">
        <v>11100</v>
      </c>
      <c r="W1915" t="s">
        <v>12978</v>
      </c>
      <c r="X1915">
        <v>39</v>
      </c>
      <c r="Y1915" t="s">
        <v>18458</v>
      </c>
      <c r="Z1915" t="s">
        <v>23920</v>
      </c>
      <c r="AA1915">
        <v>0.57157303032702034</v>
      </c>
      <c r="AB1915" t="str">
        <f>HYPERLINK("Melting_Curves/meltCurve_P16615_ATP2A2.pdf", "Melting_Curves/meltCurve_P16615_ATP2A2.pdf")</f>
        <v>Melting_Curves/meltCurve_P16615_ATP2A2.pdf</v>
      </c>
    </row>
    <row r="1916" spans="1:28" x14ac:dyDescent="0.25">
      <c r="A1916" t="s">
        <v>1920</v>
      </c>
      <c r="B1916">
        <v>0.99299721793515405</v>
      </c>
      <c r="C1916">
        <v>0.93829358187033396</v>
      </c>
      <c r="D1916">
        <v>0.91251959913654301</v>
      </c>
      <c r="E1916">
        <v>0.80495693438234495</v>
      </c>
      <c r="F1916">
        <v>0.72957737456265004</v>
      </c>
      <c r="G1916">
        <v>0.51424336528298598</v>
      </c>
      <c r="H1916">
        <v>0.59250756266369498</v>
      </c>
      <c r="I1916">
        <v>0.74063141484564399</v>
      </c>
      <c r="J1916">
        <v>0.79360744010108397</v>
      </c>
      <c r="K1916">
        <v>0.708122909920889</v>
      </c>
      <c r="L1916">
        <v>1010.16575600281</v>
      </c>
      <c r="M1916">
        <v>22.428440975433201</v>
      </c>
      <c r="O1916">
        <v>44.6860308769973</v>
      </c>
      <c r="P1916">
        <v>-4.0715546405641297E-2</v>
      </c>
      <c r="Q1916">
        <v>0.67552294787866596</v>
      </c>
      <c r="R1916">
        <v>0.713008139044086</v>
      </c>
      <c r="S1916" t="s">
        <v>7467</v>
      </c>
      <c r="T1916" t="s">
        <v>11100</v>
      </c>
      <c r="U1916" t="s">
        <v>11100</v>
      </c>
      <c r="V1916" t="s">
        <v>11100</v>
      </c>
      <c r="W1916" t="s">
        <v>12979</v>
      </c>
      <c r="X1916">
        <v>8</v>
      </c>
      <c r="Y1916" t="s">
        <v>18459</v>
      </c>
      <c r="Z1916" t="s">
        <v>23921</v>
      </c>
      <c r="AA1916">
        <v>0.76582521035222739</v>
      </c>
      <c r="AB1916" t="str">
        <f>HYPERLINK("Melting_Curves/meltCurve_P16930_FAH.pdf", "Melting_Curves/meltCurve_P16930_FAH.pdf")</f>
        <v>Melting_Curves/meltCurve_P16930_FAH.pdf</v>
      </c>
    </row>
    <row r="1917" spans="1:28" x14ac:dyDescent="0.25">
      <c r="A1917" t="s">
        <v>1921</v>
      </c>
      <c r="B1917">
        <v>0.99299721793515405</v>
      </c>
      <c r="C1917">
        <v>1.01070268444577</v>
      </c>
      <c r="D1917">
        <v>1.1383861246748599</v>
      </c>
      <c r="E1917">
        <v>0.97594153158613395</v>
      </c>
      <c r="F1917">
        <v>0.77674741160243199</v>
      </c>
      <c r="G1917">
        <v>0.716341151567225</v>
      </c>
      <c r="H1917">
        <v>0.61627503046588294</v>
      </c>
      <c r="I1917">
        <v>0.74166496487425904</v>
      </c>
      <c r="J1917">
        <v>0.93981005341843105</v>
      </c>
      <c r="K1917">
        <v>0.793576614355611</v>
      </c>
      <c r="L1917">
        <v>3325.1452241740399</v>
      </c>
      <c r="M1917">
        <v>69.108686011669704</v>
      </c>
      <c r="O1917">
        <v>48.074481682379798</v>
      </c>
      <c r="P1917">
        <v>-8.5574039035779703E-2</v>
      </c>
      <c r="Q1917">
        <v>0.76188656934765098</v>
      </c>
      <c r="R1917">
        <v>0.68724790604356001</v>
      </c>
      <c r="S1917" t="s">
        <v>7468</v>
      </c>
      <c r="T1917" t="s">
        <v>11100</v>
      </c>
      <c r="U1917" t="s">
        <v>11100</v>
      </c>
      <c r="V1917" t="s">
        <v>11100</v>
      </c>
      <c r="W1917" t="s">
        <v>11303</v>
      </c>
      <c r="X1917">
        <v>29</v>
      </c>
      <c r="Y1917" t="s">
        <v>18460</v>
      </c>
      <c r="Z1917" t="s">
        <v>23922</v>
      </c>
      <c r="AA1917">
        <v>0.85036921537617283</v>
      </c>
      <c r="AB1917" t="str">
        <f>HYPERLINK("Melting_Curves/meltCurve_P16949_STMN1.pdf", "Melting_Curves/meltCurve_P16949_STMN1.pdf")</f>
        <v>Melting_Curves/meltCurve_P16949_STMN1.pdf</v>
      </c>
    </row>
    <row r="1918" spans="1:28" x14ac:dyDescent="0.25">
      <c r="A1918" t="s">
        <v>1922</v>
      </c>
      <c r="B1918">
        <v>0.99299721793515405</v>
      </c>
      <c r="C1918">
        <v>1.0827201524074599</v>
      </c>
      <c r="D1918">
        <v>0.906668884361988</v>
      </c>
      <c r="E1918">
        <v>1.01452034225943</v>
      </c>
      <c r="F1918">
        <v>1.0299868230909099</v>
      </c>
      <c r="G1918">
        <v>0.58967579032648398</v>
      </c>
      <c r="H1918">
        <v>0.58153974389547702</v>
      </c>
      <c r="I1918">
        <v>0.52578458514517001</v>
      </c>
      <c r="J1918">
        <v>0.60221440915187296</v>
      </c>
      <c r="K1918">
        <v>0.514613059249728</v>
      </c>
      <c r="L1918">
        <v>13315.4305185833</v>
      </c>
      <c r="M1918">
        <v>250</v>
      </c>
      <c r="O1918">
        <v>53.2583098268925</v>
      </c>
      <c r="P1918">
        <v>-0.52100090916739705</v>
      </c>
      <c r="Q1918">
        <v>0.55603792293758003</v>
      </c>
      <c r="R1918">
        <v>0.95683958792130397</v>
      </c>
      <c r="S1918" t="s">
        <v>7469</v>
      </c>
      <c r="T1918" t="s">
        <v>11100</v>
      </c>
      <c r="U1918" t="s">
        <v>11100</v>
      </c>
      <c r="V1918" t="s">
        <v>11100</v>
      </c>
      <c r="W1918" t="s">
        <v>12980</v>
      </c>
      <c r="X1918">
        <v>7</v>
      </c>
      <c r="Y1918" t="s">
        <v>18461</v>
      </c>
      <c r="Z1918" t="s">
        <v>23923</v>
      </c>
      <c r="AA1918">
        <v>0.79673235191491032</v>
      </c>
      <c r="AB1918" t="str">
        <f>HYPERLINK("Melting_Curves/meltCurve_P16989_YBX3.pdf", "Melting_Curves/meltCurve_P16989_YBX3.pdf")</f>
        <v>Melting_Curves/meltCurve_P16989_YBX3.pdf</v>
      </c>
    </row>
    <row r="1919" spans="1:28" x14ac:dyDescent="0.25">
      <c r="A1919" t="s">
        <v>1923</v>
      </c>
      <c r="B1919">
        <v>0.99299721793515405</v>
      </c>
      <c r="C1919">
        <v>1.05535803129461</v>
      </c>
      <c r="D1919">
        <v>0.94341913070362304</v>
      </c>
      <c r="E1919">
        <v>0.83037613823245904</v>
      </c>
      <c r="F1919">
        <v>0.77196392525883795</v>
      </c>
      <c r="G1919">
        <v>0.62678379889709401</v>
      </c>
      <c r="H1919">
        <v>0.485326373456407</v>
      </c>
      <c r="I1919">
        <v>0.48127443566947098</v>
      </c>
      <c r="J1919">
        <v>0.42962165906208499</v>
      </c>
      <c r="K1919">
        <v>0.35549246145414498</v>
      </c>
      <c r="L1919">
        <v>583.05936984172695</v>
      </c>
      <c r="M1919">
        <v>11.090269442771501</v>
      </c>
      <c r="N1919">
        <v>58.188633190503701</v>
      </c>
      <c r="O1919">
        <v>50.951405112162597</v>
      </c>
      <c r="P1919">
        <v>-3.6551436029483998E-2</v>
      </c>
      <c r="Q1919">
        <v>0.32851464183072498</v>
      </c>
      <c r="R1919">
        <v>0.981019168978426</v>
      </c>
      <c r="S1919" t="s">
        <v>7470</v>
      </c>
      <c r="T1919" t="s">
        <v>11100</v>
      </c>
      <c r="U1919" t="s">
        <v>11100</v>
      </c>
      <c r="V1919" t="s">
        <v>11100</v>
      </c>
      <c r="W1919" t="s">
        <v>12981</v>
      </c>
      <c r="X1919">
        <v>7</v>
      </c>
      <c r="Y1919" t="s">
        <v>18461</v>
      </c>
      <c r="Z1919" t="s">
        <v>23924</v>
      </c>
      <c r="AA1919">
        <v>0.69274632717769213</v>
      </c>
      <c r="AB1919" t="str">
        <f>HYPERLINK("Melting_Curves/meltCurve_P16989_2_YBX3.pdf", "Melting_Curves/meltCurve_P16989_2_YBX3.pdf")</f>
        <v>Melting_Curves/meltCurve_P16989_2_YBX3.pdf</v>
      </c>
    </row>
    <row r="1920" spans="1:28" x14ac:dyDescent="0.25">
      <c r="A1920" t="s">
        <v>1924</v>
      </c>
      <c r="B1920">
        <v>0.99299721793515405</v>
      </c>
      <c r="C1920">
        <v>0.90550555170022295</v>
      </c>
      <c r="D1920">
        <v>1.1670875603917801</v>
      </c>
      <c r="E1920">
        <v>0.77228258099563996</v>
      </c>
      <c r="F1920">
        <v>0.56915416640749805</v>
      </c>
      <c r="G1920">
        <v>0.52478985109910703</v>
      </c>
      <c r="H1920">
        <v>0.33471784231435803</v>
      </c>
      <c r="I1920">
        <v>0.33884827961273001</v>
      </c>
      <c r="J1920">
        <v>0.226598109781774</v>
      </c>
      <c r="K1920">
        <v>0.17950427957402099</v>
      </c>
      <c r="L1920">
        <v>717.78833317322096</v>
      </c>
      <c r="M1920">
        <v>14.0788779321555</v>
      </c>
      <c r="N1920">
        <v>52.935899476966298</v>
      </c>
      <c r="O1920">
        <v>49.987813921394697</v>
      </c>
      <c r="P1920">
        <v>-5.6158302371536802E-2</v>
      </c>
      <c r="Q1920">
        <v>0.202530937377042</v>
      </c>
      <c r="R1920">
        <v>0.92857813031862801</v>
      </c>
      <c r="S1920" t="s">
        <v>7471</v>
      </c>
      <c r="T1920" t="s">
        <v>11100</v>
      </c>
      <c r="U1920" t="s">
        <v>11100</v>
      </c>
      <c r="V1920" t="s">
        <v>11100</v>
      </c>
      <c r="W1920" t="s">
        <v>12982</v>
      </c>
      <c r="X1920">
        <v>2</v>
      </c>
      <c r="Y1920" t="s">
        <v>18462</v>
      </c>
      <c r="Z1920" t="s">
        <v>23925</v>
      </c>
      <c r="AA1920">
        <v>0.59165072259731721</v>
      </c>
      <c r="AB1920" t="str">
        <f>HYPERLINK("Melting_Curves/meltCurve_P17028_ZNF24.pdf", "Melting_Curves/meltCurve_P17028_ZNF24.pdf")</f>
        <v>Melting_Curves/meltCurve_P17028_ZNF24.pdf</v>
      </c>
    </row>
    <row r="1921" spans="1:28" x14ac:dyDescent="0.25">
      <c r="A1921" t="s">
        <v>1925</v>
      </c>
      <c r="B1921">
        <v>0.99299721793515405</v>
      </c>
      <c r="C1921">
        <v>0.95696423079739001</v>
      </c>
      <c r="D1921">
        <v>0.83958831085619501</v>
      </c>
      <c r="E1921">
        <v>0.89535034880741404</v>
      </c>
      <c r="F1921">
        <v>0.71914837115407404</v>
      </c>
      <c r="G1921">
        <v>0.54394199614513306</v>
      </c>
      <c r="H1921">
        <v>0.59494129002809704</v>
      </c>
      <c r="I1921">
        <v>0.71439602769980304</v>
      </c>
      <c r="J1921">
        <v>0.66870958026566296</v>
      </c>
      <c r="K1921">
        <v>0.27991931642206502</v>
      </c>
      <c r="L1921">
        <v>258.42067661535702</v>
      </c>
      <c r="M1921">
        <v>4.0064551091206804</v>
      </c>
      <c r="N1921">
        <v>64.501101833805393</v>
      </c>
      <c r="O1921">
        <v>52.9796009592188</v>
      </c>
      <c r="P1921">
        <v>-1.9147410532794399E-2</v>
      </c>
      <c r="Q1921">
        <v>0</v>
      </c>
      <c r="R1921">
        <v>0.71891234725934205</v>
      </c>
      <c r="S1921" t="s">
        <v>7472</v>
      </c>
      <c r="T1921" t="s">
        <v>11100</v>
      </c>
      <c r="U1921" t="s">
        <v>11100</v>
      </c>
      <c r="V1921" t="s">
        <v>11100</v>
      </c>
      <c r="W1921" t="s">
        <v>12983</v>
      </c>
      <c r="X1921">
        <v>7</v>
      </c>
      <c r="Y1921" t="s">
        <v>18463</v>
      </c>
      <c r="Z1921" t="s">
        <v>23926</v>
      </c>
      <c r="AA1921">
        <v>0.71901404093041288</v>
      </c>
      <c r="AB1921" t="str">
        <f>HYPERLINK("Melting_Curves/meltCurve_P17050_NAGA.pdf", "Melting_Curves/meltCurve_P17050_NAGA.pdf")</f>
        <v>Melting_Curves/meltCurve_P17050_NAGA.pdf</v>
      </c>
    </row>
    <row r="1922" spans="1:28" x14ac:dyDescent="0.25">
      <c r="A1922" t="s">
        <v>1926</v>
      </c>
      <c r="B1922">
        <v>0.99299721793515405</v>
      </c>
      <c r="C1922">
        <v>0.99668572011446999</v>
      </c>
      <c r="D1922">
        <v>0.846413266226273</v>
      </c>
      <c r="E1922">
        <v>0.85765678316650795</v>
      </c>
      <c r="F1922">
        <v>0.75720298673615105</v>
      </c>
      <c r="G1922">
        <v>0.60754467711592197</v>
      </c>
      <c r="H1922">
        <v>0.56910471353297798</v>
      </c>
      <c r="I1922">
        <v>0.18320507307741599</v>
      </c>
      <c r="J1922">
        <v>9.9566633150386594E-2</v>
      </c>
      <c r="K1922">
        <v>8.3658927066563402E-2</v>
      </c>
      <c r="L1922">
        <v>652.73839823975004</v>
      </c>
      <c r="M1922">
        <v>11.7394628052936</v>
      </c>
      <c r="N1922">
        <v>55.602067101349803</v>
      </c>
      <c r="O1922">
        <v>54.062208656480699</v>
      </c>
      <c r="P1922">
        <v>-5.4301072123474799E-2</v>
      </c>
      <c r="Q1922">
        <v>0</v>
      </c>
      <c r="R1922">
        <v>0.95100814075506801</v>
      </c>
      <c r="S1922" t="s">
        <v>7473</v>
      </c>
      <c r="T1922" t="s">
        <v>11100</v>
      </c>
      <c r="U1922" t="s">
        <v>11100</v>
      </c>
      <c r="V1922" t="s">
        <v>11100</v>
      </c>
      <c r="W1922" t="s">
        <v>12984</v>
      </c>
      <c r="X1922">
        <v>25</v>
      </c>
      <c r="Y1922" t="s">
        <v>18464</v>
      </c>
      <c r="Z1922" t="s">
        <v>23927</v>
      </c>
      <c r="AA1922">
        <v>0.63144325659476375</v>
      </c>
      <c r="AB1922" t="str">
        <f>HYPERLINK("Melting_Curves/meltCurve_P17066_HSPA6.pdf", "Melting_Curves/meltCurve_P17066_HSPA6.pdf")</f>
        <v>Melting_Curves/meltCurve_P17066_HSPA6.pdf</v>
      </c>
    </row>
    <row r="1923" spans="1:28" x14ac:dyDescent="0.25">
      <c r="A1923" t="s">
        <v>1927</v>
      </c>
      <c r="B1923">
        <v>0.99299721793515405</v>
      </c>
      <c r="C1923">
        <v>0.82860148967179403</v>
      </c>
      <c r="D1923">
        <v>1.2206392634987799</v>
      </c>
      <c r="E1923">
        <v>1.48647960721574</v>
      </c>
      <c r="F1923">
        <v>0.86195487550919303</v>
      </c>
      <c r="G1923">
        <v>0.51588507560873798</v>
      </c>
      <c r="H1923">
        <v>0.66261703484551704</v>
      </c>
      <c r="I1923">
        <v>0.45518021648026902</v>
      </c>
      <c r="J1923">
        <v>0.48440780649301501</v>
      </c>
      <c r="K1923">
        <v>0.19653729536203901</v>
      </c>
      <c r="L1923">
        <v>2514.1192545696999</v>
      </c>
      <c r="M1923">
        <v>48.711322623848702</v>
      </c>
      <c r="N1923">
        <v>54.1226069920207</v>
      </c>
      <c r="O1923">
        <v>51.525857601579901</v>
      </c>
      <c r="P1923">
        <v>-0.13051545254622399</v>
      </c>
      <c r="Q1923">
        <v>0.44777399023019299</v>
      </c>
      <c r="R1923">
        <v>0.68667855262021005</v>
      </c>
      <c r="S1923" t="s">
        <v>7474</v>
      </c>
      <c r="T1923" t="s">
        <v>11100</v>
      </c>
      <c r="U1923" t="s">
        <v>11100</v>
      </c>
      <c r="V1923" t="s">
        <v>11100</v>
      </c>
      <c r="W1923" t="s">
        <v>12985</v>
      </c>
      <c r="X1923">
        <v>1</v>
      </c>
      <c r="Y1923" t="s">
        <v>18465</v>
      </c>
      <c r="Z1923" t="s">
        <v>23928</v>
      </c>
      <c r="AA1923">
        <v>0.71808093546981755</v>
      </c>
      <c r="AB1923" t="str">
        <f>HYPERLINK("Melting_Curves/meltCurve_P17096_2_HMGA1.pdf", "Melting_Curves/meltCurve_P17096_2_HMGA1.pdf")</f>
        <v>Melting_Curves/meltCurve_P17096_2_HMGA1.pdf</v>
      </c>
    </row>
    <row r="1924" spans="1:28" x14ac:dyDescent="0.25">
      <c r="A1924" t="s">
        <v>1928</v>
      </c>
      <c r="B1924">
        <v>0.99299721793515405</v>
      </c>
      <c r="C1924">
        <v>0.865479868786457</v>
      </c>
      <c r="D1924">
        <v>1.45212058477899</v>
      </c>
      <c r="E1924">
        <v>1.17556610621754</v>
      </c>
      <c r="F1924">
        <v>0.63354889304999396</v>
      </c>
      <c r="G1924">
        <v>0.69365496324438802</v>
      </c>
      <c r="H1924">
        <v>0.27902477012178001</v>
      </c>
      <c r="I1924">
        <v>0.21483900878411799</v>
      </c>
      <c r="J1924">
        <v>0.24563658725162399</v>
      </c>
      <c r="K1924">
        <v>0.173822724917124</v>
      </c>
      <c r="L1924">
        <v>1146.55543666168</v>
      </c>
      <c r="M1924">
        <v>21.411817403428099</v>
      </c>
      <c r="N1924">
        <v>54.671938730923699</v>
      </c>
      <c r="O1924">
        <v>53.0872776456971</v>
      </c>
      <c r="P1924">
        <v>-8.2880158954992594E-2</v>
      </c>
      <c r="Q1924">
        <v>0.178066469429073</v>
      </c>
      <c r="R1924">
        <v>0.81419881741391897</v>
      </c>
      <c r="S1924" t="s">
        <v>7475</v>
      </c>
      <c r="T1924" t="s">
        <v>11100</v>
      </c>
      <c r="U1924" t="s">
        <v>11100</v>
      </c>
      <c r="V1924" t="s">
        <v>11100</v>
      </c>
      <c r="W1924" t="s">
        <v>12986</v>
      </c>
      <c r="X1924">
        <v>5</v>
      </c>
      <c r="Y1924" t="s">
        <v>18466</v>
      </c>
      <c r="Z1924" t="s">
        <v>23929</v>
      </c>
      <c r="AA1924">
        <v>0.64065434473383864</v>
      </c>
      <c r="AB1924" t="str">
        <f>HYPERLINK("Melting_Curves/meltCurve_P17152_TMEM11.pdf", "Melting_Curves/meltCurve_P17152_TMEM11.pdf")</f>
        <v>Melting_Curves/meltCurve_P17152_TMEM11.pdf</v>
      </c>
    </row>
    <row r="1925" spans="1:28" x14ac:dyDescent="0.25">
      <c r="A1925" t="s">
        <v>1929</v>
      </c>
      <c r="B1925">
        <v>0.99299721793515405</v>
      </c>
      <c r="C1925">
        <v>0.92938674657339504</v>
      </c>
      <c r="D1925">
        <v>0.80762566120017099</v>
      </c>
      <c r="E1925">
        <v>0.74128894876384299</v>
      </c>
      <c r="F1925">
        <v>0.65068346773217201</v>
      </c>
      <c r="G1925">
        <v>0.63051648472816701</v>
      </c>
      <c r="H1925">
        <v>0.45240569817341098</v>
      </c>
      <c r="I1925">
        <v>0.596429321369638</v>
      </c>
      <c r="J1925">
        <v>0.689527286047106</v>
      </c>
      <c r="K1925">
        <v>0.66647933066194898</v>
      </c>
      <c r="L1925">
        <v>724.48326435955698</v>
      </c>
      <c r="M1925">
        <v>16.592979444542198</v>
      </c>
      <c r="O1925">
        <v>43.042650831433797</v>
      </c>
      <c r="P1925">
        <v>-3.80325310670762E-2</v>
      </c>
      <c r="Q1925">
        <v>0.60539705962787005</v>
      </c>
      <c r="R1925">
        <v>0.83490959026936196</v>
      </c>
      <c r="S1925" t="s">
        <v>7476</v>
      </c>
      <c r="T1925" t="s">
        <v>11100</v>
      </c>
      <c r="U1925" t="s">
        <v>11100</v>
      </c>
      <c r="V1925" t="s">
        <v>11100</v>
      </c>
      <c r="W1925" t="s">
        <v>12987</v>
      </c>
      <c r="X1925">
        <v>15</v>
      </c>
      <c r="Y1925" t="s">
        <v>18467</v>
      </c>
      <c r="Z1925" t="s">
        <v>23930</v>
      </c>
      <c r="AA1925">
        <v>0.70107554669695527</v>
      </c>
      <c r="AB1925" t="str">
        <f>HYPERLINK("Melting_Curves/meltCurve_P17174_GOT1.pdf", "Melting_Curves/meltCurve_P17174_GOT1.pdf")</f>
        <v>Melting_Curves/meltCurve_P17174_GOT1.pdf</v>
      </c>
    </row>
    <row r="1926" spans="1:28" x14ac:dyDescent="0.25">
      <c r="A1926" t="s">
        <v>1930</v>
      </c>
      <c r="B1926">
        <v>0.99299721793515405</v>
      </c>
      <c r="C1926">
        <v>0.98407516820067098</v>
      </c>
      <c r="D1926">
        <v>0.94178238697187899</v>
      </c>
      <c r="E1926">
        <v>0.93472076230173395</v>
      </c>
      <c r="F1926">
        <v>0.69110269366006505</v>
      </c>
      <c r="G1926">
        <v>0.23555177879831399</v>
      </c>
      <c r="H1926">
        <v>0.14674072716651901</v>
      </c>
      <c r="I1926">
        <v>0.14029920082397701</v>
      </c>
      <c r="J1926">
        <v>0.132811788287622</v>
      </c>
      <c r="K1926">
        <v>0.114790226315149</v>
      </c>
      <c r="L1926">
        <v>1751.34138852616</v>
      </c>
      <c r="M1926">
        <v>34.346336069425199</v>
      </c>
      <c r="N1926">
        <v>51.423980162112201</v>
      </c>
      <c r="O1926">
        <v>50.8187081732842</v>
      </c>
      <c r="P1926">
        <v>-0.14773377439722499</v>
      </c>
      <c r="Q1926">
        <v>0.12565805454444701</v>
      </c>
      <c r="R1926">
        <v>0.99649239325305705</v>
      </c>
      <c r="S1926" t="s">
        <v>7477</v>
      </c>
      <c r="T1926" t="s">
        <v>11100</v>
      </c>
      <c r="U1926" t="s">
        <v>11100</v>
      </c>
      <c r="V1926" t="s">
        <v>11100</v>
      </c>
      <c r="W1926" t="s">
        <v>12988</v>
      </c>
      <c r="X1926">
        <v>16</v>
      </c>
      <c r="Y1926" t="s">
        <v>18468</v>
      </c>
      <c r="Z1926" t="s">
        <v>23931</v>
      </c>
      <c r="AA1926">
        <v>0.53758353433150341</v>
      </c>
      <c r="AB1926" t="str">
        <f>HYPERLINK("Melting_Curves/meltCurve_P17252_PRKCA.pdf", "Melting_Curves/meltCurve_P17252_PRKCA.pdf")</f>
        <v>Melting_Curves/meltCurve_P17252_PRKCA.pdf</v>
      </c>
    </row>
    <row r="1927" spans="1:28" x14ac:dyDescent="0.25">
      <c r="A1927" t="s">
        <v>1931</v>
      </c>
      <c r="B1927">
        <v>0.99299721793515405</v>
      </c>
      <c r="C1927">
        <v>0.99697645588664496</v>
      </c>
      <c r="D1927">
        <v>1.1045776081075001</v>
      </c>
      <c r="E1927">
        <v>0.76606894685231597</v>
      </c>
      <c r="F1927">
        <v>0.64939364368411701</v>
      </c>
      <c r="G1927">
        <v>0.66464952418973</v>
      </c>
      <c r="H1927">
        <v>0.48564042979794297</v>
      </c>
      <c r="I1927">
        <v>0.56847346264597398</v>
      </c>
      <c r="J1927">
        <v>0.51901515576283996</v>
      </c>
      <c r="K1927">
        <v>0.56809008020579199</v>
      </c>
      <c r="L1927">
        <v>3408.0389799426598</v>
      </c>
      <c r="M1927">
        <v>73.315232385711198</v>
      </c>
      <c r="O1927">
        <v>46.450175619887197</v>
      </c>
      <c r="P1927">
        <v>-0.16756757979760301</v>
      </c>
      <c r="Q1927">
        <v>0.57533827193371601</v>
      </c>
      <c r="R1927">
        <v>0.92046518864850002</v>
      </c>
      <c r="S1927" t="s">
        <v>7478</v>
      </c>
      <c r="T1927" t="s">
        <v>11100</v>
      </c>
      <c r="U1927" t="s">
        <v>11100</v>
      </c>
      <c r="V1927" t="s">
        <v>11100</v>
      </c>
      <c r="W1927" t="s">
        <v>12989</v>
      </c>
      <c r="X1927">
        <v>1</v>
      </c>
      <c r="Y1927" t="s">
        <v>18469</v>
      </c>
      <c r="Z1927" t="s">
        <v>23932</v>
      </c>
      <c r="AA1927">
        <v>0.71000215023773416</v>
      </c>
      <c r="AB1927" t="str">
        <f>HYPERLINK("Melting_Curves/meltCurve_P17302_GJA1.pdf", "Melting_Curves/meltCurve_P17302_GJA1.pdf")</f>
        <v>Melting_Curves/meltCurve_P17302_GJA1.pdf</v>
      </c>
    </row>
    <row r="1928" spans="1:28" x14ac:dyDescent="0.25">
      <c r="A1928" t="s">
        <v>1932</v>
      </c>
      <c r="B1928">
        <v>0.99299721793515405</v>
      </c>
      <c r="C1928">
        <v>0.981456550361128</v>
      </c>
      <c r="D1928">
        <v>0.81045084896841701</v>
      </c>
      <c r="E1928">
        <v>0.76586229146976703</v>
      </c>
      <c r="F1928">
        <v>0.39603260263669798</v>
      </c>
      <c r="G1928">
        <v>0.15856027176672499</v>
      </c>
      <c r="H1928">
        <v>0.179065744196546</v>
      </c>
      <c r="I1928">
        <v>0.15393675370708901</v>
      </c>
      <c r="J1928">
        <v>0.120140531632736</v>
      </c>
      <c r="K1928">
        <v>0.114517557762222</v>
      </c>
      <c r="L1928">
        <v>888.57556189187096</v>
      </c>
      <c r="M1928">
        <v>18.4209731093069</v>
      </c>
      <c r="N1928">
        <v>48.898563653328203</v>
      </c>
      <c r="O1928">
        <v>47.679477675208403</v>
      </c>
      <c r="P1928">
        <v>-8.5940469292518903E-2</v>
      </c>
      <c r="Q1928">
        <v>0.11027236003567099</v>
      </c>
      <c r="R1928">
        <v>0.98293921060211398</v>
      </c>
      <c r="S1928" t="s">
        <v>7479</v>
      </c>
      <c r="T1928" t="s">
        <v>11100</v>
      </c>
      <c r="U1928" t="s">
        <v>11100</v>
      </c>
      <c r="V1928" t="s">
        <v>11100</v>
      </c>
      <c r="W1928" t="s">
        <v>12990</v>
      </c>
      <c r="X1928">
        <v>1</v>
      </c>
      <c r="Y1928" t="s">
        <v>18470</v>
      </c>
      <c r="Z1928" t="s">
        <v>23933</v>
      </c>
      <c r="AA1928">
        <v>0.4571619541542889</v>
      </c>
      <c r="AB1928" t="str">
        <f>HYPERLINK("Melting_Curves/meltCurve_P17509_HOXB6.pdf", "Melting_Curves/meltCurve_P17509_HOXB6.pdf")</f>
        <v>Melting_Curves/meltCurve_P17509_HOXB6.pdf</v>
      </c>
    </row>
    <row r="1929" spans="1:28" x14ac:dyDescent="0.25">
      <c r="A1929" t="s">
        <v>1933</v>
      </c>
      <c r="B1929">
        <v>0.99299721793515405</v>
      </c>
      <c r="C1929">
        <v>0.93154352357363501</v>
      </c>
      <c r="D1929">
        <v>0.83424638498173198</v>
      </c>
      <c r="E1929">
        <v>0.88126370730342796</v>
      </c>
      <c r="F1929">
        <v>0.79901818775260902</v>
      </c>
      <c r="G1929">
        <v>0.48946233331161498</v>
      </c>
      <c r="H1929">
        <v>0.49539578842263698</v>
      </c>
      <c r="I1929">
        <v>0.44105443565158198</v>
      </c>
      <c r="J1929">
        <v>0.48905315982333902</v>
      </c>
      <c r="K1929">
        <v>0.44441137912026601</v>
      </c>
      <c r="L1929">
        <v>610.00421759902997</v>
      </c>
      <c r="M1929">
        <v>12.1467255776131</v>
      </c>
      <c r="N1929">
        <v>58.111863976685697</v>
      </c>
      <c r="O1929">
        <v>48.916635264379501</v>
      </c>
      <c r="P1929">
        <v>-3.7011015766405003E-2</v>
      </c>
      <c r="Q1929">
        <v>0.40394205059213201</v>
      </c>
      <c r="R1929">
        <v>0.92225980345603897</v>
      </c>
      <c r="S1929" t="s">
        <v>7480</v>
      </c>
      <c r="T1929" t="s">
        <v>11100</v>
      </c>
      <c r="U1929" t="s">
        <v>11100</v>
      </c>
      <c r="V1929" t="s">
        <v>11100</v>
      </c>
      <c r="W1929" t="s">
        <v>12991</v>
      </c>
      <c r="X1929">
        <v>1</v>
      </c>
      <c r="Y1929" t="s">
        <v>18471</v>
      </c>
      <c r="Z1929" t="s">
        <v>23934</v>
      </c>
      <c r="AA1929">
        <v>0.68281368070189619</v>
      </c>
      <c r="AB1929" t="str">
        <f>HYPERLINK("Melting_Curves/meltCurve_P17535_JUND.pdf", "Melting_Curves/meltCurve_P17535_JUND.pdf")</f>
        <v>Melting_Curves/meltCurve_P17535_JUND.pdf</v>
      </c>
    </row>
    <row r="1930" spans="1:28" x14ac:dyDescent="0.25">
      <c r="A1930" t="s">
        <v>1934</v>
      </c>
      <c r="B1930">
        <v>0.99299721793515405</v>
      </c>
      <c r="C1930">
        <v>0.84811296184517604</v>
      </c>
      <c r="D1930">
        <v>0.97332440883293003</v>
      </c>
      <c r="E1930">
        <v>0.87188307445044999</v>
      </c>
      <c r="F1930">
        <v>0.697806402699921</v>
      </c>
      <c r="G1930">
        <v>0.98598266385865796</v>
      </c>
      <c r="H1930">
        <v>1.3016217925807301</v>
      </c>
      <c r="I1930">
        <v>1.5215393322312101</v>
      </c>
      <c r="J1930">
        <v>1.2212044979075201</v>
      </c>
      <c r="K1930">
        <v>1.1833881743036101</v>
      </c>
      <c r="L1930">
        <v>14134.7332342605</v>
      </c>
      <c r="M1930">
        <v>250</v>
      </c>
      <c r="O1930">
        <v>56.5353148577749</v>
      </c>
      <c r="P1930">
        <v>0.34128144829291102</v>
      </c>
      <c r="Q1930">
        <v>1.3087112655835</v>
      </c>
      <c r="R1930">
        <v>0.62991917993536295</v>
      </c>
      <c r="S1930" t="s">
        <v>7481</v>
      </c>
      <c r="T1930" t="s">
        <v>11100</v>
      </c>
      <c r="U1930" t="s">
        <v>11100</v>
      </c>
      <c r="V1930" t="s">
        <v>11100</v>
      </c>
      <c r="W1930" t="s">
        <v>12992</v>
      </c>
      <c r="X1930">
        <v>3</v>
      </c>
      <c r="Y1930" t="s">
        <v>18472</v>
      </c>
      <c r="Z1930" t="s">
        <v>23935</v>
      </c>
      <c r="AA1930">
        <v>1.107617676552902</v>
      </c>
      <c r="AB1930" t="str">
        <f>HYPERLINK("Melting_Curves/meltCurve_P17568_NDUFB7.pdf", "Melting_Curves/meltCurve_P17568_NDUFB7.pdf")</f>
        <v>Melting_Curves/meltCurve_P17568_NDUFB7.pdf</v>
      </c>
    </row>
    <row r="1931" spans="1:28" x14ac:dyDescent="0.25">
      <c r="A1931" t="s">
        <v>1935</v>
      </c>
      <c r="B1931">
        <v>0.99299721793515405</v>
      </c>
      <c r="C1931">
        <v>1.01712870938984</v>
      </c>
      <c r="D1931">
        <v>0.96178087923509603</v>
      </c>
      <c r="E1931">
        <v>0.98984768810674495</v>
      </c>
      <c r="F1931">
        <v>0.79913347926878997</v>
      </c>
      <c r="G1931">
        <v>0.65770178247854605</v>
      </c>
      <c r="H1931">
        <v>0.35300338802067899</v>
      </c>
      <c r="I1931">
        <v>0.215406227907074</v>
      </c>
      <c r="J1931">
        <v>0.17552419916175699</v>
      </c>
      <c r="K1931">
        <v>0.17397800393097501</v>
      </c>
      <c r="L1931">
        <v>999.49478111235805</v>
      </c>
      <c r="M1931">
        <v>18.355404395897601</v>
      </c>
      <c r="N1931">
        <v>55.333958613927201</v>
      </c>
      <c r="O1931">
        <v>53.8183807771658</v>
      </c>
      <c r="P1931">
        <v>-7.4458629696364298E-2</v>
      </c>
      <c r="Q1931">
        <v>0.12678365535588099</v>
      </c>
      <c r="R1931">
        <v>0.99364643455583801</v>
      </c>
      <c r="S1931" t="s">
        <v>7482</v>
      </c>
      <c r="T1931" t="s">
        <v>11100</v>
      </c>
      <c r="U1931" t="s">
        <v>11100</v>
      </c>
      <c r="V1931" t="s">
        <v>11100</v>
      </c>
      <c r="W1931" t="s">
        <v>12993</v>
      </c>
      <c r="X1931">
        <v>8</v>
      </c>
      <c r="Y1931" t="s">
        <v>18473</v>
      </c>
      <c r="Z1931" t="s">
        <v>23936</v>
      </c>
      <c r="AA1931">
        <v>0.64610660325236524</v>
      </c>
      <c r="AB1931" t="str">
        <f>HYPERLINK("Melting_Curves/meltCurve_P17612_PRKACA.pdf", "Melting_Curves/meltCurve_P17612_PRKACA.pdf")</f>
        <v>Melting_Curves/meltCurve_P17612_PRKACA.pdf</v>
      </c>
    </row>
    <row r="1932" spans="1:28" x14ac:dyDescent="0.25">
      <c r="A1932" t="s">
        <v>1936</v>
      </c>
      <c r="B1932">
        <v>0.99299721793515405</v>
      </c>
      <c r="C1932">
        <v>1.02621655645125</v>
      </c>
      <c r="D1932">
        <v>0.94794543064417902</v>
      </c>
      <c r="E1932">
        <v>0.883198915583845</v>
      </c>
      <c r="F1932">
        <v>0.77086872880811996</v>
      </c>
      <c r="G1932">
        <v>0.71943510882642903</v>
      </c>
      <c r="H1932">
        <v>0.65239265690974102</v>
      </c>
      <c r="I1932">
        <v>0.534556519128491</v>
      </c>
      <c r="J1932">
        <v>0.21127462244683701</v>
      </c>
      <c r="K1932">
        <v>0.18135339108594101</v>
      </c>
      <c r="L1932">
        <v>577.51131164245305</v>
      </c>
      <c r="M1932">
        <v>9.7780816488841804</v>
      </c>
      <c r="N1932">
        <v>59.061825936018501</v>
      </c>
      <c r="O1932">
        <v>56.750439018942501</v>
      </c>
      <c r="P1932">
        <v>-4.3097742189486803E-2</v>
      </c>
      <c r="Q1932">
        <v>0</v>
      </c>
      <c r="R1932">
        <v>0.94685523400045701</v>
      </c>
      <c r="S1932" t="s">
        <v>7483</v>
      </c>
      <c r="T1932" t="s">
        <v>11100</v>
      </c>
      <c r="U1932" t="s">
        <v>11100</v>
      </c>
      <c r="V1932" t="s">
        <v>11100</v>
      </c>
      <c r="W1932" t="s">
        <v>12994</v>
      </c>
      <c r="X1932">
        <v>23</v>
      </c>
      <c r="Y1932" t="s">
        <v>18474</v>
      </c>
      <c r="Z1932" t="s">
        <v>23937</v>
      </c>
      <c r="AA1932">
        <v>0.7162903824050153</v>
      </c>
      <c r="AB1932" t="str">
        <f>HYPERLINK("Melting_Curves/meltCurve_P17655_CAPN2.pdf", "Melting_Curves/meltCurve_P17655_CAPN2.pdf")</f>
        <v>Melting_Curves/meltCurve_P17655_CAPN2.pdf</v>
      </c>
    </row>
    <row r="1933" spans="1:28" x14ac:dyDescent="0.25">
      <c r="A1933" t="s">
        <v>1937</v>
      </c>
      <c r="B1933">
        <v>0.99299721793515405</v>
      </c>
      <c r="C1933">
        <v>0.75223752131099098</v>
      </c>
      <c r="D1933">
        <v>0.85182771715132399</v>
      </c>
      <c r="E1933">
        <v>0.913310320733838</v>
      </c>
      <c r="F1933">
        <v>0.66499921369082404</v>
      </c>
      <c r="G1933">
        <v>0.42772445307703799</v>
      </c>
      <c r="H1933">
        <v>0.53281990450389005</v>
      </c>
      <c r="I1933">
        <v>0.62024733071605098</v>
      </c>
      <c r="J1933">
        <v>0.96356542553439595</v>
      </c>
      <c r="K1933">
        <v>0.51266515137670698</v>
      </c>
      <c r="L1933">
        <v>468.31711691893003</v>
      </c>
      <c r="M1933">
        <v>10.8034435504981</v>
      </c>
      <c r="O1933">
        <v>41.942887229716703</v>
      </c>
      <c r="P1933">
        <v>-2.4918132548006799E-2</v>
      </c>
      <c r="Q1933">
        <v>0.61317506763913499</v>
      </c>
      <c r="R1933">
        <v>0.33300199961111998</v>
      </c>
      <c r="S1933" t="s">
        <v>7484</v>
      </c>
      <c r="T1933" t="s">
        <v>11100</v>
      </c>
      <c r="U1933" t="s">
        <v>11100</v>
      </c>
      <c r="V1933" t="s">
        <v>11100</v>
      </c>
      <c r="W1933" t="s">
        <v>12995</v>
      </c>
      <c r="X1933">
        <v>3</v>
      </c>
      <c r="Y1933" t="s">
        <v>18475</v>
      </c>
      <c r="Z1933" t="s">
        <v>23938</v>
      </c>
      <c r="AA1933">
        <v>0.71403020233808612</v>
      </c>
      <c r="AB1933" t="str">
        <f>HYPERLINK("Melting_Curves/meltCurve_P17677_GAP43.pdf", "Melting_Curves/meltCurve_P17677_GAP43.pdf")</f>
        <v>Melting_Curves/meltCurve_P17677_GAP43.pdf</v>
      </c>
    </row>
    <row r="1934" spans="1:28" x14ac:dyDescent="0.25">
      <c r="A1934" t="s">
        <v>1938</v>
      </c>
      <c r="B1934">
        <v>0.99299721793515405</v>
      </c>
      <c r="C1934">
        <v>0.81239160455186799</v>
      </c>
      <c r="D1934">
        <v>0.92621215529929901</v>
      </c>
      <c r="E1934">
        <v>0.90677289814954598</v>
      </c>
      <c r="F1934">
        <v>0.78775528313809196</v>
      </c>
      <c r="G1934">
        <v>0.34493043799470002</v>
      </c>
      <c r="H1934">
        <v>0.195225512781069</v>
      </c>
      <c r="I1934">
        <v>0.25229177967105199</v>
      </c>
      <c r="J1934">
        <v>0.21073542630039299</v>
      </c>
      <c r="K1934">
        <v>0.14940333438668199</v>
      </c>
      <c r="L1934">
        <v>1692.04491929607</v>
      </c>
      <c r="M1934">
        <v>32.810603230555998</v>
      </c>
      <c r="N1934">
        <v>52.343163841212402</v>
      </c>
      <c r="O1934">
        <v>51.379627324729597</v>
      </c>
      <c r="P1934">
        <v>-0.12899155472642801</v>
      </c>
      <c r="Q1934">
        <v>0.19202853089963401</v>
      </c>
      <c r="R1934">
        <v>0.95384793403024104</v>
      </c>
      <c r="S1934" t="s">
        <v>7485</v>
      </c>
      <c r="T1934" t="s">
        <v>11100</v>
      </c>
      <c r="U1934" t="s">
        <v>11100</v>
      </c>
      <c r="V1934" t="s">
        <v>11100</v>
      </c>
      <c r="W1934" t="s">
        <v>12996</v>
      </c>
      <c r="X1934">
        <v>5</v>
      </c>
      <c r="Y1934" t="s">
        <v>18476</v>
      </c>
      <c r="Z1934" t="s">
        <v>23939</v>
      </c>
      <c r="AA1934">
        <v>0.58869500504482175</v>
      </c>
      <c r="AB1934" t="str">
        <f>HYPERLINK("Melting_Curves/meltCurve_P17706_2_PTPN2.pdf", "Melting_Curves/meltCurve_P17706_2_PTPN2.pdf")</f>
        <v>Melting_Curves/meltCurve_P17706_2_PTPN2.pdf</v>
      </c>
    </row>
    <row r="1935" spans="1:28" x14ac:dyDescent="0.25">
      <c r="A1935" t="s">
        <v>1939</v>
      </c>
      <c r="B1935">
        <v>0.99299721793515405</v>
      </c>
      <c r="C1935">
        <v>1.0042867948259599</v>
      </c>
      <c r="D1935">
        <v>0.98567950266164905</v>
      </c>
      <c r="E1935">
        <v>0.94292689542837604</v>
      </c>
      <c r="F1935">
        <v>0.79940862503422205</v>
      </c>
      <c r="G1935">
        <v>0.58687943011053001</v>
      </c>
      <c r="H1935">
        <v>0.32539132872941101</v>
      </c>
      <c r="I1935">
        <v>0.22069495920980101</v>
      </c>
      <c r="J1935">
        <v>0.15901275334321299</v>
      </c>
      <c r="K1935">
        <v>0.119043758913457</v>
      </c>
      <c r="L1935">
        <v>902.61114685644202</v>
      </c>
      <c r="M1935">
        <v>16.6630452972996</v>
      </c>
      <c r="N1935">
        <v>54.812993189891898</v>
      </c>
      <c r="O1935">
        <v>53.406312005428497</v>
      </c>
      <c r="P1935">
        <v>-7.1066227194170897E-2</v>
      </c>
      <c r="Q1935">
        <v>8.8970602553028494E-2</v>
      </c>
      <c r="R1935">
        <v>0.99922137851201498</v>
      </c>
      <c r="S1935" t="s">
        <v>7486</v>
      </c>
      <c r="T1935" t="s">
        <v>11100</v>
      </c>
      <c r="U1935" t="s">
        <v>11100</v>
      </c>
      <c r="V1935" t="s">
        <v>11100</v>
      </c>
      <c r="W1935" t="s">
        <v>12997</v>
      </c>
      <c r="X1935">
        <v>32</v>
      </c>
      <c r="Y1935" t="s">
        <v>18477</v>
      </c>
      <c r="Z1935" t="s">
        <v>23940</v>
      </c>
      <c r="AA1935">
        <v>0.62364897607430614</v>
      </c>
      <c r="AB1935" t="str">
        <f>HYPERLINK("Melting_Curves/meltCurve_P17812_CTPS1.pdf", "Melting_Curves/meltCurve_P17812_CTPS1.pdf")</f>
        <v>Melting_Curves/meltCurve_P17812_CTPS1.pdf</v>
      </c>
    </row>
    <row r="1936" spans="1:28" x14ac:dyDescent="0.25">
      <c r="A1936" t="s">
        <v>1940</v>
      </c>
      <c r="B1936">
        <v>0.99299721793515405</v>
      </c>
      <c r="C1936">
        <v>1.0172317797006301</v>
      </c>
      <c r="D1936">
        <v>0.92590305754672197</v>
      </c>
      <c r="E1936">
        <v>0.87456766174872802</v>
      </c>
      <c r="F1936">
        <v>0.70302450294316399</v>
      </c>
      <c r="G1936">
        <v>0.58589540431853004</v>
      </c>
      <c r="H1936">
        <v>0.670348048240067</v>
      </c>
      <c r="I1936">
        <v>0.68586598340105598</v>
      </c>
      <c r="J1936">
        <v>0.62426809843822895</v>
      </c>
      <c r="K1936">
        <v>0.29324775082390397</v>
      </c>
      <c r="L1936">
        <v>299.57745049841498</v>
      </c>
      <c r="M1936">
        <v>4.6684526542979796</v>
      </c>
      <c r="N1936">
        <v>64.1706093510589</v>
      </c>
      <c r="O1936">
        <v>55.070686981353397</v>
      </c>
      <c r="P1936">
        <v>-2.1356920960500101E-2</v>
      </c>
      <c r="Q1936">
        <v>0</v>
      </c>
      <c r="R1936">
        <v>0.80406235476183796</v>
      </c>
      <c r="S1936" t="s">
        <v>7487</v>
      </c>
      <c r="T1936" t="s">
        <v>11100</v>
      </c>
      <c r="U1936" t="s">
        <v>11100</v>
      </c>
      <c r="V1936" t="s">
        <v>11100</v>
      </c>
      <c r="W1936" t="s">
        <v>12998</v>
      </c>
      <c r="X1936">
        <v>25</v>
      </c>
      <c r="Y1936" t="s">
        <v>18478</v>
      </c>
      <c r="Z1936" t="s">
        <v>23941</v>
      </c>
      <c r="AA1936">
        <v>0.73568339743314515</v>
      </c>
      <c r="AB1936" t="str">
        <f>HYPERLINK("Melting_Curves/meltCurve_P17858_PFKL.pdf", "Melting_Curves/meltCurve_P17858_PFKL.pdf")</f>
        <v>Melting_Curves/meltCurve_P17858_PFKL.pdf</v>
      </c>
    </row>
    <row r="1937" spans="1:28" x14ac:dyDescent="0.25">
      <c r="A1937" t="s">
        <v>1941</v>
      </c>
      <c r="B1937">
        <v>0.99299721793515405</v>
      </c>
      <c r="C1937">
        <v>1.0403288780648801</v>
      </c>
      <c r="D1937">
        <v>0.96582043001320095</v>
      </c>
      <c r="E1937">
        <v>0.76358407973850495</v>
      </c>
      <c r="F1937">
        <v>0.49588806436659399</v>
      </c>
      <c r="G1937">
        <v>0.47326604325129101</v>
      </c>
      <c r="H1937">
        <v>0.93433929554776796</v>
      </c>
      <c r="I1937">
        <v>0.70022563013410899</v>
      </c>
      <c r="J1937">
        <v>0.52958815009114701</v>
      </c>
      <c r="K1937">
        <v>0.19621226086242299</v>
      </c>
      <c r="L1937">
        <v>275.14027162357399</v>
      </c>
      <c r="M1937">
        <v>4.3964117240923102</v>
      </c>
      <c r="N1937">
        <v>62.582917398051102</v>
      </c>
      <c r="O1937">
        <v>52.848004431317896</v>
      </c>
      <c r="P1937">
        <v>-2.09939401786579E-2</v>
      </c>
      <c r="Q1937">
        <v>0</v>
      </c>
      <c r="R1937">
        <v>0.53637747547264503</v>
      </c>
      <c r="S1937" t="s">
        <v>7488</v>
      </c>
      <c r="T1937" t="s">
        <v>11100</v>
      </c>
      <c r="U1937" t="s">
        <v>11100</v>
      </c>
      <c r="V1937" t="s">
        <v>11100</v>
      </c>
      <c r="W1937" t="s">
        <v>12999</v>
      </c>
      <c r="X1937">
        <v>32</v>
      </c>
      <c r="Y1937" t="s">
        <v>18479</v>
      </c>
      <c r="Z1937" t="s">
        <v>23942</v>
      </c>
      <c r="AA1937">
        <v>0.70454761821848699</v>
      </c>
      <c r="AB1937" t="str">
        <f>HYPERLINK("Melting_Curves/meltCurve_P17987_TCP1.pdf", "Melting_Curves/meltCurve_P17987_TCP1.pdf")</f>
        <v>Melting_Curves/meltCurve_P17987_TCP1.pdf</v>
      </c>
    </row>
    <row r="1938" spans="1:28" x14ac:dyDescent="0.25">
      <c r="A1938" t="s">
        <v>1942</v>
      </c>
      <c r="B1938">
        <v>0.99299721793515405</v>
      </c>
      <c r="C1938">
        <v>1.16209302354365</v>
      </c>
      <c r="D1938">
        <v>0.97981800259700402</v>
      </c>
      <c r="E1938">
        <v>0.94740547793795404</v>
      </c>
      <c r="F1938">
        <v>0.71820470672274594</v>
      </c>
      <c r="G1938">
        <v>0.23695036521402901</v>
      </c>
      <c r="H1938">
        <v>0.18510408141401599</v>
      </c>
      <c r="I1938">
        <v>0.14316623737596701</v>
      </c>
      <c r="J1938">
        <v>0.16592659201215501</v>
      </c>
      <c r="K1938">
        <v>0.12241560802535</v>
      </c>
      <c r="L1938">
        <v>1983.2129933483</v>
      </c>
      <c r="M1938">
        <v>38.847048967238202</v>
      </c>
      <c r="N1938">
        <v>51.517887753598799</v>
      </c>
      <c r="O1938">
        <v>50.917108108762299</v>
      </c>
      <c r="P1938">
        <v>-0.16247759805817399</v>
      </c>
      <c r="Q1938">
        <v>0.14815972743953401</v>
      </c>
      <c r="R1938">
        <v>0.98218292758412096</v>
      </c>
      <c r="S1938" t="s">
        <v>7489</v>
      </c>
      <c r="T1938" t="s">
        <v>11100</v>
      </c>
      <c r="U1938" t="s">
        <v>11100</v>
      </c>
      <c r="V1938" t="s">
        <v>11100</v>
      </c>
      <c r="W1938" t="s">
        <v>13000</v>
      </c>
      <c r="X1938">
        <v>10</v>
      </c>
      <c r="Y1938" t="s">
        <v>18480</v>
      </c>
      <c r="Z1938" t="s">
        <v>23943</v>
      </c>
      <c r="AA1938">
        <v>0.55033999509144471</v>
      </c>
      <c r="AB1938" t="str">
        <f>HYPERLINK("Melting_Curves/meltCurve_P18031_PTPN1.pdf", "Melting_Curves/meltCurve_P18031_PTPN1.pdf")</f>
        <v>Melting_Curves/meltCurve_P18031_PTPN1.pdf</v>
      </c>
    </row>
    <row r="1939" spans="1:28" x14ac:dyDescent="0.25">
      <c r="A1939" t="s">
        <v>1943</v>
      </c>
      <c r="B1939">
        <v>0.99299721793515405</v>
      </c>
      <c r="C1939">
        <v>0.88875437736194896</v>
      </c>
      <c r="D1939">
        <v>1.0559014104083</v>
      </c>
      <c r="E1939">
        <v>0.83414532300787003</v>
      </c>
      <c r="F1939">
        <v>0.65248002611177702</v>
      </c>
      <c r="G1939">
        <v>0.52163002346953902</v>
      </c>
      <c r="H1939">
        <v>0.602097509266034</v>
      </c>
      <c r="I1939">
        <v>0.42550636614210502</v>
      </c>
      <c r="J1939">
        <v>0.45894813134988799</v>
      </c>
      <c r="K1939">
        <v>0.45411593929672101</v>
      </c>
      <c r="L1939">
        <v>991.72916611229095</v>
      </c>
      <c r="M1939">
        <v>20.325854741581502</v>
      </c>
      <c r="N1939">
        <v>56.538301330810199</v>
      </c>
      <c r="O1939">
        <v>48.326581957481999</v>
      </c>
      <c r="P1939">
        <v>-5.5821197797754497E-2</v>
      </c>
      <c r="Q1939">
        <v>0.46913597972217203</v>
      </c>
      <c r="R1939">
        <v>0.93076635712223799</v>
      </c>
      <c r="S1939" t="s">
        <v>7490</v>
      </c>
      <c r="T1939" t="s">
        <v>11100</v>
      </c>
      <c r="U1939" t="s">
        <v>11100</v>
      </c>
      <c r="V1939" t="s">
        <v>11100</v>
      </c>
      <c r="W1939" t="s">
        <v>13001</v>
      </c>
      <c r="X1939">
        <v>2</v>
      </c>
      <c r="Y1939" t="s">
        <v>18481</v>
      </c>
      <c r="Z1939" t="s">
        <v>23944</v>
      </c>
      <c r="AA1939">
        <v>0.68457831324724094</v>
      </c>
      <c r="AB1939" t="str">
        <f>HYPERLINK("Melting_Curves/meltCurve_P18065_IGFBP2.pdf", "Melting_Curves/meltCurve_P18065_IGFBP2.pdf")</f>
        <v>Melting_Curves/meltCurve_P18065_IGFBP2.pdf</v>
      </c>
    </row>
    <row r="1940" spans="1:28" x14ac:dyDescent="0.25">
      <c r="A1940" t="s">
        <v>1944</v>
      </c>
      <c r="B1940">
        <v>0.99299721793515405</v>
      </c>
      <c r="C1940">
        <v>0.42865409860714199</v>
      </c>
      <c r="D1940">
        <v>0.28678993592154101</v>
      </c>
      <c r="E1940">
        <v>0.18722892439892899</v>
      </c>
      <c r="F1940">
        <v>1.7284206463899101</v>
      </c>
      <c r="G1940">
        <v>0.237728854868581</v>
      </c>
      <c r="H1940">
        <v>0.23576577427437301</v>
      </c>
      <c r="I1940">
        <v>0.18296109908327701</v>
      </c>
      <c r="J1940">
        <v>0.12767430455964901</v>
      </c>
      <c r="K1940">
        <v>4.0545669375461203E-2</v>
      </c>
      <c r="L1940">
        <v>206.94507813652999</v>
      </c>
      <c r="M1940">
        <v>4.3201128301298199</v>
      </c>
      <c r="N1940">
        <v>47.902701902092701</v>
      </c>
      <c r="O1940">
        <v>40.251029862902101</v>
      </c>
      <c r="P1940">
        <v>-2.7100891844119099E-2</v>
      </c>
      <c r="Q1940">
        <v>0</v>
      </c>
      <c r="R1940">
        <v>0.15737658096348101</v>
      </c>
      <c r="S1940" t="s">
        <v>7491</v>
      </c>
      <c r="T1940" t="s">
        <v>11100</v>
      </c>
      <c r="U1940" t="s">
        <v>11100</v>
      </c>
      <c r="V1940" t="s">
        <v>11100</v>
      </c>
      <c r="W1940" t="s">
        <v>13002</v>
      </c>
      <c r="X1940">
        <v>6</v>
      </c>
      <c r="Y1940" t="s">
        <v>18482</v>
      </c>
      <c r="Z1940" t="s">
        <v>23945</v>
      </c>
      <c r="AA1940">
        <v>0.44774328122068668</v>
      </c>
      <c r="AB1940" t="str">
        <f>HYPERLINK("Melting_Curves/meltCurve_P18084_ITGB5.pdf", "Melting_Curves/meltCurve_P18084_ITGB5.pdf")</f>
        <v>Melting_Curves/meltCurve_P18084_ITGB5.pdf</v>
      </c>
    </row>
    <row r="1941" spans="1:28" x14ac:dyDescent="0.25">
      <c r="A1941" t="s">
        <v>1945</v>
      </c>
      <c r="B1941">
        <v>0.99299721793515405</v>
      </c>
      <c r="C1941">
        <v>0.92674587518215301</v>
      </c>
      <c r="D1941">
        <v>0.77121595222318795</v>
      </c>
      <c r="E1941">
        <v>0.77170101477800002</v>
      </c>
      <c r="F1941">
        <v>0.68584226875279897</v>
      </c>
      <c r="G1941">
        <v>0.69120855275890103</v>
      </c>
      <c r="H1941">
        <v>0.75954300491720295</v>
      </c>
      <c r="I1941">
        <v>0.780273976495235</v>
      </c>
      <c r="J1941">
        <v>0.70260149601786503</v>
      </c>
      <c r="K1941">
        <v>0.37876606662996898</v>
      </c>
      <c r="L1941">
        <v>174.787579706673</v>
      </c>
      <c r="M1941">
        <v>2.30422391622476</v>
      </c>
      <c r="O1941">
        <v>48.954994144110003</v>
      </c>
      <c r="P1941">
        <v>-1.25117045111766E-2</v>
      </c>
      <c r="Q1941">
        <v>0</v>
      </c>
      <c r="R1941">
        <v>0.59100644572713601</v>
      </c>
      <c r="S1941" t="s">
        <v>7492</v>
      </c>
      <c r="T1941" t="s">
        <v>11100</v>
      </c>
      <c r="U1941" t="s">
        <v>11100</v>
      </c>
      <c r="V1941" t="s">
        <v>11100</v>
      </c>
      <c r="W1941" t="s">
        <v>13003</v>
      </c>
      <c r="X1941">
        <v>4</v>
      </c>
      <c r="Y1941" t="s">
        <v>18483</v>
      </c>
      <c r="Z1941" t="s">
        <v>23946</v>
      </c>
      <c r="AA1941">
        <v>0.74438756292808961</v>
      </c>
      <c r="AB1941" t="str">
        <f>HYPERLINK("Melting_Curves/meltCurve_P18124_RPL7.pdf", "Melting_Curves/meltCurve_P18124_RPL7.pdf")</f>
        <v>Melting_Curves/meltCurve_P18124_RPL7.pdf</v>
      </c>
    </row>
    <row r="1942" spans="1:28" x14ac:dyDescent="0.25">
      <c r="A1942" t="s">
        <v>1946</v>
      </c>
      <c r="B1942">
        <v>0.99299721793515405</v>
      </c>
      <c r="C1942">
        <v>1.00669026619877</v>
      </c>
      <c r="D1942">
        <v>0.931882934944258</v>
      </c>
      <c r="E1942">
        <v>0.80984610628765796</v>
      </c>
      <c r="F1942">
        <v>0.73584456868014603</v>
      </c>
      <c r="G1942">
        <v>0.67738628770558496</v>
      </c>
      <c r="H1942">
        <v>0.69508217241411396</v>
      </c>
      <c r="I1942">
        <v>0.85429732540663095</v>
      </c>
      <c r="J1942">
        <v>0.98626183699035297</v>
      </c>
      <c r="K1942">
        <v>0.68340300858088099</v>
      </c>
      <c r="L1942">
        <v>1681.4757556143099</v>
      </c>
      <c r="M1942">
        <v>38.168172909119797</v>
      </c>
      <c r="O1942">
        <v>43.933984025656898</v>
      </c>
      <c r="P1942">
        <v>-4.9243816533644499E-2</v>
      </c>
      <c r="Q1942">
        <v>0.77326956102177402</v>
      </c>
      <c r="R1942">
        <v>0.53157145583891696</v>
      </c>
      <c r="S1942" t="s">
        <v>7493</v>
      </c>
      <c r="T1942" t="s">
        <v>11100</v>
      </c>
      <c r="U1942" t="s">
        <v>11100</v>
      </c>
      <c r="V1942" t="s">
        <v>11100</v>
      </c>
      <c r="W1942" t="s">
        <v>13004</v>
      </c>
      <c r="X1942">
        <v>48</v>
      </c>
      <c r="Y1942" t="s">
        <v>18484</v>
      </c>
      <c r="Z1942" t="s">
        <v>23947</v>
      </c>
      <c r="AA1942">
        <v>0.82734763690710245</v>
      </c>
      <c r="AB1942" t="str">
        <f>HYPERLINK("Melting_Curves/meltCurve_P18206_2_VCL.pdf", "Melting_Curves/meltCurve_P18206_2_VCL.pdf")</f>
        <v>Melting_Curves/meltCurve_P18206_2_VCL.pdf</v>
      </c>
    </row>
    <row r="1943" spans="1:28" x14ac:dyDescent="0.25">
      <c r="A1943" t="s">
        <v>1947</v>
      </c>
      <c r="B1943">
        <v>0.99299721793515405</v>
      </c>
      <c r="C1943">
        <v>1.0686723939873</v>
      </c>
      <c r="D1943">
        <v>0.92256192800520298</v>
      </c>
      <c r="E1943">
        <v>0.78660989742637599</v>
      </c>
      <c r="F1943">
        <v>0.60258752291905404</v>
      </c>
      <c r="G1943">
        <v>0.43196988941377501</v>
      </c>
      <c r="H1943">
        <v>0.31566882625540399</v>
      </c>
      <c r="I1943">
        <v>0.52956637528815098</v>
      </c>
      <c r="J1943">
        <v>0.35853183967915497</v>
      </c>
      <c r="K1943">
        <v>0.30572769878442901</v>
      </c>
      <c r="L1943">
        <v>929.89367973962703</v>
      </c>
      <c r="M1943">
        <v>19.207080061208099</v>
      </c>
      <c r="N1943">
        <v>51.957946929030697</v>
      </c>
      <c r="O1943">
        <v>47.8984613353961</v>
      </c>
      <c r="P1943">
        <v>-6.3651046278979703E-2</v>
      </c>
      <c r="Q1943">
        <v>0.36509436060054201</v>
      </c>
      <c r="R1943">
        <v>0.94560233722614295</v>
      </c>
      <c r="S1943" t="s">
        <v>7494</v>
      </c>
      <c r="T1943" t="s">
        <v>11100</v>
      </c>
      <c r="U1943" t="s">
        <v>11100</v>
      </c>
      <c r="V1943" t="s">
        <v>11100</v>
      </c>
      <c r="W1943" t="s">
        <v>13005</v>
      </c>
      <c r="X1943">
        <v>3</v>
      </c>
      <c r="Y1943" t="s">
        <v>18485</v>
      </c>
      <c r="Z1943" t="s">
        <v>23948</v>
      </c>
      <c r="AA1943">
        <v>0.61565990507754487</v>
      </c>
      <c r="AB1943" t="str">
        <f>HYPERLINK("Melting_Curves/meltCurve_P18583_6_SON.pdf", "Melting_Curves/meltCurve_P18583_6_SON.pdf")</f>
        <v>Melting_Curves/meltCurve_P18583_6_SON.pdf</v>
      </c>
    </row>
    <row r="1944" spans="1:28" x14ac:dyDescent="0.25">
      <c r="A1944" t="s">
        <v>1948</v>
      </c>
      <c r="B1944">
        <v>0.99299721793515405</v>
      </c>
      <c r="C1944">
        <v>1.0179781044743501</v>
      </c>
      <c r="D1944">
        <v>0.988876439095555</v>
      </c>
      <c r="E1944">
        <v>0.96078246865204298</v>
      </c>
      <c r="F1944">
        <v>0.83947976696755</v>
      </c>
      <c r="G1944">
        <v>0.39885273729336901</v>
      </c>
      <c r="H1944">
        <v>0.299773446029171</v>
      </c>
      <c r="I1944">
        <v>0.260802285629467</v>
      </c>
      <c r="J1944">
        <v>0.29493364443541098</v>
      </c>
      <c r="K1944">
        <v>0.22937628599827301</v>
      </c>
      <c r="L1944">
        <v>1990.9900151051099</v>
      </c>
      <c r="M1944">
        <v>38.439747962591703</v>
      </c>
      <c r="N1944">
        <v>52.832474153656896</v>
      </c>
      <c r="O1944">
        <v>51.655503131080501</v>
      </c>
      <c r="P1944">
        <v>-0.13675009996592699</v>
      </c>
      <c r="Q1944">
        <v>0.26494025116388897</v>
      </c>
      <c r="R1944">
        <v>0.99651248466327003</v>
      </c>
      <c r="S1944" t="s">
        <v>7495</v>
      </c>
      <c r="T1944" t="s">
        <v>11100</v>
      </c>
      <c r="U1944" t="s">
        <v>11100</v>
      </c>
      <c r="V1944" t="s">
        <v>11100</v>
      </c>
      <c r="W1944" t="s">
        <v>13006</v>
      </c>
      <c r="X1944">
        <v>16</v>
      </c>
      <c r="Y1944" t="s">
        <v>18486</v>
      </c>
      <c r="Z1944" t="s">
        <v>23949</v>
      </c>
      <c r="AA1944">
        <v>0.63029222216907099</v>
      </c>
      <c r="AB1944" t="str">
        <f>HYPERLINK("Melting_Curves/meltCurve_P18615_NELFE.pdf", "Melting_Curves/meltCurve_P18615_NELFE.pdf")</f>
        <v>Melting_Curves/meltCurve_P18615_NELFE.pdf</v>
      </c>
    </row>
    <row r="1945" spans="1:28" x14ac:dyDescent="0.25">
      <c r="A1945" t="s">
        <v>1949</v>
      </c>
      <c r="B1945">
        <v>0.99299721793515405</v>
      </c>
      <c r="C1945">
        <v>0.98476479113414905</v>
      </c>
      <c r="D1945">
        <v>1.0499476493188999</v>
      </c>
      <c r="E1945">
        <v>0.93782512680089103</v>
      </c>
      <c r="F1945">
        <v>0.78693541996445404</v>
      </c>
      <c r="G1945">
        <v>0.65497437477722498</v>
      </c>
      <c r="H1945">
        <v>0.62202081729609604</v>
      </c>
      <c r="I1945">
        <v>0.69854108724661701</v>
      </c>
      <c r="J1945">
        <v>0.67526370534092295</v>
      </c>
      <c r="K1945">
        <v>0.39452534165498998</v>
      </c>
      <c r="L1945">
        <v>969.51207454069197</v>
      </c>
      <c r="M1945">
        <v>19.185456983031301</v>
      </c>
      <c r="O1945">
        <v>49.994290968072498</v>
      </c>
      <c r="P1945">
        <v>-4.0745798285603603E-2</v>
      </c>
      <c r="Q1945">
        <v>0.57530772675644903</v>
      </c>
      <c r="R1945">
        <v>0.84833870127743005</v>
      </c>
      <c r="S1945" t="s">
        <v>7496</v>
      </c>
      <c r="T1945" t="s">
        <v>11100</v>
      </c>
      <c r="U1945" t="s">
        <v>11100</v>
      </c>
      <c r="V1945" t="s">
        <v>11100</v>
      </c>
      <c r="W1945" t="s">
        <v>13007</v>
      </c>
      <c r="X1945">
        <v>27</v>
      </c>
      <c r="Y1945" t="s">
        <v>18487</v>
      </c>
      <c r="Z1945" t="s">
        <v>23950</v>
      </c>
      <c r="AA1945">
        <v>0.77288157033012395</v>
      </c>
      <c r="AB1945" t="str">
        <f>HYPERLINK("Melting_Curves/meltCurve_P18669_PGAM1.pdf", "Melting_Curves/meltCurve_P18669_PGAM1.pdf")</f>
        <v>Melting_Curves/meltCurve_P18669_PGAM1.pdf</v>
      </c>
    </row>
    <row r="1946" spans="1:28" x14ac:dyDescent="0.25">
      <c r="A1946" t="s">
        <v>1950</v>
      </c>
      <c r="B1946">
        <v>0.99299721793515405</v>
      </c>
      <c r="C1946">
        <v>0.938579417743579</v>
      </c>
      <c r="D1946">
        <v>0.948645100796767</v>
      </c>
      <c r="E1946">
        <v>0.86079126123422101</v>
      </c>
      <c r="F1946">
        <v>0.63705740674724898</v>
      </c>
      <c r="G1946">
        <v>0.202246417525139</v>
      </c>
      <c r="H1946">
        <v>0.15370840573209801</v>
      </c>
      <c r="I1946">
        <v>0.13389508152989699</v>
      </c>
      <c r="J1946">
        <v>0.14847484915311601</v>
      </c>
      <c r="K1946">
        <v>0.119992841264213</v>
      </c>
      <c r="L1946">
        <v>1373.2184938939899</v>
      </c>
      <c r="M1946">
        <v>27.227605242825799</v>
      </c>
      <c r="N1946">
        <v>50.953796092415502</v>
      </c>
      <c r="O1946">
        <v>50.165062737905501</v>
      </c>
      <c r="P1946">
        <v>-0.119258631036448</v>
      </c>
      <c r="Q1946">
        <v>0.121103486906582</v>
      </c>
      <c r="R1946">
        <v>0.98955175653841498</v>
      </c>
      <c r="S1946" t="s">
        <v>7497</v>
      </c>
      <c r="T1946" t="s">
        <v>11100</v>
      </c>
      <c r="U1946" t="s">
        <v>11100</v>
      </c>
      <c r="V1946" t="s">
        <v>11100</v>
      </c>
      <c r="W1946" t="s">
        <v>13008</v>
      </c>
      <c r="X1946">
        <v>17</v>
      </c>
      <c r="Y1946" t="s">
        <v>18488</v>
      </c>
      <c r="Z1946" t="s">
        <v>23951</v>
      </c>
      <c r="AA1946">
        <v>0.52125533821302994</v>
      </c>
      <c r="AB1946" t="str">
        <f>HYPERLINK("Melting_Curves/meltCurve_P18754_RCC1.pdf", "Melting_Curves/meltCurve_P18754_RCC1.pdf")</f>
        <v>Melting_Curves/meltCurve_P18754_RCC1.pdf</v>
      </c>
    </row>
    <row r="1947" spans="1:28" x14ac:dyDescent="0.25">
      <c r="A1947" t="s">
        <v>1951</v>
      </c>
      <c r="B1947">
        <v>0.99299721793515405</v>
      </c>
      <c r="C1947">
        <v>0.98039614606613301</v>
      </c>
      <c r="D1947">
        <v>1.1009046473189501</v>
      </c>
      <c r="E1947">
        <v>0.77390108322647599</v>
      </c>
      <c r="F1947">
        <v>0.78161240363724305</v>
      </c>
      <c r="G1947">
        <v>0.61614971944062602</v>
      </c>
      <c r="H1947">
        <v>0.48548898594060702</v>
      </c>
      <c r="I1947">
        <v>0.50545625586593501</v>
      </c>
      <c r="J1947">
        <v>0.45398874112535498</v>
      </c>
      <c r="K1947">
        <v>0.49808169978063399</v>
      </c>
      <c r="L1947">
        <v>817.37676717647696</v>
      </c>
      <c r="M1947">
        <v>16.259661512494102</v>
      </c>
      <c r="N1947">
        <v>59.789992648118599</v>
      </c>
      <c r="O1947">
        <v>49.528273412908597</v>
      </c>
      <c r="P1947">
        <v>-4.4121598675974101E-2</v>
      </c>
      <c r="Q1947">
        <v>0.46244741733164901</v>
      </c>
      <c r="R1947">
        <v>0.93265590687438205</v>
      </c>
      <c r="S1947" t="s">
        <v>7498</v>
      </c>
      <c r="T1947" t="s">
        <v>11100</v>
      </c>
      <c r="U1947" t="s">
        <v>11100</v>
      </c>
      <c r="V1947" t="s">
        <v>11100</v>
      </c>
      <c r="W1947" t="s">
        <v>13009</v>
      </c>
      <c r="X1947">
        <v>3</v>
      </c>
      <c r="Y1947" t="s">
        <v>18489</v>
      </c>
      <c r="Z1947" t="s">
        <v>23952</v>
      </c>
      <c r="AA1947">
        <v>0.7101262923243401</v>
      </c>
      <c r="AB1947" t="str">
        <f>HYPERLINK("Melting_Curves/meltCurve_P18846_ATF1.pdf", "Melting_Curves/meltCurve_P18846_ATF1.pdf")</f>
        <v>Melting_Curves/meltCurve_P18846_ATF1.pdf</v>
      </c>
    </row>
    <row r="1948" spans="1:28" x14ac:dyDescent="0.25">
      <c r="A1948" t="s">
        <v>1952</v>
      </c>
      <c r="B1948">
        <v>0.99299721793515405</v>
      </c>
      <c r="C1948">
        <v>0.96561439653916503</v>
      </c>
      <c r="D1948">
        <v>0.96685544463872597</v>
      </c>
      <c r="E1948">
        <v>0.92307853523616601</v>
      </c>
      <c r="F1948">
        <v>0.68026238046485499</v>
      </c>
      <c r="G1948">
        <v>0.25090350518172999</v>
      </c>
      <c r="H1948">
        <v>0.16928140959530599</v>
      </c>
      <c r="I1948">
        <v>0.13332309606237999</v>
      </c>
      <c r="J1948">
        <v>0.122980028355806</v>
      </c>
      <c r="K1948">
        <v>0.110596211183437</v>
      </c>
      <c r="L1948">
        <v>1525.4569454042901</v>
      </c>
      <c r="M1948">
        <v>29.9136042310232</v>
      </c>
      <c r="N1948">
        <v>51.470721755790798</v>
      </c>
      <c r="O1948">
        <v>50.769133726585302</v>
      </c>
      <c r="P1948">
        <v>-0.129526256011852</v>
      </c>
      <c r="Q1948">
        <v>0.120681726029318</v>
      </c>
      <c r="R1948">
        <v>0.99717706736696499</v>
      </c>
      <c r="S1948" t="s">
        <v>7499</v>
      </c>
      <c r="T1948" t="s">
        <v>11100</v>
      </c>
      <c r="U1948" t="s">
        <v>11100</v>
      </c>
      <c r="V1948" t="s">
        <v>11100</v>
      </c>
      <c r="W1948" t="s">
        <v>13010</v>
      </c>
      <c r="X1948">
        <v>28</v>
      </c>
      <c r="Y1948" t="s">
        <v>18490</v>
      </c>
      <c r="Z1948" t="s">
        <v>23953</v>
      </c>
      <c r="AA1948">
        <v>0.53640493884932572</v>
      </c>
      <c r="AB1948" t="str">
        <f>HYPERLINK("Melting_Curves/meltCurve_P18858_LIG1.pdf", "Melting_Curves/meltCurve_P18858_LIG1.pdf")</f>
        <v>Melting_Curves/meltCurve_P18858_LIG1.pdf</v>
      </c>
    </row>
    <row r="1949" spans="1:28" x14ac:dyDescent="0.25">
      <c r="A1949" t="s">
        <v>1953</v>
      </c>
      <c r="B1949">
        <v>0.99299721793515405</v>
      </c>
      <c r="C1949">
        <v>0.93549902918299699</v>
      </c>
      <c r="D1949">
        <v>0.86661323551682801</v>
      </c>
      <c r="E1949">
        <v>0.86532310865003603</v>
      </c>
      <c r="F1949">
        <v>0.75052924888379302</v>
      </c>
      <c r="G1949">
        <v>0.65654639004333204</v>
      </c>
      <c r="H1949">
        <v>1.15312839746024</v>
      </c>
      <c r="I1949">
        <v>1.39725036564655</v>
      </c>
      <c r="J1949">
        <v>1.9027141371838601</v>
      </c>
      <c r="K1949">
        <v>2.6993526107295098</v>
      </c>
      <c r="L1949">
        <v>3908.7690793505799</v>
      </c>
      <c r="M1949">
        <v>67.090553671449001</v>
      </c>
      <c r="O1949">
        <v>58.209418734684803</v>
      </c>
      <c r="P1949">
        <v>0.14407160912158101</v>
      </c>
      <c r="Q1949">
        <v>1.5</v>
      </c>
      <c r="R1949">
        <v>0.49327269408636698</v>
      </c>
      <c r="S1949" t="s">
        <v>7500</v>
      </c>
      <c r="T1949" t="s">
        <v>11100</v>
      </c>
      <c r="U1949" t="s">
        <v>11100</v>
      </c>
      <c r="V1949" t="s">
        <v>11100</v>
      </c>
      <c r="W1949" t="s">
        <v>13011</v>
      </c>
      <c r="X1949">
        <v>8</v>
      </c>
      <c r="Y1949" t="s">
        <v>18491</v>
      </c>
      <c r="Z1949" t="s">
        <v>23954</v>
      </c>
      <c r="AA1949">
        <v>1.1449396597662489</v>
      </c>
      <c r="AB1949" t="str">
        <f>HYPERLINK("Melting_Curves/meltCurve_P18859_ATP5J.pdf", "Melting_Curves/meltCurve_P18859_ATP5J.pdf")</f>
        <v>Melting_Curves/meltCurve_P18859_ATP5J.pdf</v>
      </c>
    </row>
    <row r="1950" spans="1:28" x14ac:dyDescent="0.25">
      <c r="A1950" t="s">
        <v>1954</v>
      </c>
      <c r="B1950">
        <v>0.99299721793515405</v>
      </c>
      <c r="C1950">
        <v>0.934171982683911</v>
      </c>
      <c r="D1950">
        <v>0.999223276266334</v>
      </c>
      <c r="E1950">
        <v>0.84918820664382</v>
      </c>
      <c r="F1950">
        <v>0.81653039689422302</v>
      </c>
      <c r="G1950">
        <v>0.65465860219776895</v>
      </c>
      <c r="H1950">
        <v>0.83153155084513097</v>
      </c>
      <c r="I1950">
        <v>1.0620749366357201</v>
      </c>
      <c r="J1950">
        <v>1.11975841808355</v>
      </c>
      <c r="K1950">
        <v>0.884895106628517</v>
      </c>
      <c r="L1950">
        <v>10963.199644979601</v>
      </c>
      <c r="M1950">
        <v>250</v>
      </c>
      <c r="O1950">
        <v>43.849992435509598</v>
      </c>
      <c r="P1950">
        <v>-0.15909817046425101</v>
      </c>
      <c r="Q1950">
        <v>0.88837674335518102</v>
      </c>
      <c r="R1950">
        <v>8.4672221242562504E-2</v>
      </c>
      <c r="S1950" t="s">
        <v>7501</v>
      </c>
      <c r="T1950" t="s">
        <v>11100</v>
      </c>
      <c r="U1950" t="s">
        <v>11100</v>
      </c>
      <c r="V1950" t="s">
        <v>11100</v>
      </c>
      <c r="W1950" t="s">
        <v>13012</v>
      </c>
      <c r="X1950">
        <v>5</v>
      </c>
      <c r="Y1950" t="s">
        <v>18492</v>
      </c>
      <c r="Z1950" t="s">
        <v>23955</v>
      </c>
      <c r="AA1950">
        <v>0.91388305714434181</v>
      </c>
      <c r="AB1950" t="str">
        <f>HYPERLINK("Melting_Curves/meltCurve_P19022_CDH2.pdf", "Melting_Curves/meltCurve_P19022_CDH2.pdf")</f>
        <v>Melting_Curves/meltCurve_P19022_CDH2.pdf</v>
      </c>
    </row>
    <row r="1951" spans="1:28" x14ac:dyDescent="0.25">
      <c r="A1951" t="s">
        <v>1955</v>
      </c>
      <c r="B1951">
        <v>0.99299721793515405</v>
      </c>
      <c r="C1951">
        <v>0.96601607937699596</v>
      </c>
      <c r="D1951">
        <v>0.95847909881372395</v>
      </c>
      <c r="E1951">
        <v>0.84095038613110196</v>
      </c>
      <c r="F1951">
        <v>0.74939541140939103</v>
      </c>
      <c r="G1951">
        <v>0.27919718587090903</v>
      </c>
      <c r="H1951">
        <v>0.21458999752824801</v>
      </c>
      <c r="I1951">
        <v>0.19435105522663901</v>
      </c>
      <c r="J1951">
        <v>0.157183845346755</v>
      </c>
      <c r="K1951">
        <v>0.12590602519132699</v>
      </c>
      <c r="L1951">
        <v>1264.8683447800299</v>
      </c>
      <c r="M1951">
        <v>24.702017101405598</v>
      </c>
      <c r="N1951">
        <v>51.926197258142501</v>
      </c>
      <c r="O1951">
        <v>50.8730333699379</v>
      </c>
      <c r="P1951">
        <v>-0.103765659004106</v>
      </c>
      <c r="Q1951">
        <v>0.14520375999187099</v>
      </c>
      <c r="R1951">
        <v>0.98322587970283204</v>
      </c>
      <c r="S1951" t="s">
        <v>7502</v>
      </c>
      <c r="T1951" t="s">
        <v>11100</v>
      </c>
      <c r="U1951" t="s">
        <v>11100</v>
      </c>
      <c r="V1951" t="s">
        <v>11100</v>
      </c>
      <c r="W1951" t="s">
        <v>13013</v>
      </c>
      <c r="X1951">
        <v>12</v>
      </c>
      <c r="Y1951" t="s">
        <v>18493</v>
      </c>
      <c r="Z1951" t="s">
        <v>23956</v>
      </c>
      <c r="AA1951">
        <v>0.55767147316072285</v>
      </c>
      <c r="AB1951" t="str">
        <f>HYPERLINK("Melting_Curves/meltCurve_P19174_2_PLCG1.pdf", "Melting_Curves/meltCurve_P19174_2_PLCG1.pdf")</f>
        <v>Melting_Curves/meltCurve_P19174_2_PLCG1.pdf</v>
      </c>
    </row>
    <row r="1952" spans="1:28" x14ac:dyDescent="0.25">
      <c r="A1952" t="s">
        <v>1956</v>
      </c>
      <c r="B1952">
        <v>0.99299721793515405</v>
      </c>
      <c r="C1952">
        <v>1.0199926732320801</v>
      </c>
      <c r="D1952">
        <v>1.05425492710708</v>
      </c>
      <c r="E1952">
        <v>0.93690526972324795</v>
      </c>
      <c r="F1952">
        <v>0.77658190911769998</v>
      </c>
      <c r="G1952">
        <v>0.55102702911373902</v>
      </c>
      <c r="H1952">
        <v>0.386079637778736</v>
      </c>
      <c r="I1952">
        <v>0.28149243857643902</v>
      </c>
      <c r="J1952">
        <v>0.24621829865803599</v>
      </c>
      <c r="K1952">
        <v>0.199309364702632</v>
      </c>
      <c r="L1952">
        <v>915.52192786557896</v>
      </c>
      <c r="M1952">
        <v>17.2138567201239</v>
      </c>
      <c r="N1952">
        <v>54.768102528695998</v>
      </c>
      <c r="O1952">
        <v>52.482957993885698</v>
      </c>
      <c r="P1952">
        <v>-6.5931065529980307E-2</v>
      </c>
      <c r="Q1952">
        <v>0.19598392226278899</v>
      </c>
      <c r="R1952">
        <v>0.99456166535068502</v>
      </c>
      <c r="S1952" t="s">
        <v>7503</v>
      </c>
      <c r="T1952" t="s">
        <v>11100</v>
      </c>
      <c r="U1952" t="s">
        <v>11100</v>
      </c>
      <c r="V1952" t="s">
        <v>11100</v>
      </c>
      <c r="W1952" t="s">
        <v>13014</v>
      </c>
      <c r="X1952">
        <v>25</v>
      </c>
      <c r="Y1952" t="s">
        <v>18494</v>
      </c>
      <c r="Z1952" t="s">
        <v>23957</v>
      </c>
      <c r="AA1952">
        <v>0.6419837433736244</v>
      </c>
      <c r="AB1952" t="str">
        <f>HYPERLINK("Melting_Curves/meltCurve_P19338_NCL.pdf", "Melting_Curves/meltCurve_P19338_NCL.pdf")</f>
        <v>Melting_Curves/meltCurve_P19338_NCL.pdf</v>
      </c>
    </row>
    <row r="1953" spans="1:28" x14ac:dyDescent="0.25">
      <c r="A1953" t="s">
        <v>1957</v>
      </c>
      <c r="B1953">
        <v>0.99299721793515405</v>
      </c>
      <c r="C1953">
        <v>0.81555436984509799</v>
      </c>
      <c r="D1953">
        <v>0.96939916799857995</v>
      </c>
      <c r="E1953">
        <v>0.85316411757419397</v>
      </c>
      <c r="F1953">
        <v>0.64011824054692201</v>
      </c>
      <c r="G1953">
        <v>0.41270487545901102</v>
      </c>
      <c r="H1953">
        <v>0.41148168089636</v>
      </c>
      <c r="I1953">
        <v>0.377800707884413</v>
      </c>
      <c r="J1953">
        <v>0.32832009415268998</v>
      </c>
      <c r="K1953">
        <v>0.190341610573666</v>
      </c>
      <c r="L1953">
        <v>569.77118778049396</v>
      </c>
      <c r="M1953">
        <v>11.1534648246037</v>
      </c>
      <c r="N1953">
        <v>53.696697675971997</v>
      </c>
      <c r="O1953">
        <v>49.525012500479001</v>
      </c>
      <c r="P1953">
        <v>-4.4528603158934102E-2</v>
      </c>
      <c r="Q1953">
        <v>0.209366939424735</v>
      </c>
      <c r="R1953">
        <v>0.93870420194370396</v>
      </c>
      <c r="S1953" t="s">
        <v>7504</v>
      </c>
      <c r="T1953" t="s">
        <v>11100</v>
      </c>
      <c r="U1953" t="s">
        <v>11100</v>
      </c>
      <c r="V1953" t="s">
        <v>11100</v>
      </c>
      <c r="W1953" t="s">
        <v>13015</v>
      </c>
      <c r="X1953">
        <v>2</v>
      </c>
      <c r="Y1953" t="s">
        <v>18495</v>
      </c>
      <c r="Z1953" t="s">
        <v>23958</v>
      </c>
      <c r="AA1953">
        <v>0.6024311565221776</v>
      </c>
      <c r="AB1953" t="str">
        <f>HYPERLINK("Melting_Curves/meltCurve_P19387_POLR2C.pdf", "Melting_Curves/meltCurve_P19387_POLR2C.pdf")</f>
        <v>Melting_Curves/meltCurve_P19387_POLR2C.pdf</v>
      </c>
    </row>
    <row r="1954" spans="1:28" x14ac:dyDescent="0.25">
      <c r="A1954" t="s">
        <v>1958</v>
      </c>
      <c r="B1954">
        <v>0.99299721793515405</v>
      </c>
      <c r="C1954">
        <v>0.86067228035137899</v>
      </c>
      <c r="D1954">
        <v>1.0449007296949799</v>
      </c>
      <c r="E1954">
        <v>0.67502639858719304</v>
      </c>
      <c r="F1954">
        <v>0.55252206804331705</v>
      </c>
      <c r="G1954">
        <v>0.40559133828688898</v>
      </c>
      <c r="H1954">
        <v>0.52404002709812902</v>
      </c>
      <c r="I1954">
        <v>0.72795222175930996</v>
      </c>
      <c r="J1954">
        <v>0.67061677131798803</v>
      </c>
      <c r="K1954">
        <v>0.55880322532841098</v>
      </c>
      <c r="L1954">
        <v>11595.8970403359</v>
      </c>
      <c r="M1954">
        <v>250</v>
      </c>
      <c r="O1954">
        <v>46.380617879980598</v>
      </c>
      <c r="P1954">
        <v>-0.57505932205273602</v>
      </c>
      <c r="Q1954">
        <v>0.57325427493182401</v>
      </c>
      <c r="R1954">
        <v>0.78056900417220298</v>
      </c>
      <c r="S1954" t="s">
        <v>7505</v>
      </c>
      <c r="T1954" t="s">
        <v>11100</v>
      </c>
      <c r="U1954" t="s">
        <v>11100</v>
      </c>
      <c r="V1954" t="s">
        <v>11100</v>
      </c>
      <c r="W1954" t="s">
        <v>13016</v>
      </c>
      <c r="X1954">
        <v>2</v>
      </c>
      <c r="Y1954" t="s">
        <v>18496</v>
      </c>
      <c r="Z1954" t="s">
        <v>23959</v>
      </c>
      <c r="AA1954">
        <v>0.70676921754530753</v>
      </c>
      <c r="AB1954" t="str">
        <f>HYPERLINK("Melting_Curves/meltCurve_P19388_POLR2E.pdf", "Melting_Curves/meltCurve_P19388_POLR2E.pdf")</f>
        <v>Melting_Curves/meltCurve_P19388_POLR2E.pdf</v>
      </c>
    </row>
    <row r="1955" spans="1:28" x14ac:dyDescent="0.25">
      <c r="A1955" t="s">
        <v>1959</v>
      </c>
      <c r="B1955">
        <v>0.99299721793515405</v>
      </c>
      <c r="C1955">
        <v>1.0580115666130501</v>
      </c>
      <c r="D1955">
        <v>0.95507210639708995</v>
      </c>
      <c r="E1955">
        <v>0.99747002013700903</v>
      </c>
      <c r="F1955">
        <v>0.75415032800576898</v>
      </c>
      <c r="G1955">
        <v>0.35319125459399398</v>
      </c>
      <c r="H1955">
        <v>0.12677631300461201</v>
      </c>
      <c r="I1955">
        <v>9.3073493769798704E-2</v>
      </c>
      <c r="J1955">
        <v>7.5918989666048001E-2</v>
      </c>
      <c r="K1955">
        <v>6.4461313907116902E-2</v>
      </c>
      <c r="L1955">
        <v>1460.72306378029</v>
      </c>
      <c r="M1955">
        <v>28.011727435008702</v>
      </c>
      <c r="N1955">
        <v>52.423775852644702</v>
      </c>
      <c r="O1955">
        <v>51.883238497884797</v>
      </c>
      <c r="P1955">
        <v>-0.12569313647031399</v>
      </c>
      <c r="Q1955">
        <v>6.8774052367430394E-2</v>
      </c>
      <c r="R1955">
        <v>0.99629025525953596</v>
      </c>
      <c r="S1955" t="s">
        <v>7506</v>
      </c>
      <c r="T1955" t="s">
        <v>11100</v>
      </c>
      <c r="U1955" t="s">
        <v>11100</v>
      </c>
      <c r="V1955" t="s">
        <v>11100</v>
      </c>
      <c r="W1955" t="s">
        <v>13017</v>
      </c>
      <c r="X1955">
        <v>13</v>
      </c>
      <c r="Y1955" t="s">
        <v>18497</v>
      </c>
      <c r="Z1955" t="s">
        <v>23960</v>
      </c>
      <c r="AA1955">
        <v>0.54564465949841634</v>
      </c>
      <c r="AB1955" t="str">
        <f>HYPERLINK("Melting_Curves/meltCurve_P19623_SRM.pdf", "Melting_Curves/meltCurve_P19623_SRM.pdf")</f>
        <v>Melting_Curves/meltCurve_P19623_SRM.pdf</v>
      </c>
    </row>
    <row r="1956" spans="1:28" x14ac:dyDescent="0.25">
      <c r="A1956" t="s">
        <v>1960</v>
      </c>
      <c r="B1956">
        <v>0.99299721793515405</v>
      </c>
      <c r="C1956">
        <v>0.98742499768143599</v>
      </c>
      <c r="D1956">
        <v>0.94813692261103699</v>
      </c>
      <c r="E1956">
        <v>0.888996297846261</v>
      </c>
      <c r="F1956">
        <v>0.70958105283152795</v>
      </c>
      <c r="G1956">
        <v>0.647372726262888</v>
      </c>
      <c r="H1956">
        <v>0.232893946637519</v>
      </c>
      <c r="I1956">
        <v>0.20730436280822101</v>
      </c>
      <c r="J1956">
        <v>0.16192881513120899</v>
      </c>
      <c r="K1956">
        <v>0.15631589862774201</v>
      </c>
      <c r="L1956">
        <v>781.45368405050499</v>
      </c>
      <c r="M1956">
        <v>14.5779875074929</v>
      </c>
      <c r="N1956">
        <v>54.254147678760802</v>
      </c>
      <c r="O1956">
        <v>52.626632584764103</v>
      </c>
      <c r="P1956">
        <v>-6.3717262305702294E-2</v>
      </c>
      <c r="Q1956">
        <v>8.0024774849284205E-2</v>
      </c>
      <c r="R1956">
        <v>0.97646536243871196</v>
      </c>
      <c r="S1956" t="s">
        <v>7507</v>
      </c>
      <c r="T1956" t="s">
        <v>11100</v>
      </c>
      <c r="U1956" t="s">
        <v>11100</v>
      </c>
      <c r="V1956" t="s">
        <v>11100</v>
      </c>
      <c r="W1956" t="s">
        <v>11526</v>
      </c>
      <c r="X1956">
        <v>9</v>
      </c>
      <c r="Y1956" t="s">
        <v>18498</v>
      </c>
      <c r="Z1956" t="s">
        <v>23961</v>
      </c>
      <c r="AA1956">
        <v>0.60513356587138412</v>
      </c>
      <c r="AB1956" t="str">
        <f>HYPERLINK("Melting_Curves/meltCurve_P19784_CSNK2A2.pdf", "Melting_Curves/meltCurve_P19784_CSNK2A2.pdf")</f>
        <v>Melting_Curves/meltCurve_P19784_CSNK2A2.pdf</v>
      </c>
    </row>
    <row r="1957" spans="1:28" x14ac:dyDescent="0.25">
      <c r="A1957" t="s">
        <v>1961</v>
      </c>
      <c r="B1957">
        <v>0.99299721793515405</v>
      </c>
      <c r="C1957">
        <v>0.94405750088227602</v>
      </c>
      <c r="D1957">
        <v>1.0660491992914201</v>
      </c>
      <c r="E1957">
        <v>0.61597450281197097</v>
      </c>
      <c r="F1957">
        <v>0.61959235154491099</v>
      </c>
      <c r="G1957">
        <v>0.31768613329089601</v>
      </c>
      <c r="H1957">
        <v>0.37840136629697702</v>
      </c>
      <c r="I1957">
        <v>0.35253241263892698</v>
      </c>
      <c r="J1957">
        <v>0.295673702053111</v>
      </c>
      <c r="K1957">
        <v>0.21952359856670201</v>
      </c>
      <c r="L1957">
        <v>825.47459045677499</v>
      </c>
      <c r="M1957">
        <v>17.121582444166201</v>
      </c>
      <c r="N1957">
        <v>50.697517927442</v>
      </c>
      <c r="O1957">
        <v>47.569215366427301</v>
      </c>
      <c r="P1957">
        <v>-6.4433107852532395E-2</v>
      </c>
      <c r="Q1957">
        <v>0.28397979504832299</v>
      </c>
      <c r="R1957">
        <v>0.931037683900511</v>
      </c>
      <c r="S1957" t="s">
        <v>7508</v>
      </c>
      <c r="T1957" t="s">
        <v>11100</v>
      </c>
      <c r="U1957" t="s">
        <v>11100</v>
      </c>
      <c r="V1957" t="s">
        <v>11100</v>
      </c>
      <c r="W1957" t="s">
        <v>13018</v>
      </c>
      <c r="X1957">
        <v>5</v>
      </c>
      <c r="Y1957" t="s">
        <v>18499</v>
      </c>
      <c r="Z1957" t="s">
        <v>23962</v>
      </c>
      <c r="AA1957">
        <v>0.56409863002063287</v>
      </c>
      <c r="AB1957" t="str">
        <f>HYPERLINK("Melting_Curves/meltCurve_P19838_NFKB1.pdf", "Melting_Curves/meltCurve_P19838_NFKB1.pdf")</f>
        <v>Melting_Curves/meltCurve_P19838_NFKB1.pdf</v>
      </c>
    </row>
    <row r="1958" spans="1:28" x14ac:dyDescent="0.25">
      <c r="A1958" t="s">
        <v>1962</v>
      </c>
      <c r="B1958">
        <v>0.99299721793515405</v>
      </c>
      <c r="C1958">
        <v>0.98105298310119604</v>
      </c>
      <c r="D1958">
        <v>0.93213971171037602</v>
      </c>
      <c r="E1958">
        <v>0.83115823373003905</v>
      </c>
      <c r="F1958">
        <v>0.72920734342316995</v>
      </c>
      <c r="G1958">
        <v>0.63864297193025898</v>
      </c>
      <c r="H1958">
        <v>0.39437523765652499</v>
      </c>
      <c r="I1958">
        <v>0.200361794437137</v>
      </c>
      <c r="J1958">
        <v>0.16861535207687001</v>
      </c>
      <c r="K1958">
        <v>0.145229828399176</v>
      </c>
      <c r="L1958">
        <v>594.47869055472904</v>
      </c>
      <c r="M1958">
        <v>10.794821543510601</v>
      </c>
      <c r="N1958">
        <v>55.0707156528102</v>
      </c>
      <c r="O1958">
        <v>53.281836017529599</v>
      </c>
      <c r="P1958">
        <v>-5.0668004799956701E-2</v>
      </c>
      <c r="Q1958">
        <v>0</v>
      </c>
      <c r="R1958">
        <v>0.98860926159179496</v>
      </c>
      <c r="S1958" t="s">
        <v>7509</v>
      </c>
      <c r="T1958" t="s">
        <v>11100</v>
      </c>
      <c r="U1958" t="s">
        <v>11100</v>
      </c>
      <c r="V1958" t="s">
        <v>11100</v>
      </c>
      <c r="W1958" t="s">
        <v>13019</v>
      </c>
      <c r="X1958">
        <v>26</v>
      </c>
      <c r="Y1958" t="s">
        <v>18500</v>
      </c>
      <c r="Z1958" t="s">
        <v>23963</v>
      </c>
      <c r="AA1958">
        <v>0.61527179658746323</v>
      </c>
      <c r="AB1958" t="str">
        <f>HYPERLINK("Melting_Curves/meltCurve_P20020_6_ATP2B1.pdf", "Melting_Curves/meltCurve_P20020_6_ATP2B1.pdf")</f>
        <v>Melting_Curves/meltCurve_P20020_6_ATP2B1.pdf</v>
      </c>
    </row>
    <row r="1959" spans="1:28" x14ac:dyDescent="0.25">
      <c r="A1959" t="s">
        <v>1963</v>
      </c>
      <c r="B1959">
        <v>0.99299721793515405</v>
      </c>
      <c r="C1959">
        <v>0.94890006407862804</v>
      </c>
      <c r="D1959">
        <v>1.11935759628299</v>
      </c>
      <c r="E1959">
        <v>0.83809112620827897</v>
      </c>
      <c r="F1959">
        <v>0.73705458997683204</v>
      </c>
      <c r="G1959">
        <v>0.61441649799952602</v>
      </c>
      <c r="H1959">
        <v>0.41434242085448802</v>
      </c>
      <c r="I1959">
        <v>0.311345384294474</v>
      </c>
      <c r="J1959">
        <v>0.28359455707348702</v>
      </c>
      <c r="K1959">
        <v>0.26505857687041501</v>
      </c>
      <c r="L1959">
        <v>736.27815816432599</v>
      </c>
      <c r="M1959">
        <v>13.8547591441676</v>
      </c>
      <c r="N1959">
        <v>55.3943395542139</v>
      </c>
      <c r="O1959">
        <v>52.072209694608603</v>
      </c>
      <c r="P1959">
        <v>-5.2202854102426997E-2</v>
      </c>
      <c r="Q1959">
        <v>0.21530418697405601</v>
      </c>
      <c r="R1959">
        <v>0.967133100621691</v>
      </c>
      <c r="S1959" t="s">
        <v>7510</v>
      </c>
      <c r="T1959" t="s">
        <v>11100</v>
      </c>
      <c r="U1959" t="s">
        <v>11100</v>
      </c>
      <c r="V1959" t="s">
        <v>11100</v>
      </c>
      <c r="W1959" t="s">
        <v>13020</v>
      </c>
      <c r="X1959">
        <v>14</v>
      </c>
      <c r="Y1959" t="s">
        <v>18501</v>
      </c>
      <c r="Z1959" t="s">
        <v>23964</v>
      </c>
      <c r="AA1959">
        <v>0.65234889442324051</v>
      </c>
      <c r="AB1959" t="str">
        <f>HYPERLINK("Melting_Curves/meltCurve_P20042_EIF2S2.pdf", "Melting_Curves/meltCurve_P20042_EIF2S2.pdf")</f>
        <v>Melting_Curves/meltCurve_P20042_EIF2S2.pdf</v>
      </c>
    </row>
    <row r="1960" spans="1:28" x14ac:dyDescent="0.25">
      <c r="A1960" t="s">
        <v>1964</v>
      </c>
      <c r="B1960">
        <v>0.99299721793515405</v>
      </c>
      <c r="C1960">
        <v>1.0106339489606599</v>
      </c>
      <c r="D1960">
        <v>2.1629106927458901</v>
      </c>
      <c r="E1960">
        <v>1.09372027391198</v>
      </c>
      <c r="F1960">
        <v>0.79626111085033502</v>
      </c>
      <c r="G1960">
        <v>1.38261589534229</v>
      </c>
      <c r="H1960">
        <v>0.42241286155716801</v>
      </c>
      <c r="I1960">
        <v>0.372547803104886</v>
      </c>
      <c r="J1960">
        <v>0.31021769988015502</v>
      </c>
      <c r="K1960">
        <v>0.22375394218796499</v>
      </c>
      <c r="L1960">
        <v>14259.9186593175</v>
      </c>
      <c r="M1960">
        <v>250</v>
      </c>
      <c r="N1960">
        <v>57.2520389196198</v>
      </c>
      <c r="O1960">
        <v>57.036036085454903</v>
      </c>
      <c r="P1960">
        <v>-0.76467798609912596</v>
      </c>
      <c r="Q1960">
        <v>0.30217292305925503</v>
      </c>
      <c r="R1960">
        <v>0.51285478847973098</v>
      </c>
      <c r="S1960" t="s">
        <v>7511</v>
      </c>
      <c r="T1960" t="s">
        <v>11100</v>
      </c>
      <c r="U1960" t="s">
        <v>11100</v>
      </c>
      <c r="V1960" t="s">
        <v>11100</v>
      </c>
      <c r="W1960" t="s">
        <v>13021</v>
      </c>
      <c r="X1960">
        <v>4</v>
      </c>
      <c r="Y1960" t="s">
        <v>18502</v>
      </c>
      <c r="Z1960" t="s">
        <v>23965</v>
      </c>
      <c r="AA1960">
        <v>0.76838369732606338</v>
      </c>
      <c r="AB1960" t="str">
        <f>HYPERLINK("Melting_Curves/meltCurve_P20248_CCNA2.pdf", "Melting_Curves/meltCurve_P20248_CCNA2.pdf")</f>
        <v>Melting_Curves/meltCurve_P20248_CCNA2.pdf</v>
      </c>
    </row>
    <row r="1961" spans="1:28" x14ac:dyDescent="0.25">
      <c r="A1961" t="s">
        <v>1965</v>
      </c>
      <c r="B1961">
        <v>0.99299721793515405</v>
      </c>
      <c r="C1961">
        <v>0.89661462373991796</v>
      </c>
      <c r="D1961">
        <v>0.95509887137808702</v>
      </c>
      <c r="E1961">
        <v>0.74413298817392803</v>
      </c>
      <c r="F1961">
        <v>0.63484048449296204</v>
      </c>
      <c r="G1961">
        <v>0.41576668363812702</v>
      </c>
      <c r="H1961">
        <v>0.37573351980545</v>
      </c>
      <c r="I1961">
        <v>0.51966360998498295</v>
      </c>
      <c r="J1961">
        <v>0.60149298175598997</v>
      </c>
      <c r="K1961">
        <v>0.60166294600308101</v>
      </c>
      <c r="L1961">
        <v>1161.30177984172</v>
      </c>
      <c r="M1961">
        <v>24.939191458774701</v>
      </c>
      <c r="O1961">
        <v>46.269036164147501</v>
      </c>
      <c r="P1961">
        <v>-6.6274495644138898E-2</v>
      </c>
      <c r="Q1961">
        <v>0.50817730273803896</v>
      </c>
      <c r="R1961">
        <v>0.857785436202814</v>
      </c>
      <c r="S1961" t="s">
        <v>7512</v>
      </c>
      <c r="T1961" t="s">
        <v>11100</v>
      </c>
      <c r="U1961" t="s">
        <v>11100</v>
      </c>
      <c r="V1961" t="s">
        <v>11100</v>
      </c>
      <c r="W1961" t="s">
        <v>13022</v>
      </c>
      <c r="X1961">
        <v>15</v>
      </c>
      <c r="Y1961" t="s">
        <v>18503</v>
      </c>
      <c r="Z1961" t="s">
        <v>23966</v>
      </c>
      <c r="AA1961">
        <v>0.66911775539140816</v>
      </c>
      <c r="AB1961" t="str">
        <f>HYPERLINK("Melting_Curves/meltCurve_P20290_BTF3.pdf", "Melting_Curves/meltCurve_P20290_BTF3.pdf")</f>
        <v>Melting_Curves/meltCurve_P20290_BTF3.pdf</v>
      </c>
    </row>
    <row r="1962" spans="1:28" x14ac:dyDescent="0.25">
      <c r="A1962" t="s">
        <v>1966</v>
      </c>
      <c r="B1962">
        <v>0.99299721793515405</v>
      </c>
      <c r="C1962">
        <v>0.83037274781234804</v>
      </c>
      <c r="D1962">
        <v>0.92946997059484304</v>
      </c>
      <c r="E1962">
        <v>0.72064975375559903</v>
      </c>
      <c r="F1962">
        <v>0.65158764052768703</v>
      </c>
      <c r="G1962">
        <v>0.448911537441744</v>
      </c>
      <c r="H1962">
        <v>0.39833706336465502</v>
      </c>
      <c r="I1962">
        <v>0.549726199887968</v>
      </c>
      <c r="J1962">
        <v>0.67066370785173601</v>
      </c>
      <c r="K1962">
        <v>0.85610890866984801</v>
      </c>
      <c r="L1962">
        <v>947.77487808484204</v>
      </c>
      <c r="M1962">
        <v>21.192704842463002</v>
      </c>
      <c r="O1962">
        <v>44.329282137126803</v>
      </c>
      <c r="P1962">
        <v>-4.9081068163323603E-2</v>
      </c>
      <c r="Q1962">
        <v>0.58935463287459799</v>
      </c>
      <c r="R1962">
        <v>0.54647552789521203</v>
      </c>
      <c r="S1962" t="s">
        <v>7513</v>
      </c>
      <c r="T1962" t="s">
        <v>11100</v>
      </c>
      <c r="U1962" t="s">
        <v>11100</v>
      </c>
      <c r="V1962" t="s">
        <v>11100</v>
      </c>
      <c r="W1962" t="s">
        <v>13023</v>
      </c>
      <c r="X1962">
        <v>11</v>
      </c>
      <c r="Y1962" t="s">
        <v>18503</v>
      </c>
      <c r="Z1962" t="s">
        <v>23967</v>
      </c>
      <c r="AA1962">
        <v>0.6998369126717191</v>
      </c>
      <c r="AB1962" t="str">
        <f>HYPERLINK("Melting_Curves/meltCurve_P20290_2_BTF3.pdf", "Melting_Curves/meltCurve_P20290_2_BTF3.pdf")</f>
        <v>Melting_Curves/meltCurve_P20290_2_BTF3.pdf</v>
      </c>
    </row>
    <row r="1963" spans="1:28" x14ac:dyDescent="0.25">
      <c r="A1963" t="s">
        <v>1967</v>
      </c>
      <c r="B1963">
        <v>0.99299721793515405</v>
      </c>
      <c r="C1963">
        <v>0.95463153830127301</v>
      </c>
      <c r="D1963">
        <v>0.88763218712360004</v>
      </c>
      <c r="E1963">
        <v>0.94446210352024795</v>
      </c>
      <c r="F1963">
        <v>0.70419027229907705</v>
      </c>
      <c r="G1963">
        <v>0.497752553388427</v>
      </c>
      <c r="H1963">
        <v>0.58817880742648498</v>
      </c>
      <c r="I1963">
        <v>0.54667000723435999</v>
      </c>
      <c r="J1963">
        <v>0.54643302098110003</v>
      </c>
      <c r="K1963">
        <v>0.22717098509797801</v>
      </c>
      <c r="L1963">
        <v>361.38180821271402</v>
      </c>
      <c r="M1963">
        <v>6.2675567234706104</v>
      </c>
      <c r="N1963">
        <v>59.747342393542901</v>
      </c>
      <c r="O1963">
        <v>52.622972998662199</v>
      </c>
      <c r="P1963">
        <v>-2.69213387023143E-2</v>
      </c>
      <c r="Q1963">
        <v>9.8361766372845799E-2</v>
      </c>
      <c r="R1963">
        <v>0.85778797009156305</v>
      </c>
      <c r="S1963" t="s">
        <v>7514</v>
      </c>
      <c r="T1963" t="s">
        <v>11100</v>
      </c>
      <c r="U1963" t="s">
        <v>11100</v>
      </c>
      <c r="V1963" t="s">
        <v>11100</v>
      </c>
      <c r="W1963" t="s">
        <v>13024</v>
      </c>
      <c r="X1963">
        <v>3</v>
      </c>
      <c r="Y1963" t="s">
        <v>18504</v>
      </c>
      <c r="Z1963" t="s">
        <v>23968</v>
      </c>
      <c r="AA1963">
        <v>0.68866512824591686</v>
      </c>
      <c r="AB1963" t="str">
        <f>HYPERLINK("Melting_Curves/meltCurve_P20336_RAB3A.pdf", "Melting_Curves/meltCurve_P20336_RAB3A.pdf")</f>
        <v>Melting_Curves/meltCurve_P20336_RAB3A.pdf</v>
      </c>
    </row>
    <row r="1964" spans="1:28" x14ac:dyDescent="0.25">
      <c r="A1964" t="s">
        <v>1968</v>
      </c>
      <c r="B1964">
        <v>0.99299721793515405</v>
      </c>
      <c r="C1964">
        <v>1.1082572139510201</v>
      </c>
      <c r="D1964">
        <v>0.90264874580635301</v>
      </c>
      <c r="E1964">
        <v>0.96805146359409999</v>
      </c>
      <c r="F1964">
        <v>0.75865900433025102</v>
      </c>
      <c r="G1964">
        <v>0.60099550369577703</v>
      </c>
      <c r="H1964">
        <v>0.40825934714244599</v>
      </c>
      <c r="I1964">
        <v>0.38235077143146801</v>
      </c>
      <c r="J1964">
        <v>0.20476627887670401</v>
      </c>
      <c r="K1964">
        <v>0.22692368301064</v>
      </c>
      <c r="L1964">
        <v>728.70645886233797</v>
      </c>
      <c r="M1964">
        <v>13.4561537109914</v>
      </c>
      <c r="N1964">
        <v>55.784595817437001</v>
      </c>
      <c r="O1964">
        <v>53.000078335360897</v>
      </c>
      <c r="P1964">
        <v>-5.31609461235759E-2</v>
      </c>
      <c r="Q1964">
        <v>0.16258417770018299</v>
      </c>
      <c r="R1964">
        <v>0.970748776777412</v>
      </c>
      <c r="S1964" t="s">
        <v>7515</v>
      </c>
      <c r="T1964" t="s">
        <v>11100</v>
      </c>
      <c r="U1964" t="s">
        <v>11100</v>
      </c>
      <c r="V1964" t="s">
        <v>11100</v>
      </c>
      <c r="W1964" t="s">
        <v>13025</v>
      </c>
      <c r="X1964">
        <v>4</v>
      </c>
      <c r="Y1964" t="s">
        <v>18505</v>
      </c>
      <c r="Z1964" t="s">
        <v>23969</v>
      </c>
      <c r="AA1964">
        <v>0.65555386212509881</v>
      </c>
      <c r="AB1964" t="str">
        <f>HYPERLINK("Melting_Curves/meltCurve_P20337_RAB3B.pdf", "Melting_Curves/meltCurve_P20337_RAB3B.pdf")</f>
        <v>Melting_Curves/meltCurve_P20337_RAB3B.pdf</v>
      </c>
    </row>
    <row r="1965" spans="1:28" x14ac:dyDescent="0.25">
      <c r="A1965" t="s">
        <v>1969</v>
      </c>
      <c r="B1965">
        <v>0.99299721793515405</v>
      </c>
      <c r="C1965">
        <v>1.0691801534727501</v>
      </c>
      <c r="D1965">
        <v>0.99644943374093298</v>
      </c>
      <c r="E1965">
        <v>0.99093231886727595</v>
      </c>
      <c r="F1965">
        <v>0.84796587509481003</v>
      </c>
      <c r="G1965">
        <v>0.71879744663690603</v>
      </c>
      <c r="H1965">
        <v>0.67320730483437297</v>
      </c>
      <c r="I1965">
        <v>0.736167630831707</v>
      </c>
      <c r="J1965">
        <v>0.72375572787908704</v>
      </c>
      <c r="K1965">
        <v>0.48351272567411602</v>
      </c>
      <c r="L1965">
        <v>1048.6385614108899</v>
      </c>
      <c r="M1965">
        <v>20.4143592710539</v>
      </c>
      <c r="O1965">
        <v>50.882402493300603</v>
      </c>
      <c r="P1965">
        <v>-3.6693375636007601E-2</v>
      </c>
      <c r="Q1965">
        <v>0.63418081354408995</v>
      </c>
      <c r="R1965">
        <v>0.85745399379728704</v>
      </c>
      <c r="S1965" t="s">
        <v>7516</v>
      </c>
      <c r="T1965" t="s">
        <v>11100</v>
      </c>
      <c r="U1965" t="s">
        <v>11100</v>
      </c>
      <c r="V1965" t="s">
        <v>11100</v>
      </c>
      <c r="W1965" t="s">
        <v>13026</v>
      </c>
      <c r="X1965">
        <v>6</v>
      </c>
      <c r="Y1965" t="s">
        <v>18506</v>
      </c>
      <c r="Z1965" t="s">
        <v>23970</v>
      </c>
      <c r="AA1965">
        <v>0.81399265095069862</v>
      </c>
      <c r="AB1965" t="str">
        <f>HYPERLINK("Melting_Curves/meltCurve_P20338_RAB4A.pdf", "Melting_Curves/meltCurve_P20338_RAB4A.pdf")</f>
        <v>Melting_Curves/meltCurve_P20338_RAB4A.pdf</v>
      </c>
    </row>
    <row r="1966" spans="1:28" x14ac:dyDescent="0.25">
      <c r="A1966" t="s">
        <v>1970</v>
      </c>
      <c r="B1966">
        <v>0.99299721793515405</v>
      </c>
      <c r="C1966">
        <v>1.0629171702106399</v>
      </c>
      <c r="D1966">
        <v>1.01540744089079</v>
      </c>
      <c r="E1966">
        <v>0.96147073541411099</v>
      </c>
      <c r="F1966">
        <v>0.79337280440513303</v>
      </c>
      <c r="G1966">
        <v>0.61098419504026202</v>
      </c>
      <c r="H1966">
        <v>0.61138458719104205</v>
      </c>
      <c r="I1966">
        <v>0.67843018205361805</v>
      </c>
      <c r="J1966">
        <v>0.73715016865560601</v>
      </c>
      <c r="K1966">
        <v>0.55097356295638</v>
      </c>
      <c r="L1966">
        <v>2451.0693040310398</v>
      </c>
      <c r="M1966">
        <v>49.183815003831299</v>
      </c>
      <c r="O1966">
        <v>49.752698815661802</v>
      </c>
      <c r="P1966">
        <v>-8.9800680172738095E-2</v>
      </c>
      <c r="Q1966">
        <v>0.63664290337020002</v>
      </c>
      <c r="R1966">
        <v>0.92110247364790698</v>
      </c>
      <c r="S1966" t="s">
        <v>7517</v>
      </c>
      <c r="T1966" t="s">
        <v>11100</v>
      </c>
      <c r="U1966" t="s">
        <v>11100</v>
      </c>
      <c r="V1966" t="s">
        <v>11100</v>
      </c>
      <c r="W1966" t="s">
        <v>13027</v>
      </c>
      <c r="X1966">
        <v>16</v>
      </c>
      <c r="Y1966" t="s">
        <v>18507</v>
      </c>
      <c r="Z1966" t="s">
        <v>23971</v>
      </c>
      <c r="AA1966">
        <v>0.79292322708248719</v>
      </c>
      <c r="AB1966" t="str">
        <f>HYPERLINK("Melting_Curves/meltCurve_P20340_RAB6A.pdf", "Melting_Curves/meltCurve_P20340_RAB6A.pdf")</f>
        <v>Melting_Curves/meltCurve_P20340_RAB6A.pdf</v>
      </c>
    </row>
    <row r="1967" spans="1:28" x14ac:dyDescent="0.25">
      <c r="A1967" t="s">
        <v>1971</v>
      </c>
      <c r="B1967">
        <v>0.99299721793515405</v>
      </c>
      <c r="C1967">
        <v>1.035907273601</v>
      </c>
      <c r="D1967">
        <v>0.491023749995536</v>
      </c>
      <c r="E1967">
        <v>0.63605600682531505</v>
      </c>
      <c r="F1967">
        <v>0.56531898975850303</v>
      </c>
      <c r="G1967">
        <v>0.468182293232902</v>
      </c>
      <c r="H1967">
        <v>0.83674758162034202</v>
      </c>
      <c r="I1967">
        <v>0.138515708109442</v>
      </c>
      <c r="J1967">
        <v>0</v>
      </c>
      <c r="K1967">
        <v>0</v>
      </c>
      <c r="L1967">
        <v>351.21006086316402</v>
      </c>
      <c r="M1967">
        <v>6.79328540370234</v>
      </c>
      <c r="N1967">
        <v>51.699588571910603</v>
      </c>
      <c r="O1967">
        <v>47.774251685075598</v>
      </c>
      <c r="P1967">
        <v>-3.5622418492970202E-2</v>
      </c>
      <c r="Q1967">
        <v>0</v>
      </c>
      <c r="R1967">
        <v>0.64160580025037295</v>
      </c>
      <c r="S1967" t="s">
        <v>7518</v>
      </c>
      <c r="T1967" t="s">
        <v>11100</v>
      </c>
      <c r="U1967" t="s">
        <v>11100</v>
      </c>
      <c r="V1967" t="s">
        <v>11100</v>
      </c>
      <c r="W1967" t="s">
        <v>13028</v>
      </c>
      <c r="X1967">
        <v>15</v>
      </c>
      <c r="Y1967" t="s">
        <v>18507</v>
      </c>
      <c r="Z1967" t="s">
        <v>23972</v>
      </c>
      <c r="AA1967">
        <v>0.52121027156687305</v>
      </c>
      <c r="AB1967" t="str">
        <f>HYPERLINK("Melting_Curves/meltCurve_P20340_2_RAB6A.pdf", "Melting_Curves/meltCurve_P20340_2_RAB6A.pdf")</f>
        <v>Melting_Curves/meltCurve_P20340_2_RAB6A.pdf</v>
      </c>
    </row>
    <row r="1968" spans="1:28" x14ac:dyDescent="0.25">
      <c r="A1968" t="s">
        <v>1972</v>
      </c>
      <c r="B1968">
        <v>0.99299721793515405</v>
      </c>
      <c r="C1968">
        <v>0.96666528821368503</v>
      </c>
      <c r="D1968">
        <v>1.0570018273459101</v>
      </c>
      <c r="E1968">
        <v>0.86136306404096497</v>
      </c>
      <c r="F1968">
        <v>0.55156482397242301</v>
      </c>
      <c r="G1968">
        <v>0.49293558473708998</v>
      </c>
      <c r="H1968">
        <v>0.55370781648217904</v>
      </c>
      <c r="I1968">
        <v>0.50952476382710399</v>
      </c>
      <c r="J1968">
        <v>0.52837784790779296</v>
      </c>
      <c r="K1968">
        <v>0.43986861830359802</v>
      </c>
      <c r="L1968">
        <v>2244.8549165907798</v>
      </c>
      <c r="M1968">
        <v>47.186096929178497</v>
      </c>
      <c r="O1968">
        <v>47.489285833382802</v>
      </c>
      <c r="P1968">
        <v>-0.122804424943859</v>
      </c>
      <c r="Q1968">
        <v>0.50562657049607596</v>
      </c>
      <c r="R1968">
        <v>0.97692014741482402</v>
      </c>
      <c r="S1968" t="s">
        <v>7519</v>
      </c>
      <c r="T1968" t="s">
        <v>11100</v>
      </c>
      <c r="U1968" t="s">
        <v>11100</v>
      </c>
      <c r="V1968" t="s">
        <v>11100</v>
      </c>
      <c r="W1968" t="s">
        <v>13029</v>
      </c>
      <c r="X1968">
        <v>6</v>
      </c>
      <c r="Y1968" t="s">
        <v>18508</v>
      </c>
      <c r="Z1968" t="s">
        <v>23973</v>
      </c>
      <c r="AA1968">
        <v>0.68105061220156982</v>
      </c>
      <c r="AB1968" t="str">
        <f>HYPERLINK("Melting_Curves/meltCurve_P20618_PSMB1.pdf", "Melting_Curves/meltCurve_P20618_PSMB1.pdf")</f>
        <v>Melting_Curves/meltCurve_P20618_PSMB1.pdf</v>
      </c>
    </row>
    <row r="1969" spans="1:28" x14ac:dyDescent="0.25">
      <c r="A1969" t="s">
        <v>1973</v>
      </c>
      <c r="B1969">
        <v>0.99299721793515405</v>
      </c>
      <c r="C1969">
        <v>0.95103275871695103</v>
      </c>
      <c r="D1969">
        <v>1.00017316191508</v>
      </c>
      <c r="E1969">
        <v>0.88983510572937097</v>
      </c>
      <c r="F1969">
        <v>0.75281684101345703</v>
      </c>
      <c r="G1969">
        <v>0.57565290409482295</v>
      </c>
      <c r="H1969">
        <v>0.50818972564796105</v>
      </c>
      <c r="I1969">
        <v>0.52116874808928704</v>
      </c>
      <c r="J1969">
        <v>0.55054373612216501</v>
      </c>
      <c r="K1969">
        <v>0.47306232182215202</v>
      </c>
      <c r="L1969">
        <v>1059.9045405930301</v>
      </c>
      <c r="M1969">
        <v>21.258420889520899</v>
      </c>
      <c r="O1969">
        <v>49.423194730754403</v>
      </c>
      <c r="P1969">
        <v>-5.36122948688499E-2</v>
      </c>
      <c r="Q1969">
        <v>0.50144487546264205</v>
      </c>
      <c r="R1969">
        <v>0.98404688269015905</v>
      </c>
      <c r="S1969" t="s">
        <v>7520</v>
      </c>
      <c r="T1969" t="s">
        <v>11100</v>
      </c>
      <c r="U1969" t="s">
        <v>11100</v>
      </c>
      <c r="V1969" t="s">
        <v>11100</v>
      </c>
      <c r="W1969" t="s">
        <v>13030</v>
      </c>
      <c r="X1969">
        <v>5</v>
      </c>
      <c r="Y1969" t="s">
        <v>18509</v>
      </c>
      <c r="Z1969" t="s">
        <v>23974</v>
      </c>
      <c r="AA1969">
        <v>0.72101683858926391</v>
      </c>
      <c r="AB1969" t="str">
        <f>HYPERLINK("Melting_Curves/meltCurve_P20645_M6PR.pdf", "Melting_Curves/meltCurve_P20645_M6PR.pdf")</f>
        <v>Melting_Curves/meltCurve_P20645_M6PR.pdf</v>
      </c>
    </row>
    <row r="1970" spans="1:28" x14ac:dyDescent="0.25">
      <c r="A1970" t="s">
        <v>1974</v>
      </c>
      <c r="B1970">
        <v>0.99299721793515405</v>
      </c>
      <c r="C1970">
        <v>0.95025685341760702</v>
      </c>
      <c r="D1970">
        <v>0.91337756289108096</v>
      </c>
      <c r="E1970">
        <v>0.92533358858669001</v>
      </c>
      <c r="F1970">
        <v>0.772693862669937</v>
      </c>
      <c r="G1970">
        <v>0.51696440771015895</v>
      </c>
      <c r="H1970">
        <v>0.86351924272014102</v>
      </c>
      <c r="I1970">
        <v>1.3602697831880299</v>
      </c>
      <c r="J1970">
        <v>1.9485518649024001</v>
      </c>
      <c r="K1970">
        <v>2.5118159251037002</v>
      </c>
      <c r="L1970">
        <v>15000</v>
      </c>
      <c r="M1970">
        <v>246.84883419221401</v>
      </c>
      <c r="O1970">
        <v>60.761951642687002</v>
      </c>
      <c r="P1970">
        <v>0.50781955704530801</v>
      </c>
      <c r="Q1970">
        <v>1.5</v>
      </c>
      <c r="R1970">
        <v>0.53573166579937803</v>
      </c>
      <c r="S1970" t="s">
        <v>7521</v>
      </c>
      <c r="T1970" t="s">
        <v>11100</v>
      </c>
      <c r="U1970" t="s">
        <v>11100</v>
      </c>
      <c r="V1970" t="s">
        <v>11100</v>
      </c>
      <c r="W1970" t="s">
        <v>13031</v>
      </c>
      <c r="X1970">
        <v>7</v>
      </c>
      <c r="Y1970" t="s">
        <v>18510</v>
      </c>
      <c r="Z1970" t="s">
        <v>23975</v>
      </c>
      <c r="AA1970">
        <v>1.1038464057422219</v>
      </c>
      <c r="AB1970" t="str">
        <f>HYPERLINK("Melting_Curves/meltCurve_P20674_COX5A.pdf", "Melting_Curves/meltCurve_P20674_COX5A.pdf")</f>
        <v>Melting_Curves/meltCurve_P20674_COX5A.pdf</v>
      </c>
    </row>
    <row r="1971" spans="1:28" x14ac:dyDescent="0.25">
      <c r="A1971" t="s">
        <v>1975</v>
      </c>
      <c r="B1971">
        <v>0.99299721793515405</v>
      </c>
      <c r="C1971">
        <v>0.95867634126446299</v>
      </c>
      <c r="D1971">
        <v>0.98612840651870304</v>
      </c>
      <c r="E1971">
        <v>0.84691747733349698</v>
      </c>
      <c r="F1971">
        <v>0.769767188511427</v>
      </c>
      <c r="G1971">
        <v>0.94247927474063498</v>
      </c>
      <c r="H1971">
        <v>0.49624708384347399</v>
      </c>
      <c r="I1971">
        <v>0.35170168714515798</v>
      </c>
      <c r="J1971">
        <v>0.23844521921749201</v>
      </c>
      <c r="K1971">
        <v>0.19457484736153599</v>
      </c>
      <c r="L1971">
        <v>716.76068856161896</v>
      </c>
      <c r="M1971">
        <v>12.253686348889</v>
      </c>
      <c r="N1971">
        <v>58.4934744626539</v>
      </c>
      <c r="O1971">
        <v>57.001065662438997</v>
      </c>
      <c r="P1971">
        <v>-5.37551807893831E-2</v>
      </c>
      <c r="Q1971">
        <v>0</v>
      </c>
      <c r="R1971">
        <v>0.924862165016195</v>
      </c>
      <c r="S1971" t="s">
        <v>7522</v>
      </c>
      <c r="T1971" t="s">
        <v>11100</v>
      </c>
      <c r="U1971" t="s">
        <v>11100</v>
      </c>
      <c r="V1971" t="s">
        <v>11100</v>
      </c>
      <c r="W1971" t="s">
        <v>13032</v>
      </c>
      <c r="X1971">
        <v>47</v>
      </c>
      <c r="Y1971" t="s">
        <v>18511</v>
      </c>
      <c r="Z1971" t="s">
        <v>23976</v>
      </c>
      <c r="AA1971">
        <v>0.71256674266323516</v>
      </c>
      <c r="AB1971" t="str">
        <f>HYPERLINK("Melting_Curves/meltCurve_P20700_LMNB1.pdf", "Melting_Curves/meltCurve_P20700_LMNB1.pdf")</f>
        <v>Melting_Curves/meltCurve_P20700_LMNB1.pdf</v>
      </c>
    </row>
    <row r="1972" spans="1:28" x14ac:dyDescent="0.25">
      <c r="A1972" t="s">
        <v>1976</v>
      </c>
      <c r="B1972">
        <v>0.99299721793515405</v>
      </c>
      <c r="C1972">
        <v>1.00759455067569</v>
      </c>
      <c r="D1972">
        <v>1.1814269071996899</v>
      </c>
      <c r="E1972">
        <v>0.92945134572543198</v>
      </c>
      <c r="F1972">
        <v>0.78773268578351496</v>
      </c>
      <c r="G1972">
        <v>0.647238986276365</v>
      </c>
      <c r="H1972">
        <v>0.64666711009859001</v>
      </c>
      <c r="I1972">
        <v>0.76493749495138397</v>
      </c>
      <c r="J1972">
        <v>0.91510356621900601</v>
      </c>
      <c r="K1972">
        <v>0.83056646883469498</v>
      </c>
      <c r="L1972">
        <v>3205.2872505929199</v>
      </c>
      <c r="M1972">
        <v>67.881131443423499</v>
      </c>
      <c r="O1972">
        <v>47.1781738210342</v>
      </c>
      <c r="P1972">
        <v>-8.4695084878214894E-2</v>
      </c>
      <c r="Q1972">
        <v>0.76454372001534998</v>
      </c>
      <c r="R1972">
        <v>0.65476475573464599</v>
      </c>
      <c r="S1972" t="s">
        <v>7523</v>
      </c>
      <c r="T1972" t="s">
        <v>11100</v>
      </c>
      <c r="U1972" t="s">
        <v>11100</v>
      </c>
      <c r="V1972" t="s">
        <v>11100</v>
      </c>
      <c r="W1972" t="s">
        <v>13033</v>
      </c>
      <c r="X1972">
        <v>33</v>
      </c>
      <c r="Y1972" t="s">
        <v>18512</v>
      </c>
      <c r="Z1972" t="s">
        <v>23977</v>
      </c>
      <c r="AA1972">
        <v>0.84501431194508225</v>
      </c>
      <c r="AB1972" t="str">
        <f>HYPERLINK("Melting_Curves/meltCurve_P20810_5_CAST.pdf", "Melting_Curves/meltCurve_P20810_5_CAST.pdf")</f>
        <v>Melting_Curves/meltCurve_P20810_5_CAST.pdf</v>
      </c>
    </row>
    <row r="1973" spans="1:28" x14ac:dyDescent="0.25">
      <c r="A1973" t="s">
        <v>1977</v>
      </c>
      <c r="B1973">
        <v>0.99299721793515405</v>
      </c>
      <c r="C1973">
        <v>1.06704783561382</v>
      </c>
      <c r="D1973">
        <v>1.48612664056638</v>
      </c>
      <c r="E1973">
        <v>1.1084442915625401</v>
      </c>
      <c r="F1973">
        <v>0.870069482828281</v>
      </c>
      <c r="G1973">
        <v>0.84559863385838896</v>
      </c>
      <c r="H1973">
        <v>0.56222435489582501</v>
      </c>
      <c r="I1973">
        <v>0.72878721017906301</v>
      </c>
      <c r="J1973">
        <v>0.79191802025960001</v>
      </c>
      <c r="K1973">
        <v>0.93925291834677405</v>
      </c>
      <c r="L1973">
        <v>5575.3865715148604</v>
      </c>
      <c r="M1973">
        <v>111.355963516801</v>
      </c>
      <c r="O1973">
        <v>50.052027755706497</v>
      </c>
      <c r="P1973">
        <v>-0.12597528066782401</v>
      </c>
      <c r="Q1973">
        <v>0.77350777652255698</v>
      </c>
      <c r="R1973">
        <v>0.41566383886561398</v>
      </c>
      <c r="S1973" t="s">
        <v>7524</v>
      </c>
      <c r="T1973" t="s">
        <v>11100</v>
      </c>
      <c r="U1973" t="s">
        <v>11100</v>
      </c>
      <c r="V1973" t="s">
        <v>11100</v>
      </c>
      <c r="W1973" t="s">
        <v>13034</v>
      </c>
      <c r="X1973">
        <v>8</v>
      </c>
      <c r="Y1973" t="s">
        <v>18513</v>
      </c>
      <c r="Z1973" t="s">
        <v>23978</v>
      </c>
      <c r="AA1973">
        <v>0.87226928586662433</v>
      </c>
      <c r="AB1973" t="str">
        <f>HYPERLINK("Melting_Curves/meltCurve_P20962_PTMS.pdf", "Melting_Curves/meltCurve_P20962_PTMS.pdf")</f>
        <v>Melting_Curves/meltCurve_P20962_PTMS.pdf</v>
      </c>
    </row>
    <row r="1974" spans="1:28" x14ac:dyDescent="0.25">
      <c r="A1974" t="s">
        <v>1978</v>
      </c>
      <c r="B1974">
        <v>0.99299721793515405</v>
      </c>
      <c r="C1974">
        <v>0.91005304740329396</v>
      </c>
      <c r="D1974">
        <v>1.02290187568236</v>
      </c>
      <c r="E1974">
        <v>0.73893539335405301</v>
      </c>
      <c r="F1974">
        <v>0.44763498027403498</v>
      </c>
      <c r="G1974">
        <v>0.210312438667937</v>
      </c>
      <c r="H1974">
        <v>0.200075921369297</v>
      </c>
      <c r="I1974">
        <v>0.16301640113129101</v>
      </c>
      <c r="J1974">
        <v>0.201573979384714</v>
      </c>
      <c r="K1974">
        <v>0.168464294859171</v>
      </c>
      <c r="L1974">
        <v>1167.03627141523</v>
      </c>
      <c r="M1974">
        <v>24.102132330083201</v>
      </c>
      <c r="N1974">
        <v>49.2872688741516</v>
      </c>
      <c r="O1974">
        <v>48.090833742301697</v>
      </c>
      <c r="P1974">
        <v>-0.103651645859375</v>
      </c>
      <c r="Q1974">
        <v>0.17275110367643801</v>
      </c>
      <c r="R1974">
        <v>0.98814619136969395</v>
      </c>
      <c r="S1974" t="s">
        <v>7525</v>
      </c>
      <c r="T1974" t="s">
        <v>11100</v>
      </c>
      <c r="U1974" t="s">
        <v>11100</v>
      </c>
      <c r="V1974" t="s">
        <v>11100</v>
      </c>
      <c r="W1974" t="s">
        <v>13035</v>
      </c>
      <c r="X1974">
        <v>5</v>
      </c>
      <c r="Y1974" t="s">
        <v>18514</v>
      </c>
      <c r="Z1974" t="s">
        <v>23979</v>
      </c>
      <c r="AA1974">
        <v>0.49528855341117228</v>
      </c>
      <c r="AB1974" t="str">
        <f>HYPERLINK("Melting_Curves/meltCurve_P21127_8_CDK11B.pdf", "Melting_Curves/meltCurve_P21127_8_CDK11B.pdf")</f>
        <v>Melting_Curves/meltCurve_P21127_8_CDK11B.pdf</v>
      </c>
    </row>
    <row r="1975" spans="1:28" x14ac:dyDescent="0.25">
      <c r="A1975" t="s">
        <v>1979</v>
      </c>
      <c r="B1975">
        <v>0.99299721793515405</v>
      </c>
      <c r="C1975">
        <v>1.18614977408224</v>
      </c>
      <c r="D1975">
        <v>1.10181508608807</v>
      </c>
      <c r="E1975">
        <v>1.11550556249574</v>
      </c>
      <c r="F1975">
        <v>0.73511499459609697</v>
      </c>
      <c r="G1975">
        <v>0.368693297869644</v>
      </c>
      <c r="H1975">
        <v>0.20700749513535199</v>
      </c>
      <c r="I1975">
        <v>0.15934078309664201</v>
      </c>
      <c r="J1975">
        <v>0.14793149301935499</v>
      </c>
      <c r="K1975">
        <v>0.100732442916773</v>
      </c>
      <c r="L1975">
        <v>1616.3465691379999</v>
      </c>
      <c r="M1975">
        <v>31.154927822829801</v>
      </c>
      <c r="N1975">
        <v>52.441123274777702</v>
      </c>
      <c r="O1975">
        <v>51.668582249134197</v>
      </c>
      <c r="P1975">
        <v>-0.12940736542273601</v>
      </c>
      <c r="Q1975">
        <v>0.141547352581572</v>
      </c>
      <c r="R1975">
        <v>0.96329243881992799</v>
      </c>
      <c r="S1975" t="s">
        <v>7526</v>
      </c>
      <c r="T1975" t="s">
        <v>11100</v>
      </c>
      <c r="U1975" t="s">
        <v>11100</v>
      </c>
      <c r="V1975" t="s">
        <v>11100</v>
      </c>
      <c r="W1975" t="s">
        <v>13036</v>
      </c>
      <c r="X1975">
        <v>9</v>
      </c>
      <c r="Y1975" t="s">
        <v>18515</v>
      </c>
      <c r="Z1975" t="s">
        <v>23980</v>
      </c>
      <c r="AA1975">
        <v>0.57239546533238073</v>
      </c>
      <c r="AB1975" t="str">
        <f>HYPERLINK("Melting_Curves/meltCurve_P21266_GSTM3.pdf", "Melting_Curves/meltCurve_P21266_GSTM3.pdf")</f>
        <v>Melting_Curves/meltCurve_P21266_GSTM3.pdf</v>
      </c>
    </row>
    <row r="1976" spans="1:28" x14ac:dyDescent="0.25">
      <c r="A1976" t="s">
        <v>1980</v>
      </c>
      <c r="B1976">
        <v>0.99299721793515405</v>
      </c>
      <c r="C1976">
        <v>0.95814822839974301</v>
      </c>
      <c r="D1976">
        <v>1.0088616708662601</v>
      </c>
      <c r="E1976">
        <v>0.75850171860945104</v>
      </c>
      <c r="F1976">
        <v>0.76538076822130396</v>
      </c>
      <c r="G1976">
        <v>0.90788971481563197</v>
      </c>
      <c r="H1976">
        <v>0.678779662542222</v>
      </c>
      <c r="I1976">
        <v>0.84854022201088197</v>
      </c>
      <c r="J1976">
        <v>0.71146125007041405</v>
      </c>
      <c r="K1976">
        <v>0.356735422585019</v>
      </c>
      <c r="L1976">
        <v>312.73062582177801</v>
      </c>
      <c r="M1976">
        <v>4.4290595227413299</v>
      </c>
      <c r="O1976">
        <v>59.748552010234803</v>
      </c>
      <c r="P1976">
        <v>-1.8702945255359E-2</v>
      </c>
      <c r="Q1976">
        <v>0</v>
      </c>
      <c r="R1976">
        <v>0.60829676716458503</v>
      </c>
      <c r="S1976" t="s">
        <v>7527</v>
      </c>
      <c r="T1976" t="s">
        <v>11100</v>
      </c>
      <c r="U1976" t="s">
        <v>11100</v>
      </c>
      <c r="V1976" t="s">
        <v>11100</v>
      </c>
      <c r="W1976" t="s">
        <v>13037</v>
      </c>
      <c r="X1976">
        <v>20</v>
      </c>
      <c r="Y1976" t="s">
        <v>18516</v>
      </c>
      <c r="Z1976" t="s">
        <v>23981</v>
      </c>
      <c r="AA1976">
        <v>0.80889805818536431</v>
      </c>
      <c r="AB1976" t="str">
        <f>HYPERLINK("Melting_Curves/meltCurve_P21281_ATP6V1B2.pdf", "Melting_Curves/meltCurve_P21281_ATP6V1B2.pdf")</f>
        <v>Melting_Curves/meltCurve_P21281_ATP6V1B2.pdf</v>
      </c>
    </row>
    <row r="1977" spans="1:28" x14ac:dyDescent="0.25">
      <c r="A1977" t="s">
        <v>1981</v>
      </c>
      <c r="B1977">
        <v>0.99299721793515405</v>
      </c>
      <c r="C1977">
        <v>0.98823310141216303</v>
      </c>
      <c r="D1977">
        <v>0.89518435195701895</v>
      </c>
      <c r="E1977">
        <v>0.80985756883147397</v>
      </c>
      <c r="F1977">
        <v>0.61274588988729695</v>
      </c>
      <c r="G1977">
        <v>0.313576256026461</v>
      </c>
      <c r="H1977">
        <v>0.21291396635322099</v>
      </c>
      <c r="I1977">
        <v>0.150509173927905</v>
      </c>
      <c r="J1977">
        <v>0.10136044367367</v>
      </c>
      <c r="K1977">
        <v>7.9682717168872305E-2</v>
      </c>
      <c r="L1977">
        <v>735.30432647387704</v>
      </c>
      <c r="M1977">
        <v>14.4373528860886</v>
      </c>
      <c r="N1977">
        <v>51.344323935386498</v>
      </c>
      <c r="O1977">
        <v>49.983447430315401</v>
      </c>
      <c r="P1977">
        <v>-6.82544151430515E-2</v>
      </c>
      <c r="Q1977">
        <v>5.4898352781763499E-2</v>
      </c>
      <c r="R1977">
        <v>0.99611306812278999</v>
      </c>
      <c r="S1977" t="s">
        <v>7528</v>
      </c>
      <c r="T1977" t="s">
        <v>11100</v>
      </c>
      <c r="U1977" t="s">
        <v>11100</v>
      </c>
      <c r="V1977" t="s">
        <v>11100</v>
      </c>
      <c r="W1977" t="s">
        <v>13038</v>
      </c>
      <c r="X1977">
        <v>12</v>
      </c>
      <c r="Y1977" t="s">
        <v>18517</v>
      </c>
      <c r="Z1977" t="s">
        <v>23982</v>
      </c>
      <c r="AA1977">
        <v>0.51381270614629171</v>
      </c>
      <c r="AB1977" t="str">
        <f>HYPERLINK("Melting_Curves/meltCurve_P21283_ATP6V1C1.pdf", "Melting_Curves/meltCurve_P21283_ATP6V1C1.pdf")</f>
        <v>Melting_Curves/meltCurve_P21283_ATP6V1C1.pdf</v>
      </c>
    </row>
    <row r="1978" spans="1:28" x14ac:dyDescent="0.25">
      <c r="A1978" t="s">
        <v>1982</v>
      </c>
      <c r="B1978">
        <v>0.99299721793515405</v>
      </c>
      <c r="C1978">
        <v>0.98591378664718998</v>
      </c>
      <c r="D1978">
        <v>1.0509145454469799</v>
      </c>
      <c r="E1978">
        <v>0.90070522267805697</v>
      </c>
      <c r="F1978">
        <v>0.78215215621221901</v>
      </c>
      <c r="G1978">
        <v>0.71760201935737999</v>
      </c>
      <c r="H1978">
        <v>0.50062296347887603</v>
      </c>
      <c r="I1978">
        <v>0.221847983500403</v>
      </c>
      <c r="J1978">
        <v>0.18914017752935899</v>
      </c>
      <c r="K1978">
        <v>0.14890169226165201</v>
      </c>
      <c r="L1978">
        <v>718.82930991975502</v>
      </c>
      <c r="M1978">
        <v>12.670045659520699</v>
      </c>
      <c r="N1978">
        <v>56.734547879791499</v>
      </c>
      <c r="O1978">
        <v>55.3769053661605</v>
      </c>
      <c r="P1978">
        <v>-5.7210310244625001E-2</v>
      </c>
      <c r="Q1978">
        <v>0</v>
      </c>
      <c r="R1978">
        <v>0.983392841040308</v>
      </c>
      <c r="S1978" t="s">
        <v>7529</v>
      </c>
      <c r="T1978" t="s">
        <v>11100</v>
      </c>
      <c r="U1978" t="s">
        <v>11100</v>
      </c>
      <c r="V1978" t="s">
        <v>11100</v>
      </c>
      <c r="W1978" t="s">
        <v>13039</v>
      </c>
      <c r="X1978">
        <v>28</v>
      </c>
      <c r="Y1978" t="s">
        <v>18518</v>
      </c>
      <c r="Z1978" t="s">
        <v>23983</v>
      </c>
      <c r="AA1978">
        <v>0.6649465096244831</v>
      </c>
      <c r="AB1978" t="str">
        <f>HYPERLINK("Melting_Curves/meltCurve_P21399_ACO1.pdf", "Melting_Curves/meltCurve_P21399_ACO1.pdf")</f>
        <v>Melting_Curves/meltCurve_P21399_ACO1.pdf</v>
      </c>
    </row>
    <row r="1979" spans="1:28" x14ac:dyDescent="0.25">
      <c r="A1979" t="s">
        <v>1983</v>
      </c>
      <c r="B1979">
        <v>0.99299721793515405</v>
      </c>
      <c r="C1979">
        <v>1.0024723953071799</v>
      </c>
      <c r="D1979">
        <v>0.90540111970664905</v>
      </c>
      <c r="E1979">
        <v>0.87944330191084297</v>
      </c>
      <c r="F1979">
        <v>0.71186019571032999</v>
      </c>
      <c r="G1979">
        <v>0.59415869725367898</v>
      </c>
      <c r="H1979">
        <v>0.62051989576833</v>
      </c>
      <c r="I1979">
        <v>0.70290282788929703</v>
      </c>
      <c r="J1979">
        <v>0.786982349324299</v>
      </c>
      <c r="K1979">
        <v>0.77436432312576198</v>
      </c>
      <c r="L1979">
        <v>1295.59039875433</v>
      </c>
      <c r="M1979">
        <v>27.8952391605972</v>
      </c>
      <c r="O1979">
        <v>46.208135736930103</v>
      </c>
      <c r="P1979">
        <v>-4.6103995133149799E-2</v>
      </c>
      <c r="Q1979">
        <v>0.69451975299957702</v>
      </c>
      <c r="R1979">
        <v>0.796949346686469</v>
      </c>
      <c r="S1979" t="s">
        <v>7530</v>
      </c>
      <c r="T1979" t="s">
        <v>11100</v>
      </c>
      <c r="U1979" t="s">
        <v>11100</v>
      </c>
      <c r="V1979" t="s">
        <v>11100</v>
      </c>
      <c r="W1979" t="s">
        <v>13040</v>
      </c>
      <c r="X1979">
        <v>29</v>
      </c>
      <c r="Y1979" t="s">
        <v>18519</v>
      </c>
      <c r="Z1979" t="s">
        <v>23984</v>
      </c>
      <c r="AA1979">
        <v>0.79273081464654316</v>
      </c>
      <c r="AB1979" t="str">
        <f>HYPERLINK("Melting_Curves/meltCurve_P21796_VDAC1.pdf", "Melting_Curves/meltCurve_P21796_VDAC1.pdf")</f>
        <v>Melting_Curves/meltCurve_P21796_VDAC1.pdf</v>
      </c>
    </row>
    <row r="1980" spans="1:28" x14ac:dyDescent="0.25">
      <c r="A1980" t="s">
        <v>1984</v>
      </c>
      <c r="B1980">
        <v>0.99299721793515405</v>
      </c>
      <c r="C1980">
        <v>0.96830911621334104</v>
      </c>
      <c r="D1980">
        <v>0.981909006208045</v>
      </c>
      <c r="E1980">
        <v>0.89121105058365102</v>
      </c>
      <c r="F1980">
        <v>0.75384590029301402</v>
      </c>
      <c r="G1980">
        <v>0.66136760700077701</v>
      </c>
      <c r="H1980">
        <v>0.65931676118926197</v>
      </c>
      <c r="I1980">
        <v>0.75831470751117802</v>
      </c>
      <c r="J1980">
        <v>0.60619229096139704</v>
      </c>
      <c r="K1980">
        <v>0.18362168499059001</v>
      </c>
      <c r="L1980">
        <v>381.093676471788</v>
      </c>
      <c r="M1980">
        <v>6.0155678951260301</v>
      </c>
      <c r="N1980">
        <v>63.351238494764203</v>
      </c>
      <c r="O1980">
        <v>57.415183322511297</v>
      </c>
      <c r="P1980">
        <v>-2.6277315128053699E-2</v>
      </c>
      <c r="Q1980">
        <v>0</v>
      </c>
      <c r="R1980">
        <v>0.76790613495400994</v>
      </c>
      <c r="S1980" t="s">
        <v>7531</v>
      </c>
      <c r="T1980" t="s">
        <v>11100</v>
      </c>
      <c r="U1980" t="s">
        <v>11100</v>
      </c>
      <c r="V1980" t="s">
        <v>11100</v>
      </c>
      <c r="W1980" t="s">
        <v>13041</v>
      </c>
      <c r="X1980">
        <v>21</v>
      </c>
      <c r="Y1980" t="s">
        <v>18520</v>
      </c>
      <c r="Z1980" t="s">
        <v>23985</v>
      </c>
      <c r="AA1980">
        <v>0.756226971291037</v>
      </c>
      <c r="AB1980" t="str">
        <f>HYPERLINK("Melting_Curves/meltCurve_P21912_SDHB.pdf", "Melting_Curves/meltCurve_P21912_SDHB.pdf")</f>
        <v>Melting_Curves/meltCurve_P21912_SDHB.pdf</v>
      </c>
    </row>
    <row r="1981" spans="1:28" x14ac:dyDescent="0.25">
      <c r="A1981" t="s">
        <v>1985</v>
      </c>
      <c r="B1981">
        <v>0.99299721793515405</v>
      </c>
      <c r="C1981">
        <v>0.93426141473882995</v>
      </c>
      <c r="D1981">
        <v>0.951455737292346</v>
      </c>
      <c r="E1981">
        <v>0.98983881507593896</v>
      </c>
      <c r="F1981">
        <v>0.86120114057016905</v>
      </c>
      <c r="G1981">
        <v>0.78455888388441897</v>
      </c>
      <c r="H1981">
        <v>0.40193031143836799</v>
      </c>
      <c r="I1981">
        <v>0.22504950648162</v>
      </c>
      <c r="J1981">
        <v>0.26885393200892499</v>
      </c>
      <c r="K1981">
        <v>0.15878373423617301</v>
      </c>
      <c r="L1981">
        <v>1316.3132937164701</v>
      </c>
      <c r="M1981">
        <v>23.739774746359402</v>
      </c>
      <c r="N1981">
        <v>56.451893610253997</v>
      </c>
      <c r="O1981">
        <v>55.0586421155664</v>
      </c>
      <c r="P1981">
        <v>-8.9227682563375293E-2</v>
      </c>
      <c r="Q1981">
        <v>0.17224590696970901</v>
      </c>
      <c r="R1981">
        <v>0.980111189122024</v>
      </c>
      <c r="S1981" t="s">
        <v>7532</v>
      </c>
      <c r="T1981" t="s">
        <v>11100</v>
      </c>
      <c r="U1981" t="s">
        <v>11100</v>
      </c>
      <c r="V1981" t="s">
        <v>11100</v>
      </c>
      <c r="W1981" t="s">
        <v>13042</v>
      </c>
      <c r="X1981">
        <v>1</v>
      </c>
      <c r="Y1981" t="s">
        <v>18521</v>
      </c>
      <c r="Z1981" t="s">
        <v>23986</v>
      </c>
      <c r="AA1981">
        <v>0.68866438816637676</v>
      </c>
      <c r="AB1981" t="str">
        <f>HYPERLINK("Melting_Curves/meltCurve_P21953_BCKDHB.pdf", "Melting_Curves/meltCurve_P21953_BCKDHB.pdf")</f>
        <v>Melting_Curves/meltCurve_P21953_BCKDHB.pdf</v>
      </c>
    </row>
    <row r="1982" spans="1:28" x14ac:dyDescent="0.25">
      <c r="A1982" t="s">
        <v>1986</v>
      </c>
      <c r="B1982">
        <v>0.99299721793515405</v>
      </c>
      <c r="C1982">
        <v>0.96239213768746001</v>
      </c>
      <c r="D1982">
        <v>1.0217902664683001</v>
      </c>
      <c r="E1982">
        <v>0.92349789139534999</v>
      </c>
      <c r="F1982">
        <v>0.69705102667419205</v>
      </c>
      <c r="G1982">
        <v>0.41808273539058799</v>
      </c>
      <c r="H1982">
        <v>0.2079322456362</v>
      </c>
      <c r="I1982">
        <v>0.15164005567476899</v>
      </c>
      <c r="J1982">
        <v>0.14754668149354799</v>
      </c>
      <c r="K1982">
        <v>0.105410597418957</v>
      </c>
      <c r="L1982">
        <v>1063.34096664452</v>
      </c>
      <c r="M1982">
        <v>20.469758287338799</v>
      </c>
      <c r="N1982">
        <v>52.587403485738399</v>
      </c>
      <c r="O1982">
        <v>51.458772035349298</v>
      </c>
      <c r="P1982">
        <v>-8.8478274393907999E-2</v>
      </c>
      <c r="Q1982">
        <v>0.110326947440652</v>
      </c>
      <c r="R1982">
        <v>0.99747970525876395</v>
      </c>
      <c r="S1982" t="s">
        <v>7533</v>
      </c>
      <c r="T1982" t="s">
        <v>11100</v>
      </c>
      <c r="U1982" t="s">
        <v>11100</v>
      </c>
      <c r="V1982" t="s">
        <v>11100</v>
      </c>
      <c r="W1982" t="s">
        <v>13043</v>
      </c>
      <c r="X1982">
        <v>16</v>
      </c>
      <c r="Y1982" t="s">
        <v>18522</v>
      </c>
      <c r="Z1982" t="s">
        <v>23987</v>
      </c>
      <c r="AA1982">
        <v>0.56467454708817422</v>
      </c>
      <c r="AB1982" t="str">
        <f>HYPERLINK("Melting_Curves/meltCurve_P21964_2_COMT.pdf", "Melting_Curves/meltCurve_P21964_2_COMT.pdf")</f>
        <v>Melting_Curves/meltCurve_P21964_2_COMT.pdf</v>
      </c>
    </row>
    <row r="1983" spans="1:28" x14ac:dyDescent="0.25">
      <c r="A1983" t="s">
        <v>1987</v>
      </c>
      <c r="B1983">
        <v>0.99299721793515405</v>
      </c>
      <c r="C1983">
        <v>1.0972540165291</v>
      </c>
      <c r="D1983">
        <v>0.81077544052087402</v>
      </c>
      <c r="E1983">
        <v>0.84615820195679703</v>
      </c>
      <c r="F1983">
        <v>0.68674893241081003</v>
      </c>
      <c r="G1983">
        <v>0.35476487939249601</v>
      </c>
      <c r="H1983">
        <v>0.23602922436887899</v>
      </c>
      <c r="I1983">
        <v>0.161138965248316</v>
      </c>
      <c r="J1983">
        <v>0.148107139117574</v>
      </c>
      <c r="K1983">
        <v>0.135130459122699</v>
      </c>
      <c r="L1983">
        <v>778.45876572481097</v>
      </c>
      <c r="M1983">
        <v>15.1661376249287</v>
      </c>
      <c r="N1983">
        <v>52.056110684676703</v>
      </c>
      <c r="O1983">
        <v>50.461151613332703</v>
      </c>
      <c r="P1983">
        <v>-6.79697614642297E-2</v>
      </c>
      <c r="Q1983">
        <v>9.5484774559841598E-2</v>
      </c>
      <c r="R1983">
        <v>0.97001976068713203</v>
      </c>
      <c r="S1983" t="s">
        <v>7534</v>
      </c>
      <c r="T1983" t="s">
        <v>11100</v>
      </c>
      <c r="U1983" t="s">
        <v>11100</v>
      </c>
      <c r="V1983" t="s">
        <v>11100</v>
      </c>
      <c r="W1983" t="s">
        <v>13044</v>
      </c>
      <c r="X1983">
        <v>14</v>
      </c>
      <c r="Y1983" t="s">
        <v>18523</v>
      </c>
      <c r="Z1983" t="s">
        <v>23988</v>
      </c>
      <c r="AA1983">
        <v>0.54519327236893489</v>
      </c>
      <c r="AB1983" t="str">
        <f>HYPERLINK("Melting_Curves/meltCurve_P22033_MUT.pdf", "Melting_Curves/meltCurve_P22033_MUT.pdf")</f>
        <v>Melting_Curves/meltCurve_P22033_MUT.pdf</v>
      </c>
    </row>
    <row r="1984" spans="1:28" x14ac:dyDescent="0.25">
      <c r="A1984" t="s">
        <v>1988</v>
      </c>
      <c r="B1984">
        <v>0.99299721793515405</v>
      </c>
      <c r="C1984">
        <v>0.97587681289055805</v>
      </c>
      <c r="D1984">
        <v>0.890895939517515</v>
      </c>
      <c r="E1984">
        <v>0.87970412972201495</v>
      </c>
      <c r="F1984">
        <v>0.75804587199472895</v>
      </c>
      <c r="G1984">
        <v>0.66598718667941204</v>
      </c>
      <c r="H1984">
        <v>0.37046301690587602</v>
      </c>
      <c r="I1984">
        <v>0.265539493862256</v>
      </c>
      <c r="J1984">
        <v>0.21548224232203</v>
      </c>
      <c r="K1984">
        <v>0.145224662223364</v>
      </c>
      <c r="L1984">
        <v>586.87205826812499</v>
      </c>
      <c r="M1984">
        <v>10.538569061046701</v>
      </c>
      <c r="N1984">
        <v>55.687996764368101</v>
      </c>
      <c r="O1984">
        <v>53.794996017863902</v>
      </c>
      <c r="P1984">
        <v>-4.89950850278707E-2</v>
      </c>
      <c r="Q1984">
        <v>0</v>
      </c>
      <c r="R1984">
        <v>0.98667732697274602</v>
      </c>
      <c r="S1984" t="s">
        <v>7535</v>
      </c>
      <c r="T1984" t="s">
        <v>11100</v>
      </c>
      <c r="U1984" t="s">
        <v>11100</v>
      </c>
      <c r="V1984" t="s">
        <v>11100</v>
      </c>
      <c r="W1984" t="s">
        <v>13045</v>
      </c>
      <c r="X1984">
        <v>18</v>
      </c>
      <c r="Y1984" t="s">
        <v>18524</v>
      </c>
      <c r="Z1984" t="s">
        <v>23989</v>
      </c>
      <c r="AA1984">
        <v>0.6321275641451376</v>
      </c>
      <c r="AB1984" t="str">
        <f>HYPERLINK("Melting_Curves/meltCurve_P22059_OSBP.pdf", "Melting_Curves/meltCurve_P22059_OSBP.pdf")</f>
        <v>Melting_Curves/meltCurve_P22059_OSBP.pdf</v>
      </c>
    </row>
    <row r="1985" spans="1:28" x14ac:dyDescent="0.25">
      <c r="A1985" t="s">
        <v>1989</v>
      </c>
      <c r="B1985">
        <v>0.99299721793515405</v>
      </c>
      <c r="C1985">
        <v>0.95213897349642795</v>
      </c>
      <c r="D1985">
        <v>0.957011410005987</v>
      </c>
      <c r="E1985">
        <v>0.786649589278126</v>
      </c>
      <c r="F1985">
        <v>0.70367344553571498</v>
      </c>
      <c r="G1985">
        <v>0.37995544120095298</v>
      </c>
      <c r="H1985">
        <v>0.147309061102259</v>
      </c>
      <c r="I1985">
        <v>0.116745783239621</v>
      </c>
      <c r="J1985">
        <v>0.101652425372098</v>
      </c>
      <c r="K1985">
        <v>8.1832832368070499E-2</v>
      </c>
      <c r="L1985">
        <v>812.54299480950795</v>
      </c>
      <c r="M1985">
        <v>15.7033219400634</v>
      </c>
      <c r="N1985">
        <v>52.006860538610503</v>
      </c>
      <c r="O1985">
        <v>50.926061624315501</v>
      </c>
      <c r="P1985">
        <v>-7.4147441744989495E-2</v>
      </c>
      <c r="Q1985">
        <v>3.8237006896586698E-2</v>
      </c>
      <c r="R1985">
        <v>0.988857076423313</v>
      </c>
      <c r="S1985" t="s">
        <v>7536</v>
      </c>
      <c r="T1985" t="s">
        <v>11100</v>
      </c>
      <c r="U1985" t="s">
        <v>11100</v>
      </c>
      <c r="V1985" t="s">
        <v>11100</v>
      </c>
      <c r="W1985" t="s">
        <v>13046</v>
      </c>
      <c r="X1985">
        <v>49</v>
      </c>
      <c r="Y1985" t="s">
        <v>16874</v>
      </c>
      <c r="Z1985" t="s">
        <v>23990</v>
      </c>
      <c r="AA1985">
        <v>0.52854252135479041</v>
      </c>
      <c r="AB1985" t="str">
        <f>HYPERLINK("Melting_Curves/meltCurve_P22102_GART.pdf", "Melting_Curves/meltCurve_P22102_GART.pdf")</f>
        <v>Melting_Curves/meltCurve_P22102_GART.pdf</v>
      </c>
    </row>
    <row r="1986" spans="1:28" x14ac:dyDescent="0.25">
      <c r="A1986" t="s">
        <v>1990</v>
      </c>
      <c r="B1986">
        <v>0.99299721793515405</v>
      </c>
      <c r="C1986">
        <v>0.887040524991493</v>
      </c>
      <c r="D1986">
        <v>0.89999215218982698</v>
      </c>
      <c r="E1986">
        <v>0.828127199104988</v>
      </c>
      <c r="F1986">
        <v>0.76257199962075295</v>
      </c>
      <c r="G1986">
        <v>0.93401591754624402</v>
      </c>
      <c r="H1986">
        <v>1.31259083086701</v>
      </c>
      <c r="I1986">
        <v>1.5134932398262999</v>
      </c>
      <c r="J1986">
        <v>1.5206417614351999</v>
      </c>
      <c r="K1986">
        <v>1.6966242742538</v>
      </c>
      <c r="L1986">
        <v>14320.634122089599</v>
      </c>
      <c r="M1986">
        <v>250</v>
      </c>
      <c r="O1986">
        <v>57.278872869441798</v>
      </c>
      <c r="P1986">
        <v>0.54557639854248896</v>
      </c>
      <c r="Q1986">
        <v>1.5</v>
      </c>
      <c r="R1986">
        <v>0.85478170033905498</v>
      </c>
      <c r="S1986" t="s">
        <v>7537</v>
      </c>
      <c r="T1986" t="s">
        <v>11100</v>
      </c>
      <c r="U1986" t="s">
        <v>11100</v>
      </c>
      <c r="V1986" t="s">
        <v>11100</v>
      </c>
      <c r="W1986" t="s">
        <v>13047</v>
      </c>
      <c r="X1986">
        <v>29</v>
      </c>
      <c r="Y1986" t="s">
        <v>18525</v>
      </c>
      <c r="Z1986" t="s">
        <v>23991</v>
      </c>
      <c r="AA1986">
        <v>1.161907460214014</v>
      </c>
      <c r="AB1986" t="str">
        <f>HYPERLINK("Melting_Curves/meltCurve_P22234_PAICS.pdf", "Melting_Curves/meltCurve_P22234_PAICS.pdf")</f>
        <v>Melting_Curves/meltCurve_P22234_PAICS.pdf</v>
      </c>
    </row>
    <row r="1987" spans="1:28" x14ac:dyDescent="0.25">
      <c r="A1987" t="s">
        <v>1991</v>
      </c>
      <c r="B1987">
        <v>0.99299721793515405</v>
      </c>
      <c r="C1987">
        <v>1.00421592324144</v>
      </c>
      <c r="D1987">
        <v>0.89388196944759402</v>
      </c>
      <c r="E1987">
        <v>0.86486218628580103</v>
      </c>
      <c r="F1987">
        <v>0.76000852133147501</v>
      </c>
      <c r="G1987">
        <v>0.64603075861370196</v>
      </c>
      <c r="H1987">
        <v>0.50356830170085298</v>
      </c>
      <c r="I1987">
        <v>0.44429470216143702</v>
      </c>
      <c r="J1987">
        <v>0.36427273758545903</v>
      </c>
      <c r="K1987">
        <v>0.29403393281055501</v>
      </c>
      <c r="L1987">
        <v>440.300609405253</v>
      </c>
      <c r="M1987">
        <v>7.7640431828648202</v>
      </c>
      <c r="N1987">
        <v>58.265187906174802</v>
      </c>
      <c r="O1987">
        <v>53.3166085512281</v>
      </c>
      <c r="P1987">
        <v>-3.3040522174401003E-2</v>
      </c>
      <c r="Q1987">
        <v>9.3573406841279599E-2</v>
      </c>
      <c r="R1987">
        <v>0.99391985836541996</v>
      </c>
      <c r="S1987" t="s">
        <v>7538</v>
      </c>
      <c r="T1987" t="s">
        <v>11100</v>
      </c>
      <c r="U1987" t="s">
        <v>11100</v>
      </c>
      <c r="V1987" t="s">
        <v>11100</v>
      </c>
      <c r="W1987" t="s">
        <v>13048</v>
      </c>
      <c r="X1987">
        <v>11</v>
      </c>
      <c r="Y1987" t="s">
        <v>18526</v>
      </c>
      <c r="Z1987" t="s">
        <v>23992</v>
      </c>
      <c r="AA1987">
        <v>0.68030055991894345</v>
      </c>
      <c r="AB1987" t="str">
        <f>HYPERLINK("Melting_Curves/meltCurve_P22307_7_SCP2.pdf", "Melting_Curves/meltCurve_P22307_7_SCP2.pdf")</f>
        <v>Melting_Curves/meltCurve_P22307_7_SCP2.pdf</v>
      </c>
    </row>
    <row r="1988" spans="1:28" x14ac:dyDescent="0.25">
      <c r="A1988" t="s">
        <v>1992</v>
      </c>
      <c r="B1988">
        <v>0.99299721793515405</v>
      </c>
      <c r="C1988">
        <v>1.0009045969938399</v>
      </c>
      <c r="D1988">
        <v>0.96608814018447497</v>
      </c>
      <c r="E1988">
        <v>0.88440200366885802</v>
      </c>
      <c r="F1988">
        <v>0.76293764502287997</v>
      </c>
      <c r="G1988">
        <v>0.214175041131792</v>
      </c>
      <c r="H1988">
        <v>0.13733418306939599</v>
      </c>
      <c r="I1988">
        <v>0.113769341544966</v>
      </c>
      <c r="J1988">
        <v>0.100807422377774</v>
      </c>
      <c r="K1988">
        <v>7.9307528379062603E-2</v>
      </c>
      <c r="L1988">
        <v>1964.2180564709599</v>
      </c>
      <c r="M1988">
        <v>38.219094019158</v>
      </c>
      <c r="N1988">
        <v>51.692629762727499</v>
      </c>
      <c r="O1988">
        <v>51.2535513066519</v>
      </c>
      <c r="P1988">
        <v>-0.167936535116329</v>
      </c>
      <c r="Q1988">
        <v>9.9160275307812198E-2</v>
      </c>
      <c r="R1988">
        <v>0.99206382631058498</v>
      </c>
      <c r="S1988" t="s">
        <v>7539</v>
      </c>
      <c r="T1988" t="s">
        <v>11100</v>
      </c>
      <c r="U1988" t="s">
        <v>11100</v>
      </c>
      <c r="V1988" t="s">
        <v>11100</v>
      </c>
      <c r="W1988" t="s">
        <v>13049</v>
      </c>
      <c r="X1988">
        <v>69</v>
      </c>
      <c r="Y1988" t="s">
        <v>18527</v>
      </c>
      <c r="Z1988" t="s">
        <v>23993</v>
      </c>
      <c r="AA1988">
        <v>0.53487148388669181</v>
      </c>
      <c r="AB1988" t="str">
        <f>HYPERLINK("Melting_Curves/meltCurve_P22314_UBA1.pdf", "Melting_Curves/meltCurve_P22314_UBA1.pdf")</f>
        <v>Melting_Curves/meltCurve_P22314_UBA1.pdf</v>
      </c>
    </row>
    <row r="1989" spans="1:28" x14ac:dyDescent="0.25">
      <c r="A1989" t="s">
        <v>1993</v>
      </c>
      <c r="B1989">
        <v>0.99299721793515405</v>
      </c>
      <c r="C1989">
        <v>0.62359682480009804</v>
      </c>
      <c r="D1989">
        <v>0.78482325693226795</v>
      </c>
      <c r="E1989">
        <v>0.647142348695535</v>
      </c>
      <c r="F1989">
        <v>0.73261677436334205</v>
      </c>
      <c r="G1989">
        <v>0.458715838736316</v>
      </c>
      <c r="H1989">
        <v>0.44772612137062201</v>
      </c>
      <c r="I1989">
        <v>0.60778343525310197</v>
      </c>
      <c r="J1989">
        <v>0.49056406607006098</v>
      </c>
      <c r="K1989">
        <v>0.40455536253706198</v>
      </c>
      <c r="L1989">
        <v>259.93242392566901</v>
      </c>
      <c r="M1989">
        <v>5.7159836961508397</v>
      </c>
      <c r="N1989">
        <v>59.801666780801497</v>
      </c>
      <c r="O1989">
        <v>40.829548487271502</v>
      </c>
      <c r="P1989">
        <v>-2.2033346848155E-2</v>
      </c>
      <c r="Q1989">
        <v>0.37287124243936898</v>
      </c>
      <c r="R1989">
        <v>0.66689600338226795</v>
      </c>
      <c r="S1989" t="s">
        <v>7540</v>
      </c>
      <c r="T1989" t="s">
        <v>11100</v>
      </c>
      <c r="U1989" t="s">
        <v>11100</v>
      </c>
      <c r="V1989" t="s">
        <v>11100</v>
      </c>
      <c r="W1989" t="s">
        <v>13050</v>
      </c>
      <c r="X1989">
        <v>3</v>
      </c>
      <c r="Y1989" t="s">
        <v>18528</v>
      </c>
      <c r="Z1989" t="s">
        <v>23994</v>
      </c>
      <c r="AA1989">
        <v>0.60994223122027014</v>
      </c>
      <c r="AB1989" t="str">
        <f>HYPERLINK("Melting_Curves/meltCurve_P22413_ENPP1.pdf", "Melting_Curves/meltCurve_P22413_ENPP1.pdf")</f>
        <v>Melting_Curves/meltCurve_P22413_ENPP1.pdf</v>
      </c>
    </row>
    <row r="1990" spans="1:28" x14ac:dyDescent="0.25">
      <c r="A1990" t="s">
        <v>1994</v>
      </c>
      <c r="B1990">
        <v>0.99299721793515405</v>
      </c>
      <c r="C1990">
        <v>1.03370221586837</v>
      </c>
      <c r="D1990">
        <v>0.92465201286613996</v>
      </c>
      <c r="E1990">
        <v>0.893683202665983</v>
      </c>
      <c r="F1990">
        <v>0.72740245987903895</v>
      </c>
      <c r="G1990">
        <v>0.46459965887833199</v>
      </c>
      <c r="H1990">
        <v>0.60105805182453098</v>
      </c>
      <c r="I1990">
        <v>0.52007583956664105</v>
      </c>
      <c r="J1990">
        <v>0.43059895545403698</v>
      </c>
      <c r="K1990">
        <v>0.46481670552355098</v>
      </c>
      <c r="L1990">
        <v>1052.1236983618001</v>
      </c>
      <c r="M1990">
        <v>21.2919839113259</v>
      </c>
      <c r="N1990">
        <v>57.882107800953897</v>
      </c>
      <c r="O1990">
        <v>48.984388295957103</v>
      </c>
      <c r="P1990">
        <v>-5.6746347222313101E-2</v>
      </c>
      <c r="Q1990">
        <v>0.47781014990887</v>
      </c>
      <c r="R1990">
        <v>0.94668818596521298</v>
      </c>
      <c r="S1990" t="s">
        <v>7541</v>
      </c>
      <c r="T1990" t="s">
        <v>11100</v>
      </c>
      <c r="U1990" t="s">
        <v>11100</v>
      </c>
      <c r="V1990" t="s">
        <v>11100</v>
      </c>
      <c r="W1990" t="s">
        <v>13051</v>
      </c>
      <c r="X1990">
        <v>2</v>
      </c>
      <c r="Y1990" t="s">
        <v>18529</v>
      </c>
      <c r="Z1990" t="s">
        <v>23995</v>
      </c>
      <c r="AA1990">
        <v>0.70003551041696011</v>
      </c>
      <c r="AB1990" t="str">
        <f>HYPERLINK("Melting_Curves/meltCurve_P22466_GAL.pdf", "Melting_Curves/meltCurve_P22466_GAL.pdf")</f>
        <v>Melting_Curves/meltCurve_P22466_GAL.pdf</v>
      </c>
    </row>
    <row r="1991" spans="1:28" x14ac:dyDescent="0.25">
      <c r="A1991" t="s">
        <v>1995</v>
      </c>
      <c r="B1991">
        <v>0.99299721793515405</v>
      </c>
      <c r="C1991">
        <v>1.0237906249651101</v>
      </c>
      <c r="D1991">
        <v>1.0414764108500201</v>
      </c>
      <c r="E1991">
        <v>0.94054906715784603</v>
      </c>
      <c r="F1991">
        <v>0.80308893720447905</v>
      </c>
      <c r="G1991">
        <v>0.46608004864587799</v>
      </c>
      <c r="H1991">
        <v>0.16074527420712201</v>
      </c>
      <c r="I1991">
        <v>0.14246564526953501</v>
      </c>
      <c r="J1991">
        <v>0.118155480667114</v>
      </c>
      <c r="K1991">
        <v>9.3418819239607404E-2</v>
      </c>
      <c r="L1991">
        <v>1336.12825252639</v>
      </c>
      <c r="M1991">
        <v>25.300182049782201</v>
      </c>
      <c r="N1991">
        <v>53.2552452420219</v>
      </c>
      <c r="O1991">
        <v>52.484410853709399</v>
      </c>
      <c r="P1991">
        <v>-0.109049848242856</v>
      </c>
      <c r="Q1991">
        <v>9.5130368949809405E-2</v>
      </c>
      <c r="R1991">
        <v>0.99617014547594995</v>
      </c>
      <c r="S1991" t="s">
        <v>7542</v>
      </c>
      <c r="T1991" t="s">
        <v>11100</v>
      </c>
      <c r="U1991" t="s">
        <v>11100</v>
      </c>
      <c r="V1991" t="s">
        <v>11100</v>
      </c>
      <c r="W1991" t="s">
        <v>12133</v>
      </c>
      <c r="X1991">
        <v>29</v>
      </c>
      <c r="Y1991" t="s">
        <v>17627</v>
      </c>
      <c r="Z1991" t="s">
        <v>23996</v>
      </c>
      <c r="AA1991">
        <v>0.57986776893289071</v>
      </c>
      <c r="AB1991" t="str">
        <f>HYPERLINK("Melting_Curves/meltCurve_P22570_FDXR.pdf", "Melting_Curves/meltCurve_P22570_FDXR.pdf")</f>
        <v>Melting_Curves/meltCurve_P22570_FDXR.pdf</v>
      </c>
    </row>
    <row r="1992" spans="1:28" x14ac:dyDescent="0.25">
      <c r="A1992" t="s">
        <v>1996</v>
      </c>
      <c r="B1992">
        <v>0.99299721793515405</v>
      </c>
      <c r="C1992">
        <v>0.89263676457428798</v>
      </c>
      <c r="D1992">
        <v>1.0747927021930199</v>
      </c>
      <c r="E1992">
        <v>0.84025564044819301</v>
      </c>
      <c r="F1992">
        <v>0.73084340771769696</v>
      </c>
      <c r="G1992">
        <v>0.510712692520502</v>
      </c>
      <c r="H1992">
        <v>0.39749979619011999</v>
      </c>
      <c r="I1992">
        <v>0.37173554867356801</v>
      </c>
      <c r="J1992">
        <v>0.372091406912887</v>
      </c>
      <c r="K1992">
        <v>0.36051522830989502</v>
      </c>
      <c r="L1992">
        <v>948.08585923867304</v>
      </c>
      <c r="M1992">
        <v>18.707207856022102</v>
      </c>
      <c r="N1992">
        <v>54.147482917609302</v>
      </c>
      <c r="O1992">
        <v>50.111773089287901</v>
      </c>
      <c r="P1992">
        <v>-6.0750916860693199E-2</v>
      </c>
      <c r="Q1992">
        <v>0.349083595461326</v>
      </c>
      <c r="R1992">
        <v>0.96644723547963396</v>
      </c>
      <c r="S1992" t="s">
        <v>7543</v>
      </c>
      <c r="T1992" t="s">
        <v>11100</v>
      </c>
      <c r="U1992" t="s">
        <v>11100</v>
      </c>
      <c r="V1992" t="s">
        <v>11100</v>
      </c>
      <c r="W1992" t="s">
        <v>13052</v>
      </c>
      <c r="X1992">
        <v>9</v>
      </c>
      <c r="Y1992" t="s">
        <v>18530</v>
      </c>
      <c r="Z1992" t="s">
        <v>23997</v>
      </c>
      <c r="AA1992">
        <v>0.65545338614211124</v>
      </c>
      <c r="AB1992" t="str">
        <f>HYPERLINK("Melting_Curves/meltCurve_P22626_HNRNPA2B1.pdf", "Melting_Curves/meltCurve_P22626_HNRNPA2B1.pdf")</f>
        <v>Melting_Curves/meltCurve_P22626_HNRNPA2B1.pdf</v>
      </c>
    </row>
    <row r="1993" spans="1:28" x14ac:dyDescent="0.25">
      <c r="A1993" t="s">
        <v>1997</v>
      </c>
      <c r="B1993">
        <v>0.99299721793515405</v>
      </c>
      <c r="C1993">
        <v>0.95617933065685701</v>
      </c>
      <c r="D1993">
        <v>0.91092703687819399</v>
      </c>
      <c r="E1993">
        <v>0.83042783262728304</v>
      </c>
      <c r="F1993">
        <v>0.77897153276062303</v>
      </c>
      <c r="G1993">
        <v>0.58812139984507406</v>
      </c>
      <c r="H1993">
        <v>0.58035646549233499</v>
      </c>
      <c r="I1993">
        <v>0.40601790691537698</v>
      </c>
      <c r="J1993">
        <v>0.16644332415760399</v>
      </c>
      <c r="K1993">
        <v>0.12012883813807</v>
      </c>
      <c r="L1993">
        <v>530.58720575106304</v>
      </c>
      <c r="M1993">
        <v>9.3593764851371404</v>
      </c>
      <c r="N1993">
        <v>56.690432491629402</v>
      </c>
      <c r="O1993">
        <v>54.282991898997999</v>
      </c>
      <c r="P1993">
        <v>-4.3131537029197801E-2</v>
      </c>
      <c r="Q1993">
        <v>0</v>
      </c>
      <c r="R1993">
        <v>0.96121400224220299</v>
      </c>
      <c r="S1993" t="s">
        <v>7544</v>
      </c>
      <c r="T1993" t="s">
        <v>11100</v>
      </c>
      <c r="U1993" t="s">
        <v>11100</v>
      </c>
      <c r="V1993" t="s">
        <v>11100</v>
      </c>
      <c r="W1993" t="s">
        <v>13053</v>
      </c>
      <c r="X1993">
        <v>12</v>
      </c>
      <c r="Y1993" t="s">
        <v>18531</v>
      </c>
      <c r="Z1993" t="s">
        <v>23998</v>
      </c>
      <c r="AA1993">
        <v>0.65532883607608494</v>
      </c>
      <c r="AB1993" t="str">
        <f>HYPERLINK("Melting_Curves/meltCurve_P22681_CBL.pdf", "Melting_Curves/meltCurve_P22681_CBL.pdf")</f>
        <v>Melting_Curves/meltCurve_P22681_CBL.pdf</v>
      </c>
    </row>
    <row r="1994" spans="1:28" x14ac:dyDescent="0.25">
      <c r="A1994" t="s">
        <v>1998</v>
      </c>
      <c r="B1994">
        <v>0.99299721793515405</v>
      </c>
      <c r="C1994">
        <v>1.01543701100183</v>
      </c>
      <c r="D1994">
        <v>1.0267263486392599</v>
      </c>
      <c r="E1994">
        <v>0.88292544691372798</v>
      </c>
      <c r="F1994">
        <v>0.733595702823989</v>
      </c>
      <c r="G1994">
        <v>0.96515117818514995</v>
      </c>
      <c r="H1994">
        <v>1.2682448424456101</v>
      </c>
      <c r="I1994">
        <v>1.1292781196331101</v>
      </c>
      <c r="J1994">
        <v>0.28818501641302402</v>
      </c>
      <c r="K1994">
        <v>0.174703384328628</v>
      </c>
      <c r="L1994">
        <v>15000</v>
      </c>
      <c r="M1994">
        <v>235.84470766909399</v>
      </c>
      <c r="N1994">
        <v>63.717275408593402</v>
      </c>
      <c r="O1994">
        <v>63.596599568481601</v>
      </c>
      <c r="P1994">
        <v>-0.76517957237184497</v>
      </c>
      <c r="Q1994">
        <v>0.17466337476718599</v>
      </c>
      <c r="R1994">
        <v>0.84483040017691902</v>
      </c>
      <c r="S1994" t="s">
        <v>7545</v>
      </c>
      <c r="T1994" t="s">
        <v>11100</v>
      </c>
      <c r="U1994" t="s">
        <v>11100</v>
      </c>
      <c r="V1994" t="s">
        <v>11100</v>
      </c>
      <c r="W1994" t="s">
        <v>13054</v>
      </c>
      <c r="X1994">
        <v>14</v>
      </c>
      <c r="Y1994" t="s">
        <v>18532</v>
      </c>
      <c r="Z1994" t="s">
        <v>23999</v>
      </c>
      <c r="AA1994">
        <v>0.90659757703573751</v>
      </c>
      <c r="AB1994" t="str">
        <f>HYPERLINK("Melting_Curves/meltCurve_P22695_UQCRC2.pdf", "Melting_Curves/meltCurve_P22695_UQCRC2.pdf")</f>
        <v>Melting_Curves/meltCurve_P22695_UQCRC2.pdf</v>
      </c>
    </row>
    <row r="1995" spans="1:28" x14ac:dyDescent="0.25">
      <c r="A1995" t="s">
        <v>1999</v>
      </c>
      <c r="B1995">
        <v>0.99299721793515405</v>
      </c>
      <c r="C1995">
        <v>0.98404716346232701</v>
      </c>
      <c r="D1995">
        <v>0.91197420136375096</v>
      </c>
      <c r="E1995">
        <v>0.84049628755580297</v>
      </c>
      <c r="F1995">
        <v>0.73047072358540199</v>
      </c>
      <c r="G1995">
        <v>0.56899269018674903</v>
      </c>
      <c r="H1995">
        <v>0.42425546941250197</v>
      </c>
      <c r="I1995">
        <v>0.26134924522879399</v>
      </c>
      <c r="J1995">
        <v>0.21550469152329799</v>
      </c>
      <c r="K1995">
        <v>0.15389260015036499</v>
      </c>
      <c r="L1995">
        <v>525.12602513390902</v>
      </c>
      <c r="M1995">
        <v>9.5155779226120991</v>
      </c>
      <c r="N1995">
        <v>55.185930061908699</v>
      </c>
      <c r="O1995">
        <v>52.913531120793202</v>
      </c>
      <c r="P1995">
        <v>-4.4984558845594602E-2</v>
      </c>
      <c r="Q1995">
        <v>0</v>
      </c>
      <c r="R1995">
        <v>0.99795250623141296</v>
      </c>
      <c r="S1995" t="s">
        <v>7546</v>
      </c>
      <c r="T1995" t="s">
        <v>11100</v>
      </c>
      <c r="U1995" t="s">
        <v>11100</v>
      </c>
      <c r="V1995" t="s">
        <v>11100</v>
      </c>
      <c r="W1995" t="s">
        <v>13055</v>
      </c>
      <c r="X1995">
        <v>15</v>
      </c>
      <c r="Y1995" t="s">
        <v>18533</v>
      </c>
      <c r="Z1995" t="s">
        <v>24000</v>
      </c>
      <c r="AA1995">
        <v>0.61627220665825599</v>
      </c>
      <c r="AB1995" t="str">
        <f>HYPERLINK("Melting_Curves/meltCurve_P22830_FECH.pdf", "Melting_Curves/meltCurve_P22830_FECH.pdf")</f>
        <v>Melting_Curves/meltCurve_P22830_FECH.pdf</v>
      </c>
    </row>
    <row r="1996" spans="1:28" x14ac:dyDescent="0.25">
      <c r="A1996" t="s">
        <v>2000</v>
      </c>
      <c r="B1996">
        <v>0.99299721793515405</v>
      </c>
      <c r="C1996">
        <v>0.90619678588591601</v>
      </c>
      <c r="D1996">
        <v>0.91373578696898705</v>
      </c>
      <c r="E1996">
        <v>0.93075229171108198</v>
      </c>
      <c r="F1996">
        <v>0.643511837598993</v>
      </c>
      <c r="G1996">
        <v>0.298549538550199</v>
      </c>
      <c r="H1996">
        <v>0.22500044328206301</v>
      </c>
      <c r="I1996">
        <v>0.16506065970950901</v>
      </c>
      <c r="J1996">
        <v>0.16081306804064599</v>
      </c>
      <c r="K1996">
        <v>0.11183360246063601</v>
      </c>
      <c r="L1996">
        <v>1204.9049880151399</v>
      </c>
      <c r="M1996">
        <v>23.695745175200599</v>
      </c>
      <c r="N1996">
        <v>51.5708801962625</v>
      </c>
      <c r="O1996">
        <v>50.491000424918902</v>
      </c>
      <c r="P1996">
        <v>-0.100768264973467</v>
      </c>
      <c r="Q1996">
        <v>0.14114439600051501</v>
      </c>
      <c r="R1996">
        <v>0.98615043874461805</v>
      </c>
      <c r="S1996" t="s">
        <v>7547</v>
      </c>
      <c r="T1996" t="s">
        <v>11100</v>
      </c>
      <c r="U1996" t="s">
        <v>11100</v>
      </c>
      <c r="V1996" t="s">
        <v>11100</v>
      </c>
      <c r="W1996" t="s">
        <v>13056</v>
      </c>
      <c r="X1996">
        <v>2</v>
      </c>
      <c r="Y1996" t="s">
        <v>18534</v>
      </c>
      <c r="Z1996" t="s">
        <v>24001</v>
      </c>
      <c r="AA1996">
        <v>0.54597773035835584</v>
      </c>
      <c r="AB1996" t="str">
        <f>HYPERLINK("Melting_Curves/meltCurve_P23025_XPA.pdf", "Melting_Curves/meltCurve_P23025_XPA.pdf")</f>
        <v>Melting_Curves/meltCurve_P23025_XPA.pdf</v>
      </c>
    </row>
    <row r="1997" spans="1:28" x14ac:dyDescent="0.25">
      <c r="A1997" t="s">
        <v>2001</v>
      </c>
      <c r="B1997">
        <v>0.99299721793515405</v>
      </c>
      <c r="C1997">
        <v>0.97786712525461705</v>
      </c>
      <c r="D1997">
        <v>0.95300991372611898</v>
      </c>
      <c r="E1997">
        <v>0.91364513065852504</v>
      </c>
      <c r="F1997">
        <v>0.76569981944978205</v>
      </c>
      <c r="G1997">
        <v>0.47902336322529498</v>
      </c>
      <c r="H1997">
        <v>0.36964687035025101</v>
      </c>
      <c r="I1997">
        <v>0.29960768600028598</v>
      </c>
      <c r="J1997">
        <v>0.27668682584229898</v>
      </c>
      <c r="K1997">
        <v>0.22875682348124801</v>
      </c>
      <c r="L1997">
        <v>934.32438644181502</v>
      </c>
      <c r="M1997">
        <v>17.953380644523801</v>
      </c>
      <c r="N1997">
        <v>53.9786836906407</v>
      </c>
      <c r="O1997">
        <v>51.408912807586397</v>
      </c>
      <c r="P1997">
        <v>-6.6577239078791206E-2</v>
      </c>
      <c r="Q1997">
        <v>0.23747110518328801</v>
      </c>
      <c r="R1997">
        <v>0.99587033098585898</v>
      </c>
      <c r="S1997" t="s">
        <v>7548</v>
      </c>
      <c r="T1997" t="s">
        <v>11100</v>
      </c>
      <c r="U1997" t="s">
        <v>11100</v>
      </c>
      <c r="V1997" t="s">
        <v>11100</v>
      </c>
      <c r="W1997" t="s">
        <v>13057</v>
      </c>
      <c r="X1997">
        <v>29</v>
      </c>
      <c r="Y1997" t="s">
        <v>18535</v>
      </c>
      <c r="Z1997" t="s">
        <v>24002</v>
      </c>
      <c r="AA1997">
        <v>0.63135244720121086</v>
      </c>
      <c r="AB1997" t="str">
        <f>HYPERLINK("Melting_Curves/meltCurve_P23193_TCEA1.pdf", "Melting_Curves/meltCurve_P23193_TCEA1.pdf")</f>
        <v>Melting_Curves/meltCurve_P23193_TCEA1.pdf</v>
      </c>
    </row>
    <row r="1998" spans="1:28" x14ac:dyDescent="0.25">
      <c r="A1998" t="s">
        <v>2002</v>
      </c>
      <c r="B1998">
        <v>0.99299721793515405</v>
      </c>
      <c r="C1998">
        <v>0.99060319370585803</v>
      </c>
      <c r="D1998">
        <v>0.97790655365027801</v>
      </c>
      <c r="E1998">
        <v>0.81215373914294797</v>
      </c>
      <c r="F1998">
        <v>0.66947594649397002</v>
      </c>
      <c r="G1998">
        <v>0.38659543219108</v>
      </c>
      <c r="H1998">
        <v>0.28048054476478401</v>
      </c>
      <c r="I1998">
        <v>0.27120675611443801</v>
      </c>
      <c r="J1998">
        <v>0.27156295964983601</v>
      </c>
      <c r="K1998">
        <v>0.25176605715011302</v>
      </c>
      <c r="L1998">
        <v>933.409620635691</v>
      </c>
      <c r="M1998">
        <v>18.587222291066901</v>
      </c>
      <c r="N1998">
        <v>52.046117806553603</v>
      </c>
      <c r="O1998">
        <v>49.647354237680503</v>
      </c>
      <c r="P1998">
        <v>-7.1160162018125098E-2</v>
      </c>
      <c r="Q1998">
        <v>0.239744130161789</v>
      </c>
      <c r="R1998">
        <v>0.99391424062453304</v>
      </c>
      <c r="S1998" t="s">
        <v>7549</v>
      </c>
      <c r="T1998" t="s">
        <v>11100</v>
      </c>
      <c r="U1998" t="s">
        <v>11100</v>
      </c>
      <c r="V1998" t="s">
        <v>11100</v>
      </c>
      <c r="W1998" t="s">
        <v>13058</v>
      </c>
      <c r="X1998">
        <v>18</v>
      </c>
      <c r="Y1998" t="s">
        <v>18536</v>
      </c>
      <c r="Z1998" t="s">
        <v>24003</v>
      </c>
      <c r="AA1998">
        <v>0.58603792804265409</v>
      </c>
      <c r="AB1998" t="str">
        <f>HYPERLINK("Melting_Curves/meltCurve_P23246_SFPQ.pdf", "Melting_Curves/meltCurve_P23246_SFPQ.pdf")</f>
        <v>Melting_Curves/meltCurve_P23246_SFPQ.pdf</v>
      </c>
    </row>
    <row r="1999" spans="1:28" x14ac:dyDescent="0.25">
      <c r="A1999" t="s">
        <v>2003</v>
      </c>
      <c r="B1999">
        <v>0.99299721793515405</v>
      </c>
      <c r="C1999">
        <v>0.97920947514111001</v>
      </c>
      <c r="D1999">
        <v>0.965599243585468</v>
      </c>
      <c r="E1999">
        <v>0.791778540306181</v>
      </c>
      <c r="F1999">
        <v>0.563676139734269</v>
      </c>
      <c r="G1999">
        <v>0.60382882499170298</v>
      </c>
      <c r="H1999">
        <v>0.325654890300486</v>
      </c>
      <c r="I1999">
        <v>0.29321572505923299</v>
      </c>
      <c r="J1999">
        <v>0.261567344740473</v>
      </c>
      <c r="K1999">
        <v>0.23962883357456499</v>
      </c>
      <c r="L1999">
        <v>578.33966149402397</v>
      </c>
      <c r="M1999">
        <v>11.2506307485283</v>
      </c>
      <c r="N1999">
        <v>53.5355324853208</v>
      </c>
      <c r="O1999">
        <v>49.861299081398002</v>
      </c>
      <c r="P1999">
        <v>-4.6244387170354E-2</v>
      </c>
      <c r="Q1999">
        <v>0.18045761173133201</v>
      </c>
      <c r="R1999">
        <v>0.972200163430887</v>
      </c>
      <c r="S1999" t="s">
        <v>7550</v>
      </c>
      <c r="T1999" t="s">
        <v>11100</v>
      </c>
      <c r="U1999" t="s">
        <v>11100</v>
      </c>
      <c r="V1999" t="s">
        <v>11100</v>
      </c>
      <c r="W1999" t="s">
        <v>13059</v>
      </c>
      <c r="X1999">
        <v>9</v>
      </c>
      <c r="Y1999" t="s">
        <v>18537</v>
      </c>
      <c r="Z1999" t="s">
        <v>24004</v>
      </c>
      <c r="AA1999">
        <v>0.59577315408916343</v>
      </c>
      <c r="AB1999" t="str">
        <f>HYPERLINK("Melting_Curves/meltCurve_P23284_PPIB.pdf", "Melting_Curves/meltCurve_P23284_PPIB.pdf")</f>
        <v>Melting_Curves/meltCurve_P23284_PPIB.pdf</v>
      </c>
    </row>
    <row r="2000" spans="1:28" x14ac:dyDescent="0.25">
      <c r="A2000" t="s">
        <v>2004</v>
      </c>
      <c r="B2000">
        <v>0.99299721793515405</v>
      </c>
      <c r="C2000">
        <v>0.98519402229958097</v>
      </c>
      <c r="D2000">
        <v>1.09936835530636</v>
      </c>
      <c r="E2000">
        <v>0.84797036155935601</v>
      </c>
      <c r="F2000">
        <v>0.72684817743984198</v>
      </c>
      <c r="G2000">
        <v>0.38028337347090202</v>
      </c>
      <c r="H2000">
        <v>0.232874163987147</v>
      </c>
      <c r="I2000">
        <v>0.214140633461959</v>
      </c>
      <c r="J2000">
        <v>0.19645854544211699</v>
      </c>
      <c r="K2000">
        <v>0.163189782359174</v>
      </c>
      <c r="L2000">
        <v>1131.8894428001299</v>
      </c>
      <c r="M2000">
        <v>22.032707251015498</v>
      </c>
      <c r="N2000">
        <v>52.378247132690397</v>
      </c>
      <c r="O2000">
        <v>50.955555115790297</v>
      </c>
      <c r="P2000">
        <v>-8.9464418664875006E-2</v>
      </c>
      <c r="Q2000">
        <v>0.17239258848415001</v>
      </c>
      <c r="R2000">
        <v>0.98453207118804598</v>
      </c>
      <c r="S2000" t="s">
        <v>7551</v>
      </c>
      <c r="T2000" t="s">
        <v>11100</v>
      </c>
      <c r="U2000" t="s">
        <v>11100</v>
      </c>
      <c r="V2000" t="s">
        <v>11100</v>
      </c>
      <c r="W2000" t="s">
        <v>13060</v>
      </c>
      <c r="X2000">
        <v>10</v>
      </c>
      <c r="Y2000" t="s">
        <v>18538</v>
      </c>
      <c r="Z2000" t="s">
        <v>24005</v>
      </c>
      <c r="AA2000">
        <v>0.57807367659823328</v>
      </c>
      <c r="AB2000" t="str">
        <f>HYPERLINK("Melting_Curves/meltCurve_P23368_ME2.pdf", "Melting_Curves/meltCurve_P23368_ME2.pdf")</f>
        <v>Melting_Curves/meltCurve_P23368_ME2.pdf</v>
      </c>
    </row>
    <row r="2001" spans="1:28" x14ac:dyDescent="0.25">
      <c r="A2001" t="s">
        <v>2005</v>
      </c>
      <c r="B2001">
        <v>0.99299721793515405</v>
      </c>
      <c r="C2001">
        <v>0.81276584955990006</v>
      </c>
      <c r="D2001">
        <v>0.97987786376775099</v>
      </c>
      <c r="E2001">
        <v>0.80019407512074203</v>
      </c>
      <c r="F2001">
        <v>0.76028127767138898</v>
      </c>
      <c r="G2001">
        <v>0.58426767528266199</v>
      </c>
      <c r="H2001">
        <v>0.60256138199723697</v>
      </c>
      <c r="I2001">
        <v>0.485758232492977</v>
      </c>
      <c r="J2001">
        <v>0.300102304867019</v>
      </c>
      <c r="K2001">
        <v>0.248825635522472</v>
      </c>
      <c r="L2001">
        <v>380.00431709064202</v>
      </c>
      <c r="M2001">
        <v>6.52830091649205</v>
      </c>
      <c r="N2001">
        <v>58.208762425202501</v>
      </c>
      <c r="O2001">
        <v>53.470874714851597</v>
      </c>
      <c r="P2001">
        <v>-3.0595667495637701E-2</v>
      </c>
      <c r="Q2001">
        <v>0</v>
      </c>
      <c r="R2001">
        <v>0.927452387006514</v>
      </c>
      <c r="S2001" t="s">
        <v>7552</v>
      </c>
      <c r="T2001" t="s">
        <v>11100</v>
      </c>
      <c r="U2001" t="s">
        <v>11100</v>
      </c>
      <c r="V2001" t="s">
        <v>11100</v>
      </c>
      <c r="W2001" t="s">
        <v>13061</v>
      </c>
      <c r="X2001">
        <v>5</v>
      </c>
      <c r="Y2001" t="s">
        <v>18539</v>
      </c>
      <c r="Z2001" t="s">
        <v>24006</v>
      </c>
      <c r="AA2001">
        <v>0.66921015891805924</v>
      </c>
      <c r="AB2001" t="str">
        <f>HYPERLINK("Melting_Curves/meltCurve_P23378_GLDC.pdf", "Melting_Curves/meltCurve_P23378_GLDC.pdf")</f>
        <v>Melting_Curves/meltCurve_P23378_GLDC.pdf</v>
      </c>
    </row>
    <row r="2002" spans="1:28" x14ac:dyDescent="0.25">
      <c r="A2002" t="s">
        <v>2006</v>
      </c>
      <c r="B2002">
        <v>0.99299721793515405</v>
      </c>
      <c r="C2002">
        <v>1.05868086288798</v>
      </c>
      <c r="D2002">
        <v>0.98664718180460798</v>
      </c>
      <c r="E2002">
        <v>0.97569195219595295</v>
      </c>
      <c r="F2002">
        <v>0.83313704956229295</v>
      </c>
      <c r="G2002">
        <v>0.69445011309503502</v>
      </c>
      <c r="H2002">
        <v>0.67799270527454802</v>
      </c>
      <c r="I2002">
        <v>0.72438614359680997</v>
      </c>
      <c r="J2002">
        <v>0.70941391773995799</v>
      </c>
      <c r="K2002">
        <v>0.55203946636309398</v>
      </c>
      <c r="L2002">
        <v>1522.60550278439</v>
      </c>
      <c r="M2002">
        <v>30.303790289893101</v>
      </c>
      <c r="O2002">
        <v>50.027456954921597</v>
      </c>
      <c r="P2002">
        <v>-5.12170965050181E-2</v>
      </c>
      <c r="Q2002">
        <v>0.66179223547698895</v>
      </c>
      <c r="R2002">
        <v>0.918660680226283</v>
      </c>
      <c r="S2002" t="s">
        <v>7553</v>
      </c>
      <c r="T2002" t="s">
        <v>11100</v>
      </c>
      <c r="U2002" t="s">
        <v>11100</v>
      </c>
      <c r="V2002" t="s">
        <v>11100</v>
      </c>
      <c r="W2002" t="s">
        <v>13062</v>
      </c>
      <c r="X2002">
        <v>22</v>
      </c>
      <c r="Y2002" t="s">
        <v>18540</v>
      </c>
      <c r="Z2002" t="s">
        <v>24007</v>
      </c>
      <c r="AA2002">
        <v>0.81315018051616528</v>
      </c>
      <c r="AB2002" t="str">
        <f>HYPERLINK("Melting_Curves/meltCurve_P23381_WARS.pdf", "Melting_Curves/meltCurve_P23381_WARS.pdf")</f>
        <v>Melting_Curves/meltCurve_P23381_WARS.pdf</v>
      </c>
    </row>
    <row r="2003" spans="1:28" x14ac:dyDescent="0.25">
      <c r="A2003" t="s">
        <v>2007</v>
      </c>
      <c r="B2003">
        <v>0.99299721793515405</v>
      </c>
      <c r="C2003">
        <v>1.14639903918061</v>
      </c>
      <c r="D2003">
        <v>0.95830168176201203</v>
      </c>
      <c r="E2003">
        <v>0.89063608099146496</v>
      </c>
      <c r="F2003">
        <v>0.50858315591501102</v>
      </c>
      <c r="G2003">
        <v>0.29036024387124598</v>
      </c>
      <c r="H2003">
        <v>0.33993725085078702</v>
      </c>
      <c r="I2003">
        <v>0.224603957708438</v>
      </c>
      <c r="J2003">
        <v>0.158475281813588</v>
      </c>
      <c r="K2003">
        <v>0.157146451776836</v>
      </c>
      <c r="L2003">
        <v>1250.8090110547801</v>
      </c>
      <c r="M2003">
        <v>25.274037120883602</v>
      </c>
      <c r="N2003">
        <v>50.554977810923504</v>
      </c>
      <c r="O2003">
        <v>49.183152847314098</v>
      </c>
      <c r="P2003">
        <v>-0.101950960930568</v>
      </c>
      <c r="Q2003">
        <v>0.206425655052239</v>
      </c>
      <c r="R2003">
        <v>0.96957585137283397</v>
      </c>
      <c r="S2003" t="s">
        <v>7554</v>
      </c>
      <c r="T2003" t="s">
        <v>11100</v>
      </c>
      <c r="U2003" t="s">
        <v>11100</v>
      </c>
      <c r="V2003" t="s">
        <v>11100</v>
      </c>
      <c r="W2003" t="s">
        <v>13063</v>
      </c>
      <c r="X2003">
        <v>9</v>
      </c>
      <c r="Y2003" t="s">
        <v>18541</v>
      </c>
      <c r="Z2003" t="s">
        <v>24008</v>
      </c>
      <c r="AA2003">
        <v>0.54357033134774668</v>
      </c>
      <c r="AB2003" t="str">
        <f>HYPERLINK("Melting_Curves/meltCurve_P23396_RPS3.pdf", "Melting_Curves/meltCurve_P23396_RPS3.pdf")</f>
        <v>Melting_Curves/meltCurve_P23396_RPS3.pdf</v>
      </c>
    </row>
    <row r="2004" spans="1:28" x14ac:dyDescent="0.25">
      <c r="A2004" t="s">
        <v>2008</v>
      </c>
      <c r="B2004">
        <v>0.99299721793515405</v>
      </c>
      <c r="C2004">
        <v>0.91336541267605498</v>
      </c>
      <c r="D2004">
        <v>0.85271390278772996</v>
      </c>
      <c r="E2004">
        <v>0.88130912845099896</v>
      </c>
      <c r="F2004">
        <v>0.68220155902327195</v>
      </c>
      <c r="G2004">
        <v>0.50539177802916901</v>
      </c>
      <c r="H2004">
        <v>0.424176403465995</v>
      </c>
      <c r="I2004">
        <v>0.49576580012102001</v>
      </c>
      <c r="J2004">
        <v>0.50560796533944796</v>
      </c>
      <c r="K2004">
        <v>0.46562739997754599</v>
      </c>
      <c r="L2004">
        <v>721.80835726269402</v>
      </c>
      <c r="M2004">
        <v>14.8506237557496</v>
      </c>
      <c r="N2004">
        <v>57.157171653657798</v>
      </c>
      <c r="O2004">
        <v>47.748783676287097</v>
      </c>
      <c r="P2004">
        <v>-4.3094861825288003E-2</v>
      </c>
      <c r="Q2004">
        <v>0.44581154766779102</v>
      </c>
      <c r="R2004">
        <v>0.93823388834590404</v>
      </c>
      <c r="S2004" t="s">
        <v>7555</v>
      </c>
      <c r="T2004" t="s">
        <v>11100</v>
      </c>
      <c r="U2004" t="s">
        <v>11100</v>
      </c>
      <c r="V2004" t="s">
        <v>11100</v>
      </c>
      <c r="W2004" t="s">
        <v>13064</v>
      </c>
      <c r="X2004">
        <v>3</v>
      </c>
      <c r="Y2004" t="s">
        <v>18542</v>
      </c>
      <c r="Z2004" t="s">
        <v>24009</v>
      </c>
      <c r="AA2004">
        <v>0.67241644275886114</v>
      </c>
      <c r="AB2004" t="str">
        <f>HYPERLINK("Melting_Curves/meltCurve_P23434_GCSH.pdf", "Melting_Curves/meltCurve_P23434_GCSH.pdf")</f>
        <v>Melting_Curves/meltCurve_P23434_GCSH.pdf</v>
      </c>
    </row>
    <row r="2005" spans="1:28" x14ac:dyDescent="0.25">
      <c r="A2005" t="s">
        <v>2009</v>
      </c>
      <c r="B2005">
        <v>0.99299721793515405</v>
      </c>
      <c r="C2005">
        <v>1.0038688884945699</v>
      </c>
      <c r="D2005">
        <v>1.15454331968622</v>
      </c>
      <c r="E2005">
        <v>0.89062229917027902</v>
      </c>
      <c r="F2005">
        <v>0.73321452428996903</v>
      </c>
      <c r="G2005">
        <v>0.495811151096892</v>
      </c>
      <c r="H2005">
        <v>0.28723662817502399</v>
      </c>
      <c r="I2005">
        <v>0.28643724459061498</v>
      </c>
      <c r="J2005">
        <v>0.22142410830666301</v>
      </c>
      <c r="K2005">
        <v>0.125903521159305</v>
      </c>
      <c r="L2005">
        <v>961.845730424826</v>
      </c>
      <c r="M2005">
        <v>18.354252528926501</v>
      </c>
      <c r="N2005">
        <v>53.621921816455902</v>
      </c>
      <c r="O2005">
        <v>51.794321440631002</v>
      </c>
      <c r="P2005">
        <v>-7.3499952192911097E-2</v>
      </c>
      <c r="Q2005">
        <v>0.170392560026942</v>
      </c>
      <c r="R2005">
        <v>0.97080346598419298</v>
      </c>
      <c r="S2005" t="s">
        <v>7556</v>
      </c>
      <c r="T2005" t="s">
        <v>11100</v>
      </c>
      <c r="U2005" t="s">
        <v>11100</v>
      </c>
      <c r="V2005" t="s">
        <v>11100</v>
      </c>
      <c r="W2005" t="s">
        <v>13065</v>
      </c>
      <c r="X2005">
        <v>5</v>
      </c>
      <c r="Y2005" t="s">
        <v>18543</v>
      </c>
      <c r="Z2005" t="s">
        <v>24010</v>
      </c>
      <c r="AA2005">
        <v>0.60842438301367607</v>
      </c>
      <c r="AB2005" t="str">
        <f>HYPERLINK("Melting_Curves/meltCurve_P23470_2_PTPRG.pdf", "Melting_Curves/meltCurve_P23470_2_PTPRG.pdf")</f>
        <v>Melting_Curves/meltCurve_P23470_2_PTPRG.pdf</v>
      </c>
    </row>
    <row r="2006" spans="1:28" x14ac:dyDescent="0.25">
      <c r="A2006" t="s">
        <v>2010</v>
      </c>
      <c r="B2006">
        <v>0.99299721793515405</v>
      </c>
      <c r="C2006">
        <v>1.2293327040950299</v>
      </c>
      <c r="D2006">
        <v>0.95926089122978597</v>
      </c>
      <c r="E2006">
        <v>0.96052507174782398</v>
      </c>
      <c r="F2006">
        <v>0.80819581215843195</v>
      </c>
      <c r="G2006">
        <v>0.63267393987932696</v>
      </c>
      <c r="H2006">
        <v>0.44251194415324002</v>
      </c>
      <c r="I2006">
        <v>0.462736262677926</v>
      </c>
      <c r="J2006">
        <v>0.424097621925702</v>
      </c>
      <c r="K2006">
        <v>0.29523383995375302</v>
      </c>
      <c r="L2006">
        <v>942.64359296884697</v>
      </c>
      <c r="M2006">
        <v>17.8329105435214</v>
      </c>
      <c r="N2006">
        <v>56.716010713920397</v>
      </c>
      <c r="O2006">
        <v>52.208506271109897</v>
      </c>
      <c r="P2006">
        <v>-5.5399424828016103E-2</v>
      </c>
      <c r="Q2006">
        <v>0.35127288148518299</v>
      </c>
      <c r="R2006">
        <v>0.92417540146785504</v>
      </c>
      <c r="S2006" t="s">
        <v>7557</v>
      </c>
      <c r="T2006" t="s">
        <v>11100</v>
      </c>
      <c r="U2006" t="s">
        <v>11100</v>
      </c>
      <c r="V2006" t="s">
        <v>11100</v>
      </c>
      <c r="W2006" t="s">
        <v>13066</v>
      </c>
      <c r="X2006">
        <v>6</v>
      </c>
      <c r="Y2006" t="s">
        <v>18544</v>
      </c>
      <c r="Z2006" t="s">
        <v>24011</v>
      </c>
      <c r="AA2006">
        <v>0.70383837062510357</v>
      </c>
      <c r="AB2006" t="str">
        <f>HYPERLINK("Melting_Curves/meltCurve_P23497_SP100.pdf", "Melting_Curves/meltCurve_P23497_SP100.pdf")</f>
        <v>Melting_Curves/meltCurve_P23497_SP100.pdf</v>
      </c>
    </row>
    <row r="2007" spans="1:28" x14ac:dyDescent="0.25">
      <c r="A2007" t="s">
        <v>2011</v>
      </c>
      <c r="B2007">
        <v>0.99299721793515405</v>
      </c>
      <c r="C2007">
        <v>0.84695985866026402</v>
      </c>
      <c r="D2007">
        <v>0.79532997610402301</v>
      </c>
      <c r="E2007">
        <v>0.82590042173383105</v>
      </c>
      <c r="F2007">
        <v>0.77474563755363002</v>
      </c>
      <c r="G2007">
        <v>0.51907353835137404</v>
      </c>
      <c r="H2007">
        <v>0.33154412216988399</v>
      </c>
      <c r="I2007">
        <v>0.31349258512016798</v>
      </c>
      <c r="J2007">
        <v>0.24133298465136699</v>
      </c>
      <c r="K2007">
        <v>0.17207000801238201</v>
      </c>
      <c r="L2007">
        <v>425.808167834122</v>
      </c>
      <c r="M2007">
        <v>7.8154567424384798</v>
      </c>
      <c r="N2007">
        <v>54.482839633672</v>
      </c>
      <c r="O2007">
        <v>51.261168861715198</v>
      </c>
      <c r="P2007">
        <v>-3.8162901149913199E-2</v>
      </c>
      <c r="Q2007">
        <v>0</v>
      </c>
      <c r="R2007">
        <v>0.95193618996081997</v>
      </c>
      <c r="S2007" t="s">
        <v>7558</v>
      </c>
      <c r="T2007" t="s">
        <v>11100</v>
      </c>
      <c r="U2007" t="s">
        <v>11100</v>
      </c>
      <c r="V2007" t="s">
        <v>11100</v>
      </c>
      <c r="W2007" t="s">
        <v>13067</v>
      </c>
      <c r="X2007">
        <v>3</v>
      </c>
      <c r="Y2007" t="s">
        <v>18545</v>
      </c>
      <c r="Z2007" t="s">
        <v>24012</v>
      </c>
      <c r="AA2007">
        <v>0.59304990067188124</v>
      </c>
      <c r="AB2007" t="str">
        <f>HYPERLINK("Melting_Curves/meltCurve_P23508_MCC.pdf", "Melting_Curves/meltCurve_P23508_MCC.pdf")</f>
        <v>Melting_Curves/meltCurve_P23508_MCC.pdf</v>
      </c>
    </row>
    <row r="2008" spans="1:28" x14ac:dyDescent="0.25">
      <c r="A2008" t="s">
        <v>2012</v>
      </c>
      <c r="B2008">
        <v>0.99299721793515405</v>
      </c>
      <c r="C2008">
        <v>0.90481448710629797</v>
      </c>
      <c r="D2008">
        <v>0.88841440835380903</v>
      </c>
      <c r="E2008">
        <v>1.05891837903536</v>
      </c>
      <c r="F2008">
        <v>0.79279905536133699</v>
      </c>
      <c r="G2008">
        <v>0.63430224982594696</v>
      </c>
      <c r="H2008">
        <v>0.37173082374497002</v>
      </c>
      <c r="I2008">
        <v>0.460334373385763</v>
      </c>
      <c r="J2008">
        <v>0.556364555198408</v>
      </c>
      <c r="K2008">
        <v>0.40970699994613702</v>
      </c>
      <c r="L2008">
        <v>1552.91542564721</v>
      </c>
      <c r="M2008">
        <v>30.099449404716701</v>
      </c>
      <c r="N2008">
        <v>55.932713526278299</v>
      </c>
      <c r="O2008">
        <v>51.366697545756701</v>
      </c>
      <c r="P2008">
        <v>-8.0334825024293205E-2</v>
      </c>
      <c r="Q2008">
        <v>0.45161685729919798</v>
      </c>
      <c r="R2008">
        <v>0.90206555883510497</v>
      </c>
      <c r="S2008" t="s">
        <v>7559</v>
      </c>
      <c r="T2008" t="s">
        <v>11100</v>
      </c>
      <c r="U2008" t="s">
        <v>11100</v>
      </c>
      <c r="V2008" t="s">
        <v>11100</v>
      </c>
      <c r="W2008" t="s">
        <v>13068</v>
      </c>
      <c r="X2008">
        <v>1</v>
      </c>
      <c r="Y2008" t="s">
        <v>18546</v>
      </c>
      <c r="Z2008" t="s">
        <v>24013</v>
      </c>
      <c r="AA2008">
        <v>0.72178697352948873</v>
      </c>
      <c r="AB2008" t="str">
        <f>HYPERLINK("Melting_Curves/meltCurve_P23511_2_NFYA.pdf", "Melting_Curves/meltCurve_P23511_2_NFYA.pdf")</f>
        <v>Melting_Curves/meltCurve_P23511_2_NFYA.pdf</v>
      </c>
    </row>
    <row r="2009" spans="1:28" x14ac:dyDescent="0.25">
      <c r="A2009" t="s">
        <v>2013</v>
      </c>
      <c r="B2009">
        <v>0.99299721793515405</v>
      </c>
      <c r="C2009">
        <v>1.0050948526508201</v>
      </c>
      <c r="D2009">
        <v>0.91193693107178397</v>
      </c>
      <c r="E2009">
        <v>0.89376855429562396</v>
      </c>
      <c r="F2009">
        <v>0.81603390231680895</v>
      </c>
      <c r="G2009">
        <v>0.99230399446086004</v>
      </c>
      <c r="H2009">
        <v>1.0553704335546601</v>
      </c>
      <c r="I2009">
        <v>1.1190615961690999</v>
      </c>
      <c r="J2009">
        <v>0.46778490035519898</v>
      </c>
      <c r="K2009">
        <v>0.16189897082138599</v>
      </c>
      <c r="L2009">
        <v>15000</v>
      </c>
      <c r="M2009">
        <v>234.56309342241801</v>
      </c>
      <c r="N2009">
        <v>64.055508664340707</v>
      </c>
      <c r="O2009">
        <v>63.9440492564637</v>
      </c>
      <c r="P2009">
        <v>-0.76861224835296804</v>
      </c>
      <c r="Q2009">
        <v>0.161877269615435</v>
      </c>
      <c r="R2009">
        <v>0.91272895663602505</v>
      </c>
      <c r="S2009" t="s">
        <v>7560</v>
      </c>
      <c r="T2009" t="s">
        <v>11100</v>
      </c>
      <c r="U2009" t="s">
        <v>11100</v>
      </c>
      <c r="V2009" t="s">
        <v>11100</v>
      </c>
      <c r="W2009" t="s">
        <v>13069</v>
      </c>
      <c r="X2009">
        <v>33</v>
      </c>
      <c r="Y2009" t="s">
        <v>18547</v>
      </c>
      <c r="Z2009" t="s">
        <v>24014</v>
      </c>
      <c r="AA2009">
        <v>0.91486061370821958</v>
      </c>
      <c r="AB2009" t="str">
        <f>HYPERLINK("Melting_Curves/meltCurve_P23526_AHCY.pdf", "Melting_Curves/meltCurve_P23526_AHCY.pdf")</f>
        <v>Melting_Curves/meltCurve_P23526_AHCY.pdf</v>
      </c>
    </row>
    <row r="2010" spans="1:28" x14ac:dyDescent="0.25">
      <c r="A2010" t="s">
        <v>2014</v>
      </c>
      <c r="B2010">
        <v>0.99299721793515405</v>
      </c>
      <c r="C2010">
        <v>1.4058877170588</v>
      </c>
      <c r="D2010">
        <v>1.20372910779956</v>
      </c>
      <c r="E2010">
        <v>1.24880067011641</v>
      </c>
      <c r="F2010">
        <v>0.63894009121703998</v>
      </c>
      <c r="G2010">
        <v>0.45124947745385602</v>
      </c>
      <c r="H2010">
        <v>0.34711005828144498</v>
      </c>
      <c r="I2010">
        <v>0.30230614516256199</v>
      </c>
      <c r="J2010">
        <v>0.35641199998425499</v>
      </c>
      <c r="K2010">
        <v>0.25015987242009502</v>
      </c>
      <c r="L2010">
        <v>6545.9530388010198</v>
      </c>
      <c r="M2010">
        <v>130.590345443469</v>
      </c>
      <c r="N2010">
        <v>50.5705238387552</v>
      </c>
      <c r="O2010">
        <v>50.114110128607599</v>
      </c>
      <c r="P2010">
        <v>-0.42904357318661701</v>
      </c>
      <c r="Q2010">
        <v>0.34141734020570702</v>
      </c>
      <c r="R2010">
        <v>0.83902412327956999</v>
      </c>
      <c r="S2010" t="s">
        <v>7561</v>
      </c>
      <c r="T2010" t="s">
        <v>11100</v>
      </c>
      <c r="U2010" t="s">
        <v>11100</v>
      </c>
      <c r="V2010" t="s">
        <v>11100</v>
      </c>
      <c r="W2010" t="s">
        <v>13070</v>
      </c>
      <c r="X2010">
        <v>11</v>
      </c>
      <c r="Y2010" t="s">
        <v>18548</v>
      </c>
      <c r="Z2010" t="s">
        <v>24015</v>
      </c>
      <c r="AA2010">
        <v>0.62977852843831628</v>
      </c>
      <c r="AB2010" t="str">
        <f>HYPERLINK("Melting_Curves/meltCurve_P23527_HIST1H2BO.pdf", "Melting_Curves/meltCurve_P23527_HIST1H2BO.pdf")</f>
        <v>Melting_Curves/meltCurve_P23527_HIST1H2BO.pdf</v>
      </c>
    </row>
    <row r="2011" spans="1:28" x14ac:dyDescent="0.25">
      <c r="A2011" t="s">
        <v>2015</v>
      </c>
      <c r="B2011">
        <v>0.99299721793515405</v>
      </c>
      <c r="C2011">
        <v>0.97980602277059803</v>
      </c>
      <c r="D2011">
        <v>1.1448299554316901</v>
      </c>
      <c r="E2011">
        <v>0.98401436344353599</v>
      </c>
      <c r="F2011">
        <v>0.72631874996909696</v>
      </c>
      <c r="G2011">
        <v>0.73150706032560198</v>
      </c>
      <c r="H2011">
        <v>0.46307480978453203</v>
      </c>
      <c r="I2011">
        <v>0.36903146763997002</v>
      </c>
      <c r="J2011">
        <v>0.23995359711731201</v>
      </c>
      <c r="K2011">
        <v>0.20702358084022299</v>
      </c>
      <c r="L2011">
        <v>737.07326020779999</v>
      </c>
      <c r="M2011">
        <v>13.176148397738601</v>
      </c>
      <c r="N2011">
        <v>57.1115373008411</v>
      </c>
      <c r="O2011">
        <v>54.698507045015901</v>
      </c>
      <c r="P2011">
        <v>-5.3099030507360999E-2</v>
      </c>
      <c r="Q2011">
        <v>0.118421941904022</v>
      </c>
      <c r="R2011">
        <v>0.95645734550356898</v>
      </c>
      <c r="S2011" t="s">
        <v>7562</v>
      </c>
      <c r="T2011" t="s">
        <v>11100</v>
      </c>
      <c r="U2011" t="s">
        <v>11100</v>
      </c>
      <c r="V2011" t="s">
        <v>11100</v>
      </c>
      <c r="W2011" t="s">
        <v>13071</v>
      </c>
      <c r="X2011">
        <v>23</v>
      </c>
      <c r="Y2011" t="s">
        <v>18549</v>
      </c>
      <c r="Z2011" t="s">
        <v>24016</v>
      </c>
      <c r="AA2011">
        <v>0.68476128871748365</v>
      </c>
      <c r="AB2011" t="str">
        <f>HYPERLINK("Melting_Curves/meltCurve_P23528_CFL1.pdf", "Melting_Curves/meltCurve_P23528_CFL1.pdf")</f>
        <v>Melting_Curves/meltCurve_P23528_CFL1.pdf</v>
      </c>
    </row>
    <row r="2012" spans="1:28" x14ac:dyDescent="0.25">
      <c r="A2012" t="s">
        <v>2016</v>
      </c>
      <c r="B2012">
        <v>0.99299721793515405</v>
      </c>
      <c r="C2012">
        <v>0.96248602164591301</v>
      </c>
      <c r="D2012">
        <v>1.2658427398419001</v>
      </c>
      <c r="E2012">
        <v>0.89277916839038596</v>
      </c>
      <c r="F2012">
        <v>0.833597709722118</v>
      </c>
      <c r="G2012">
        <v>0.92644072090697205</v>
      </c>
      <c r="H2012">
        <v>0.81337863313954495</v>
      </c>
      <c r="I2012">
        <v>1.1069509252471501</v>
      </c>
      <c r="J2012">
        <v>1.2748939992184301</v>
      </c>
      <c r="K2012">
        <v>1.29697874899198</v>
      </c>
      <c r="L2012">
        <v>8823.2944679217198</v>
      </c>
      <c r="M2012">
        <v>144.12598872874</v>
      </c>
      <c r="O2012">
        <v>61.207521908773899</v>
      </c>
      <c r="P2012">
        <v>0.16846902382262999</v>
      </c>
      <c r="Q2012">
        <v>1.28618219405666</v>
      </c>
      <c r="R2012">
        <v>0.51554924973132699</v>
      </c>
      <c r="S2012" t="s">
        <v>7563</v>
      </c>
      <c r="T2012" t="s">
        <v>11100</v>
      </c>
      <c r="U2012" t="s">
        <v>11100</v>
      </c>
      <c r="V2012" t="s">
        <v>11100</v>
      </c>
      <c r="W2012" t="s">
        <v>13072</v>
      </c>
      <c r="X2012">
        <v>59</v>
      </c>
      <c r="Y2012" t="s">
        <v>17253</v>
      </c>
      <c r="Z2012" t="s">
        <v>24017</v>
      </c>
      <c r="AA2012">
        <v>1.0550517590901041</v>
      </c>
      <c r="AB2012" t="str">
        <f>HYPERLINK("Melting_Curves/meltCurve_P23588_EIF4B.pdf", "Melting_Curves/meltCurve_P23588_EIF4B.pdf")</f>
        <v>Melting_Curves/meltCurve_P23588_EIF4B.pdf</v>
      </c>
    </row>
    <row r="2013" spans="1:28" x14ac:dyDescent="0.25">
      <c r="A2013" t="s">
        <v>2017</v>
      </c>
      <c r="B2013">
        <v>0.99299721793515405</v>
      </c>
      <c r="C2013">
        <v>0.94416756702686</v>
      </c>
      <c r="D2013">
        <v>0.81971894708314197</v>
      </c>
      <c r="E2013">
        <v>0.85643233465468904</v>
      </c>
      <c r="F2013">
        <v>0.78312479029673698</v>
      </c>
      <c r="G2013">
        <v>0.64115147481471502</v>
      </c>
      <c r="H2013">
        <v>0.51038697688906498</v>
      </c>
      <c r="I2013">
        <v>0.264680349199297</v>
      </c>
      <c r="J2013">
        <v>0.20954349761379801</v>
      </c>
      <c r="K2013">
        <v>0.181844676324075</v>
      </c>
      <c r="L2013">
        <v>521.66215922353695</v>
      </c>
      <c r="M2013">
        <v>9.2767016079753706</v>
      </c>
      <c r="N2013">
        <v>56.233576568143199</v>
      </c>
      <c r="O2013">
        <v>53.805788000312397</v>
      </c>
      <c r="P2013">
        <v>-4.3130620505042301E-2</v>
      </c>
      <c r="Q2013">
        <v>0</v>
      </c>
      <c r="R2013">
        <v>0.96795075054326496</v>
      </c>
      <c r="S2013" t="s">
        <v>7564</v>
      </c>
      <c r="T2013" t="s">
        <v>11100</v>
      </c>
      <c r="U2013" t="s">
        <v>11100</v>
      </c>
      <c r="V2013" t="s">
        <v>11100</v>
      </c>
      <c r="W2013" t="s">
        <v>13073</v>
      </c>
      <c r="X2013">
        <v>18</v>
      </c>
      <c r="Y2013" t="s">
        <v>18550</v>
      </c>
      <c r="Z2013" t="s">
        <v>24018</v>
      </c>
      <c r="AA2013">
        <v>0.64323401977188854</v>
      </c>
      <c r="AB2013" t="str">
        <f>HYPERLINK("Melting_Curves/meltCurve_P23634_6_ATP2B4.pdf", "Melting_Curves/meltCurve_P23634_6_ATP2B4.pdf")</f>
        <v>Melting_Curves/meltCurve_P23634_6_ATP2B4.pdf</v>
      </c>
    </row>
    <row r="2014" spans="1:28" x14ac:dyDescent="0.25">
      <c r="A2014" t="s">
        <v>2018</v>
      </c>
      <c r="B2014">
        <v>0.99299721793515405</v>
      </c>
      <c r="C2014">
        <v>1.10987024871704</v>
      </c>
      <c r="D2014">
        <v>1.3180437641923799</v>
      </c>
      <c r="E2014">
        <v>0.96129048436515097</v>
      </c>
      <c r="F2014">
        <v>0.82541092127243498</v>
      </c>
      <c r="G2014">
        <v>0.31614839695210001</v>
      </c>
      <c r="H2014">
        <v>0.16869334903532701</v>
      </c>
      <c r="I2014">
        <v>0.14468023492067</v>
      </c>
      <c r="J2014">
        <v>0.112164254770139</v>
      </c>
      <c r="K2014">
        <v>9.6618220191481002E-2</v>
      </c>
      <c r="L2014">
        <v>1919.3377032584799</v>
      </c>
      <c r="M2014">
        <v>36.8787852655013</v>
      </c>
      <c r="N2014">
        <v>52.438549950677199</v>
      </c>
      <c r="O2014">
        <v>51.892172746184002</v>
      </c>
      <c r="P2014">
        <v>-0.15616781746052799</v>
      </c>
      <c r="Q2014">
        <v>0.121026997983253</v>
      </c>
      <c r="R2014">
        <v>0.94420895967190699</v>
      </c>
      <c r="S2014" t="s">
        <v>7565</v>
      </c>
      <c r="T2014" t="s">
        <v>11100</v>
      </c>
      <c r="U2014" t="s">
        <v>11100</v>
      </c>
      <c r="V2014" t="s">
        <v>11100</v>
      </c>
      <c r="W2014" t="s">
        <v>13074</v>
      </c>
      <c r="X2014">
        <v>13</v>
      </c>
      <c r="Y2014" t="s">
        <v>18551</v>
      </c>
      <c r="Z2014" t="s">
        <v>24019</v>
      </c>
      <c r="AA2014">
        <v>0.56552438341608702</v>
      </c>
      <c r="AB2014" t="str">
        <f>HYPERLINK("Melting_Curves/meltCurve_P23786_CPT2.pdf", "Melting_Curves/meltCurve_P23786_CPT2.pdf")</f>
        <v>Melting_Curves/meltCurve_P23786_CPT2.pdf</v>
      </c>
    </row>
    <row r="2015" spans="1:28" x14ac:dyDescent="0.25">
      <c r="A2015" t="s">
        <v>2019</v>
      </c>
      <c r="B2015">
        <v>0.99299721793515405</v>
      </c>
      <c r="C2015">
        <v>0.98389775001948299</v>
      </c>
      <c r="D2015">
        <v>0.91535433620625595</v>
      </c>
      <c r="E2015">
        <v>0.86552128659799399</v>
      </c>
      <c r="F2015">
        <v>0.72441049370227995</v>
      </c>
      <c r="G2015">
        <v>0.53453178278712798</v>
      </c>
      <c r="H2015">
        <v>0.29999063493830203</v>
      </c>
      <c r="I2015">
        <v>0.17898179396434499</v>
      </c>
      <c r="J2015">
        <v>0.11565917549704099</v>
      </c>
      <c r="K2015">
        <v>8.6643704031277399E-2</v>
      </c>
      <c r="L2015">
        <v>670.98122015004503</v>
      </c>
      <c r="M2015">
        <v>12.446794192033</v>
      </c>
      <c r="N2015">
        <v>53.907946788390902</v>
      </c>
      <c r="O2015">
        <v>52.573162797865699</v>
      </c>
      <c r="P2015">
        <v>-5.9200347916604598E-2</v>
      </c>
      <c r="Q2015">
        <v>0</v>
      </c>
      <c r="R2015">
        <v>0.99718543475030497</v>
      </c>
      <c r="S2015" t="s">
        <v>7566</v>
      </c>
      <c r="T2015" t="s">
        <v>11100</v>
      </c>
      <c r="U2015" t="s">
        <v>11100</v>
      </c>
      <c r="V2015" t="s">
        <v>11100</v>
      </c>
      <c r="W2015" t="s">
        <v>13075</v>
      </c>
      <c r="X2015">
        <v>17</v>
      </c>
      <c r="Y2015" t="s">
        <v>18552</v>
      </c>
      <c r="Z2015" t="s">
        <v>24020</v>
      </c>
      <c r="AA2015">
        <v>0.58166005123781905</v>
      </c>
      <c r="AB2015" t="str">
        <f>HYPERLINK("Melting_Curves/meltCurve_P23919_DTYMK.pdf", "Melting_Curves/meltCurve_P23919_DTYMK.pdf")</f>
        <v>Melting_Curves/meltCurve_P23919_DTYMK.pdf</v>
      </c>
    </row>
    <row r="2016" spans="1:28" x14ac:dyDescent="0.25">
      <c r="A2016" t="s">
        <v>2020</v>
      </c>
      <c r="B2016">
        <v>0.99299721793515405</v>
      </c>
      <c r="C2016">
        <v>1.09978091306288</v>
      </c>
      <c r="D2016">
        <v>0.96685168222735296</v>
      </c>
      <c r="E2016">
        <v>0.99812465452581201</v>
      </c>
      <c r="F2016">
        <v>0.827893692962415</v>
      </c>
      <c r="G2016">
        <v>0.78314078383472097</v>
      </c>
      <c r="H2016">
        <v>0.59097830718287703</v>
      </c>
      <c r="I2016">
        <v>0.30968695074585201</v>
      </c>
      <c r="J2016">
        <v>0.245757558215217</v>
      </c>
      <c r="K2016">
        <v>0.19088102034164101</v>
      </c>
      <c r="L2016">
        <v>809.78521517488502</v>
      </c>
      <c r="M2016">
        <v>13.998143623829201</v>
      </c>
      <c r="N2016">
        <v>58.304287547897502</v>
      </c>
      <c r="O2016">
        <v>56.707223509464697</v>
      </c>
      <c r="P2016">
        <v>-5.85281837713253E-2</v>
      </c>
      <c r="Q2016">
        <v>5.1722423813240603E-2</v>
      </c>
      <c r="R2016">
        <v>0.97891549390874999</v>
      </c>
      <c r="S2016" t="s">
        <v>7567</v>
      </c>
      <c r="T2016" t="s">
        <v>11100</v>
      </c>
      <c r="U2016" t="s">
        <v>11100</v>
      </c>
      <c r="V2016" t="s">
        <v>11100</v>
      </c>
      <c r="W2016" t="s">
        <v>13076</v>
      </c>
      <c r="X2016">
        <v>14</v>
      </c>
      <c r="Y2016" t="s">
        <v>18553</v>
      </c>
      <c r="Z2016" t="s">
        <v>24021</v>
      </c>
      <c r="AA2016">
        <v>0.71414303996028539</v>
      </c>
      <c r="AB2016" t="str">
        <f>HYPERLINK("Melting_Curves/meltCurve_P23921_RRM1.pdf", "Melting_Curves/meltCurve_P23921_RRM1.pdf")</f>
        <v>Melting_Curves/meltCurve_P23921_RRM1.pdf</v>
      </c>
    </row>
    <row r="2017" spans="1:28" x14ac:dyDescent="0.25">
      <c r="A2017" t="s">
        <v>2021</v>
      </c>
      <c r="B2017">
        <v>0.99299721793515405</v>
      </c>
      <c r="C2017">
        <v>0.95665743426292804</v>
      </c>
      <c r="D2017">
        <v>1.0115450926454199</v>
      </c>
      <c r="E2017">
        <v>1.00489550415502</v>
      </c>
      <c r="F2017">
        <v>0.87210025912502398</v>
      </c>
      <c r="G2017">
        <v>0.47916160230306098</v>
      </c>
      <c r="H2017">
        <v>0.21213175421355901</v>
      </c>
      <c r="I2017">
        <v>0.20726440092641801</v>
      </c>
      <c r="J2017">
        <v>0.20276299935971201</v>
      </c>
      <c r="K2017">
        <v>0.80675415613930002</v>
      </c>
      <c r="L2017">
        <v>2451.1218360747398</v>
      </c>
      <c r="M2017">
        <v>47.333785387148303</v>
      </c>
      <c r="N2017">
        <v>53.222556276803097</v>
      </c>
      <c r="O2017">
        <v>51.691586466889497</v>
      </c>
      <c r="P2017">
        <v>-0.14629980151456601</v>
      </c>
      <c r="Q2017">
        <v>0.36092482706581702</v>
      </c>
      <c r="R2017">
        <v>0.76198666101983603</v>
      </c>
      <c r="S2017" t="s">
        <v>7568</v>
      </c>
      <c r="T2017" t="s">
        <v>11100</v>
      </c>
      <c r="U2017" t="s">
        <v>11100</v>
      </c>
      <c r="V2017" t="s">
        <v>11100</v>
      </c>
      <c r="W2017" t="s">
        <v>13077</v>
      </c>
      <c r="X2017">
        <v>11</v>
      </c>
      <c r="Y2017" t="s">
        <v>18554</v>
      </c>
      <c r="Z2017" t="s">
        <v>24022</v>
      </c>
      <c r="AA2017">
        <v>0.67748520580010085</v>
      </c>
      <c r="AB2017" t="str">
        <f>HYPERLINK("Melting_Curves/meltCurve_P24534_EEF1B2.pdf", "Melting_Curves/meltCurve_P24534_EEF1B2.pdf")</f>
        <v>Melting_Curves/meltCurve_P24534_EEF1B2.pdf</v>
      </c>
    </row>
    <row r="2018" spans="1:28" x14ac:dyDescent="0.25">
      <c r="A2018" t="s">
        <v>2022</v>
      </c>
      <c r="B2018">
        <v>0.99299721793515405</v>
      </c>
      <c r="C2018">
        <v>1.03022919059699</v>
      </c>
      <c r="D2018">
        <v>1.0121798422191901</v>
      </c>
      <c r="E2018">
        <v>1.04331366265211</v>
      </c>
      <c r="F2018">
        <v>0.78909886493398695</v>
      </c>
      <c r="G2018">
        <v>0.33320684459855598</v>
      </c>
      <c r="H2018">
        <v>0.20742209134363501</v>
      </c>
      <c r="I2018">
        <v>0.15654115213268799</v>
      </c>
      <c r="J2018">
        <v>0.12831373493089701</v>
      </c>
      <c r="K2018">
        <v>9.8079789227671896E-2</v>
      </c>
      <c r="L2018">
        <v>1756.4832279432401</v>
      </c>
      <c r="M2018">
        <v>33.812508814276001</v>
      </c>
      <c r="N2018">
        <v>52.437193637790898</v>
      </c>
      <c r="O2018">
        <v>51.7670383521424</v>
      </c>
      <c r="P2018">
        <v>-0.141193631626684</v>
      </c>
      <c r="Q2018">
        <v>0.13533224121885801</v>
      </c>
      <c r="R2018">
        <v>0.99500173711759199</v>
      </c>
      <c r="S2018" t="s">
        <v>7569</v>
      </c>
      <c r="T2018" t="s">
        <v>11100</v>
      </c>
      <c r="U2018" t="s">
        <v>11100</v>
      </c>
      <c r="V2018" t="s">
        <v>11100</v>
      </c>
      <c r="W2018" t="s">
        <v>13078</v>
      </c>
      <c r="X2018">
        <v>16</v>
      </c>
      <c r="Y2018" t="s">
        <v>18555</v>
      </c>
      <c r="Z2018" t="s">
        <v>24023</v>
      </c>
      <c r="AA2018">
        <v>0.57048152956483722</v>
      </c>
      <c r="AB2018" t="str">
        <f>HYPERLINK("Melting_Curves/meltCurve_P24666_ACP1.pdf", "Melting_Curves/meltCurve_P24666_ACP1.pdf")</f>
        <v>Melting_Curves/meltCurve_P24666_ACP1.pdf</v>
      </c>
    </row>
    <row r="2019" spans="1:28" x14ac:dyDescent="0.25">
      <c r="A2019" t="s">
        <v>2023</v>
      </c>
      <c r="B2019">
        <v>0.99299721793515405</v>
      </c>
      <c r="C2019">
        <v>0.906162584757917</v>
      </c>
      <c r="D2019">
        <v>1.0013234021998301</v>
      </c>
      <c r="E2019">
        <v>1.0297047508739099</v>
      </c>
      <c r="F2019">
        <v>0.84607817264521401</v>
      </c>
      <c r="G2019">
        <v>0.67672696445547698</v>
      </c>
      <c r="H2019">
        <v>0.45191713477425</v>
      </c>
      <c r="I2019">
        <v>0.33811515910183099</v>
      </c>
      <c r="J2019">
        <v>0.35591301876574299</v>
      </c>
      <c r="K2019">
        <v>0.25546338077428299</v>
      </c>
      <c r="L2019">
        <v>1065.5882728236199</v>
      </c>
      <c r="M2019">
        <v>19.649942477265999</v>
      </c>
      <c r="N2019">
        <v>56.5176414013672</v>
      </c>
      <c r="O2019">
        <v>53.676302060488297</v>
      </c>
      <c r="P2019">
        <v>-6.6409328652780097E-2</v>
      </c>
      <c r="Q2019">
        <v>0.27440343148776802</v>
      </c>
      <c r="R2019">
        <v>0.98037551079720797</v>
      </c>
      <c r="S2019" t="s">
        <v>7570</v>
      </c>
      <c r="T2019" t="s">
        <v>11100</v>
      </c>
      <c r="U2019" t="s">
        <v>11100</v>
      </c>
      <c r="V2019" t="s">
        <v>11100</v>
      </c>
      <c r="W2019" t="s">
        <v>13079</v>
      </c>
      <c r="X2019">
        <v>11</v>
      </c>
      <c r="Y2019" t="s">
        <v>18555</v>
      </c>
      <c r="Z2019" t="s">
        <v>24024</v>
      </c>
      <c r="AA2019">
        <v>0.69996149194755408</v>
      </c>
      <c r="AB2019" t="str">
        <f>HYPERLINK("Melting_Curves/meltCurve_P24666_2_ACP1.pdf", "Melting_Curves/meltCurve_P24666_2_ACP1.pdf")</f>
        <v>Melting_Curves/meltCurve_P24666_2_ACP1.pdf</v>
      </c>
    </row>
    <row r="2020" spans="1:28" x14ac:dyDescent="0.25">
      <c r="A2020" t="s">
        <v>2024</v>
      </c>
      <c r="B2020">
        <v>0.99299721793515405</v>
      </c>
      <c r="C2020">
        <v>1.00764947237396</v>
      </c>
      <c r="D2020">
        <v>0.97959044201188195</v>
      </c>
      <c r="E2020">
        <v>0.89624318187751995</v>
      </c>
      <c r="F2020">
        <v>0.77463893229335401</v>
      </c>
      <c r="G2020">
        <v>0.81600255228654694</v>
      </c>
      <c r="H2020">
        <v>0.69707077945274898</v>
      </c>
      <c r="I2020">
        <v>0.176654739406266</v>
      </c>
      <c r="J2020">
        <v>0.13186269295307401</v>
      </c>
      <c r="K2020">
        <v>9.8170688418163302E-2</v>
      </c>
      <c r="L2020">
        <v>1087.32196935298</v>
      </c>
      <c r="M2020">
        <v>18.707693043877601</v>
      </c>
      <c r="N2020">
        <v>58.1216539436058</v>
      </c>
      <c r="O2020">
        <v>57.469742428611298</v>
      </c>
      <c r="P2020">
        <v>-8.1384069164941605E-2</v>
      </c>
      <c r="Q2020">
        <v>0</v>
      </c>
      <c r="R2020">
        <v>0.94146639343861804</v>
      </c>
      <c r="S2020" t="s">
        <v>7571</v>
      </c>
      <c r="T2020" t="s">
        <v>11100</v>
      </c>
      <c r="U2020" t="s">
        <v>11100</v>
      </c>
      <c r="V2020" t="s">
        <v>11100</v>
      </c>
      <c r="W2020" t="s">
        <v>13080</v>
      </c>
      <c r="X2020">
        <v>24</v>
      </c>
      <c r="Y2020" t="s">
        <v>18556</v>
      </c>
      <c r="Z2020" t="s">
        <v>24025</v>
      </c>
      <c r="AA2020">
        <v>0.7102360732004801</v>
      </c>
      <c r="AB2020" t="str">
        <f>HYPERLINK("Melting_Curves/meltCurve_P24752_ACAT1.pdf", "Melting_Curves/meltCurve_P24752_ACAT1.pdf")</f>
        <v>Melting_Curves/meltCurve_P24752_ACAT1.pdf</v>
      </c>
    </row>
    <row r="2021" spans="1:28" x14ac:dyDescent="0.25">
      <c r="A2021" t="s">
        <v>2025</v>
      </c>
      <c r="B2021">
        <v>0.99299721793515405</v>
      </c>
      <c r="C2021">
        <v>0.95775334250985</v>
      </c>
      <c r="D2021">
        <v>0.939976725547369</v>
      </c>
      <c r="E2021">
        <v>0.90214665387444104</v>
      </c>
      <c r="F2021">
        <v>0.75161190453607496</v>
      </c>
      <c r="G2021">
        <v>0.73470974801767597</v>
      </c>
      <c r="H2021">
        <v>1.7673611874314401</v>
      </c>
      <c r="I2021">
        <v>2.2161355107195799</v>
      </c>
      <c r="J2021">
        <v>2.18132071108022</v>
      </c>
      <c r="K2021">
        <v>1.28051051129023</v>
      </c>
      <c r="L2021">
        <v>3796.9757943876698</v>
      </c>
      <c r="M2021">
        <v>68.388551820482405</v>
      </c>
      <c r="O2021">
        <v>55.473195246351501</v>
      </c>
      <c r="P2021">
        <v>0.15410267056895799</v>
      </c>
      <c r="Q2021">
        <v>1.5</v>
      </c>
      <c r="R2021">
        <v>0.55784399047048905</v>
      </c>
      <c r="S2021" t="s">
        <v>7572</v>
      </c>
      <c r="T2021" t="s">
        <v>11100</v>
      </c>
      <c r="U2021" t="s">
        <v>11100</v>
      </c>
      <c r="V2021" t="s">
        <v>11100</v>
      </c>
      <c r="W2021" t="s">
        <v>13081</v>
      </c>
      <c r="X2021">
        <v>8</v>
      </c>
      <c r="Y2021" t="s">
        <v>18557</v>
      </c>
      <c r="Z2021" t="s">
        <v>24026</v>
      </c>
      <c r="AA2021">
        <v>1.1906700869438001</v>
      </c>
      <c r="AB2021" t="str">
        <f>HYPERLINK("Melting_Curves/meltCurve_P24928_POLR2A.pdf", "Melting_Curves/meltCurve_P24928_POLR2A.pdf")</f>
        <v>Melting_Curves/meltCurve_P24928_POLR2A.pdf</v>
      </c>
    </row>
    <row r="2022" spans="1:28" x14ac:dyDescent="0.25">
      <c r="A2022" t="s">
        <v>2026</v>
      </c>
      <c r="B2022">
        <v>0.99299721793515405</v>
      </c>
      <c r="C2022">
        <v>0.99525186415239197</v>
      </c>
      <c r="D2022">
        <v>0.89370122009031605</v>
      </c>
      <c r="E2022">
        <v>0.88653787844994103</v>
      </c>
      <c r="F2022">
        <v>0.67243244080068998</v>
      </c>
      <c r="G2022">
        <v>0.40973420617641299</v>
      </c>
      <c r="H2022">
        <v>0.20566287740140299</v>
      </c>
      <c r="I2022">
        <v>0.19679404489587801</v>
      </c>
      <c r="J2022">
        <v>0.17725384550550999</v>
      </c>
      <c r="K2022">
        <v>0.14289980341747899</v>
      </c>
      <c r="L2022">
        <v>906.41755697782003</v>
      </c>
      <c r="M2022">
        <v>17.636986378169901</v>
      </c>
      <c r="N2022">
        <v>52.302948620068001</v>
      </c>
      <c r="O2022">
        <v>50.745948116841703</v>
      </c>
      <c r="P2022">
        <v>-7.54132929116237E-2</v>
      </c>
      <c r="Q2022">
        <v>0.13211600362487</v>
      </c>
      <c r="R2022">
        <v>0.99227921199285296</v>
      </c>
      <c r="S2022" t="s">
        <v>7573</v>
      </c>
      <c r="T2022" t="s">
        <v>11100</v>
      </c>
      <c r="U2022" t="s">
        <v>11100</v>
      </c>
      <c r="V2022" t="s">
        <v>11100</v>
      </c>
      <c r="W2022" t="s">
        <v>13082</v>
      </c>
      <c r="X2022">
        <v>11</v>
      </c>
      <c r="Y2022" t="s">
        <v>18558</v>
      </c>
      <c r="Z2022" t="s">
        <v>24027</v>
      </c>
      <c r="AA2022">
        <v>0.56225317738145153</v>
      </c>
      <c r="AB2022" t="str">
        <f>HYPERLINK("Melting_Curves/meltCurve_P25098_ADRBK1.pdf", "Melting_Curves/meltCurve_P25098_ADRBK1.pdf")</f>
        <v>Melting_Curves/meltCurve_P25098_ADRBK1.pdf</v>
      </c>
    </row>
    <row r="2023" spans="1:28" x14ac:dyDescent="0.25">
      <c r="A2023" t="s">
        <v>2027</v>
      </c>
      <c r="B2023">
        <v>0.99299721793515405</v>
      </c>
      <c r="C2023">
        <v>0.98220465489929698</v>
      </c>
      <c r="D2023">
        <v>0.98326144722609599</v>
      </c>
      <c r="E2023">
        <v>0.91804655100976296</v>
      </c>
      <c r="F2023">
        <v>0.629321232439912</v>
      </c>
      <c r="G2023">
        <v>0.61040596399045899</v>
      </c>
      <c r="H2023">
        <v>0.581146374050581</v>
      </c>
      <c r="I2023">
        <v>0.29740931921413899</v>
      </c>
      <c r="J2023">
        <v>0.160190355688479</v>
      </c>
      <c r="K2023">
        <v>0.13716582368463101</v>
      </c>
      <c r="L2023">
        <v>553.23079509427896</v>
      </c>
      <c r="M2023">
        <v>9.8704037272034792</v>
      </c>
      <c r="N2023">
        <v>56.049446320720797</v>
      </c>
      <c r="O2023">
        <v>53.894241146166003</v>
      </c>
      <c r="P2023">
        <v>-4.5809393000767598E-2</v>
      </c>
      <c r="Q2023">
        <v>0</v>
      </c>
      <c r="R2023">
        <v>0.95791139906302203</v>
      </c>
      <c r="S2023" t="s">
        <v>7574</v>
      </c>
      <c r="T2023" t="s">
        <v>11100</v>
      </c>
      <c r="U2023" t="s">
        <v>11100</v>
      </c>
      <c r="V2023" t="s">
        <v>11100</v>
      </c>
      <c r="W2023" t="s">
        <v>13083</v>
      </c>
      <c r="X2023">
        <v>24</v>
      </c>
      <c r="Y2023" t="s">
        <v>18559</v>
      </c>
      <c r="Z2023" t="s">
        <v>24028</v>
      </c>
      <c r="AA2023">
        <v>0.64035023693570459</v>
      </c>
      <c r="AB2023" t="str">
        <f>HYPERLINK("Melting_Curves/meltCurve_P25205_MCM3.pdf", "Melting_Curves/meltCurve_P25205_MCM3.pdf")</f>
        <v>Melting_Curves/meltCurve_P25205_MCM3.pdf</v>
      </c>
    </row>
    <row r="2024" spans="1:28" x14ac:dyDescent="0.25">
      <c r="A2024" t="s">
        <v>2028</v>
      </c>
      <c r="B2024">
        <v>0.99299721793515405</v>
      </c>
      <c r="C2024">
        <v>1.1238350939197299</v>
      </c>
      <c r="D2024">
        <v>1.0244374053929199</v>
      </c>
      <c r="E2024">
        <v>1.06863116618672</v>
      </c>
      <c r="F2024">
        <v>1.014385724851</v>
      </c>
      <c r="G2024">
        <v>0.69607334030436296</v>
      </c>
      <c r="H2024">
        <v>0.60941883360436599</v>
      </c>
      <c r="I2024">
        <v>0.72075353176198798</v>
      </c>
      <c r="J2024">
        <v>0.68401666901921798</v>
      </c>
      <c r="K2024">
        <v>0.52578246889494296</v>
      </c>
      <c r="L2024">
        <v>13363.672832194799</v>
      </c>
      <c r="M2024">
        <v>250</v>
      </c>
      <c r="O2024">
        <v>53.451284066192699</v>
      </c>
      <c r="P2024">
        <v>-0.42679893732806501</v>
      </c>
      <c r="Q2024">
        <v>0.63499287232627699</v>
      </c>
      <c r="R2024">
        <v>0.89979022827703903</v>
      </c>
      <c r="S2024" t="s">
        <v>7575</v>
      </c>
      <c r="T2024" t="s">
        <v>11100</v>
      </c>
      <c r="U2024" t="s">
        <v>11100</v>
      </c>
      <c r="V2024" t="s">
        <v>11100</v>
      </c>
      <c r="W2024" t="s">
        <v>13084</v>
      </c>
      <c r="X2024">
        <v>11</v>
      </c>
      <c r="Y2024" t="s">
        <v>18560</v>
      </c>
      <c r="Z2024" t="s">
        <v>24029</v>
      </c>
      <c r="AA2024">
        <v>0.83522976838603058</v>
      </c>
      <c r="AB2024" t="str">
        <f>HYPERLINK("Melting_Curves/meltCurve_P25398_RPS12.pdf", "Melting_Curves/meltCurve_P25398_RPS12.pdf")</f>
        <v>Melting_Curves/meltCurve_P25398_RPS12.pdf</v>
      </c>
    </row>
    <row r="2025" spans="1:28" x14ac:dyDescent="0.25">
      <c r="A2025" t="s">
        <v>2029</v>
      </c>
      <c r="B2025">
        <v>0.99299721793515405</v>
      </c>
      <c r="C2025">
        <v>0.87096526226653803</v>
      </c>
      <c r="D2025">
        <v>0.67409811795683705</v>
      </c>
      <c r="E2025">
        <v>0.71230961567431195</v>
      </c>
      <c r="F2025">
        <v>0.80709347610802196</v>
      </c>
      <c r="G2025">
        <v>0.452014558771694</v>
      </c>
      <c r="H2025">
        <v>0.33602282841452003</v>
      </c>
      <c r="I2025">
        <v>0.264700361378091</v>
      </c>
      <c r="J2025">
        <v>0.24523229210740199</v>
      </c>
      <c r="K2025">
        <v>0.15086870498145999</v>
      </c>
      <c r="L2025">
        <v>362.41131832208998</v>
      </c>
      <c r="M2025">
        <v>6.8284825700186103</v>
      </c>
      <c r="N2025">
        <v>53.073477828182</v>
      </c>
      <c r="O2025">
        <v>49.080279412480103</v>
      </c>
      <c r="P2025">
        <v>-3.48528279113198E-2</v>
      </c>
      <c r="Q2025">
        <v>0</v>
      </c>
      <c r="R2025">
        <v>0.90317091625226698</v>
      </c>
      <c r="S2025" t="s">
        <v>7576</v>
      </c>
      <c r="T2025" t="s">
        <v>11100</v>
      </c>
      <c r="U2025" t="s">
        <v>11100</v>
      </c>
      <c r="V2025" t="s">
        <v>11100</v>
      </c>
      <c r="W2025" t="s">
        <v>13085</v>
      </c>
      <c r="X2025">
        <v>6</v>
      </c>
      <c r="Y2025" t="s">
        <v>18561</v>
      </c>
      <c r="Z2025" t="s">
        <v>24030</v>
      </c>
      <c r="AA2025">
        <v>0.55509126423982147</v>
      </c>
      <c r="AB2025" t="str">
        <f>HYPERLINK("Melting_Curves/meltCurve_P25445_6_FAS.pdf", "Melting_Curves/meltCurve_P25445_6_FAS.pdf")</f>
        <v>Melting_Curves/meltCurve_P25445_6_FAS.pdf</v>
      </c>
    </row>
    <row r="2026" spans="1:28" x14ac:dyDescent="0.25">
      <c r="A2026" t="s">
        <v>2030</v>
      </c>
      <c r="B2026">
        <v>0.99299721793515405</v>
      </c>
      <c r="C2026">
        <v>0.91286002723030102</v>
      </c>
      <c r="D2026">
        <v>0.96546711254985196</v>
      </c>
      <c r="E2026">
        <v>0.59107512598192702</v>
      </c>
      <c r="F2026">
        <v>0.39355925018311899</v>
      </c>
      <c r="G2026">
        <v>0.22531612837805801</v>
      </c>
      <c r="H2026">
        <v>0.13190102478589499</v>
      </c>
      <c r="I2026">
        <v>0.111288318340228</v>
      </c>
      <c r="J2026">
        <v>9.7210517504777397E-2</v>
      </c>
      <c r="K2026">
        <v>9.0421684329278301E-2</v>
      </c>
      <c r="L2026">
        <v>811.62878237334201</v>
      </c>
      <c r="M2026">
        <v>16.958762302862699</v>
      </c>
      <c r="N2026">
        <v>48.412785596916699</v>
      </c>
      <c r="O2026">
        <v>47.2083821734143</v>
      </c>
      <c r="P2026">
        <v>-8.18946492744307E-2</v>
      </c>
      <c r="Q2026">
        <v>8.8171473808107401E-2</v>
      </c>
      <c r="R2026">
        <v>0.98942364088058699</v>
      </c>
      <c r="S2026" t="s">
        <v>7577</v>
      </c>
      <c r="T2026" t="s">
        <v>11100</v>
      </c>
      <c r="U2026" t="s">
        <v>11100</v>
      </c>
      <c r="V2026" t="s">
        <v>11100</v>
      </c>
      <c r="W2026" t="s">
        <v>13086</v>
      </c>
      <c r="X2026">
        <v>6</v>
      </c>
      <c r="Y2026" t="s">
        <v>18562</v>
      </c>
      <c r="Z2026" t="s">
        <v>24031</v>
      </c>
      <c r="AA2026">
        <v>0.43447438413243628</v>
      </c>
      <c r="AB2026" t="str">
        <f>HYPERLINK("Melting_Curves/meltCurve_P25490_YY1.pdf", "Melting_Curves/meltCurve_P25490_YY1.pdf")</f>
        <v>Melting_Curves/meltCurve_P25490_YY1.pdf</v>
      </c>
    </row>
    <row r="2027" spans="1:28" x14ac:dyDescent="0.25">
      <c r="A2027" t="s">
        <v>2031</v>
      </c>
      <c r="B2027">
        <v>0.99299721793515405</v>
      </c>
      <c r="C2027">
        <v>1.04776590525622</v>
      </c>
      <c r="D2027">
        <v>0.91845829373198395</v>
      </c>
      <c r="E2027">
        <v>0.795495511483027</v>
      </c>
      <c r="F2027">
        <v>0.49564081117166497</v>
      </c>
      <c r="G2027">
        <v>0.212238721624084</v>
      </c>
      <c r="H2027">
        <v>0.15259710281005501</v>
      </c>
      <c r="I2027">
        <v>0.128557673023769</v>
      </c>
      <c r="J2027">
        <v>0.14815192769739299</v>
      </c>
      <c r="K2027">
        <v>9.6303098062527501E-2</v>
      </c>
      <c r="L2027">
        <v>1032.2230545208599</v>
      </c>
      <c r="M2027">
        <v>20.9323442818926</v>
      </c>
      <c r="N2027">
        <v>49.9053223179287</v>
      </c>
      <c r="O2027">
        <v>48.868898319902399</v>
      </c>
      <c r="P2027">
        <v>-9.5297161480618398E-2</v>
      </c>
      <c r="Q2027">
        <v>0.110096524868166</v>
      </c>
      <c r="R2027">
        <v>0.99483611992570498</v>
      </c>
      <c r="S2027" t="s">
        <v>7578</v>
      </c>
      <c r="T2027" t="s">
        <v>11100</v>
      </c>
      <c r="U2027" t="s">
        <v>11100</v>
      </c>
      <c r="V2027" t="s">
        <v>11100</v>
      </c>
      <c r="W2027" t="s">
        <v>13087</v>
      </c>
      <c r="X2027">
        <v>12</v>
      </c>
      <c r="Y2027" t="s">
        <v>18563</v>
      </c>
      <c r="Z2027" t="s">
        <v>24032</v>
      </c>
      <c r="AA2027">
        <v>0.48611857435324229</v>
      </c>
      <c r="AB2027" t="str">
        <f>HYPERLINK("Melting_Curves/meltCurve_P25685_DNAJB1.pdf", "Melting_Curves/meltCurve_P25685_DNAJB1.pdf")</f>
        <v>Melting_Curves/meltCurve_P25685_DNAJB1.pdf</v>
      </c>
    </row>
    <row r="2028" spans="1:28" x14ac:dyDescent="0.25">
      <c r="A2028" t="s">
        <v>2032</v>
      </c>
      <c r="B2028">
        <v>0.99299721793515405</v>
      </c>
      <c r="C2028">
        <v>0.981594947181466</v>
      </c>
      <c r="D2028">
        <v>0.898048206100997</v>
      </c>
      <c r="E2028">
        <v>0.82788768839522897</v>
      </c>
      <c r="F2028">
        <v>0.74736119707777204</v>
      </c>
      <c r="G2028">
        <v>0.87881425646567402</v>
      </c>
      <c r="H2028">
        <v>1.3728795333644399</v>
      </c>
      <c r="I2028">
        <v>1.46591493459866</v>
      </c>
      <c r="J2028">
        <v>1.4697029821407801</v>
      </c>
      <c r="K2028">
        <v>1.36900027947696</v>
      </c>
      <c r="L2028">
        <v>14247.011652753299</v>
      </c>
      <c r="M2028">
        <v>250</v>
      </c>
      <c r="O2028">
        <v>56.984399634618001</v>
      </c>
      <c r="P2028">
        <v>0.476964787662427</v>
      </c>
      <c r="Q2028">
        <v>1.4348728335502801</v>
      </c>
      <c r="R2028">
        <v>0.828402756881781</v>
      </c>
      <c r="S2028" t="s">
        <v>7579</v>
      </c>
      <c r="T2028" t="s">
        <v>11100</v>
      </c>
      <c r="U2028" t="s">
        <v>11100</v>
      </c>
      <c r="V2028" t="s">
        <v>11100</v>
      </c>
      <c r="W2028" t="s">
        <v>13088</v>
      </c>
      <c r="X2028">
        <v>41</v>
      </c>
      <c r="Y2028" t="s">
        <v>18564</v>
      </c>
      <c r="Z2028" t="s">
        <v>24033</v>
      </c>
      <c r="AA2028">
        <v>1.14508739165938</v>
      </c>
      <c r="AB2028" t="str">
        <f>HYPERLINK("Melting_Curves/meltCurve_P25705_ATP5A1.pdf", "Melting_Curves/meltCurve_P25705_ATP5A1.pdf")</f>
        <v>Melting_Curves/meltCurve_P25705_ATP5A1.pdf</v>
      </c>
    </row>
    <row r="2029" spans="1:28" x14ac:dyDescent="0.25">
      <c r="A2029" t="s">
        <v>2033</v>
      </c>
      <c r="B2029">
        <v>0.99299721793515405</v>
      </c>
      <c r="C2029">
        <v>1.01731077435946</v>
      </c>
      <c r="D2029">
        <v>1.4817669197979</v>
      </c>
      <c r="E2029">
        <v>1.0444904823597401</v>
      </c>
      <c r="F2029">
        <v>0.78671274205029695</v>
      </c>
      <c r="G2029">
        <v>0.49406961107978398</v>
      </c>
      <c r="H2029">
        <v>0.69524138726963702</v>
      </c>
      <c r="I2029">
        <v>0.74134274104543796</v>
      </c>
      <c r="J2029">
        <v>0.86339074511135205</v>
      </c>
      <c r="K2029">
        <v>0.93588868525032898</v>
      </c>
      <c r="L2029">
        <v>12466.8803001094</v>
      </c>
      <c r="M2029">
        <v>250</v>
      </c>
      <c r="O2029">
        <v>49.864321877822498</v>
      </c>
      <c r="P2029">
        <v>-0.31838059909083999</v>
      </c>
      <c r="Q2029">
        <v>0.74598663600315196</v>
      </c>
      <c r="R2029">
        <v>0.44285257412780898</v>
      </c>
      <c r="S2029" t="s">
        <v>7580</v>
      </c>
      <c r="T2029" t="s">
        <v>11100</v>
      </c>
      <c r="U2029" t="s">
        <v>11100</v>
      </c>
      <c r="V2029" t="s">
        <v>11100</v>
      </c>
      <c r="W2029" t="s">
        <v>13089</v>
      </c>
      <c r="X2029">
        <v>13</v>
      </c>
      <c r="Y2029" t="s">
        <v>18565</v>
      </c>
      <c r="Z2029" t="s">
        <v>24034</v>
      </c>
      <c r="AA2029">
        <v>0.8549596113013157</v>
      </c>
      <c r="AB2029" t="str">
        <f>HYPERLINK("Melting_Curves/meltCurve_P25786_PSMA1.pdf", "Melting_Curves/meltCurve_P25786_PSMA1.pdf")</f>
        <v>Melting_Curves/meltCurve_P25786_PSMA1.pdf</v>
      </c>
    </row>
    <row r="2030" spans="1:28" x14ac:dyDescent="0.25">
      <c r="A2030" t="s">
        <v>2034</v>
      </c>
      <c r="B2030">
        <v>0.99299721793515405</v>
      </c>
      <c r="C2030">
        <v>0.90698591633096504</v>
      </c>
      <c r="D2030">
        <v>0.96479703186116805</v>
      </c>
      <c r="E2030">
        <v>0.84122339861044704</v>
      </c>
      <c r="F2030">
        <v>0.82888038811920295</v>
      </c>
      <c r="G2030">
        <v>0.50540930549336704</v>
      </c>
      <c r="H2030">
        <v>1.0726107816028401</v>
      </c>
      <c r="I2030">
        <v>0.84897518044268305</v>
      </c>
      <c r="J2030">
        <v>0.83277328742037404</v>
      </c>
      <c r="K2030">
        <v>0.80741708129706202</v>
      </c>
      <c r="L2030">
        <v>939.71956093476797</v>
      </c>
      <c r="M2030">
        <v>21.659952530512498</v>
      </c>
      <c r="O2030">
        <v>43.020364065650398</v>
      </c>
      <c r="P2030">
        <v>-2.32363067617412E-2</v>
      </c>
      <c r="Q2030">
        <v>0.81539919446159503</v>
      </c>
      <c r="R2030">
        <v>0.16766609712804001</v>
      </c>
      <c r="S2030" t="s">
        <v>7581</v>
      </c>
      <c r="T2030" t="s">
        <v>11100</v>
      </c>
      <c r="U2030" t="s">
        <v>11100</v>
      </c>
      <c r="V2030" t="s">
        <v>11100</v>
      </c>
      <c r="W2030" t="s">
        <v>13090</v>
      </c>
      <c r="X2030">
        <v>4</v>
      </c>
      <c r="Y2030" t="s">
        <v>18566</v>
      </c>
      <c r="Z2030" t="s">
        <v>24035</v>
      </c>
      <c r="AA2030">
        <v>0.85679955825210941</v>
      </c>
      <c r="AB2030" t="str">
        <f>HYPERLINK("Melting_Curves/meltCurve_P25787_PSMA2.pdf", "Melting_Curves/meltCurve_P25787_PSMA2.pdf")</f>
        <v>Melting_Curves/meltCurve_P25787_PSMA2.pdf</v>
      </c>
    </row>
    <row r="2031" spans="1:28" x14ac:dyDescent="0.25">
      <c r="A2031" t="s">
        <v>2035</v>
      </c>
      <c r="B2031">
        <v>0.99299721793515405</v>
      </c>
      <c r="C2031">
        <v>1.0206563188175799</v>
      </c>
      <c r="D2031">
        <v>0.91441922129700504</v>
      </c>
      <c r="E2031">
        <v>0.88991431773668805</v>
      </c>
      <c r="F2031">
        <v>0.72109769719455596</v>
      </c>
      <c r="G2031">
        <v>0.36866624448210999</v>
      </c>
      <c r="H2031">
        <v>0.47719508988286902</v>
      </c>
      <c r="I2031">
        <v>0.43359964510925503</v>
      </c>
      <c r="J2031">
        <v>0.51927866088068497</v>
      </c>
      <c r="K2031">
        <v>0.53999250865911996</v>
      </c>
      <c r="L2031">
        <v>1721.04103654856</v>
      </c>
      <c r="M2031">
        <v>34.788954000649298</v>
      </c>
      <c r="N2031">
        <v>53.687748309743803</v>
      </c>
      <c r="O2031">
        <v>49.308296996684398</v>
      </c>
      <c r="P2031">
        <v>-9.3930534211840805E-2</v>
      </c>
      <c r="Q2031">
        <v>0.46747029069204199</v>
      </c>
      <c r="R2031">
        <v>0.93019319853590599</v>
      </c>
      <c r="S2031" t="s">
        <v>7582</v>
      </c>
      <c r="T2031" t="s">
        <v>11100</v>
      </c>
      <c r="U2031" t="s">
        <v>11100</v>
      </c>
      <c r="V2031" t="s">
        <v>11100</v>
      </c>
      <c r="W2031" t="s">
        <v>13091</v>
      </c>
      <c r="X2031">
        <v>7</v>
      </c>
      <c r="Y2031" t="s">
        <v>18567</v>
      </c>
      <c r="Z2031" t="s">
        <v>24036</v>
      </c>
      <c r="AA2031">
        <v>0.69125077274433788</v>
      </c>
      <c r="AB2031" t="str">
        <f>HYPERLINK("Melting_Curves/meltCurve_P25788_2_PSMA3.pdf", "Melting_Curves/meltCurve_P25788_2_PSMA3.pdf")</f>
        <v>Melting_Curves/meltCurve_P25788_2_PSMA3.pdf</v>
      </c>
    </row>
    <row r="2032" spans="1:28" x14ac:dyDescent="0.25">
      <c r="A2032" t="s">
        <v>2036</v>
      </c>
      <c r="B2032">
        <v>0.99299721793515405</v>
      </c>
      <c r="C2032">
        <v>1.2003829033870901</v>
      </c>
      <c r="D2032">
        <v>1.02089919218714</v>
      </c>
      <c r="E2032">
        <v>1.0111130760193501</v>
      </c>
      <c r="F2032">
        <v>0.582615923952995</v>
      </c>
      <c r="G2032">
        <v>0.40513595946909198</v>
      </c>
      <c r="H2032">
        <v>0.369994070171482</v>
      </c>
      <c r="I2032">
        <v>0.34996122826857101</v>
      </c>
      <c r="J2032">
        <v>0.31143156690774099</v>
      </c>
      <c r="K2032">
        <v>0.321260728996423</v>
      </c>
      <c r="L2032">
        <v>2820.09430073264</v>
      </c>
      <c r="M2032">
        <v>56.7240144140235</v>
      </c>
      <c r="N2032">
        <v>50.788654538261099</v>
      </c>
      <c r="O2032">
        <v>49.654379613751701</v>
      </c>
      <c r="P2032">
        <v>-0.18589531048469099</v>
      </c>
      <c r="Q2032">
        <v>0.34909321145039701</v>
      </c>
      <c r="R2032">
        <v>0.95962405370473502</v>
      </c>
      <c r="S2032" t="s">
        <v>7583</v>
      </c>
      <c r="T2032" t="s">
        <v>11100</v>
      </c>
      <c r="U2032" t="s">
        <v>11100</v>
      </c>
      <c r="V2032" t="s">
        <v>11100</v>
      </c>
      <c r="W2032" t="s">
        <v>13092</v>
      </c>
      <c r="X2032">
        <v>6</v>
      </c>
      <c r="Y2032" t="s">
        <v>18568</v>
      </c>
      <c r="Z2032" t="s">
        <v>24037</v>
      </c>
      <c r="AA2032">
        <v>0.62609980003201882</v>
      </c>
      <c r="AB2032" t="str">
        <f>HYPERLINK("Melting_Curves/meltCurve_P25789_PSMA4.pdf", "Melting_Curves/meltCurve_P25789_PSMA4.pdf")</f>
        <v>Melting_Curves/meltCurve_P25789_PSMA4.pdf</v>
      </c>
    </row>
    <row r="2033" spans="1:28" x14ac:dyDescent="0.25">
      <c r="A2033" t="s">
        <v>2037</v>
      </c>
      <c r="B2033">
        <v>0.99299721793515405</v>
      </c>
      <c r="C2033">
        <v>1.08757183441144</v>
      </c>
      <c r="D2033">
        <v>0.76607166504329904</v>
      </c>
      <c r="E2033">
        <v>0.84454009714432299</v>
      </c>
      <c r="F2033">
        <v>0.60904812950664799</v>
      </c>
      <c r="G2033">
        <v>0.360771569416377</v>
      </c>
      <c r="H2033">
        <v>0.46268331806079199</v>
      </c>
      <c r="I2033">
        <v>0.54613075892312202</v>
      </c>
      <c r="J2033">
        <v>0.59495594270743102</v>
      </c>
      <c r="K2033">
        <v>0.28588810151208699</v>
      </c>
      <c r="L2033">
        <v>824.27109891162604</v>
      </c>
      <c r="M2033">
        <v>17.4315856013407</v>
      </c>
      <c r="N2033">
        <v>53.756797433850103</v>
      </c>
      <c r="O2033">
        <v>46.676924126762401</v>
      </c>
      <c r="P2033">
        <v>-5.24109003864794E-2</v>
      </c>
      <c r="Q2033">
        <v>0.43866444937363103</v>
      </c>
      <c r="R2033">
        <v>0.811268890597588</v>
      </c>
      <c r="S2033" t="s">
        <v>7584</v>
      </c>
      <c r="T2033" t="s">
        <v>11100</v>
      </c>
      <c r="U2033" t="s">
        <v>11100</v>
      </c>
      <c r="V2033" t="s">
        <v>11100</v>
      </c>
      <c r="W2033" t="s">
        <v>13093</v>
      </c>
      <c r="X2033">
        <v>1</v>
      </c>
      <c r="Y2033" t="s">
        <v>18569</v>
      </c>
      <c r="Z2033" t="s">
        <v>24038</v>
      </c>
      <c r="AA2033">
        <v>0.64068702143443612</v>
      </c>
      <c r="AB2033" t="str">
        <f>HYPERLINK("Melting_Curves/meltCurve_P25815_S100P.pdf", "Melting_Curves/meltCurve_P25815_S100P.pdf")</f>
        <v>Melting_Curves/meltCurve_P25815_S100P.pdf</v>
      </c>
    </row>
    <row r="2034" spans="1:28" x14ac:dyDescent="0.25">
      <c r="A2034" t="s">
        <v>2038</v>
      </c>
      <c r="B2034">
        <v>0.99299721793515405</v>
      </c>
      <c r="C2034">
        <v>0.88093490866597501</v>
      </c>
      <c r="D2034">
        <v>0.97446926083098095</v>
      </c>
      <c r="E2034">
        <v>0.77693570451073302</v>
      </c>
      <c r="F2034">
        <v>0.52753584517405006</v>
      </c>
      <c r="G2034">
        <v>0.70066925949414705</v>
      </c>
      <c r="H2034">
        <v>0.65382398590122803</v>
      </c>
      <c r="I2034">
        <v>0.46577196196429599</v>
      </c>
      <c r="J2034">
        <v>0.50300583101695195</v>
      </c>
      <c r="K2034">
        <v>0.413265415282559</v>
      </c>
      <c r="L2034">
        <v>385.19008039853401</v>
      </c>
      <c r="M2034">
        <v>7.6084183546992703</v>
      </c>
      <c r="N2034">
        <v>61.824016278102398</v>
      </c>
      <c r="O2034">
        <v>47.484609211414401</v>
      </c>
      <c r="P2034">
        <v>-2.5111740712826E-2</v>
      </c>
      <c r="Q2034">
        <v>0.37395783851598102</v>
      </c>
      <c r="R2034">
        <v>0.84343300920620701</v>
      </c>
      <c r="S2034" t="s">
        <v>7585</v>
      </c>
      <c r="T2034" t="s">
        <v>11100</v>
      </c>
      <c r="U2034" t="s">
        <v>11100</v>
      </c>
      <c r="V2034" t="s">
        <v>11100</v>
      </c>
      <c r="W2034" t="s">
        <v>13094</v>
      </c>
      <c r="X2034">
        <v>1</v>
      </c>
      <c r="Y2034" t="s">
        <v>18570</v>
      </c>
      <c r="Z2034" t="s">
        <v>24039</v>
      </c>
      <c r="AA2034">
        <v>0.68216354343062657</v>
      </c>
      <c r="AB2034" t="str">
        <f>HYPERLINK("Melting_Curves/meltCurve_P26006_ITGA3.pdf", "Melting_Curves/meltCurve_P26006_ITGA3.pdf")</f>
        <v>Melting_Curves/meltCurve_P26006_ITGA3.pdf</v>
      </c>
    </row>
    <row r="2035" spans="1:28" x14ac:dyDescent="0.25">
      <c r="A2035" t="s">
        <v>2039</v>
      </c>
      <c r="B2035">
        <v>0.99299721793515405</v>
      </c>
      <c r="C2035">
        <v>1.05287876280583</v>
      </c>
      <c r="D2035">
        <v>1.1851978464375701</v>
      </c>
      <c r="E2035">
        <v>0.96956337509795698</v>
      </c>
      <c r="F2035">
        <v>0.81380934249817405</v>
      </c>
      <c r="G2035">
        <v>0.70736023163211503</v>
      </c>
      <c r="H2035">
        <v>0.218210247174909</v>
      </c>
      <c r="I2035">
        <v>0.15956255662611099</v>
      </c>
      <c r="J2035">
        <v>0.12630462841121001</v>
      </c>
      <c r="K2035">
        <v>0.11124477577054299</v>
      </c>
      <c r="L2035">
        <v>1425.8829675383399</v>
      </c>
      <c r="M2035">
        <v>26.1493252501479</v>
      </c>
      <c r="N2035">
        <v>54.974634758373</v>
      </c>
      <c r="O2035">
        <v>54.2125759643246</v>
      </c>
      <c r="P2035">
        <v>-0.10905902681898599</v>
      </c>
      <c r="Q2035">
        <v>9.5608888767008002E-2</v>
      </c>
      <c r="R2035">
        <v>0.96467702325701599</v>
      </c>
      <c r="S2035" t="s">
        <v>7586</v>
      </c>
      <c r="T2035" t="s">
        <v>11100</v>
      </c>
      <c r="U2035" t="s">
        <v>11100</v>
      </c>
      <c r="V2035" t="s">
        <v>11100</v>
      </c>
      <c r="W2035" t="s">
        <v>13095</v>
      </c>
      <c r="X2035">
        <v>54</v>
      </c>
      <c r="Y2035" t="s">
        <v>18571</v>
      </c>
      <c r="Z2035" t="s">
        <v>24040</v>
      </c>
      <c r="AA2035">
        <v>0.63129790940081876</v>
      </c>
      <c r="AB2035" t="str">
        <f>HYPERLINK("Melting_Curves/meltCurve_P26038_MSN.pdf", "Melting_Curves/meltCurve_P26038_MSN.pdf")</f>
        <v>Melting_Curves/meltCurve_P26038_MSN.pdf</v>
      </c>
    </row>
    <row r="2036" spans="1:28" x14ac:dyDescent="0.25">
      <c r="A2036" t="s">
        <v>2040</v>
      </c>
      <c r="B2036">
        <v>0.99299721793515405</v>
      </c>
      <c r="C2036">
        <v>1.0806582829573499</v>
      </c>
      <c r="D2036">
        <v>0.98493326075247201</v>
      </c>
      <c r="E2036">
        <v>0.94787515428653302</v>
      </c>
      <c r="F2036">
        <v>0.72977808814126299</v>
      </c>
      <c r="G2036">
        <v>0.59255792056398804</v>
      </c>
      <c r="H2036">
        <v>0.240591371158307</v>
      </c>
      <c r="I2036">
        <v>0.145679411955071</v>
      </c>
      <c r="J2036">
        <v>0.136180415601695</v>
      </c>
      <c r="K2036">
        <v>0.117918622230858</v>
      </c>
      <c r="L2036">
        <v>959.88669639097998</v>
      </c>
      <c r="M2036">
        <v>17.929627956599401</v>
      </c>
      <c r="N2036">
        <v>54.032797533780197</v>
      </c>
      <c r="O2036">
        <v>52.883693726577</v>
      </c>
      <c r="P2036">
        <v>-7.83268115441976E-2</v>
      </c>
      <c r="Q2036">
        <v>7.5942105380154307E-2</v>
      </c>
      <c r="R2036">
        <v>0.98698136774710998</v>
      </c>
      <c r="S2036" t="s">
        <v>7587</v>
      </c>
      <c r="T2036" t="s">
        <v>11100</v>
      </c>
      <c r="U2036" t="s">
        <v>11100</v>
      </c>
      <c r="V2036" t="s">
        <v>11100</v>
      </c>
      <c r="W2036" t="s">
        <v>13096</v>
      </c>
      <c r="X2036">
        <v>7</v>
      </c>
      <c r="Y2036" t="s">
        <v>18572</v>
      </c>
      <c r="Z2036" t="s">
        <v>24041</v>
      </c>
      <c r="AA2036">
        <v>0.59841304387150729</v>
      </c>
      <c r="AB2036" t="str">
        <f>HYPERLINK("Melting_Curves/meltCurve_P26196_DDX6.pdf", "Melting_Curves/meltCurve_P26196_DDX6.pdf")</f>
        <v>Melting_Curves/meltCurve_P26196_DDX6.pdf</v>
      </c>
    </row>
    <row r="2037" spans="1:28" x14ac:dyDescent="0.25">
      <c r="A2037" t="s">
        <v>2041</v>
      </c>
      <c r="B2037">
        <v>0.99299721793515405</v>
      </c>
      <c r="C2037">
        <v>0.94236374528359901</v>
      </c>
      <c r="D2037">
        <v>1.00685983850557</v>
      </c>
      <c r="E2037">
        <v>0.82895255384080802</v>
      </c>
      <c r="F2037">
        <v>0.73147156102968403</v>
      </c>
      <c r="G2037">
        <v>0.62699144731755796</v>
      </c>
      <c r="H2037">
        <v>0.35094230904054102</v>
      </c>
      <c r="I2037">
        <v>0.22781064541437501</v>
      </c>
      <c r="J2037">
        <v>0.194374166667802</v>
      </c>
      <c r="K2037">
        <v>0.15880098274976101</v>
      </c>
      <c r="L2037">
        <v>621.32645867648</v>
      </c>
      <c r="M2037">
        <v>11.380770001265599</v>
      </c>
      <c r="N2037">
        <v>54.9533330126404</v>
      </c>
      <c r="O2037">
        <v>52.990327123619203</v>
      </c>
      <c r="P2037">
        <v>-5.1784800034501699E-2</v>
      </c>
      <c r="Q2037">
        <v>3.5818568113627797E-2</v>
      </c>
      <c r="R2037">
        <v>0.986406524673484</v>
      </c>
      <c r="S2037" t="s">
        <v>7588</v>
      </c>
      <c r="T2037" t="s">
        <v>11100</v>
      </c>
      <c r="U2037" t="s">
        <v>11100</v>
      </c>
      <c r="V2037" t="s">
        <v>11100</v>
      </c>
      <c r="W2037" t="s">
        <v>13097</v>
      </c>
      <c r="X2037">
        <v>34</v>
      </c>
      <c r="Y2037" t="s">
        <v>18573</v>
      </c>
      <c r="Z2037" t="s">
        <v>24042</v>
      </c>
      <c r="AA2037">
        <v>0.61632286230393007</v>
      </c>
      <c r="AB2037" t="str">
        <f>HYPERLINK("Melting_Curves/meltCurve_P26358_DNMT1.pdf", "Melting_Curves/meltCurve_P26358_DNMT1.pdf")</f>
        <v>Melting_Curves/meltCurve_P26358_DNMT1.pdf</v>
      </c>
    </row>
    <row r="2038" spans="1:28" x14ac:dyDescent="0.25">
      <c r="A2038" t="s">
        <v>2042</v>
      </c>
      <c r="B2038">
        <v>0.99299721793515405</v>
      </c>
      <c r="C2038">
        <v>0.96997266298569595</v>
      </c>
      <c r="D2038">
        <v>1.16799651260954</v>
      </c>
      <c r="E2038">
        <v>0.83370689009536403</v>
      </c>
      <c r="F2038">
        <v>0.71300442599656799</v>
      </c>
      <c r="G2038">
        <v>0.47054239450910101</v>
      </c>
      <c r="H2038">
        <v>0.191612361359388</v>
      </c>
      <c r="I2038">
        <v>0.193017578093402</v>
      </c>
      <c r="J2038">
        <v>0.191797988990801</v>
      </c>
      <c r="K2038">
        <v>0.22306576605102499</v>
      </c>
      <c r="L2038">
        <v>1082.9033326748099</v>
      </c>
      <c r="M2038">
        <v>20.980798110761299</v>
      </c>
      <c r="N2038">
        <v>52.692240006093002</v>
      </c>
      <c r="O2038">
        <v>51.151989751263102</v>
      </c>
      <c r="P2038">
        <v>-8.4647722450829202E-2</v>
      </c>
      <c r="Q2038">
        <v>0.174524671479862</v>
      </c>
      <c r="R2038">
        <v>0.96218051618458</v>
      </c>
      <c r="S2038" t="s">
        <v>7589</v>
      </c>
      <c r="T2038" t="s">
        <v>11100</v>
      </c>
      <c r="U2038" t="s">
        <v>11100</v>
      </c>
      <c r="V2038" t="s">
        <v>11100</v>
      </c>
      <c r="W2038" t="s">
        <v>13098</v>
      </c>
      <c r="X2038">
        <v>6</v>
      </c>
      <c r="Y2038" t="s">
        <v>18574</v>
      </c>
      <c r="Z2038" t="s">
        <v>24043</v>
      </c>
      <c r="AA2038">
        <v>0.58656367973548484</v>
      </c>
      <c r="AB2038" t="str">
        <f>HYPERLINK("Melting_Curves/meltCurve_P26368_2_U2AF2.pdf", "Melting_Curves/meltCurve_P26368_2_U2AF2.pdf")</f>
        <v>Melting_Curves/meltCurve_P26368_2_U2AF2.pdf</v>
      </c>
    </row>
    <row r="2039" spans="1:28" x14ac:dyDescent="0.25">
      <c r="A2039" t="s">
        <v>2043</v>
      </c>
      <c r="B2039">
        <v>0.99299721793515405</v>
      </c>
      <c r="C2039">
        <v>0.947353189595317</v>
      </c>
      <c r="D2039">
        <v>0.96538559564859905</v>
      </c>
      <c r="E2039">
        <v>0.98844931995322705</v>
      </c>
      <c r="F2039">
        <v>0.83503302247657996</v>
      </c>
      <c r="G2039">
        <v>0.58262529505716998</v>
      </c>
      <c r="H2039">
        <v>0.52573006326374905</v>
      </c>
      <c r="I2039">
        <v>0.41019122206641001</v>
      </c>
      <c r="J2039">
        <v>0.31676831512816001</v>
      </c>
      <c r="K2039">
        <v>0.26687362199215198</v>
      </c>
      <c r="L2039">
        <v>748.62217548563297</v>
      </c>
      <c r="M2039">
        <v>13.7325528938337</v>
      </c>
      <c r="N2039">
        <v>57.149866066765803</v>
      </c>
      <c r="O2039">
        <v>53.397407129554701</v>
      </c>
      <c r="P2039">
        <v>-4.9219404491772797E-2</v>
      </c>
      <c r="Q2039">
        <v>0.234573888100581</v>
      </c>
      <c r="R2039">
        <v>0.98260874700569301</v>
      </c>
      <c r="S2039" t="s">
        <v>7590</v>
      </c>
      <c r="T2039" t="s">
        <v>11100</v>
      </c>
      <c r="U2039" t="s">
        <v>11100</v>
      </c>
      <c r="V2039" t="s">
        <v>11100</v>
      </c>
      <c r="W2039" t="s">
        <v>13099</v>
      </c>
      <c r="X2039">
        <v>8</v>
      </c>
      <c r="Y2039" t="s">
        <v>18575</v>
      </c>
      <c r="Z2039" t="s">
        <v>24044</v>
      </c>
      <c r="AA2039">
        <v>0.6935286895128232</v>
      </c>
      <c r="AB2039" t="str">
        <f>HYPERLINK("Melting_Curves/meltCurve_P26373_RPL13.pdf", "Melting_Curves/meltCurve_P26373_RPL13.pdf")</f>
        <v>Melting_Curves/meltCurve_P26373_RPL13.pdf</v>
      </c>
    </row>
    <row r="2040" spans="1:28" x14ac:dyDescent="0.25">
      <c r="A2040" t="s">
        <v>2044</v>
      </c>
      <c r="B2040">
        <v>0.99299721793515405</v>
      </c>
      <c r="C2040">
        <v>0.94280100123427302</v>
      </c>
      <c r="D2040">
        <v>0.88407810498461903</v>
      </c>
      <c r="E2040">
        <v>0.86982224830919996</v>
      </c>
      <c r="F2040">
        <v>0.77346164435660902</v>
      </c>
      <c r="G2040">
        <v>0.63171636109807605</v>
      </c>
      <c r="H2040">
        <v>0.53183412299545896</v>
      </c>
      <c r="I2040">
        <v>0.36106173042904799</v>
      </c>
      <c r="J2040">
        <v>0.25159345519197801</v>
      </c>
      <c r="K2040">
        <v>0.164354134698147</v>
      </c>
      <c r="L2040">
        <v>506.36053363867001</v>
      </c>
      <c r="M2040">
        <v>8.8928719203169599</v>
      </c>
      <c r="N2040">
        <v>56.940039921451003</v>
      </c>
      <c r="O2040">
        <v>54.281453066370801</v>
      </c>
      <c r="P2040">
        <v>-4.0988352925719201E-2</v>
      </c>
      <c r="Q2040">
        <v>0</v>
      </c>
      <c r="R2040">
        <v>0.98758398446780304</v>
      </c>
      <c r="S2040" t="s">
        <v>7591</v>
      </c>
      <c r="T2040" t="s">
        <v>11100</v>
      </c>
      <c r="U2040" t="s">
        <v>11100</v>
      </c>
      <c r="V2040" t="s">
        <v>11100</v>
      </c>
      <c r="W2040" t="s">
        <v>13100</v>
      </c>
      <c r="X2040">
        <v>9</v>
      </c>
      <c r="Y2040" t="s">
        <v>18576</v>
      </c>
      <c r="Z2040" t="s">
        <v>24045</v>
      </c>
      <c r="AA2040">
        <v>0.65948996623281331</v>
      </c>
      <c r="AB2040" t="str">
        <f>HYPERLINK("Melting_Curves/meltCurve_P26374_CHML.pdf", "Melting_Curves/meltCurve_P26374_CHML.pdf")</f>
        <v>Melting_Curves/meltCurve_P26374_CHML.pdf</v>
      </c>
    </row>
    <row r="2041" spans="1:28" x14ac:dyDescent="0.25">
      <c r="A2041" t="s">
        <v>2045</v>
      </c>
      <c r="B2041">
        <v>0.99299721793515405</v>
      </c>
      <c r="C2041">
        <v>0.94114329344013303</v>
      </c>
      <c r="D2041">
        <v>0.92911659234206101</v>
      </c>
      <c r="E2041">
        <v>0.82604807166846705</v>
      </c>
      <c r="F2041">
        <v>0.70597523652906902</v>
      </c>
      <c r="G2041">
        <v>0.774769172620418</v>
      </c>
      <c r="H2041">
        <v>0.62978871044740403</v>
      </c>
      <c r="I2041">
        <v>0.475806263337821</v>
      </c>
      <c r="J2041">
        <v>0.40068336003455801</v>
      </c>
      <c r="K2041">
        <v>0.27497808169280002</v>
      </c>
      <c r="L2041">
        <v>392.772064680798</v>
      </c>
      <c r="M2041">
        <v>6.5340104763850801</v>
      </c>
      <c r="N2041">
        <v>60.111942825412399</v>
      </c>
      <c r="O2041">
        <v>55.226585309325898</v>
      </c>
      <c r="P2041">
        <v>-2.9648685069515901E-2</v>
      </c>
      <c r="Q2041">
        <v>0</v>
      </c>
      <c r="R2041">
        <v>0.95597044049624103</v>
      </c>
      <c r="S2041" t="s">
        <v>7592</v>
      </c>
      <c r="T2041" t="s">
        <v>11100</v>
      </c>
      <c r="U2041" t="s">
        <v>11100</v>
      </c>
      <c r="V2041" t="s">
        <v>11100</v>
      </c>
      <c r="W2041" t="s">
        <v>13101</v>
      </c>
      <c r="X2041">
        <v>14</v>
      </c>
      <c r="Y2041" t="s">
        <v>18577</v>
      </c>
      <c r="Z2041" t="s">
        <v>24046</v>
      </c>
      <c r="AA2041">
        <v>0.70750292460506836</v>
      </c>
      <c r="AB2041" t="str">
        <f>HYPERLINK("Melting_Curves/meltCurve_P26440_IVD.pdf", "Melting_Curves/meltCurve_P26440_IVD.pdf")</f>
        <v>Melting_Curves/meltCurve_P26440_IVD.pdf</v>
      </c>
    </row>
    <row r="2042" spans="1:28" x14ac:dyDescent="0.25">
      <c r="A2042" t="s">
        <v>2046</v>
      </c>
      <c r="B2042">
        <v>0.99299721793515405</v>
      </c>
      <c r="C2042">
        <v>0.971380421671306</v>
      </c>
      <c r="D2042">
        <v>1.01630380795685</v>
      </c>
      <c r="E2042">
        <v>0.90601859304315602</v>
      </c>
      <c r="F2042">
        <v>0.75803001819107896</v>
      </c>
      <c r="G2042">
        <v>0.53407429313751198</v>
      </c>
      <c r="H2042">
        <v>0.27769495474956801</v>
      </c>
      <c r="I2042">
        <v>0.17444188273105299</v>
      </c>
      <c r="J2042">
        <v>0.22633187366090099</v>
      </c>
      <c r="K2042">
        <v>0.176506204334933</v>
      </c>
      <c r="L2042">
        <v>998.64122090967896</v>
      </c>
      <c r="M2042">
        <v>18.9435424381502</v>
      </c>
      <c r="N2042">
        <v>53.785913207154998</v>
      </c>
      <c r="O2042">
        <v>52.139791488844203</v>
      </c>
      <c r="P2042">
        <v>-7.6582888290985807E-2</v>
      </c>
      <c r="Q2042">
        <v>0.15689374309257501</v>
      </c>
      <c r="R2042">
        <v>0.99335685591961898</v>
      </c>
      <c r="S2042" t="s">
        <v>7593</v>
      </c>
      <c r="T2042" t="s">
        <v>11100</v>
      </c>
      <c r="U2042" t="s">
        <v>11100</v>
      </c>
      <c r="V2042" t="s">
        <v>11100</v>
      </c>
      <c r="W2042" t="s">
        <v>13102</v>
      </c>
      <c r="X2042">
        <v>6</v>
      </c>
      <c r="Y2042" t="s">
        <v>18578</v>
      </c>
      <c r="Z2042" t="s">
        <v>24047</v>
      </c>
      <c r="AA2042">
        <v>0.61017040042826542</v>
      </c>
      <c r="AB2042" t="str">
        <f>HYPERLINK("Melting_Curves/meltCurve_P26572_MGAT1.pdf", "Melting_Curves/meltCurve_P26572_MGAT1.pdf")</f>
        <v>Melting_Curves/meltCurve_P26572_MGAT1.pdf</v>
      </c>
    </row>
    <row r="2043" spans="1:28" x14ac:dyDescent="0.25">
      <c r="A2043" t="s">
        <v>2047</v>
      </c>
      <c r="B2043">
        <v>0.99299721793515405</v>
      </c>
      <c r="C2043">
        <v>1.08992253079256</v>
      </c>
      <c r="D2043">
        <v>1.25560863100035</v>
      </c>
      <c r="E2043">
        <v>0.93166570192926801</v>
      </c>
      <c r="F2043">
        <v>0.73424758473002505</v>
      </c>
      <c r="G2043">
        <v>0.57439479962484596</v>
      </c>
      <c r="H2043">
        <v>0.42055594407230501</v>
      </c>
      <c r="I2043">
        <v>0.37863509801650203</v>
      </c>
      <c r="J2043">
        <v>0.39845110993720301</v>
      </c>
      <c r="K2043">
        <v>0.29676539224112503</v>
      </c>
      <c r="L2043">
        <v>1114.47764711181</v>
      </c>
      <c r="M2043">
        <v>21.557325125091602</v>
      </c>
      <c r="N2043">
        <v>54.737975651770498</v>
      </c>
      <c r="O2043">
        <v>51.259622492055499</v>
      </c>
      <c r="P2043">
        <v>-6.8450063210855006E-2</v>
      </c>
      <c r="Q2043">
        <v>0.34896572472949899</v>
      </c>
      <c r="R2043">
        <v>0.91867438914259103</v>
      </c>
      <c r="S2043" t="s">
        <v>7594</v>
      </c>
      <c r="T2043" t="s">
        <v>11100</v>
      </c>
      <c r="U2043" t="s">
        <v>11100</v>
      </c>
      <c r="V2043" t="s">
        <v>11100</v>
      </c>
      <c r="W2043" t="s">
        <v>13103</v>
      </c>
      <c r="X2043">
        <v>19</v>
      </c>
      <c r="Y2043" t="s">
        <v>18579</v>
      </c>
      <c r="Z2043" t="s">
        <v>24048</v>
      </c>
      <c r="AA2043">
        <v>0.67540914342768266</v>
      </c>
      <c r="AB2043" t="str">
        <f>HYPERLINK("Melting_Curves/meltCurve_P26583_HMGB2.pdf", "Melting_Curves/meltCurve_P26583_HMGB2.pdf")</f>
        <v>Melting_Curves/meltCurve_P26583_HMGB2.pdf</v>
      </c>
    </row>
    <row r="2044" spans="1:28" x14ac:dyDescent="0.25">
      <c r="A2044" t="s">
        <v>2048</v>
      </c>
      <c r="B2044">
        <v>0.99299721793515405</v>
      </c>
      <c r="C2044">
        <v>1.0197925820634299</v>
      </c>
      <c r="D2044">
        <v>0.88728209510327105</v>
      </c>
      <c r="E2044">
        <v>0.83084380417953496</v>
      </c>
      <c r="F2044">
        <v>0.63421321192664804</v>
      </c>
      <c r="G2044">
        <v>0.31470192786034101</v>
      </c>
      <c r="H2044">
        <v>0.23449221645242099</v>
      </c>
      <c r="I2044">
        <v>0.20955804185120899</v>
      </c>
      <c r="J2044">
        <v>0.18500324116582501</v>
      </c>
      <c r="K2044">
        <v>0.12458391632796199</v>
      </c>
      <c r="L2044">
        <v>841.43996082779904</v>
      </c>
      <c r="M2044">
        <v>16.6651979976109</v>
      </c>
      <c r="N2044">
        <v>51.4788421115083</v>
      </c>
      <c r="O2044">
        <v>49.780633291455501</v>
      </c>
      <c r="P2044">
        <v>-7.2243068838752797E-2</v>
      </c>
      <c r="Q2044">
        <v>0.13686817343586399</v>
      </c>
      <c r="R2044">
        <v>0.98997737314491097</v>
      </c>
      <c r="S2044" t="s">
        <v>7595</v>
      </c>
      <c r="T2044" t="s">
        <v>11100</v>
      </c>
      <c r="U2044" t="s">
        <v>11100</v>
      </c>
      <c r="V2044" t="s">
        <v>11100</v>
      </c>
      <c r="W2044" t="s">
        <v>13104</v>
      </c>
      <c r="X2044">
        <v>7</v>
      </c>
      <c r="Y2044" t="s">
        <v>18580</v>
      </c>
      <c r="Z2044" t="s">
        <v>24049</v>
      </c>
      <c r="AA2044">
        <v>0.54024343137924835</v>
      </c>
      <c r="AB2044" t="str">
        <f>HYPERLINK("Melting_Curves/meltCurve_P26599_PTBP1.pdf", "Melting_Curves/meltCurve_P26599_PTBP1.pdf")</f>
        <v>Melting_Curves/meltCurve_P26599_PTBP1.pdf</v>
      </c>
    </row>
    <row r="2045" spans="1:28" x14ac:dyDescent="0.25">
      <c r="A2045" t="s">
        <v>2049</v>
      </c>
      <c r="B2045">
        <v>0.99299721793515405</v>
      </c>
      <c r="C2045">
        <v>0.95954964749212601</v>
      </c>
      <c r="D2045">
        <v>0.91065063996522999</v>
      </c>
      <c r="E2045">
        <v>0.81364946008795902</v>
      </c>
      <c r="F2045">
        <v>0.72411088613052699</v>
      </c>
      <c r="G2045">
        <v>0.53955445889176801</v>
      </c>
      <c r="H2045">
        <v>0.31335624890927</v>
      </c>
      <c r="I2045">
        <v>0.17067896971464599</v>
      </c>
      <c r="J2045">
        <v>0.14727601526387199</v>
      </c>
      <c r="K2045">
        <v>0.123300836954835</v>
      </c>
      <c r="L2045">
        <v>596.01858719829499</v>
      </c>
      <c r="M2045">
        <v>11.069917458084101</v>
      </c>
      <c r="N2045">
        <v>53.841285483134499</v>
      </c>
      <c r="O2045">
        <v>52.173814588134597</v>
      </c>
      <c r="P2045">
        <v>-5.3060918888378203E-2</v>
      </c>
      <c r="Q2045">
        <v>0</v>
      </c>
      <c r="R2045">
        <v>0.99301155855529399</v>
      </c>
      <c r="S2045" t="s">
        <v>7596</v>
      </c>
      <c r="T2045" t="s">
        <v>11100</v>
      </c>
      <c r="U2045" t="s">
        <v>11100</v>
      </c>
      <c r="V2045" t="s">
        <v>11100</v>
      </c>
      <c r="W2045" t="s">
        <v>13105</v>
      </c>
      <c r="X2045">
        <v>40</v>
      </c>
      <c r="Y2045" t="s">
        <v>18581</v>
      </c>
      <c r="Z2045" t="s">
        <v>24050</v>
      </c>
      <c r="AA2045">
        <v>0.58001743582842402</v>
      </c>
      <c r="AB2045" t="str">
        <f>HYPERLINK("Melting_Curves/meltCurve_P26639_TARS.pdf", "Melting_Curves/meltCurve_P26639_TARS.pdf")</f>
        <v>Melting_Curves/meltCurve_P26639_TARS.pdf</v>
      </c>
    </row>
    <row r="2046" spans="1:28" x14ac:dyDescent="0.25">
      <c r="A2046" t="s">
        <v>2050</v>
      </c>
      <c r="B2046">
        <v>0.99299721793515405</v>
      </c>
      <c r="C2046">
        <v>1.0037312886462499</v>
      </c>
      <c r="D2046">
        <v>1.0442808761381801</v>
      </c>
      <c r="E2046">
        <v>0.87290157217562803</v>
      </c>
      <c r="F2046">
        <v>0.70582182383853498</v>
      </c>
      <c r="G2046">
        <v>0.31964457509862598</v>
      </c>
      <c r="H2046">
        <v>0.124606127330655</v>
      </c>
      <c r="I2046">
        <v>0.111804001593486</v>
      </c>
      <c r="J2046">
        <v>0.107373155338207</v>
      </c>
      <c r="K2046">
        <v>0.103544700460986</v>
      </c>
      <c r="L2046">
        <v>1262.72303374334</v>
      </c>
      <c r="M2046">
        <v>24.5428974696081</v>
      </c>
      <c r="N2046">
        <v>51.8658954969913</v>
      </c>
      <c r="O2046">
        <v>51.111708289626598</v>
      </c>
      <c r="P2046">
        <v>-0.109315538463421</v>
      </c>
      <c r="Q2046">
        <v>8.9394710272225106E-2</v>
      </c>
      <c r="R2046">
        <v>0.99473021077379398</v>
      </c>
      <c r="S2046" t="s">
        <v>7597</v>
      </c>
      <c r="T2046" t="s">
        <v>11100</v>
      </c>
      <c r="U2046" t="s">
        <v>11100</v>
      </c>
      <c r="V2046" t="s">
        <v>11100</v>
      </c>
      <c r="W2046" t="s">
        <v>13106</v>
      </c>
      <c r="X2046">
        <v>25</v>
      </c>
      <c r="Y2046" t="s">
        <v>18582</v>
      </c>
      <c r="Z2046" t="s">
        <v>24051</v>
      </c>
      <c r="AA2046">
        <v>0.53632204981922205</v>
      </c>
      <c r="AB2046" t="str">
        <f>HYPERLINK("Melting_Curves/meltCurve_P26641_EEF1G.pdf", "Melting_Curves/meltCurve_P26641_EEF1G.pdf")</f>
        <v>Melting_Curves/meltCurve_P26641_EEF1G.pdf</v>
      </c>
    </row>
    <row r="2047" spans="1:28" x14ac:dyDescent="0.25">
      <c r="A2047" t="s">
        <v>2051</v>
      </c>
      <c r="B2047">
        <v>0.99299721793515405</v>
      </c>
      <c r="C2047">
        <v>1.0481938175216301</v>
      </c>
      <c r="D2047">
        <v>0.94354322251968203</v>
      </c>
      <c r="E2047">
        <v>0.92731472634905998</v>
      </c>
      <c r="F2047">
        <v>0.76497637973488697</v>
      </c>
      <c r="G2047">
        <v>0.58860798195938602</v>
      </c>
      <c r="H2047">
        <v>0.47501203774060902</v>
      </c>
      <c r="I2047">
        <v>0.40879478916457301</v>
      </c>
      <c r="J2047">
        <v>0.33108658542504898</v>
      </c>
      <c r="K2047">
        <v>0.21304295068156801</v>
      </c>
      <c r="L2047">
        <v>600.86233585367199</v>
      </c>
      <c r="M2047">
        <v>10.961695489133801</v>
      </c>
      <c r="N2047">
        <v>56.793257167438199</v>
      </c>
      <c r="O2047">
        <v>53.085165573380898</v>
      </c>
      <c r="P2047">
        <v>-4.3444792177194297E-2</v>
      </c>
      <c r="Q2047">
        <v>0.15871203208360701</v>
      </c>
      <c r="R2047">
        <v>0.98641728648347304</v>
      </c>
      <c r="S2047" t="s">
        <v>7598</v>
      </c>
      <c r="T2047" t="s">
        <v>11100</v>
      </c>
      <c r="U2047" t="s">
        <v>11100</v>
      </c>
      <c r="V2047" t="s">
        <v>11100</v>
      </c>
      <c r="W2047" t="s">
        <v>13107</v>
      </c>
      <c r="X2047">
        <v>7</v>
      </c>
      <c r="Y2047" t="s">
        <v>18583</v>
      </c>
      <c r="Z2047" t="s">
        <v>24052</v>
      </c>
      <c r="AA2047">
        <v>0.67034871544015573</v>
      </c>
      <c r="AB2047" t="str">
        <f>HYPERLINK("Melting_Curves/meltCurve_P26885_FKBP2.pdf", "Melting_Curves/meltCurve_P26885_FKBP2.pdf")</f>
        <v>Melting_Curves/meltCurve_P26885_FKBP2.pdf</v>
      </c>
    </row>
    <row r="2048" spans="1:28" x14ac:dyDescent="0.25">
      <c r="A2048" t="s">
        <v>2052</v>
      </c>
      <c r="B2048">
        <v>0.99299721793515405</v>
      </c>
      <c r="C2048">
        <v>0.94716154803975905</v>
      </c>
      <c r="D2048">
        <v>1.00273673501148</v>
      </c>
      <c r="E2048">
        <v>0.902257498025133</v>
      </c>
      <c r="F2048">
        <v>0.77910101578294699</v>
      </c>
      <c r="G2048">
        <v>0.52797268089238203</v>
      </c>
      <c r="H2048">
        <v>0.216627240924567</v>
      </c>
      <c r="I2048">
        <v>0.15249727306642999</v>
      </c>
      <c r="J2048">
        <v>0.122619964712541</v>
      </c>
      <c r="K2048">
        <v>0.11065243790132701</v>
      </c>
      <c r="L2048">
        <v>1024.56117337559</v>
      </c>
      <c r="M2048">
        <v>19.2593996832492</v>
      </c>
      <c r="N2048">
        <v>53.6935203203779</v>
      </c>
      <c r="O2048">
        <v>52.634403707798498</v>
      </c>
      <c r="P2048">
        <v>-8.4032126306310698E-2</v>
      </c>
      <c r="Q2048">
        <v>8.1422320521659597E-2</v>
      </c>
      <c r="R2048">
        <v>0.99409451044438402</v>
      </c>
      <c r="S2048" t="s">
        <v>7599</v>
      </c>
      <c r="T2048" t="s">
        <v>11100</v>
      </c>
      <c r="U2048" t="s">
        <v>11100</v>
      </c>
      <c r="V2048" t="s">
        <v>11100</v>
      </c>
      <c r="W2048" t="s">
        <v>13108</v>
      </c>
      <c r="X2048">
        <v>17</v>
      </c>
      <c r="Y2048" t="s">
        <v>18584</v>
      </c>
      <c r="Z2048" t="s">
        <v>24053</v>
      </c>
      <c r="AA2048">
        <v>0.58950381398891361</v>
      </c>
      <c r="AB2048" t="str">
        <f>HYPERLINK("Melting_Curves/meltCurve_P27144_AK4.pdf", "Melting_Curves/meltCurve_P27144_AK4.pdf")</f>
        <v>Melting_Curves/meltCurve_P27144_AK4.pdf</v>
      </c>
    </row>
    <row r="2049" spans="1:28" x14ac:dyDescent="0.25">
      <c r="A2049" t="s">
        <v>2053</v>
      </c>
      <c r="B2049">
        <v>0.99299721793515405</v>
      </c>
      <c r="C2049">
        <v>0.98834382037896695</v>
      </c>
      <c r="D2049">
        <v>1.0208285378052899</v>
      </c>
      <c r="E2049">
        <v>0.92758193077666395</v>
      </c>
      <c r="F2049">
        <v>0.77471277903107805</v>
      </c>
      <c r="G2049">
        <v>0.59437933770917895</v>
      </c>
      <c r="H2049">
        <v>0.37115186839736503</v>
      </c>
      <c r="I2049">
        <v>0.20347708214957</v>
      </c>
      <c r="J2049">
        <v>0.12982310584510801</v>
      </c>
      <c r="K2049">
        <v>0.10294792159881699</v>
      </c>
      <c r="L2049">
        <v>782.39753974980295</v>
      </c>
      <c r="M2049">
        <v>14.2571044514647</v>
      </c>
      <c r="N2049">
        <v>55.079279223007298</v>
      </c>
      <c r="O2049">
        <v>53.831938396344697</v>
      </c>
      <c r="P2049">
        <v>-6.4536286575560903E-2</v>
      </c>
      <c r="Q2049">
        <v>2.5416323805717699E-2</v>
      </c>
      <c r="R2049">
        <v>0.99806310177619995</v>
      </c>
      <c r="S2049" t="s">
        <v>7600</v>
      </c>
      <c r="T2049" t="s">
        <v>11100</v>
      </c>
      <c r="U2049" t="s">
        <v>11100</v>
      </c>
      <c r="V2049" t="s">
        <v>11100</v>
      </c>
      <c r="W2049" t="s">
        <v>13109</v>
      </c>
      <c r="X2049">
        <v>24</v>
      </c>
      <c r="Y2049" t="s">
        <v>18585</v>
      </c>
      <c r="Z2049" t="s">
        <v>24054</v>
      </c>
      <c r="AA2049">
        <v>0.6204740256515161</v>
      </c>
      <c r="AB2049" t="str">
        <f>HYPERLINK("Melting_Curves/meltCurve_P27348_YWHAQ.pdf", "Melting_Curves/meltCurve_P27348_YWHAQ.pdf")</f>
        <v>Melting_Curves/meltCurve_P27348_YWHAQ.pdf</v>
      </c>
    </row>
    <row r="2050" spans="1:28" x14ac:dyDescent="0.25">
      <c r="A2050" t="s">
        <v>2054</v>
      </c>
      <c r="B2050">
        <v>0.99299721793515405</v>
      </c>
      <c r="C2050">
        <v>0.95926826110513796</v>
      </c>
      <c r="D2050">
        <v>0.91195777029999703</v>
      </c>
      <c r="E2050">
        <v>0.81838431197119299</v>
      </c>
      <c r="F2050">
        <v>0.65443713670218495</v>
      </c>
      <c r="G2050">
        <v>0.36359138634205701</v>
      </c>
      <c r="H2050">
        <v>0.20885271878692899</v>
      </c>
      <c r="I2050">
        <v>0.17413990817575001</v>
      </c>
      <c r="J2050">
        <v>0.13599615361460801</v>
      </c>
      <c r="K2050">
        <v>0.112665416321551</v>
      </c>
      <c r="L2050">
        <v>755.27483214515803</v>
      </c>
      <c r="M2050">
        <v>14.745391438442899</v>
      </c>
      <c r="N2050">
        <v>51.850929942051501</v>
      </c>
      <c r="O2050">
        <v>50.306671191919001</v>
      </c>
      <c r="P2050">
        <v>-6.7276469601610905E-2</v>
      </c>
      <c r="Q2050">
        <v>8.1993941771842105E-2</v>
      </c>
      <c r="R2050">
        <v>0.99532579241727304</v>
      </c>
      <c r="S2050" t="s">
        <v>7601</v>
      </c>
      <c r="T2050" t="s">
        <v>11100</v>
      </c>
      <c r="U2050" t="s">
        <v>11100</v>
      </c>
      <c r="V2050" t="s">
        <v>11100</v>
      </c>
      <c r="W2050" t="s">
        <v>13110</v>
      </c>
      <c r="X2050">
        <v>16</v>
      </c>
      <c r="Y2050" t="s">
        <v>18586</v>
      </c>
      <c r="Z2050" t="s">
        <v>24055</v>
      </c>
      <c r="AA2050">
        <v>0.53586090800531161</v>
      </c>
      <c r="AB2050" t="str">
        <f>HYPERLINK("Melting_Curves/meltCurve_P27361_MAPK3.pdf", "Melting_Curves/meltCurve_P27361_MAPK3.pdf")</f>
        <v>Melting_Curves/meltCurve_P27361_MAPK3.pdf</v>
      </c>
    </row>
    <row r="2051" spans="1:28" x14ac:dyDescent="0.25">
      <c r="A2051" t="s">
        <v>2055</v>
      </c>
      <c r="B2051">
        <v>0.99299721793515405</v>
      </c>
      <c r="C2051">
        <v>1.1510879946125001</v>
      </c>
      <c r="D2051">
        <v>0.98490566785698397</v>
      </c>
      <c r="E2051">
        <v>0.99300964655732604</v>
      </c>
      <c r="F2051">
        <v>0.78318676234627205</v>
      </c>
      <c r="G2051">
        <v>0.54420575122396098</v>
      </c>
      <c r="H2051">
        <v>0.335895506001404</v>
      </c>
      <c r="I2051">
        <v>0.28396785466202401</v>
      </c>
      <c r="J2051">
        <v>0.19443296596089499</v>
      </c>
      <c r="K2051">
        <v>0.17821961287679</v>
      </c>
      <c r="L2051">
        <v>1034.44180925759</v>
      </c>
      <c r="M2051">
        <v>19.4493579041538</v>
      </c>
      <c r="N2051">
        <v>54.443575178774701</v>
      </c>
      <c r="O2051">
        <v>52.633733750905002</v>
      </c>
      <c r="P2051">
        <v>-7.5672015053650704E-2</v>
      </c>
      <c r="Q2051">
        <v>0.18089720115048599</v>
      </c>
      <c r="R2051">
        <v>0.97851935031805903</v>
      </c>
      <c r="S2051" t="s">
        <v>7602</v>
      </c>
      <c r="T2051" t="s">
        <v>11100</v>
      </c>
      <c r="U2051" t="s">
        <v>11100</v>
      </c>
      <c r="V2051" t="s">
        <v>11100</v>
      </c>
      <c r="W2051" t="s">
        <v>13111</v>
      </c>
      <c r="X2051">
        <v>4</v>
      </c>
      <c r="Y2051" t="s">
        <v>18587</v>
      </c>
      <c r="Z2051" t="s">
        <v>24056</v>
      </c>
      <c r="AA2051">
        <v>0.63350304318284711</v>
      </c>
      <c r="AB2051" t="str">
        <f>HYPERLINK("Melting_Curves/meltCurve_P27540_3_ARNT.pdf", "Melting_Curves/meltCurve_P27540_3_ARNT.pdf")</f>
        <v>Melting_Curves/meltCurve_P27540_3_ARNT.pdf</v>
      </c>
    </row>
    <row r="2052" spans="1:28" x14ac:dyDescent="0.25">
      <c r="A2052" t="s">
        <v>2056</v>
      </c>
      <c r="B2052">
        <v>0.99299721793515405</v>
      </c>
      <c r="C2052">
        <v>0.826600614284976</v>
      </c>
      <c r="D2052">
        <v>0.79420787727436304</v>
      </c>
      <c r="E2052">
        <v>0.71722069910902198</v>
      </c>
      <c r="F2052">
        <v>0.99841832490178095</v>
      </c>
      <c r="G2052">
        <v>0.53997681604994896</v>
      </c>
      <c r="H2052">
        <v>0.59052132966360504</v>
      </c>
      <c r="I2052">
        <v>0.41009733113689201</v>
      </c>
      <c r="J2052">
        <v>0.175048416524265</v>
      </c>
      <c r="K2052">
        <v>0.18784913133748399</v>
      </c>
      <c r="L2052">
        <v>455.94808931112698</v>
      </c>
      <c r="M2052">
        <v>7.9923929052288196</v>
      </c>
      <c r="N2052">
        <v>57.047756609521102</v>
      </c>
      <c r="O2052">
        <v>53.8085661427438</v>
      </c>
      <c r="P2052">
        <v>-3.7175608246134702E-2</v>
      </c>
      <c r="Q2052">
        <v>0</v>
      </c>
      <c r="R2052">
        <v>0.80600434433875601</v>
      </c>
      <c r="S2052" t="s">
        <v>7603</v>
      </c>
      <c r="T2052" t="s">
        <v>11100</v>
      </c>
      <c r="U2052" t="s">
        <v>11100</v>
      </c>
      <c r="V2052" t="s">
        <v>11100</v>
      </c>
      <c r="W2052" t="s">
        <v>13112</v>
      </c>
      <c r="X2052">
        <v>1</v>
      </c>
      <c r="Y2052" t="s">
        <v>18588</v>
      </c>
      <c r="Z2052" t="s">
        <v>24057</v>
      </c>
      <c r="AA2052">
        <v>0.65682474144378467</v>
      </c>
      <c r="AB2052" t="str">
        <f>HYPERLINK("Melting_Curves/meltCurve_P27544_2_CERS1.pdf", "Melting_Curves/meltCurve_P27544_2_CERS1.pdf")</f>
        <v>Melting_Curves/meltCurve_P27544_2_CERS1.pdf</v>
      </c>
    </row>
    <row r="2053" spans="1:28" x14ac:dyDescent="0.25">
      <c r="A2053" t="s">
        <v>2057</v>
      </c>
      <c r="B2053">
        <v>0.99299721793515405</v>
      </c>
      <c r="C2053">
        <v>0.92517842949374696</v>
      </c>
      <c r="D2053">
        <v>1.0066345460758199</v>
      </c>
      <c r="E2053">
        <v>0.836662536690159</v>
      </c>
      <c r="F2053">
        <v>0.64262417085771495</v>
      </c>
      <c r="G2053">
        <v>0.44722158805509199</v>
      </c>
      <c r="H2053">
        <v>0.29808050453312901</v>
      </c>
      <c r="I2053">
        <v>0.24399503137585701</v>
      </c>
      <c r="J2053">
        <v>0.147010254008238</v>
      </c>
      <c r="K2053">
        <v>0.12987494082727699</v>
      </c>
      <c r="L2053">
        <v>688.58614960048806</v>
      </c>
      <c r="M2053">
        <v>13.233317677391801</v>
      </c>
      <c r="N2053">
        <v>52.877762648657402</v>
      </c>
      <c r="O2053">
        <v>50.889101236137599</v>
      </c>
      <c r="P2053">
        <v>-5.8834513636748902E-2</v>
      </c>
      <c r="Q2053">
        <v>9.5150058819969102E-2</v>
      </c>
      <c r="R2053">
        <v>0.99221802921982205</v>
      </c>
      <c r="S2053" t="s">
        <v>7604</v>
      </c>
      <c r="T2053" t="s">
        <v>11100</v>
      </c>
      <c r="U2053" t="s">
        <v>11100</v>
      </c>
      <c r="V2053" t="s">
        <v>11100</v>
      </c>
      <c r="W2053" t="s">
        <v>13113</v>
      </c>
      <c r="X2053">
        <v>13</v>
      </c>
      <c r="Y2053" t="s">
        <v>18589</v>
      </c>
      <c r="Z2053" t="s">
        <v>24058</v>
      </c>
      <c r="AA2053">
        <v>0.56830267027627412</v>
      </c>
      <c r="AB2053" t="str">
        <f>HYPERLINK("Melting_Curves/meltCurve_P27635_RPL10.pdf", "Melting_Curves/meltCurve_P27635_RPL10.pdf")</f>
        <v>Melting_Curves/meltCurve_P27635_RPL10.pdf</v>
      </c>
    </row>
    <row r="2054" spans="1:28" x14ac:dyDescent="0.25">
      <c r="A2054" t="s">
        <v>2058</v>
      </c>
      <c r="B2054">
        <v>0.99299721793515405</v>
      </c>
      <c r="C2054">
        <v>1.0498770570568301</v>
      </c>
      <c r="D2054">
        <v>1.0014640666022101</v>
      </c>
      <c r="E2054">
        <v>0.93768465185716299</v>
      </c>
      <c r="F2054">
        <v>0.75313839191021204</v>
      </c>
      <c r="G2054">
        <v>0.445519286949141</v>
      </c>
      <c r="H2054">
        <v>0.29507321548855497</v>
      </c>
      <c r="I2054">
        <v>0.19899143613834699</v>
      </c>
      <c r="J2054">
        <v>0.180130763226584</v>
      </c>
      <c r="K2054">
        <v>0.14246840655065601</v>
      </c>
      <c r="L2054">
        <v>1057.96925736206</v>
      </c>
      <c r="M2054">
        <v>20.209836458970599</v>
      </c>
      <c r="N2054">
        <v>53.300331490018003</v>
      </c>
      <c r="O2054">
        <v>51.844759985505704</v>
      </c>
      <c r="P2054">
        <v>-8.2703501074605196E-2</v>
      </c>
      <c r="Q2054">
        <v>0.15138170504128601</v>
      </c>
      <c r="R2054">
        <v>0.99693964968564197</v>
      </c>
      <c r="S2054" t="s">
        <v>7605</v>
      </c>
      <c r="T2054" t="s">
        <v>11100</v>
      </c>
      <c r="U2054" t="s">
        <v>11100</v>
      </c>
      <c r="V2054" t="s">
        <v>11100</v>
      </c>
      <c r="W2054" t="s">
        <v>13114</v>
      </c>
      <c r="X2054">
        <v>27</v>
      </c>
      <c r="Y2054" t="s">
        <v>18590</v>
      </c>
      <c r="Z2054" t="s">
        <v>24059</v>
      </c>
      <c r="AA2054">
        <v>0.59627720287455022</v>
      </c>
      <c r="AB2054" t="str">
        <f>HYPERLINK("Melting_Curves/meltCurve_P27694_RPA1.pdf", "Melting_Curves/meltCurve_P27694_RPA1.pdf")</f>
        <v>Melting_Curves/meltCurve_P27694_RPA1.pdf</v>
      </c>
    </row>
    <row r="2055" spans="1:28" x14ac:dyDescent="0.25">
      <c r="A2055" t="s">
        <v>2059</v>
      </c>
      <c r="B2055">
        <v>0.99299721793515405</v>
      </c>
      <c r="C2055">
        <v>0.99661982920007797</v>
      </c>
      <c r="D2055">
        <v>0.96202388604222699</v>
      </c>
      <c r="E2055">
        <v>0.91085384561201399</v>
      </c>
      <c r="F2055">
        <v>0.69935057852789695</v>
      </c>
      <c r="G2055">
        <v>0.367926304161171</v>
      </c>
      <c r="H2055">
        <v>0.33402148757484401</v>
      </c>
      <c r="I2055">
        <v>0.30107898126423899</v>
      </c>
      <c r="J2055">
        <v>0.29036169079115898</v>
      </c>
      <c r="K2055">
        <v>0.26409076350128802</v>
      </c>
      <c r="L2055">
        <v>1347.45259548494</v>
      </c>
      <c r="M2055">
        <v>26.649630398244099</v>
      </c>
      <c r="N2055">
        <v>52.188599067452202</v>
      </c>
      <c r="O2055">
        <v>50.279646082552503</v>
      </c>
      <c r="P2055">
        <v>-9.5123477111728194E-2</v>
      </c>
      <c r="Q2055">
        <v>0.282132667353373</v>
      </c>
      <c r="R2055">
        <v>0.99553951944220398</v>
      </c>
      <c r="S2055" t="s">
        <v>7606</v>
      </c>
      <c r="T2055" t="s">
        <v>11100</v>
      </c>
      <c r="U2055" t="s">
        <v>11100</v>
      </c>
      <c r="V2055" t="s">
        <v>11100</v>
      </c>
      <c r="W2055" t="s">
        <v>13115</v>
      </c>
      <c r="X2055">
        <v>20</v>
      </c>
      <c r="Y2055" t="s">
        <v>18591</v>
      </c>
      <c r="Z2055" t="s">
        <v>24060</v>
      </c>
      <c r="AA2055">
        <v>0.61224241692051007</v>
      </c>
      <c r="AB2055" t="str">
        <f>HYPERLINK("Melting_Curves/meltCurve_P27797_CALR.pdf", "Melting_Curves/meltCurve_P27797_CALR.pdf")</f>
        <v>Melting_Curves/meltCurve_P27797_CALR.pdf</v>
      </c>
    </row>
    <row r="2056" spans="1:28" x14ac:dyDescent="0.25">
      <c r="A2056" t="s">
        <v>2060</v>
      </c>
      <c r="B2056">
        <v>0.99299721793515405</v>
      </c>
      <c r="C2056">
        <v>1.1216789989123099</v>
      </c>
      <c r="D2056">
        <v>1.0791658531106201</v>
      </c>
      <c r="E2056">
        <v>0.99704337439772805</v>
      </c>
      <c r="F2056">
        <v>0.54548925971850504</v>
      </c>
      <c r="G2056">
        <v>0.41020351546758699</v>
      </c>
      <c r="H2056">
        <v>0.29390994522880898</v>
      </c>
      <c r="I2056">
        <v>0.224019273795455</v>
      </c>
      <c r="J2056">
        <v>0.18728393412888</v>
      </c>
      <c r="K2056">
        <v>0.15573614204637801</v>
      </c>
      <c r="L2056">
        <v>1277.6495131506799</v>
      </c>
      <c r="M2056">
        <v>25.326310096815799</v>
      </c>
      <c r="N2056">
        <v>51.547375591860003</v>
      </c>
      <c r="O2056">
        <v>50.136172551401899</v>
      </c>
      <c r="P2056">
        <v>-9.9927960511957403E-2</v>
      </c>
      <c r="Q2056">
        <v>0.20873756360668899</v>
      </c>
      <c r="R2056">
        <v>0.96733962557888797</v>
      </c>
      <c r="S2056" t="s">
        <v>7607</v>
      </c>
      <c r="T2056" t="s">
        <v>11100</v>
      </c>
      <c r="U2056" t="s">
        <v>11100</v>
      </c>
      <c r="V2056" t="s">
        <v>11100</v>
      </c>
      <c r="W2056" t="s">
        <v>13116</v>
      </c>
      <c r="X2056">
        <v>27</v>
      </c>
      <c r="Y2056" t="s">
        <v>18592</v>
      </c>
      <c r="Z2056" t="s">
        <v>24061</v>
      </c>
      <c r="AA2056">
        <v>0.5702036996814025</v>
      </c>
      <c r="AB2056" t="str">
        <f>HYPERLINK("Melting_Curves/meltCurve_P27824_CANX.pdf", "Melting_Curves/meltCurve_P27824_CANX.pdf")</f>
        <v>Melting_Curves/meltCurve_P27824_CANX.pdf</v>
      </c>
    </row>
    <row r="2057" spans="1:28" x14ac:dyDescent="0.25">
      <c r="A2057" t="s">
        <v>2061</v>
      </c>
      <c r="B2057">
        <v>0.99299721793515405</v>
      </c>
      <c r="C2057">
        <v>1.0513379736816899</v>
      </c>
      <c r="D2057">
        <v>1.02507871326212</v>
      </c>
      <c r="E2057">
        <v>0.93667060474410102</v>
      </c>
      <c r="F2057">
        <v>0.71326496485869795</v>
      </c>
      <c r="G2057">
        <v>0.41033348110489998</v>
      </c>
      <c r="H2057">
        <v>0.36549453575274998</v>
      </c>
      <c r="I2057">
        <v>0.32711206522811798</v>
      </c>
      <c r="J2057">
        <v>0.32314847945755798</v>
      </c>
      <c r="K2057">
        <v>0.30411859630892502</v>
      </c>
      <c r="L2057">
        <v>1475.24108722441</v>
      </c>
      <c r="M2057">
        <v>29.119672376607902</v>
      </c>
      <c r="N2057">
        <v>52.505042944974001</v>
      </c>
      <c r="O2057">
        <v>50.424202567380398</v>
      </c>
      <c r="P2057">
        <v>-9.8151604405654694E-2</v>
      </c>
      <c r="Q2057">
        <v>0.32015992251612402</v>
      </c>
      <c r="R2057">
        <v>0.99501120929709597</v>
      </c>
      <c r="S2057" t="s">
        <v>7608</v>
      </c>
      <c r="T2057" t="s">
        <v>11100</v>
      </c>
      <c r="U2057" t="s">
        <v>11100</v>
      </c>
      <c r="V2057" t="s">
        <v>11100</v>
      </c>
      <c r="W2057" t="s">
        <v>13117</v>
      </c>
      <c r="X2057">
        <v>9</v>
      </c>
      <c r="Y2057" t="s">
        <v>18593</v>
      </c>
      <c r="Z2057" t="s">
        <v>24062</v>
      </c>
      <c r="AA2057">
        <v>0.63421094146879209</v>
      </c>
      <c r="AB2057" t="str">
        <f>HYPERLINK("Melting_Curves/meltCurve_P28066_PSMA5.pdf", "Melting_Curves/meltCurve_P28066_PSMA5.pdf")</f>
        <v>Melting_Curves/meltCurve_P28066_PSMA5.pdf</v>
      </c>
    </row>
    <row r="2058" spans="1:28" x14ac:dyDescent="0.25">
      <c r="A2058" t="s">
        <v>2062</v>
      </c>
      <c r="B2058">
        <v>0.99299721793515405</v>
      </c>
      <c r="C2058">
        <v>0.92080179217227998</v>
      </c>
      <c r="D2058">
        <v>0.73391141940474602</v>
      </c>
      <c r="E2058">
        <v>0.67666453855753095</v>
      </c>
      <c r="F2058">
        <v>0.63109737743004102</v>
      </c>
      <c r="G2058">
        <v>0.30559345952134598</v>
      </c>
      <c r="H2058">
        <v>2.03092270067373</v>
      </c>
      <c r="I2058">
        <v>2.1082888214528102</v>
      </c>
      <c r="J2058">
        <v>2.7134867679573</v>
      </c>
      <c r="K2058">
        <v>2.5230897809058099</v>
      </c>
      <c r="L2058">
        <v>2166.7243066025499</v>
      </c>
      <c r="M2058">
        <v>38.969889653012999</v>
      </c>
      <c r="O2058">
        <v>55.454156760170498</v>
      </c>
      <c r="P2058">
        <v>8.7842786118266597E-2</v>
      </c>
      <c r="Q2058">
        <v>1.5</v>
      </c>
      <c r="R2058">
        <v>0.38819332362640602</v>
      </c>
      <c r="S2058" t="s">
        <v>7609</v>
      </c>
      <c r="T2058" t="s">
        <v>11100</v>
      </c>
      <c r="U2058" t="s">
        <v>11100</v>
      </c>
      <c r="V2058" t="s">
        <v>11100</v>
      </c>
      <c r="W2058" t="s">
        <v>13118</v>
      </c>
      <c r="X2058">
        <v>1</v>
      </c>
      <c r="Y2058" t="s">
        <v>18594</v>
      </c>
      <c r="Z2058" t="s">
        <v>24063</v>
      </c>
      <c r="AA2058">
        <v>1.188023205766747</v>
      </c>
      <c r="AB2058" t="str">
        <f>HYPERLINK("Melting_Curves/meltCurve_P28070_PSMB4.pdf", "Melting_Curves/meltCurve_P28070_PSMB4.pdf")</f>
        <v>Melting_Curves/meltCurve_P28070_PSMB4.pdf</v>
      </c>
    </row>
    <row r="2059" spans="1:28" x14ac:dyDescent="0.25">
      <c r="A2059" t="s">
        <v>2063</v>
      </c>
      <c r="B2059">
        <v>0.99299721793515405</v>
      </c>
      <c r="C2059">
        <v>0.94380357193526698</v>
      </c>
      <c r="D2059">
        <v>0.86513720004250205</v>
      </c>
      <c r="E2059">
        <v>0.79355361700226501</v>
      </c>
      <c r="F2059">
        <v>0.64207066851416905</v>
      </c>
      <c r="G2059">
        <v>0.38371451959561798</v>
      </c>
      <c r="H2059">
        <v>0.99724942942373596</v>
      </c>
      <c r="I2059">
        <v>1.05291801221735</v>
      </c>
      <c r="J2059">
        <v>1.3093935677689299</v>
      </c>
      <c r="K2059">
        <v>1.4320832671197301</v>
      </c>
      <c r="L2059">
        <v>3591.7299107891599</v>
      </c>
      <c r="M2059">
        <v>56.835242923117598</v>
      </c>
      <c r="O2059">
        <v>63.117376811951097</v>
      </c>
      <c r="P2059">
        <v>0.10106500090300299</v>
      </c>
      <c r="Q2059">
        <v>1.4489435894664</v>
      </c>
      <c r="R2059">
        <v>0.30474667733289901</v>
      </c>
      <c r="S2059" t="s">
        <v>7610</v>
      </c>
      <c r="T2059" t="s">
        <v>11100</v>
      </c>
      <c r="U2059" t="s">
        <v>11100</v>
      </c>
      <c r="V2059" t="s">
        <v>11100</v>
      </c>
      <c r="W2059" t="s">
        <v>13119</v>
      </c>
      <c r="X2059">
        <v>5</v>
      </c>
      <c r="Y2059" t="s">
        <v>18595</v>
      </c>
      <c r="Z2059" t="s">
        <v>24064</v>
      </c>
      <c r="AA2059">
        <v>1.0567232190353111</v>
      </c>
      <c r="AB2059" t="str">
        <f>HYPERLINK("Melting_Curves/meltCurve_P28072_PSMB6.pdf", "Melting_Curves/meltCurve_P28072_PSMB6.pdf")</f>
        <v>Melting_Curves/meltCurve_P28072_PSMB6.pdf</v>
      </c>
    </row>
    <row r="2060" spans="1:28" x14ac:dyDescent="0.25">
      <c r="A2060" t="s">
        <v>2064</v>
      </c>
      <c r="B2060">
        <v>0.99299721793515405</v>
      </c>
      <c r="C2060">
        <v>0.92635409976112204</v>
      </c>
      <c r="D2060">
        <v>1.0454392445816201</v>
      </c>
      <c r="E2060">
        <v>1.2009609469483999</v>
      </c>
      <c r="F2060">
        <v>1.1262152237935801</v>
      </c>
      <c r="G2060">
        <v>2.0489667986464402</v>
      </c>
      <c r="H2060">
        <v>1.4211584614943</v>
      </c>
      <c r="I2060">
        <v>2.0190605263161001</v>
      </c>
      <c r="J2060">
        <v>1.7067890188097199</v>
      </c>
      <c r="K2060">
        <v>2.28791820874899</v>
      </c>
      <c r="L2060">
        <v>12604.501501139999</v>
      </c>
      <c r="M2060">
        <v>250</v>
      </c>
      <c r="O2060">
        <v>50.4147798526418</v>
      </c>
      <c r="P2060">
        <v>0.61985791255801304</v>
      </c>
      <c r="Q2060">
        <v>1.5</v>
      </c>
      <c r="R2060">
        <v>0.42921983786781698</v>
      </c>
      <c r="S2060" t="s">
        <v>7611</v>
      </c>
      <c r="T2060" t="s">
        <v>11100</v>
      </c>
      <c r="U2060" t="s">
        <v>11100</v>
      </c>
      <c r="V2060" t="s">
        <v>11100</v>
      </c>
      <c r="W2060" t="s">
        <v>13120</v>
      </c>
      <c r="X2060">
        <v>3</v>
      </c>
      <c r="Y2060" t="s">
        <v>18596</v>
      </c>
      <c r="Z2060" t="s">
        <v>24065</v>
      </c>
      <c r="AA2060">
        <v>1.276322325182732</v>
      </c>
      <c r="AB2060" t="str">
        <f>HYPERLINK("Melting_Curves/meltCurve_P28074_PSMB5.pdf", "Melting_Curves/meltCurve_P28074_PSMB5.pdf")</f>
        <v>Melting_Curves/meltCurve_P28074_PSMB5.pdf</v>
      </c>
    </row>
    <row r="2061" spans="1:28" x14ac:dyDescent="0.25">
      <c r="A2061" t="s">
        <v>2065</v>
      </c>
      <c r="B2061">
        <v>0.99299721793515405</v>
      </c>
      <c r="C2061">
        <v>1.0686370981273401</v>
      </c>
      <c r="D2061">
        <v>1.0192521921559801</v>
      </c>
      <c r="E2061">
        <v>0.90391676615333705</v>
      </c>
      <c r="F2061">
        <v>0.47318856392143799</v>
      </c>
      <c r="G2061">
        <v>0.13822758491766801</v>
      </c>
      <c r="H2061">
        <v>0.13067230808654601</v>
      </c>
      <c r="I2061">
        <v>9.4582002168217397E-2</v>
      </c>
      <c r="J2061">
        <v>9.7250648814662596E-2</v>
      </c>
      <c r="K2061">
        <v>5.0362559056622097E-2</v>
      </c>
      <c r="L2061">
        <v>1660.1891592414499</v>
      </c>
      <c r="M2061">
        <v>33.402303486956299</v>
      </c>
      <c r="N2061">
        <v>49.988637772654101</v>
      </c>
      <c r="O2061">
        <v>49.525700121181998</v>
      </c>
      <c r="P2061">
        <v>-0.153954530390846</v>
      </c>
      <c r="Q2061">
        <v>8.6928423998708301E-2</v>
      </c>
      <c r="R2061">
        <v>0.99538748845427505</v>
      </c>
      <c r="S2061" t="s">
        <v>7612</v>
      </c>
      <c r="T2061" t="s">
        <v>11100</v>
      </c>
      <c r="U2061" t="s">
        <v>11100</v>
      </c>
      <c r="V2061" t="s">
        <v>11100</v>
      </c>
      <c r="W2061" t="s">
        <v>13121</v>
      </c>
      <c r="X2061">
        <v>5</v>
      </c>
      <c r="Y2061" t="s">
        <v>18597</v>
      </c>
      <c r="Z2061" t="s">
        <v>24066</v>
      </c>
      <c r="AA2061">
        <v>0.47804985119098031</v>
      </c>
      <c r="AB2061" t="str">
        <f>HYPERLINK("Melting_Curves/meltCurve_P28289_TMOD1.pdf", "Melting_Curves/meltCurve_P28289_TMOD1.pdf")</f>
        <v>Melting_Curves/meltCurve_P28289_TMOD1.pdf</v>
      </c>
    </row>
    <row r="2062" spans="1:28" x14ac:dyDescent="0.25">
      <c r="A2062" t="s">
        <v>2066</v>
      </c>
      <c r="B2062">
        <v>0.99299721793515405</v>
      </c>
      <c r="C2062">
        <v>0.92534128518759595</v>
      </c>
      <c r="D2062">
        <v>0.86085049094352195</v>
      </c>
      <c r="E2062">
        <v>0.78163650334648405</v>
      </c>
      <c r="F2062">
        <v>0.64899946122044805</v>
      </c>
      <c r="G2062">
        <v>0.74858916531966901</v>
      </c>
      <c r="H2062">
        <v>0.55810925178164705</v>
      </c>
      <c r="I2062">
        <v>0.25162571137159301</v>
      </c>
      <c r="J2062">
        <v>0.26603369573775598</v>
      </c>
      <c r="K2062">
        <v>0.16513598115594499</v>
      </c>
      <c r="L2062">
        <v>438.62074302599098</v>
      </c>
      <c r="M2062">
        <v>7.7950263085885796</v>
      </c>
      <c r="N2062">
        <v>56.269308865745799</v>
      </c>
      <c r="O2062">
        <v>52.926227574748999</v>
      </c>
      <c r="P2062">
        <v>-3.6866117675485498E-2</v>
      </c>
      <c r="Q2062">
        <v>0</v>
      </c>
      <c r="R2062">
        <v>0.92419489554698298</v>
      </c>
      <c r="S2062" t="s">
        <v>7613</v>
      </c>
      <c r="T2062" t="s">
        <v>11100</v>
      </c>
      <c r="U2062" t="s">
        <v>11100</v>
      </c>
      <c r="V2062" t="s">
        <v>11100</v>
      </c>
      <c r="W2062" t="s">
        <v>13122</v>
      </c>
      <c r="X2062">
        <v>12</v>
      </c>
      <c r="Y2062" t="s">
        <v>18598</v>
      </c>
      <c r="Z2062" t="s">
        <v>24067</v>
      </c>
      <c r="AA2062">
        <v>0.63698568112792464</v>
      </c>
      <c r="AB2062" t="str">
        <f>HYPERLINK("Melting_Curves/meltCurve_P28331_4_NDUFS1.pdf", "Melting_Curves/meltCurve_P28331_4_NDUFS1.pdf")</f>
        <v>Melting_Curves/meltCurve_P28331_4_NDUFS1.pdf</v>
      </c>
    </row>
    <row r="2063" spans="1:28" x14ac:dyDescent="0.25">
      <c r="A2063" t="s">
        <v>2067</v>
      </c>
      <c r="B2063">
        <v>0.99299721793515405</v>
      </c>
      <c r="C2063">
        <v>0.93287251684564299</v>
      </c>
      <c r="D2063">
        <v>0.94682691885741899</v>
      </c>
      <c r="E2063">
        <v>0.858979078572359</v>
      </c>
      <c r="F2063">
        <v>0.74546301454276998</v>
      </c>
      <c r="G2063">
        <v>0.61108643683277797</v>
      </c>
      <c r="H2063">
        <v>0.503246990206489</v>
      </c>
      <c r="I2063">
        <v>0.36782528892399102</v>
      </c>
      <c r="J2063">
        <v>0.16960062412359</v>
      </c>
      <c r="K2063">
        <v>0.140631987232432</v>
      </c>
      <c r="L2063">
        <v>541.956375561502</v>
      </c>
      <c r="M2063">
        <v>9.6325043285477108</v>
      </c>
      <c r="N2063">
        <v>56.263277685889797</v>
      </c>
      <c r="O2063">
        <v>53.998778871478997</v>
      </c>
      <c r="P2063">
        <v>-4.4620958866924201E-2</v>
      </c>
      <c r="Q2063">
        <v>0</v>
      </c>
      <c r="R2063">
        <v>0.98549980508759205</v>
      </c>
      <c r="S2063" t="s">
        <v>7614</v>
      </c>
      <c r="T2063" t="s">
        <v>11100</v>
      </c>
      <c r="U2063" t="s">
        <v>11100</v>
      </c>
      <c r="V2063" t="s">
        <v>11100</v>
      </c>
      <c r="W2063" t="s">
        <v>13123</v>
      </c>
      <c r="X2063">
        <v>14</v>
      </c>
      <c r="Y2063" t="s">
        <v>18599</v>
      </c>
      <c r="Z2063" t="s">
        <v>24068</v>
      </c>
      <c r="AA2063">
        <v>0.64526974337769716</v>
      </c>
      <c r="AB2063" t="str">
        <f>HYPERLINK("Melting_Curves/meltCurve_P28482_MAPK1.pdf", "Melting_Curves/meltCurve_P28482_MAPK1.pdf")</f>
        <v>Melting_Curves/meltCurve_P28482_MAPK1.pdf</v>
      </c>
    </row>
    <row r="2064" spans="1:28" x14ac:dyDescent="0.25">
      <c r="A2064" t="s">
        <v>2068</v>
      </c>
      <c r="B2064">
        <v>0.99299721793515405</v>
      </c>
      <c r="C2064">
        <v>0.92752214213203199</v>
      </c>
      <c r="D2064">
        <v>0.91677952528685702</v>
      </c>
      <c r="E2064">
        <v>0.76931894724903105</v>
      </c>
      <c r="F2064">
        <v>0.55448766980028796</v>
      </c>
      <c r="G2064">
        <v>0.20095937371634701</v>
      </c>
      <c r="H2064">
        <v>0.18272288398933501</v>
      </c>
      <c r="I2064">
        <v>0.17523466897192799</v>
      </c>
      <c r="J2064">
        <v>0.17931665274290101</v>
      </c>
      <c r="K2064">
        <v>0.16787000064791299</v>
      </c>
      <c r="L2064">
        <v>962.34479554565905</v>
      </c>
      <c r="M2064">
        <v>19.576703977100301</v>
      </c>
      <c r="N2064">
        <v>50.053615532282599</v>
      </c>
      <c r="O2064">
        <v>48.653348810673798</v>
      </c>
      <c r="P2064">
        <v>-8.5727674656164807E-2</v>
      </c>
      <c r="Q2064">
        <v>0.14780553330215199</v>
      </c>
      <c r="R2064">
        <v>0.98549454113571899</v>
      </c>
      <c r="S2064" t="s">
        <v>7615</v>
      </c>
      <c r="T2064" t="s">
        <v>11100</v>
      </c>
      <c r="U2064" t="s">
        <v>11100</v>
      </c>
      <c r="V2064" t="s">
        <v>11100</v>
      </c>
      <c r="W2064" t="s">
        <v>13124</v>
      </c>
      <c r="X2064">
        <v>5</v>
      </c>
      <c r="Y2064" t="s">
        <v>18600</v>
      </c>
      <c r="Z2064" t="s">
        <v>24069</v>
      </c>
      <c r="AA2064">
        <v>0.50483325557304737</v>
      </c>
      <c r="AB2064" t="str">
        <f>HYPERLINK("Melting_Curves/meltCurve_P28702_RXRB.pdf", "Melting_Curves/meltCurve_P28702_RXRB.pdf")</f>
        <v>Melting_Curves/meltCurve_P28702_RXRB.pdf</v>
      </c>
    </row>
    <row r="2065" spans="1:28" x14ac:dyDescent="0.25">
      <c r="A2065" t="s">
        <v>2069</v>
      </c>
      <c r="B2065">
        <v>0.99299721793515405</v>
      </c>
      <c r="C2065">
        <v>0.86567801868316097</v>
      </c>
      <c r="D2065">
        <v>0.79583724297418801</v>
      </c>
      <c r="E2065">
        <v>0.78522582761202098</v>
      </c>
      <c r="F2065">
        <v>0.72359870211404498</v>
      </c>
      <c r="G2065">
        <v>0.47973269977755401</v>
      </c>
      <c r="H2065">
        <v>0.29321594412173901</v>
      </c>
      <c r="I2065">
        <v>0.20380320575505501</v>
      </c>
      <c r="J2065">
        <v>0.144283838770739</v>
      </c>
      <c r="K2065">
        <v>0.122146749534345</v>
      </c>
      <c r="L2065">
        <v>485.70529448041901</v>
      </c>
      <c r="M2065">
        <v>9.1750731076378607</v>
      </c>
      <c r="N2065">
        <v>52.937484940920903</v>
      </c>
      <c r="O2065">
        <v>50.604753740540701</v>
      </c>
      <c r="P2065">
        <v>-4.5357743427585501E-2</v>
      </c>
      <c r="Q2065">
        <v>0</v>
      </c>
      <c r="R2065">
        <v>0.96919976781176198</v>
      </c>
      <c r="S2065" t="s">
        <v>7616</v>
      </c>
      <c r="T2065" t="s">
        <v>11100</v>
      </c>
      <c r="U2065" t="s">
        <v>11100</v>
      </c>
      <c r="V2065" t="s">
        <v>11100</v>
      </c>
      <c r="W2065" t="s">
        <v>13125</v>
      </c>
      <c r="X2065">
        <v>6</v>
      </c>
      <c r="Y2065" t="s">
        <v>18601</v>
      </c>
      <c r="Z2065" t="s">
        <v>24070</v>
      </c>
      <c r="AA2065">
        <v>0.5540614882495436</v>
      </c>
      <c r="AB2065" t="str">
        <f>HYPERLINK("Melting_Curves/meltCurve_P28715_ERCC5.pdf", "Melting_Curves/meltCurve_P28715_ERCC5.pdf")</f>
        <v>Melting_Curves/meltCurve_P28715_ERCC5.pdf</v>
      </c>
    </row>
    <row r="2066" spans="1:28" x14ac:dyDescent="0.25">
      <c r="A2066" t="s">
        <v>2070</v>
      </c>
      <c r="B2066">
        <v>0.99299721793515405</v>
      </c>
      <c r="C2066">
        <v>1.02461727189445</v>
      </c>
      <c r="D2066">
        <v>0.97778594363789295</v>
      </c>
      <c r="E2066">
        <v>0.83391771434138395</v>
      </c>
      <c r="F2066">
        <v>0.73106364922080103</v>
      </c>
      <c r="G2066">
        <v>0.61127488013261699</v>
      </c>
      <c r="H2066">
        <v>0.56965278765603</v>
      </c>
      <c r="I2066">
        <v>0.59673889034473404</v>
      </c>
      <c r="J2066">
        <v>0.67987760003290099</v>
      </c>
      <c r="K2066">
        <v>0.64177623536998996</v>
      </c>
      <c r="L2066">
        <v>1161.94331084792</v>
      </c>
      <c r="M2066">
        <v>24.4917879103959</v>
      </c>
      <c r="O2066">
        <v>47.129269881149199</v>
      </c>
      <c r="P2066">
        <v>-4.9520870924798198E-2</v>
      </c>
      <c r="Q2066">
        <v>0.61883575854897599</v>
      </c>
      <c r="R2066">
        <v>0.96203759905881803</v>
      </c>
      <c r="S2066" t="s">
        <v>7617</v>
      </c>
      <c r="T2066" t="s">
        <v>11100</v>
      </c>
      <c r="U2066" t="s">
        <v>11100</v>
      </c>
      <c r="V2066" t="s">
        <v>11100</v>
      </c>
      <c r="W2066" t="s">
        <v>13126</v>
      </c>
      <c r="X2066">
        <v>8</v>
      </c>
      <c r="Y2066" t="s">
        <v>18602</v>
      </c>
      <c r="Z2066" t="s">
        <v>24071</v>
      </c>
      <c r="AA2066">
        <v>0.75486486030928412</v>
      </c>
      <c r="AB2066" t="str">
        <f>HYPERLINK("Melting_Curves/meltCurve_P28799_GRN.pdf", "Melting_Curves/meltCurve_P28799_GRN.pdf")</f>
        <v>Melting_Curves/meltCurve_P28799_GRN.pdf</v>
      </c>
    </row>
    <row r="2067" spans="1:28" x14ac:dyDescent="0.25">
      <c r="A2067" t="s">
        <v>2071</v>
      </c>
      <c r="B2067">
        <v>0.99299721793515405</v>
      </c>
      <c r="C2067">
        <v>1.02815000445334</v>
      </c>
      <c r="D2067">
        <v>1.0171797690018001</v>
      </c>
      <c r="E2067">
        <v>0.97378630904835495</v>
      </c>
      <c r="F2067">
        <v>0.74357625033722796</v>
      </c>
      <c r="G2067">
        <v>0.72231909514204296</v>
      </c>
      <c r="H2067">
        <v>0.36734695909874998</v>
      </c>
      <c r="I2067">
        <v>0.34924894554249197</v>
      </c>
      <c r="J2067">
        <v>0.30497707192322698</v>
      </c>
      <c r="K2067">
        <v>0.24348710124616699</v>
      </c>
      <c r="L2067">
        <v>864.30006163952396</v>
      </c>
      <c r="M2067">
        <v>15.9847684396919</v>
      </c>
      <c r="N2067">
        <v>56.141506690665402</v>
      </c>
      <c r="O2067">
        <v>53.245211224511003</v>
      </c>
      <c r="P2067">
        <v>-5.8338166617501797E-2</v>
      </c>
      <c r="Q2067">
        <v>0.22276422439454299</v>
      </c>
      <c r="R2067">
        <v>0.97388179642186701</v>
      </c>
      <c r="S2067" t="s">
        <v>7618</v>
      </c>
      <c r="T2067" t="s">
        <v>11100</v>
      </c>
      <c r="U2067" t="s">
        <v>11100</v>
      </c>
      <c r="V2067" t="s">
        <v>11100</v>
      </c>
      <c r="W2067" t="s">
        <v>13127</v>
      </c>
      <c r="X2067">
        <v>21</v>
      </c>
      <c r="Y2067" t="s">
        <v>18603</v>
      </c>
      <c r="Z2067" t="s">
        <v>24072</v>
      </c>
      <c r="AA2067">
        <v>0.67690729662730764</v>
      </c>
      <c r="AB2067" t="str">
        <f>HYPERLINK("Melting_Curves/meltCurve_P28838_2_LAP3.pdf", "Melting_Curves/meltCurve_P28838_2_LAP3.pdf")</f>
        <v>Melting_Curves/meltCurve_P28838_2_LAP3.pdf</v>
      </c>
    </row>
    <row r="2068" spans="1:28" x14ac:dyDescent="0.25">
      <c r="A2068" t="s">
        <v>2072</v>
      </c>
      <c r="B2068">
        <v>0.99299721793515405</v>
      </c>
      <c r="C2068">
        <v>1.0574970452093899</v>
      </c>
      <c r="D2068">
        <v>0.877779141878956</v>
      </c>
      <c r="E2068">
        <v>0.887533465964497</v>
      </c>
      <c r="F2068">
        <v>0.75185807126607296</v>
      </c>
      <c r="G2068">
        <v>0.43742853445356999</v>
      </c>
      <c r="H2068">
        <v>0.30821261346108397</v>
      </c>
      <c r="I2068">
        <v>0.25177474286158402</v>
      </c>
      <c r="J2068">
        <v>0.204382299313591</v>
      </c>
      <c r="K2068">
        <v>0.124721433845759</v>
      </c>
      <c r="L2068">
        <v>779.53285096044306</v>
      </c>
      <c r="M2068">
        <v>14.860153914597401</v>
      </c>
      <c r="N2068">
        <v>53.490141352212802</v>
      </c>
      <c r="O2068">
        <v>51.535425397441898</v>
      </c>
      <c r="P2068">
        <v>-6.3107739391197196E-2</v>
      </c>
      <c r="Q2068">
        <v>0.124654105731531</v>
      </c>
      <c r="R2068">
        <v>0.98321501280740398</v>
      </c>
      <c r="S2068" t="s">
        <v>7619</v>
      </c>
      <c r="T2068" t="s">
        <v>11100</v>
      </c>
      <c r="U2068" t="s">
        <v>11100</v>
      </c>
      <c r="V2068" t="s">
        <v>11100</v>
      </c>
      <c r="W2068" t="s">
        <v>13128</v>
      </c>
      <c r="X2068">
        <v>7</v>
      </c>
      <c r="Y2068" t="s">
        <v>18604</v>
      </c>
      <c r="Z2068" t="s">
        <v>24073</v>
      </c>
      <c r="AA2068">
        <v>0.59212045472293595</v>
      </c>
      <c r="AB2068" t="str">
        <f>HYPERLINK("Melting_Curves/meltCurve_P29083_GTF2E1.pdf", "Melting_Curves/meltCurve_P29083_GTF2E1.pdf")</f>
        <v>Melting_Curves/meltCurve_P29083_GTF2E1.pdf</v>
      </c>
    </row>
    <row r="2069" spans="1:28" x14ac:dyDescent="0.25">
      <c r="A2069" t="s">
        <v>2073</v>
      </c>
      <c r="B2069">
        <v>0.99299721793515405</v>
      </c>
      <c r="C2069">
        <v>0.90256129920123696</v>
      </c>
      <c r="D2069">
        <v>0.99977285336354504</v>
      </c>
      <c r="E2069">
        <v>0.83114930179837698</v>
      </c>
      <c r="F2069">
        <v>0.64733706007561898</v>
      </c>
      <c r="G2069">
        <v>0.22902137579510001</v>
      </c>
      <c r="H2069">
        <v>0.16363073883517801</v>
      </c>
      <c r="I2069">
        <v>0.14414124644048401</v>
      </c>
      <c r="J2069">
        <v>0.100858665896111</v>
      </c>
      <c r="K2069">
        <v>7.2559795813475797E-2</v>
      </c>
      <c r="L2069">
        <v>1109.2287798372799</v>
      </c>
      <c r="M2069">
        <v>21.894025771180399</v>
      </c>
      <c r="N2069">
        <v>51.117312630450897</v>
      </c>
      <c r="O2069">
        <v>50.2465546731854</v>
      </c>
      <c r="P2069">
        <v>-9.9314508493739503E-2</v>
      </c>
      <c r="Q2069">
        <v>8.8317826315825895E-2</v>
      </c>
      <c r="R2069">
        <v>0.98587617703468</v>
      </c>
      <c r="S2069" t="s">
        <v>7620</v>
      </c>
      <c r="T2069" t="s">
        <v>11100</v>
      </c>
      <c r="U2069" t="s">
        <v>11100</v>
      </c>
      <c r="V2069" t="s">
        <v>11100</v>
      </c>
      <c r="W2069" t="s">
        <v>13129</v>
      </c>
      <c r="X2069">
        <v>5</v>
      </c>
      <c r="Y2069" t="s">
        <v>18605</v>
      </c>
      <c r="Z2069" t="s">
        <v>24074</v>
      </c>
      <c r="AA2069">
        <v>0.51377140272772115</v>
      </c>
      <c r="AB2069" t="str">
        <f>HYPERLINK("Melting_Curves/meltCurve_P29084_GTF2E2.pdf", "Melting_Curves/meltCurve_P29084_GTF2E2.pdf")</f>
        <v>Melting_Curves/meltCurve_P29084_GTF2E2.pdf</v>
      </c>
    </row>
    <row r="2070" spans="1:28" x14ac:dyDescent="0.25">
      <c r="A2070" t="s">
        <v>2074</v>
      </c>
      <c r="B2070">
        <v>0.99299721793515405</v>
      </c>
      <c r="C2070">
        <v>0.92031356216582705</v>
      </c>
      <c r="D2070">
        <v>0.89336976022360404</v>
      </c>
      <c r="E2070">
        <v>0.91435410706134601</v>
      </c>
      <c r="F2070">
        <v>0.79024638688249904</v>
      </c>
      <c r="G2070">
        <v>0.57635763881623303</v>
      </c>
      <c r="H2070">
        <v>0.63285345276837102</v>
      </c>
      <c r="I2070">
        <v>0.73080581947422596</v>
      </c>
      <c r="J2070">
        <v>0.84730212315269005</v>
      </c>
      <c r="K2070">
        <v>0.72489910853302697</v>
      </c>
      <c r="L2070">
        <v>821.54703907526596</v>
      </c>
      <c r="M2070">
        <v>17.803723585126999</v>
      </c>
      <c r="O2070">
        <v>45.574317618244699</v>
      </c>
      <c r="P2070">
        <v>-2.8596171684756099E-2</v>
      </c>
      <c r="Q2070">
        <v>0.70721095296326397</v>
      </c>
      <c r="R2070">
        <v>0.623271864887048</v>
      </c>
      <c r="S2070" t="s">
        <v>7621</v>
      </c>
      <c r="T2070" t="s">
        <v>11100</v>
      </c>
      <c r="U2070" t="s">
        <v>11100</v>
      </c>
      <c r="V2070" t="s">
        <v>11100</v>
      </c>
      <c r="W2070" t="s">
        <v>13130</v>
      </c>
      <c r="X2070">
        <v>16</v>
      </c>
      <c r="Y2070" t="s">
        <v>16942</v>
      </c>
      <c r="Z2070" t="s">
        <v>24075</v>
      </c>
      <c r="AA2070">
        <v>0.80128947218082591</v>
      </c>
      <c r="AB2070" t="str">
        <f>HYPERLINK("Melting_Curves/meltCurve_P29218_IMPA1.pdf", "Melting_Curves/meltCurve_P29218_IMPA1.pdf")</f>
        <v>Melting_Curves/meltCurve_P29218_IMPA1.pdf</v>
      </c>
    </row>
    <row r="2071" spans="1:28" x14ac:dyDescent="0.25">
      <c r="A2071" t="s">
        <v>2075</v>
      </c>
      <c r="B2071">
        <v>0.99299721793515405</v>
      </c>
      <c r="C2071">
        <v>0.92999346477938805</v>
      </c>
      <c r="D2071">
        <v>0.948945921726155</v>
      </c>
      <c r="E2071">
        <v>0.78020628714186302</v>
      </c>
      <c r="F2071">
        <v>0.69811931617545098</v>
      </c>
      <c r="G2071">
        <v>0.26618048217665002</v>
      </c>
      <c r="H2071">
        <v>0.239310439103046</v>
      </c>
      <c r="I2071">
        <v>0.242219272404081</v>
      </c>
      <c r="J2071">
        <v>0.248837373248638</v>
      </c>
      <c r="K2071">
        <v>0.18710632522821399</v>
      </c>
      <c r="L2071">
        <v>960.15002066756301</v>
      </c>
      <c r="M2071">
        <v>19.1708950594799</v>
      </c>
      <c r="N2071">
        <v>51.399449568480499</v>
      </c>
      <c r="O2071">
        <v>49.548314250210296</v>
      </c>
      <c r="P2071">
        <v>-7.7974554004389504E-2</v>
      </c>
      <c r="Q2071">
        <v>0.193911411639306</v>
      </c>
      <c r="R2071">
        <v>0.96904078097735202</v>
      </c>
      <c r="S2071" t="s">
        <v>7622</v>
      </c>
      <c r="T2071" t="s">
        <v>11100</v>
      </c>
      <c r="U2071" t="s">
        <v>11100</v>
      </c>
      <c r="V2071" t="s">
        <v>11100</v>
      </c>
      <c r="W2071" t="s">
        <v>13131</v>
      </c>
      <c r="X2071">
        <v>3</v>
      </c>
      <c r="Y2071" t="s">
        <v>18606</v>
      </c>
      <c r="Z2071" t="s">
        <v>24076</v>
      </c>
      <c r="AA2071">
        <v>0.55688291430637771</v>
      </c>
      <c r="AB2071" t="str">
        <f>HYPERLINK("Melting_Curves/meltCurve_P29317_EPHA2.pdf", "Melting_Curves/meltCurve_P29317_EPHA2.pdf")</f>
        <v>Melting_Curves/meltCurve_P29317_EPHA2.pdf</v>
      </c>
    </row>
    <row r="2072" spans="1:28" x14ac:dyDescent="0.25">
      <c r="A2072" t="s">
        <v>2076</v>
      </c>
      <c r="B2072">
        <v>0.99299721793515405</v>
      </c>
      <c r="C2072">
        <v>0.97536548568162196</v>
      </c>
      <c r="D2072">
        <v>0.91500948933397597</v>
      </c>
      <c r="E2072">
        <v>0.88334668909068303</v>
      </c>
      <c r="F2072">
        <v>0.69865183546589804</v>
      </c>
      <c r="G2072">
        <v>0.52284267779898097</v>
      </c>
      <c r="H2072">
        <v>0.37841409496321399</v>
      </c>
      <c r="I2072">
        <v>0.32184438077377803</v>
      </c>
      <c r="J2072">
        <v>0.150076110227746</v>
      </c>
      <c r="K2072">
        <v>9.8516945682596502E-2</v>
      </c>
      <c r="L2072">
        <v>558.66304056068395</v>
      </c>
      <c r="M2072">
        <v>10.227811442567001</v>
      </c>
      <c r="N2072">
        <v>54.621952623426303</v>
      </c>
      <c r="O2072">
        <v>52.657390394624699</v>
      </c>
      <c r="P2072">
        <v>-4.8579979254173303E-2</v>
      </c>
      <c r="Q2072">
        <v>0</v>
      </c>
      <c r="R2072">
        <v>0.99216175807930596</v>
      </c>
      <c r="S2072" t="s">
        <v>7623</v>
      </c>
      <c r="T2072" t="s">
        <v>11100</v>
      </c>
      <c r="U2072" t="s">
        <v>11100</v>
      </c>
      <c r="V2072" t="s">
        <v>11100</v>
      </c>
      <c r="W2072" t="s">
        <v>13132</v>
      </c>
      <c r="X2072">
        <v>15</v>
      </c>
      <c r="Y2072" t="s">
        <v>18607</v>
      </c>
      <c r="Z2072" t="s">
        <v>24077</v>
      </c>
      <c r="AA2072">
        <v>0.60197370623296176</v>
      </c>
      <c r="AB2072" t="str">
        <f>HYPERLINK("Melting_Curves/meltCurve_P29353_7_SHC1.pdf", "Melting_Curves/meltCurve_P29353_7_SHC1.pdf")</f>
        <v>Melting_Curves/meltCurve_P29353_7_SHC1.pdf</v>
      </c>
    </row>
    <row r="2073" spans="1:28" x14ac:dyDescent="0.25">
      <c r="A2073" t="s">
        <v>2077</v>
      </c>
      <c r="B2073">
        <v>0.99299721793515405</v>
      </c>
      <c r="C2073">
        <v>1.0435344511328</v>
      </c>
      <c r="D2073">
        <v>0.89486269352296199</v>
      </c>
      <c r="E2073">
        <v>0.92286217698712303</v>
      </c>
      <c r="F2073">
        <v>0.85895396265608603</v>
      </c>
      <c r="G2073">
        <v>0.40663170945466998</v>
      </c>
      <c r="H2073">
        <v>0.19206263329531401</v>
      </c>
      <c r="I2073">
        <v>0.24249168947133501</v>
      </c>
      <c r="J2073">
        <v>0.213267835790172</v>
      </c>
      <c r="K2073">
        <v>0.158328590516193</v>
      </c>
      <c r="L2073">
        <v>1886.1333527135901</v>
      </c>
      <c r="M2073">
        <v>36.094928677425898</v>
      </c>
      <c r="N2073">
        <v>52.971908045583199</v>
      </c>
      <c r="O2073">
        <v>52.095184960489</v>
      </c>
      <c r="P2073">
        <v>-0.139739282155386</v>
      </c>
      <c r="Q2073">
        <v>0.19326937782235601</v>
      </c>
      <c r="R2073">
        <v>0.98278264332758003</v>
      </c>
      <c r="S2073" t="s">
        <v>7624</v>
      </c>
      <c r="T2073" t="s">
        <v>11100</v>
      </c>
      <c r="U2073" t="s">
        <v>11100</v>
      </c>
      <c r="V2073" t="s">
        <v>11100</v>
      </c>
      <c r="W2073" t="s">
        <v>13133</v>
      </c>
      <c r="X2073">
        <v>1</v>
      </c>
      <c r="Y2073" t="s">
        <v>18608</v>
      </c>
      <c r="Z2073" t="s">
        <v>24078</v>
      </c>
      <c r="AA2073">
        <v>0.60704892713546632</v>
      </c>
      <c r="AB2073" t="str">
        <f>HYPERLINK("Melting_Curves/meltCurve_P29373_CRABP2.pdf", "Melting_Curves/meltCurve_P29373_CRABP2.pdf")</f>
        <v>Melting_Curves/meltCurve_P29373_CRABP2.pdf</v>
      </c>
    </row>
    <row r="2074" spans="1:28" x14ac:dyDescent="0.25">
      <c r="A2074" t="s">
        <v>2078</v>
      </c>
      <c r="B2074">
        <v>0.99299721793515405</v>
      </c>
      <c r="C2074">
        <v>0.94657157220911603</v>
      </c>
      <c r="D2074">
        <v>0.96985011724120895</v>
      </c>
      <c r="E2074">
        <v>0.72754951995168704</v>
      </c>
      <c r="F2074">
        <v>0.749250094068873</v>
      </c>
      <c r="G2074">
        <v>0.66398827265076099</v>
      </c>
      <c r="H2074">
        <v>0.72624436077062104</v>
      </c>
      <c r="I2074">
        <v>0.89760176690133198</v>
      </c>
      <c r="J2074">
        <v>1.2464887367873201</v>
      </c>
      <c r="K2074">
        <v>1.1128036279593101</v>
      </c>
      <c r="L2074">
        <v>5606.9435999276302</v>
      </c>
      <c r="M2074">
        <v>89.4769136795056</v>
      </c>
      <c r="O2074">
        <v>62.632287159847301</v>
      </c>
      <c r="P2074">
        <v>6.4492630511892801E-2</v>
      </c>
      <c r="Q2074">
        <v>1.1805749020318701</v>
      </c>
      <c r="R2074">
        <v>-0.11058707271691399</v>
      </c>
      <c r="S2074" t="s">
        <v>7625</v>
      </c>
      <c r="T2074" t="s">
        <v>11100</v>
      </c>
      <c r="U2074" t="s">
        <v>11100</v>
      </c>
      <c r="V2074" t="s">
        <v>11100</v>
      </c>
      <c r="W2074" t="s">
        <v>13134</v>
      </c>
      <c r="X2074">
        <v>27</v>
      </c>
      <c r="Y2074" t="s">
        <v>18609</v>
      </c>
      <c r="Z2074" t="s">
        <v>24079</v>
      </c>
      <c r="AA2074">
        <v>1.0259614311718559</v>
      </c>
      <c r="AB2074" t="str">
        <f>HYPERLINK("Melting_Curves/meltCurve_P29401_TKT.pdf", "Melting_Curves/meltCurve_P29401_TKT.pdf")</f>
        <v>Melting_Curves/meltCurve_P29401_TKT.pdf</v>
      </c>
    </row>
    <row r="2075" spans="1:28" x14ac:dyDescent="0.25">
      <c r="A2075" t="s">
        <v>2079</v>
      </c>
      <c r="B2075">
        <v>0.99299721793515405</v>
      </c>
      <c r="C2075">
        <v>0.89798497342551198</v>
      </c>
      <c r="D2075">
        <v>0.90350482604465598</v>
      </c>
      <c r="E2075">
        <v>0.80029180126701105</v>
      </c>
      <c r="F2075">
        <v>0.64296924785949705</v>
      </c>
      <c r="G2075">
        <v>0.32366951724836401</v>
      </c>
      <c r="H2075">
        <v>0.24190005296955999</v>
      </c>
      <c r="I2075">
        <v>0.20686026971705601</v>
      </c>
      <c r="J2075">
        <v>0.188450639440818</v>
      </c>
      <c r="K2075">
        <v>0.170310599465615</v>
      </c>
      <c r="L2075">
        <v>740.75733642225498</v>
      </c>
      <c r="M2075">
        <v>14.7124760026621</v>
      </c>
      <c r="N2075">
        <v>51.489610535301303</v>
      </c>
      <c r="O2075">
        <v>49.446175509985402</v>
      </c>
      <c r="P2075">
        <v>-6.4048080715853897E-2</v>
      </c>
      <c r="Q2075">
        <v>0.13907410287913799</v>
      </c>
      <c r="R2075">
        <v>0.98467692665196604</v>
      </c>
      <c r="S2075" t="s">
        <v>7626</v>
      </c>
      <c r="T2075" t="s">
        <v>11100</v>
      </c>
      <c r="U2075" t="s">
        <v>11100</v>
      </c>
      <c r="V2075" t="s">
        <v>11100</v>
      </c>
      <c r="W2075" t="s">
        <v>13135</v>
      </c>
      <c r="X2075">
        <v>8</v>
      </c>
      <c r="Y2075" t="s">
        <v>18610</v>
      </c>
      <c r="Z2075" t="s">
        <v>24080</v>
      </c>
      <c r="AA2075">
        <v>0.54042229081755189</v>
      </c>
      <c r="AB2075" t="str">
        <f>HYPERLINK("Melting_Curves/meltCurve_P29590_PML.pdf", "Melting_Curves/meltCurve_P29590_PML.pdf")</f>
        <v>Melting_Curves/meltCurve_P29590_PML.pdf</v>
      </c>
    </row>
    <row r="2076" spans="1:28" x14ac:dyDescent="0.25">
      <c r="A2076" t="s">
        <v>2080</v>
      </c>
      <c r="B2076">
        <v>0.99299721793515405</v>
      </c>
      <c r="C2076">
        <v>1.30880913523947</v>
      </c>
      <c r="D2076">
        <v>1.7309497209472999</v>
      </c>
      <c r="E2076">
        <v>1.13780905616809</v>
      </c>
      <c r="F2076">
        <v>1.0953770205653199</v>
      </c>
      <c r="G2076">
        <v>1.14620025124164</v>
      </c>
      <c r="H2076">
        <v>0.97046190866686399</v>
      </c>
      <c r="I2076">
        <v>1.0407829483761599</v>
      </c>
      <c r="J2076">
        <v>1.2579679824413099</v>
      </c>
      <c r="K2076">
        <v>0.88010237983192297</v>
      </c>
      <c r="L2076">
        <v>1.0000000000000001E-5</v>
      </c>
      <c r="M2076">
        <v>1.0000000000000001E-5</v>
      </c>
      <c r="Q2076">
        <v>1.3122899888683901</v>
      </c>
      <c r="R2076">
        <v>-1.0045516862788901E-8</v>
      </c>
      <c r="S2076" t="s">
        <v>7627</v>
      </c>
      <c r="T2076" t="s">
        <v>11100</v>
      </c>
      <c r="U2076" t="s">
        <v>11100</v>
      </c>
      <c r="V2076" t="s">
        <v>11100</v>
      </c>
      <c r="W2076" t="s">
        <v>13136</v>
      </c>
      <c r="X2076">
        <v>9</v>
      </c>
      <c r="Y2076" t="s">
        <v>18611</v>
      </c>
      <c r="Z2076" t="s">
        <v>24081</v>
      </c>
      <c r="AA2076">
        <v>1.156145759706676</v>
      </c>
      <c r="AB2076" t="str">
        <f>HYPERLINK("Melting_Curves/meltCurve_P29966_MARCKS.pdf", "Melting_Curves/meltCurve_P29966_MARCKS.pdf")</f>
        <v>Melting_Curves/meltCurve_P29966_MARCKS.pdf</v>
      </c>
    </row>
    <row r="2077" spans="1:28" x14ac:dyDescent="0.25">
      <c r="A2077" t="s">
        <v>2081</v>
      </c>
      <c r="B2077">
        <v>0.99299721793515405</v>
      </c>
      <c r="C2077">
        <v>1.03003593426447</v>
      </c>
      <c r="D2077">
        <v>1.38093211220366</v>
      </c>
      <c r="E2077">
        <v>0.86438605232000199</v>
      </c>
      <c r="F2077">
        <v>0.85309332305936703</v>
      </c>
      <c r="G2077">
        <v>0.70295429124481101</v>
      </c>
      <c r="H2077">
        <v>0.18022778446028201</v>
      </c>
      <c r="I2077">
        <v>0.178309375903249</v>
      </c>
      <c r="J2077">
        <v>0.161885313062095</v>
      </c>
      <c r="K2077">
        <v>0.121536121171911</v>
      </c>
      <c r="L2077">
        <v>2040.54785287601</v>
      </c>
      <c r="M2077">
        <v>37.501481170021897</v>
      </c>
      <c r="N2077">
        <v>54.868580657894597</v>
      </c>
      <c r="O2077">
        <v>54.258430741008603</v>
      </c>
      <c r="P2077">
        <v>-0.14965148718864399</v>
      </c>
      <c r="Q2077">
        <v>0.13391870675504799</v>
      </c>
      <c r="R2077">
        <v>0.90044315152894105</v>
      </c>
      <c r="S2077" t="s">
        <v>7628</v>
      </c>
      <c r="T2077" t="s">
        <v>11100</v>
      </c>
      <c r="U2077" t="s">
        <v>11100</v>
      </c>
      <c r="V2077" t="s">
        <v>11100</v>
      </c>
      <c r="W2077" t="s">
        <v>13137</v>
      </c>
      <c r="X2077">
        <v>10</v>
      </c>
      <c r="Y2077" t="s">
        <v>18612</v>
      </c>
      <c r="Z2077" t="s">
        <v>24082</v>
      </c>
      <c r="AA2077">
        <v>0.64025781951397887</v>
      </c>
      <c r="AB2077" t="str">
        <f>HYPERLINK("Melting_Curves/meltCurve_P29992_GNA11.pdf", "Melting_Curves/meltCurve_P29992_GNA11.pdf")</f>
        <v>Melting_Curves/meltCurve_P29992_GNA11.pdf</v>
      </c>
    </row>
    <row r="2078" spans="1:28" x14ac:dyDescent="0.25">
      <c r="A2078" t="s">
        <v>2082</v>
      </c>
      <c r="B2078">
        <v>0.99299721793515405</v>
      </c>
      <c r="C2078">
        <v>0.89545311008805395</v>
      </c>
      <c r="D2078">
        <v>0.96319194819237697</v>
      </c>
      <c r="E2078">
        <v>0.90538529524396905</v>
      </c>
      <c r="F2078">
        <v>0.69400508910946801</v>
      </c>
      <c r="G2078">
        <v>0.50437321996447404</v>
      </c>
      <c r="H2078">
        <v>0.205008794105937</v>
      </c>
      <c r="I2078">
        <v>0.18943936206246401</v>
      </c>
      <c r="J2078">
        <v>0.138510563762239</v>
      </c>
      <c r="K2078">
        <v>9.9898432811908897E-2</v>
      </c>
      <c r="L2078">
        <v>837.61124186752102</v>
      </c>
      <c r="M2078">
        <v>15.91128581335</v>
      </c>
      <c r="N2078">
        <v>53.178494936454101</v>
      </c>
      <c r="O2078">
        <v>51.8321076219394</v>
      </c>
      <c r="P2078">
        <v>-7.1065301346812298E-2</v>
      </c>
      <c r="Q2078">
        <v>7.4073815973616799E-2</v>
      </c>
      <c r="R2078">
        <v>0.98636220351190695</v>
      </c>
      <c r="S2078" t="s">
        <v>7629</v>
      </c>
      <c r="T2078" t="s">
        <v>11100</v>
      </c>
      <c r="U2078" t="s">
        <v>11100</v>
      </c>
      <c r="V2078" t="s">
        <v>11100</v>
      </c>
      <c r="W2078" t="s">
        <v>13138</v>
      </c>
      <c r="X2078">
        <v>10</v>
      </c>
      <c r="Y2078" t="s">
        <v>18613</v>
      </c>
      <c r="Z2078" t="s">
        <v>24083</v>
      </c>
      <c r="AA2078">
        <v>0.57280402532668029</v>
      </c>
      <c r="AB2078" t="str">
        <f>HYPERLINK("Melting_Curves/meltCurve_P30038_ALDH4A1.pdf", "Melting_Curves/meltCurve_P30038_ALDH4A1.pdf")</f>
        <v>Melting_Curves/meltCurve_P30038_ALDH4A1.pdf</v>
      </c>
    </row>
    <row r="2079" spans="1:28" x14ac:dyDescent="0.25">
      <c r="A2079" t="s">
        <v>2083</v>
      </c>
      <c r="B2079">
        <v>0.99299721793515405</v>
      </c>
      <c r="C2079">
        <v>1.0521000291006299</v>
      </c>
      <c r="D2079">
        <v>0.97511658670768797</v>
      </c>
      <c r="E2079">
        <v>0.991179765667621</v>
      </c>
      <c r="F2079">
        <v>0.759175596498748</v>
      </c>
      <c r="G2079">
        <v>0.59433326206786496</v>
      </c>
      <c r="H2079">
        <v>0.43798668788552603</v>
      </c>
      <c r="I2079">
        <v>0.35178525745724698</v>
      </c>
      <c r="J2079">
        <v>0.32860978506025201</v>
      </c>
      <c r="K2079">
        <v>0.289656043597186</v>
      </c>
      <c r="L2079">
        <v>935.78652134754702</v>
      </c>
      <c r="M2079">
        <v>17.726630472909498</v>
      </c>
      <c r="N2079">
        <v>55.508877357736502</v>
      </c>
      <c r="O2079">
        <v>52.131805601012204</v>
      </c>
      <c r="P2079">
        <v>-6.0344929986314501E-2</v>
      </c>
      <c r="Q2079">
        <v>0.29016961868531399</v>
      </c>
      <c r="R2079">
        <v>0.99099970736391196</v>
      </c>
      <c r="S2079" t="s">
        <v>7630</v>
      </c>
      <c r="T2079" t="s">
        <v>11100</v>
      </c>
      <c r="U2079" t="s">
        <v>11100</v>
      </c>
      <c r="V2079" t="s">
        <v>11100</v>
      </c>
      <c r="W2079" t="s">
        <v>13139</v>
      </c>
      <c r="X2079">
        <v>15</v>
      </c>
      <c r="Y2079" t="s">
        <v>18614</v>
      </c>
      <c r="Z2079" t="s">
        <v>24084</v>
      </c>
      <c r="AA2079">
        <v>0.67440475766592134</v>
      </c>
      <c r="AB2079" t="str">
        <f>HYPERLINK("Melting_Curves/meltCurve_P30040_ERP29.pdf", "Melting_Curves/meltCurve_P30040_ERP29.pdf")</f>
        <v>Melting_Curves/meltCurve_P30040_ERP29.pdf</v>
      </c>
    </row>
    <row r="2080" spans="1:28" x14ac:dyDescent="0.25">
      <c r="A2080" t="s">
        <v>2084</v>
      </c>
      <c r="B2080">
        <v>0.99299721793515405</v>
      </c>
      <c r="C2080">
        <v>1.0919132022410301</v>
      </c>
      <c r="D2080">
        <v>1.04108645832212</v>
      </c>
      <c r="E2080">
        <v>1.03206500148069</v>
      </c>
      <c r="F2080">
        <v>0.93291488938549405</v>
      </c>
      <c r="G2080">
        <v>0.72879480904570504</v>
      </c>
      <c r="H2080">
        <v>0.61046094976643395</v>
      </c>
      <c r="I2080">
        <v>0.27466864618104198</v>
      </c>
      <c r="J2080">
        <v>0.111326784093404</v>
      </c>
      <c r="K2080">
        <v>8.3892865097324396E-2</v>
      </c>
      <c r="L2080">
        <v>1038.34003408321</v>
      </c>
      <c r="M2080">
        <v>17.934082360540199</v>
      </c>
      <c r="N2080">
        <v>57.897585849146203</v>
      </c>
      <c r="O2080">
        <v>57.192089526972502</v>
      </c>
      <c r="P2080">
        <v>-7.8397962183359204E-2</v>
      </c>
      <c r="Q2080">
        <v>0</v>
      </c>
      <c r="R2080">
        <v>0.98337412144960401</v>
      </c>
      <c r="S2080" t="s">
        <v>7631</v>
      </c>
      <c r="T2080" t="s">
        <v>11100</v>
      </c>
      <c r="U2080" t="s">
        <v>11100</v>
      </c>
      <c r="V2080" t="s">
        <v>11100</v>
      </c>
      <c r="W2080" t="s">
        <v>13140</v>
      </c>
      <c r="X2080">
        <v>24</v>
      </c>
      <c r="Y2080" t="s">
        <v>18615</v>
      </c>
      <c r="Z2080" t="s">
        <v>24085</v>
      </c>
      <c r="AA2080">
        <v>0.7031644138940345</v>
      </c>
      <c r="AB2080" t="str">
        <f>HYPERLINK("Melting_Curves/meltCurve_P30041_PRDX6.pdf", "Melting_Curves/meltCurve_P30041_PRDX6.pdf")</f>
        <v>Melting_Curves/meltCurve_P30041_PRDX6.pdf</v>
      </c>
    </row>
    <row r="2081" spans="1:28" x14ac:dyDescent="0.25">
      <c r="A2081" t="s">
        <v>2085</v>
      </c>
      <c r="B2081">
        <v>0.99299721793515405</v>
      </c>
      <c r="C2081">
        <v>0.95132865096100505</v>
      </c>
      <c r="D2081">
        <v>0.99860569855500803</v>
      </c>
      <c r="E2081">
        <v>0.848516515648153</v>
      </c>
      <c r="F2081">
        <v>0.78083442733754505</v>
      </c>
      <c r="G2081">
        <v>0.57949590372307602</v>
      </c>
      <c r="H2081">
        <v>0.61772486746433397</v>
      </c>
      <c r="I2081">
        <v>0.77026207212836695</v>
      </c>
      <c r="J2081">
        <v>0.86902834591915601</v>
      </c>
      <c r="K2081">
        <v>0.75652429673636201</v>
      </c>
      <c r="L2081">
        <v>1745.0105568645099</v>
      </c>
      <c r="M2081">
        <v>37.5583072992262</v>
      </c>
      <c r="O2081">
        <v>46.330244713310599</v>
      </c>
      <c r="P2081">
        <v>-5.5670401851389897E-2</v>
      </c>
      <c r="Q2081">
        <v>0.72531067014199602</v>
      </c>
      <c r="R2081">
        <v>0.67657961227734198</v>
      </c>
      <c r="S2081" t="s">
        <v>7632</v>
      </c>
      <c r="T2081" t="s">
        <v>11100</v>
      </c>
      <c r="U2081" t="s">
        <v>11100</v>
      </c>
      <c r="V2081" t="s">
        <v>11100</v>
      </c>
      <c r="W2081" t="s">
        <v>13141</v>
      </c>
      <c r="X2081">
        <v>17</v>
      </c>
      <c r="Y2081" t="s">
        <v>18616</v>
      </c>
      <c r="Z2081" t="s">
        <v>24086</v>
      </c>
      <c r="AA2081">
        <v>0.81294425742158316</v>
      </c>
      <c r="AB2081" t="str">
        <f>HYPERLINK("Melting_Curves/meltCurve_P30042_C21orf33.pdf", "Melting_Curves/meltCurve_P30042_C21orf33.pdf")</f>
        <v>Melting_Curves/meltCurve_P30042_C21orf33.pdf</v>
      </c>
    </row>
    <row r="2082" spans="1:28" x14ac:dyDescent="0.25">
      <c r="A2082" t="s">
        <v>2086</v>
      </c>
      <c r="B2082">
        <v>0.99299721793515405</v>
      </c>
      <c r="C2082">
        <v>0.93944005862646096</v>
      </c>
      <c r="D2082">
        <v>0.95735460358130298</v>
      </c>
      <c r="E2082">
        <v>0.92148268358309204</v>
      </c>
      <c r="F2082">
        <v>0.77251833824518601</v>
      </c>
      <c r="G2082">
        <v>0.398962552326797</v>
      </c>
      <c r="H2082">
        <v>0.22356961950570201</v>
      </c>
      <c r="I2082">
        <v>0.16438282755243899</v>
      </c>
      <c r="J2082">
        <v>0.16113648324193799</v>
      </c>
      <c r="K2082">
        <v>0.152706887849753</v>
      </c>
      <c r="L2082">
        <v>1272.40770670967</v>
      </c>
      <c r="M2082">
        <v>24.457362444603799</v>
      </c>
      <c r="N2082">
        <v>52.772727113674797</v>
      </c>
      <c r="O2082">
        <v>51.681475122833199</v>
      </c>
      <c r="P2082">
        <v>-0.10099620343277101</v>
      </c>
      <c r="Q2082">
        <v>0.14634193439899201</v>
      </c>
      <c r="R2082">
        <v>0.99477530040219697</v>
      </c>
      <c r="S2082" t="s">
        <v>7633</v>
      </c>
      <c r="T2082" t="s">
        <v>11100</v>
      </c>
      <c r="U2082" t="s">
        <v>11100</v>
      </c>
      <c r="V2082" t="s">
        <v>11100</v>
      </c>
      <c r="W2082" t="s">
        <v>13142</v>
      </c>
      <c r="X2082">
        <v>6</v>
      </c>
      <c r="Y2082" t="s">
        <v>18617</v>
      </c>
      <c r="Z2082" t="s">
        <v>24087</v>
      </c>
      <c r="AA2082">
        <v>0.5817632696093209</v>
      </c>
      <c r="AB2082" t="str">
        <f>HYPERLINK("Melting_Curves/meltCurve_P30043_BLVRB.pdf", "Melting_Curves/meltCurve_P30043_BLVRB.pdf")</f>
        <v>Melting_Curves/meltCurve_P30043_BLVRB.pdf</v>
      </c>
    </row>
    <row r="2083" spans="1:28" x14ac:dyDescent="0.25">
      <c r="A2083" t="s">
        <v>2087</v>
      </c>
      <c r="B2083">
        <v>0.99299721793515405</v>
      </c>
      <c r="C2083">
        <v>0.98761538517188396</v>
      </c>
      <c r="D2083">
        <v>0.90075265758635004</v>
      </c>
      <c r="E2083">
        <v>0.93588305449351505</v>
      </c>
      <c r="F2083">
        <v>0.77844153761373203</v>
      </c>
      <c r="G2083">
        <v>0.59175181397284204</v>
      </c>
      <c r="H2083">
        <v>0.48824171401683503</v>
      </c>
      <c r="I2083">
        <v>0.52154332297392303</v>
      </c>
      <c r="J2083">
        <v>0.38535220211634902</v>
      </c>
      <c r="K2083">
        <v>0.19803380686048999</v>
      </c>
      <c r="L2083">
        <v>440.73310314094402</v>
      </c>
      <c r="M2083">
        <v>7.5446755536922403</v>
      </c>
      <c r="N2083">
        <v>58.416441378027699</v>
      </c>
      <c r="O2083">
        <v>54.735476796595897</v>
      </c>
      <c r="P2083">
        <v>-3.4508178350911703E-2</v>
      </c>
      <c r="Q2083">
        <v>0</v>
      </c>
      <c r="R2083">
        <v>0.95691801406801902</v>
      </c>
      <c r="S2083" t="s">
        <v>7634</v>
      </c>
      <c r="T2083" t="s">
        <v>11100</v>
      </c>
      <c r="U2083" t="s">
        <v>11100</v>
      </c>
      <c r="V2083" t="s">
        <v>11100</v>
      </c>
      <c r="W2083" t="s">
        <v>13143</v>
      </c>
      <c r="X2083">
        <v>8</v>
      </c>
      <c r="Y2083" t="s">
        <v>18618</v>
      </c>
      <c r="Z2083" t="s">
        <v>24088</v>
      </c>
      <c r="AA2083">
        <v>0.68450273123397343</v>
      </c>
      <c r="AB2083" t="str">
        <f>HYPERLINK("Melting_Curves/meltCurve_P30044_2_PRDX5.pdf", "Melting_Curves/meltCurve_P30044_2_PRDX5.pdf")</f>
        <v>Melting_Curves/meltCurve_P30044_2_PRDX5.pdf</v>
      </c>
    </row>
    <row r="2084" spans="1:28" x14ac:dyDescent="0.25">
      <c r="A2084" t="s">
        <v>2088</v>
      </c>
      <c r="B2084">
        <v>0.99299721793515405</v>
      </c>
      <c r="C2084">
        <v>1.0079732038723901</v>
      </c>
      <c r="D2084">
        <v>1.0069846909790501</v>
      </c>
      <c r="E2084">
        <v>0.84628926162541995</v>
      </c>
      <c r="F2084">
        <v>0.83149874183008998</v>
      </c>
      <c r="G2084">
        <v>0.94713313855021997</v>
      </c>
      <c r="H2084">
        <v>0.64023874112697698</v>
      </c>
      <c r="I2084">
        <v>0.70164086042838503</v>
      </c>
      <c r="J2084">
        <v>0.69617352121116305</v>
      </c>
      <c r="K2084">
        <v>0.77219612232915202</v>
      </c>
      <c r="L2084">
        <v>585.22681185714498</v>
      </c>
      <c r="M2084">
        <v>11.5807282744275</v>
      </c>
      <c r="O2084">
        <v>49.098202577386999</v>
      </c>
      <c r="P2084">
        <v>-1.8081055668783701E-2</v>
      </c>
      <c r="Q2084">
        <v>0.69345561141087797</v>
      </c>
      <c r="R2084">
        <v>0.72024695707520103</v>
      </c>
      <c r="S2084" t="s">
        <v>7635</v>
      </c>
      <c r="T2084" t="s">
        <v>11100</v>
      </c>
      <c r="U2084" t="s">
        <v>11100</v>
      </c>
      <c r="V2084" t="s">
        <v>11100</v>
      </c>
      <c r="W2084" t="s">
        <v>13144</v>
      </c>
      <c r="X2084">
        <v>7</v>
      </c>
      <c r="Y2084" t="s">
        <v>18619</v>
      </c>
      <c r="Z2084" t="s">
        <v>24089</v>
      </c>
      <c r="AA2084">
        <v>0.84033992205882935</v>
      </c>
      <c r="AB2084" t="str">
        <f>HYPERLINK("Melting_Curves/meltCurve_P30046_DDT.pdf", "Melting_Curves/meltCurve_P30046_DDT.pdf")</f>
        <v>Melting_Curves/meltCurve_P30046_DDT.pdf</v>
      </c>
    </row>
    <row r="2085" spans="1:28" x14ac:dyDescent="0.25">
      <c r="A2085" t="s">
        <v>2089</v>
      </c>
      <c r="B2085">
        <v>0.99299721793515405</v>
      </c>
      <c r="C2085">
        <v>0.95874391982135498</v>
      </c>
      <c r="D2085">
        <v>0.84289258338406103</v>
      </c>
      <c r="E2085">
        <v>0.81475199107737095</v>
      </c>
      <c r="F2085">
        <v>0.69539275318431504</v>
      </c>
      <c r="G2085">
        <v>0.53906973140596603</v>
      </c>
      <c r="H2085">
        <v>0.88874718611818404</v>
      </c>
      <c r="I2085">
        <v>1.0901136281575099</v>
      </c>
      <c r="J2085">
        <v>1.2966274166945799</v>
      </c>
      <c r="K2085">
        <v>1.946187857392</v>
      </c>
      <c r="L2085">
        <v>15000</v>
      </c>
      <c r="M2085">
        <v>234.38724772264899</v>
      </c>
      <c r="O2085">
        <v>63.991996822263999</v>
      </c>
      <c r="P2085">
        <v>0.45784484831602901</v>
      </c>
      <c r="Q2085">
        <v>1.5</v>
      </c>
      <c r="R2085">
        <v>0.57235322213633599</v>
      </c>
      <c r="S2085" t="s">
        <v>7636</v>
      </c>
      <c r="T2085" t="s">
        <v>11100</v>
      </c>
      <c r="U2085" t="s">
        <v>11100</v>
      </c>
      <c r="V2085" t="s">
        <v>11100</v>
      </c>
      <c r="W2085" t="s">
        <v>13145</v>
      </c>
      <c r="X2085">
        <v>4</v>
      </c>
      <c r="Y2085" t="s">
        <v>18620</v>
      </c>
      <c r="Z2085" t="s">
        <v>24090</v>
      </c>
      <c r="AA2085">
        <v>1.049991986539635</v>
      </c>
      <c r="AB2085" t="str">
        <f>HYPERLINK("Melting_Curves/meltCurve_P30049_ATP5D.pdf", "Melting_Curves/meltCurve_P30049_ATP5D.pdf")</f>
        <v>Melting_Curves/meltCurve_P30049_ATP5D.pdf</v>
      </c>
    </row>
    <row r="2086" spans="1:28" x14ac:dyDescent="0.25">
      <c r="A2086" t="s">
        <v>2090</v>
      </c>
      <c r="B2086">
        <v>0.99299721793515405</v>
      </c>
      <c r="C2086">
        <v>1.0301412488678701</v>
      </c>
      <c r="D2086">
        <v>0.97084000533447601</v>
      </c>
      <c r="E2086">
        <v>0.99048571743885605</v>
      </c>
      <c r="F2086">
        <v>0.64051905742259296</v>
      </c>
      <c r="G2086">
        <v>0.37610308962549799</v>
      </c>
      <c r="H2086">
        <v>0.67620697280987097</v>
      </c>
      <c r="I2086">
        <v>0.58345384990024596</v>
      </c>
      <c r="J2086">
        <v>0.55613358274795299</v>
      </c>
      <c r="K2086">
        <v>0.47952778943298502</v>
      </c>
      <c r="L2086">
        <v>12488.805338972699</v>
      </c>
      <c r="M2086">
        <v>250</v>
      </c>
      <c r="O2086">
        <v>49.952028299808198</v>
      </c>
      <c r="P2086">
        <v>-0.58270278655209096</v>
      </c>
      <c r="Q2086">
        <v>0.53428505808927396</v>
      </c>
      <c r="R2086">
        <v>0.90114669636130895</v>
      </c>
      <c r="S2086" t="s">
        <v>7637</v>
      </c>
      <c r="T2086" t="s">
        <v>11100</v>
      </c>
      <c r="U2086" t="s">
        <v>11100</v>
      </c>
      <c r="V2086" t="s">
        <v>11100</v>
      </c>
      <c r="W2086" t="s">
        <v>13146</v>
      </c>
      <c r="X2086">
        <v>7</v>
      </c>
      <c r="Y2086" t="s">
        <v>18621</v>
      </c>
      <c r="Z2086" t="s">
        <v>24091</v>
      </c>
      <c r="AA2086">
        <v>0.73544055965440513</v>
      </c>
      <c r="AB2086" t="str">
        <f>HYPERLINK("Melting_Curves/meltCurve_P30050_RPL12.pdf", "Melting_Curves/meltCurve_P30050_RPL12.pdf")</f>
        <v>Melting_Curves/meltCurve_P30050_RPL12.pdf</v>
      </c>
    </row>
    <row r="2087" spans="1:28" x14ac:dyDescent="0.25">
      <c r="A2087" t="s">
        <v>2091</v>
      </c>
      <c r="B2087">
        <v>0.99299721793515405</v>
      </c>
      <c r="C2087">
        <v>0.99785041952975795</v>
      </c>
      <c r="D2087">
        <v>0.89656237331554001</v>
      </c>
      <c r="E2087">
        <v>0.92512740457871401</v>
      </c>
      <c r="F2087">
        <v>0.79803252431835803</v>
      </c>
      <c r="G2087">
        <v>0.95635406813437496</v>
      </c>
      <c r="H2087">
        <v>0.57473962389173106</v>
      </c>
      <c r="I2087">
        <v>0.123824607366471</v>
      </c>
      <c r="J2087">
        <v>9.6285524171825898E-2</v>
      </c>
      <c r="K2087">
        <v>7.2621242225180099E-2</v>
      </c>
      <c r="L2087">
        <v>2590.1866520076801</v>
      </c>
      <c r="M2087">
        <v>44.984676857417902</v>
      </c>
      <c r="N2087">
        <v>57.779181850904401</v>
      </c>
      <c r="O2087">
        <v>57.465849146365002</v>
      </c>
      <c r="P2087">
        <v>-0.18160072785563999</v>
      </c>
      <c r="Q2087">
        <v>7.2054676836769999E-2</v>
      </c>
      <c r="R2087">
        <v>0.95949516373371302</v>
      </c>
      <c r="S2087" t="s">
        <v>7638</v>
      </c>
      <c r="T2087" t="s">
        <v>11100</v>
      </c>
      <c r="U2087" t="s">
        <v>11100</v>
      </c>
      <c r="V2087" t="s">
        <v>11100</v>
      </c>
      <c r="W2087" t="s">
        <v>13147</v>
      </c>
      <c r="X2087">
        <v>11</v>
      </c>
      <c r="Y2087" t="s">
        <v>18622</v>
      </c>
      <c r="Z2087" t="s">
        <v>24092</v>
      </c>
      <c r="AA2087">
        <v>0.71141806371343952</v>
      </c>
      <c r="AB2087" t="str">
        <f>HYPERLINK("Melting_Curves/meltCurve_P30084_ECHS1.pdf", "Melting_Curves/meltCurve_P30084_ECHS1.pdf")</f>
        <v>Melting_Curves/meltCurve_P30084_ECHS1.pdf</v>
      </c>
    </row>
    <row r="2088" spans="1:28" x14ac:dyDescent="0.25">
      <c r="A2088" t="s">
        <v>2092</v>
      </c>
      <c r="B2088">
        <v>0.99299721793515405</v>
      </c>
      <c r="C2088">
        <v>1.04029648581098</v>
      </c>
      <c r="D2088">
        <v>1.06935183929041</v>
      </c>
      <c r="E2088">
        <v>1.0069067056769501</v>
      </c>
      <c r="F2088">
        <v>0.77136813386977299</v>
      </c>
      <c r="G2088">
        <v>0.53058366764360099</v>
      </c>
      <c r="H2088">
        <v>0.218823959960919</v>
      </c>
      <c r="I2088">
        <v>0.16556091045907101</v>
      </c>
      <c r="J2088">
        <v>0.13790674671598699</v>
      </c>
      <c r="K2088">
        <v>0.104840855741675</v>
      </c>
      <c r="L2088">
        <v>1200.3126184965299</v>
      </c>
      <c r="M2088">
        <v>22.569768583854099</v>
      </c>
      <c r="N2088">
        <v>53.754279291132598</v>
      </c>
      <c r="O2088">
        <v>52.770091844954798</v>
      </c>
      <c r="P2088">
        <v>-9.5513188761371895E-2</v>
      </c>
      <c r="Q2088">
        <v>0.10674530171404099</v>
      </c>
      <c r="R2088">
        <v>0.99144031267930199</v>
      </c>
      <c r="S2088" t="s">
        <v>7639</v>
      </c>
      <c r="T2088" t="s">
        <v>11100</v>
      </c>
      <c r="U2088" t="s">
        <v>11100</v>
      </c>
      <c r="V2088" t="s">
        <v>11100</v>
      </c>
      <c r="W2088" t="s">
        <v>13148</v>
      </c>
      <c r="X2088">
        <v>18</v>
      </c>
      <c r="Y2088" t="s">
        <v>18623</v>
      </c>
      <c r="Z2088" t="s">
        <v>24093</v>
      </c>
      <c r="AA2088">
        <v>0.59790274685978351</v>
      </c>
      <c r="AB2088" t="str">
        <f>HYPERLINK("Melting_Curves/meltCurve_P30085_CMPK1.pdf", "Melting_Curves/meltCurve_P30085_CMPK1.pdf")</f>
        <v>Melting_Curves/meltCurve_P30085_CMPK1.pdf</v>
      </c>
    </row>
    <row r="2089" spans="1:28" x14ac:dyDescent="0.25">
      <c r="A2089" t="s">
        <v>2093</v>
      </c>
      <c r="B2089">
        <v>0.99299721793515405</v>
      </c>
      <c r="C2089">
        <v>0.91801456535299397</v>
      </c>
      <c r="D2089">
        <v>0.84040000046637697</v>
      </c>
      <c r="E2089">
        <v>0.70848288274152904</v>
      </c>
      <c r="F2089">
        <v>0.64151860059828103</v>
      </c>
      <c r="G2089">
        <v>0.46021882585413898</v>
      </c>
      <c r="H2089">
        <v>0.45167736047005802</v>
      </c>
      <c r="I2089">
        <v>0.60746276277263</v>
      </c>
      <c r="J2089">
        <v>0.573707308890262</v>
      </c>
      <c r="K2089">
        <v>0.42143703545817102</v>
      </c>
      <c r="L2089">
        <v>652.28032007390198</v>
      </c>
      <c r="M2089">
        <v>14.366835629498199</v>
      </c>
      <c r="N2089">
        <v>64.382435015079096</v>
      </c>
      <c r="O2089">
        <v>44.549354246762398</v>
      </c>
      <c r="P2089">
        <v>-4.0899875760905098E-2</v>
      </c>
      <c r="Q2089">
        <v>0.49276368646281299</v>
      </c>
      <c r="R2089">
        <v>0.90296308723429197</v>
      </c>
      <c r="S2089" t="s">
        <v>7640</v>
      </c>
      <c r="T2089" t="s">
        <v>11100</v>
      </c>
      <c r="U2089" t="s">
        <v>11100</v>
      </c>
      <c r="V2089" t="s">
        <v>11100</v>
      </c>
      <c r="W2089" t="s">
        <v>13149</v>
      </c>
      <c r="X2089">
        <v>14</v>
      </c>
      <c r="Y2089" t="s">
        <v>18624</v>
      </c>
      <c r="Z2089" t="s">
        <v>24094</v>
      </c>
      <c r="AA2089">
        <v>0.64776145388604922</v>
      </c>
      <c r="AB2089" t="str">
        <f>HYPERLINK("Melting_Curves/meltCurve_P30086_PEBP1.pdf", "Melting_Curves/meltCurve_P30086_PEBP1.pdf")</f>
        <v>Melting_Curves/meltCurve_P30086_PEBP1.pdf</v>
      </c>
    </row>
    <row r="2090" spans="1:28" x14ac:dyDescent="0.25">
      <c r="A2090" t="s">
        <v>2094</v>
      </c>
      <c r="B2090">
        <v>0.99299721793515405</v>
      </c>
      <c r="C2090">
        <v>1.0119811841024899</v>
      </c>
      <c r="D2090">
        <v>1.0755286735462199</v>
      </c>
      <c r="E2090">
        <v>1.01641013061778</v>
      </c>
      <c r="F2090">
        <v>0.93056640963155601</v>
      </c>
      <c r="G2090">
        <v>0.97750920527706897</v>
      </c>
      <c r="H2090">
        <v>0.65683275425986498</v>
      </c>
      <c r="I2090">
        <v>0.20726664884153001</v>
      </c>
      <c r="J2090">
        <v>0.13779758285892599</v>
      </c>
      <c r="K2090">
        <v>0.12543005094203299</v>
      </c>
      <c r="L2090">
        <v>2613.1229913678799</v>
      </c>
      <c r="M2090">
        <v>45.086061144107703</v>
      </c>
      <c r="N2090">
        <v>58.329022344879199</v>
      </c>
      <c r="O2090">
        <v>57.844879331764702</v>
      </c>
      <c r="P2090">
        <v>-0.17059758602713801</v>
      </c>
      <c r="Q2090">
        <v>0.12450244671136</v>
      </c>
      <c r="R2090">
        <v>0.99245489005530996</v>
      </c>
      <c r="S2090" t="s">
        <v>7641</v>
      </c>
      <c r="T2090" t="s">
        <v>11100</v>
      </c>
      <c r="U2090" t="s">
        <v>11100</v>
      </c>
      <c r="V2090" t="s">
        <v>11100</v>
      </c>
      <c r="W2090" t="s">
        <v>13150</v>
      </c>
      <c r="X2090">
        <v>36</v>
      </c>
      <c r="Y2090" t="s">
        <v>18625</v>
      </c>
      <c r="Z2090" t="s">
        <v>24095</v>
      </c>
      <c r="AA2090">
        <v>0.73877714548048468</v>
      </c>
      <c r="AB2090" t="str">
        <f>HYPERLINK("Melting_Curves/meltCurve_P30153_PPP2R1A.pdf", "Melting_Curves/meltCurve_P30153_PPP2R1A.pdf")</f>
        <v>Melting_Curves/meltCurve_P30153_PPP2R1A.pdf</v>
      </c>
    </row>
    <row r="2091" spans="1:28" x14ac:dyDescent="0.25">
      <c r="A2091" t="s">
        <v>2095</v>
      </c>
      <c r="B2091">
        <v>0.99299721793515405</v>
      </c>
      <c r="C2091">
        <v>0.92351291559159598</v>
      </c>
      <c r="D2091">
        <v>0.97832972072295898</v>
      </c>
      <c r="E2091">
        <v>0.81385089969208502</v>
      </c>
      <c r="F2091">
        <v>0.69486528369321898</v>
      </c>
      <c r="G2091">
        <v>0.35469590077884899</v>
      </c>
      <c r="H2091">
        <v>0.21115013209387701</v>
      </c>
      <c r="I2091">
        <v>0.151272230920868</v>
      </c>
      <c r="J2091">
        <v>0.14901162711216101</v>
      </c>
      <c r="K2091">
        <v>0.116281761111888</v>
      </c>
      <c r="L2091">
        <v>868.01458844600097</v>
      </c>
      <c r="M2091">
        <v>16.903472962516801</v>
      </c>
      <c r="N2091">
        <v>52.020565581385902</v>
      </c>
      <c r="O2091">
        <v>50.648707592096699</v>
      </c>
      <c r="P2091">
        <v>-7.5285473572662603E-2</v>
      </c>
      <c r="Q2091">
        <v>9.7730751179555403E-2</v>
      </c>
      <c r="R2091">
        <v>0.99010669981836097</v>
      </c>
      <c r="S2091" t="s">
        <v>7642</v>
      </c>
      <c r="T2091" t="s">
        <v>11100</v>
      </c>
      <c r="U2091" t="s">
        <v>11100</v>
      </c>
      <c r="V2091" t="s">
        <v>11100</v>
      </c>
      <c r="W2091" t="s">
        <v>13151</v>
      </c>
      <c r="X2091">
        <v>18</v>
      </c>
      <c r="Y2091" t="s">
        <v>18626</v>
      </c>
      <c r="Z2091" t="s">
        <v>24096</v>
      </c>
      <c r="AA2091">
        <v>0.54458138689694779</v>
      </c>
      <c r="AB2091" t="str">
        <f>HYPERLINK("Melting_Curves/meltCurve_P30154_PPP2R1B.pdf", "Melting_Curves/meltCurve_P30154_PPP2R1B.pdf")</f>
        <v>Melting_Curves/meltCurve_P30154_PPP2R1B.pdf</v>
      </c>
    </row>
    <row r="2092" spans="1:28" x14ac:dyDescent="0.25">
      <c r="A2092" t="s">
        <v>2096</v>
      </c>
      <c r="B2092">
        <v>0.99299721793515405</v>
      </c>
      <c r="C2092">
        <v>1.0885244853699401</v>
      </c>
      <c r="D2092">
        <v>0.96489801697784605</v>
      </c>
      <c r="E2092">
        <v>0.87242625904512205</v>
      </c>
      <c r="F2092">
        <v>0.46354363828994999</v>
      </c>
      <c r="G2092">
        <v>0.26298753653970502</v>
      </c>
      <c r="H2092">
        <v>0.234567661599906</v>
      </c>
      <c r="I2092">
        <v>0.21173004030823001</v>
      </c>
      <c r="J2092">
        <v>0.19250243780378901</v>
      </c>
      <c r="K2092">
        <v>0.148587291604942</v>
      </c>
      <c r="L2092">
        <v>1422.0214463724701</v>
      </c>
      <c r="M2092">
        <v>28.950663139113399</v>
      </c>
      <c r="N2092">
        <v>49.9630055770225</v>
      </c>
      <c r="O2092">
        <v>48.886222732878501</v>
      </c>
      <c r="P2092">
        <v>-0.119413968822252</v>
      </c>
      <c r="Q2092">
        <v>0.19343425197994099</v>
      </c>
      <c r="R2092">
        <v>0.99111234551930205</v>
      </c>
      <c r="S2092" t="s">
        <v>7643</v>
      </c>
      <c r="T2092" t="s">
        <v>11100</v>
      </c>
      <c r="U2092" t="s">
        <v>11100</v>
      </c>
      <c r="V2092" t="s">
        <v>11100</v>
      </c>
      <c r="W2092" t="s">
        <v>13152</v>
      </c>
      <c r="X2092">
        <v>6</v>
      </c>
      <c r="Y2092" t="s">
        <v>18627</v>
      </c>
      <c r="Z2092" t="s">
        <v>24097</v>
      </c>
      <c r="AA2092">
        <v>0.52448693325941365</v>
      </c>
      <c r="AB2092" t="str">
        <f>HYPERLINK("Melting_Curves/meltCurve_P30307_2_CDC25C.pdf", "Melting_Curves/meltCurve_P30307_2_CDC25C.pdf")</f>
        <v>Melting_Curves/meltCurve_P30307_2_CDC25C.pdf</v>
      </c>
    </row>
    <row r="2093" spans="1:28" x14ac:dyDescent="0.25">
      <c r="A2093" t="s">
        <v>2097</v>
      </c>
      <c r="B2093">
        <v>0.99299721793515405</v>
      </c>
      <c r="C2093">
        <v>0.99904937433018703</v>
      </c>
      <c r="D2093">
        <v>1.1072465734028201</v>
      </c>
      <c r="E2093">
        <v>0.96126635865869003</v>
      </c>
      <c r="F2093">
        <v>0.74445057204618204</v>
      </c>
      <c r="G2093">
        <v>0.58330953410095598</v>
      </c>
      <c r="H2093">
        <v>0.27071035432782398</v>
      </c>
      <c r="I2093">
        <v>0.187328260362122</v>
      </c>
      <c r="J2093">
        <v>0.15923064277903801</v>
      </c>
      <c r="K2093">
        <v>0.135297736963229</v>
      </c>
      <c r="L2093">
        <v>1014.46230559131</v>
      </c>
      <c r="M2093">
        <v>18.976433375466701</v>
      </c>
      <c r="N2093">
        <v>54.196013552730101</v>
      </c>
      <c r="O2093">
        <v>52.876008651388197</v>
      </c>
      <c r="P2093">
        <v>-7.9521644175639894E-2</v>
      </c>
      <c r="Q2093">
        <v>0.113717814357578</v>
      </c>
      <c r="R2093">
        <v>0.98532966957826096</v>
      </c>
      <c r="S2093" t="s">
        <v>7644</v>
      </c>
      <c r="T2093" t="s">
        <v>11100</v>
      </c>
      <c r="U2093" t="s">
        <v>11100</v>
      </c>
      <c r="V2093" t="s">
        <v>11100</v>
      </c>
      <c r="W2093" t="s">
        <v>13153</v>
      </c>
      <c r="X2093">
        <v>15</v>
      </c>
      <c r="Y2093" t="s">
        <v>18628</v>
      </c>
      <c r="Z2093" t="s">
        <v>24098</v>
      </c>
      <c r="AA2093">
        <v>0.61174325311171873</v>
      </c>
      <c r="AB2093" t="str">
        <f>HYPERLINK("Melting_Curves/meltCurve_P30405_PPIF.pdf", "Melting_Curves/meltCurve_P30405_PPIF.pdf")</f>
        <v>Melting_Curves/meltCurve_P30405_PPIF.pdf</v>
      </c>
    </row>
    <row r="2094" spans="1:28" x14ac:dyDescent="0.25">
      <c r="A2094" t="s">
        <v>2098</v>
      </c>
      <c r="B2094">
        <v>0.99299721793515405</v>
      </c>
      <c r="C2094">
        <v>1.0055456952722099</v>
      </c>
      <c r="D2094">
        <v>0.97126810214791204</v>
      </c>
      <c r="E2094">
        <v>0.86596289587081998</v>
      </c>
      <c r="F2094">
        <v>0.641935755517691</v>
      </c>
      <c r="G2094">
        <v>0.52033319748556095</v>
      </c>
      <c r="H2094">
        <v>0.32275543129717899</v>
      </c>
      <c r="I2094">
        <v>0.16338507567209801</v>
      </c>
      <c r="J2094">
        <v>0.15073067273683299</v>
      </c>
      <c r="K2094">
        <v>9.9728875957220395E-2</v>
      </c>
      <c r="L2094">
        <v>652.50748103332796</v>
      </c>
      <c r="M2094">
        <v>12.2433669873532</v>
      </c>
      <c r="N2094">
        <v>53.526704578432899</v>
      </c>
      <c r="O2094">
        <v>51.932808349366802</v>
      </c>
      <c r="P2094">
        <v>-5.7428696119533301E-2</v>
      </c>
      <c r="Q2094">
        <v>2.58338266046645E-2</v>
      </c>
      <c r="R2094">
        <v>0.99531688384544703</v>
      </c>
      <c r="S2094" t="s">
        <v>7645</v>
      </c>
      <c r="T2094" t="s">
        <v>11100</v>
      </c>
      <c r="U2094" t="s">
        <v>11100</v>
      </c>
      <c r="V2094" t="s">
        <v>11100</v>
      </c>
      <c r="W2094" t="s">
        <v>13154</v>
      </c>
      <c r="X2094">
        <v>13</v>
      </c>
      <c r="Y2094" t="s">
        <v>18629</v>
      </c>
      <c r="Z2094" t="s">
        <v>24099</v>
      </c>
      <c r="AA2094">
        <v>0.57446149906740418</v>
      </c>
      <c r="AB2094" t="str">
        <f>HYPERLINK("Melting_Curves/meltCurve_P30419_NMT1.pdf", "Melting_Curves/meltCurve_P30419_NMT1.pdf")</f>
        <v>Melting_Curves/meltCurve_P30419_NMT1.pdf</v>
      </c>
    </row>
    <row r="2095" spans="1:28" x14ac:dyDescent="0.25">
      <c r="A2095" t="s">
        <v>2099</v>
      </c>
      <c r="B2095">
        <v>0.99299721793515405</v>
      </c>
      <c r="C2095">
        <v>1.0430835083259999</v>
      </c>
      <c r="D2095">
        <v>0.97286913569778399</v>
      </c>
      <c r="E2095">
        <v>0.94361317277060097</v>
      </c>
      <c r="F2095">
        <v>0.75593324816736396</v>
      </c>
      <c r="G2095">
        <v>0.28510584692994601</v>
      </c>
      <c r="H2095">
        <v>0.18183575756675999</v>
      </c>
      <c r="I2095">
        <v>0.16784144671284501</v>
      </c>
      <c r="J2095">
        <v>0.155826149050351</v>
      </c>
      <c r="K2095">
        <v>0.12750052314892801</v>
      </c>
      <c r="L2095">
        <v>1810.47466528429</v>
      </c>
      <c r="M2095">
        <v>35.217083863789298</v>
      </c>
      <c r="N2095">
        <v>51.934812618312101</v>
      </c>
      <c r="O2095">
        <v>51.2440717262036</v>
      </c>
      <c r="P2095">
        <v>-0.14604600330631601</v>
      </c>
      <c r="Q2095">
        <v>0.14996186387794899</v>
      </c>
      <c r="R2095">
        <v>0.99672123616932895</v>
      </c>
      <c r="S2095" t="s">
        <v>7646</v>
      </c>
      <c r="T2095" t="s">
        <v>11100</v>
      </c>
      <c r="U2095" t="s">
        <v>11100</v>
      </c>
      <c r="V2095" t="s">
        <v>11100</v>
      </c>
      <c r="W2095" t="s">
        <v>13155</v>
      </c>
      <c r="X2095">
        <v>18</v>
      </c>
      <c r="Y2095" t="s">
        <v>18630</v>
      </c>
      <c r="Z2095" t="s">
        <v>24100</v>
      </c>
      <c r="AA2095">
        <v>0.56212197331277314</v>
      </c>
      <c r="AB2095" t="str">
        <f>HYPERLINK("Melting_Curves/meltCurve_P30519_HMOX2.pdf", "Melting_Curves/meltCurve_P30519_HMOX2.pdf")</f>
        <v>Melting_Curves/meltCurve_P30519_HMOX2.pdf</v>
      </c>
    </row>
    <row r="2096" spans="1:28" x14ac:dyDescent="0.25">
      <c r="A2096" t="s">
        <v>2100</v>
      </c>
      <c r="B2096">
        <v>0.99299721793515405</v>
      </c>
      <c r="C2096">
        <v>0.96908920993248904</v>
      </c>
      <c r="D2096">
        <v>1.01309742514422</v>
      </c>
      <c r="E2096">
        <v>0.90430024875869697</v>
      </c>
      <c r="F2096">
        <v>0.78094569528881297</v>
      </c>
      <c r="G2096">
        <v>0.73328876621765404</v>
      </c>
      <c r="H2096">
        <v>0.62373548808373203</v>
      </c>
      <c r="I2096">
        <v>0.55088399963918999</v>
      </c>
      <c r="J2096">
        <v>0.204482579352182</v>
      </c>
      <c r="K2096">
        <v>0.15517403735198601</v>
      </c>
      <c r="L2096">
        <v>626.89280014037297</v>
      </c>
      <c r="M2096">
        <v>10.616203882839701</v>
      </c>
      <c r="N2096">
        <v>59.050561514342</v>
      </c>
      <c r="O2096">
        <v>57.070876554627901</v>
      </c>
      <c r="P2096">
        <v>-4.65224583889398E-2</v>
      </c>
      <c r="Q2096">
        <v>0</v>
      </c>
      <c r="R2096">
        <v>0.948539459166446</v>
      </c>
      <c r="S2096" t="s">
        <v>7647</v>
      </c>
      <c r="T2096" t="s">
        <v>11100</v>
      </c>
      <c r="U2096" t="s">
        <v>11100</v>
      </c>
      <c r="V2096" t="s">
        <v>11100</v>
      </c>
      <c r="W2096" t="s">
        <v>13156</v>
      </c>
      <c r="X2096">
        <v>26</v>
      </c>
      <c r="Y2096" t="s">
        <v>18631</v>
      </c>
      <c r="Z2096" t="s">
        <v>24101</v>
      </c>
      <c r="AA2096">
        <v>0.72056755164016439</v>
      </c>
      <c r="AB2096" t="str">
        <f>HYPERLINK("Melting_Curves/meltCurve_P30520_ADSS.pdf", "Melting_Curves/meltCurve_P30520_ADSS.pdf")</f>
        <v>Melting_Curves/meltCurve_P30520_ADSS.pdf</v>
      </c>
    </row>
    <row r="2097" spans="1:28" x14ac:dyDescent="0.25">
      <c r="A2097" t="s">
        <v>2101</v>
      </c>
      <c r="B2097">
        <v>0.99299721793515405</v>
      </c>
      <c r="C2097">
        <v>0.91229419784534005</v>
      </c>
      <c r="D2097">
        <v>1.1820674363719299</v>
      </c>
      <c r="E2097">
        <v>0.87487409439828001</v>
      </c>
      <c r="F2097">
        <v>0.80143804322133705</v>
      </c>
      <c r="G2097">
        <v>0.61552977458494995</v>
      </c>
      <c r="H2097">
        <v>0.59323826960903003</v>
      </c>
      <c r="I2097">
        <v>0.59442231969438097</v>
      </c>
      <c r="J2097">
        <v>0.64814218026619197</v>
      </c>
      <c r="K2097">
        <v>0.96115423784079101</v>
      </c>
      <c r="L2097">
        <v>1651.68662197101</v>
      </c>
      <c r="M2097">
        <v>34.338337417754801</v>
      </c>
      <c r="O2097">
        <v>47.938110377860703</v>
      </c>
      <c r="P2097">
        <v>-5.5873987011149602E-2</v>
      </c>
      <c r="Q2097">
        <v>0.68798918875181303</v>
      </c>
      <c r="R2097">
        <v>0.59453003449699704</v>
      </c>
      <c r="S2097" t="s">
        <v>7648</v>
      </c>
      <c r="T2097" t="s">
        <v>11100</v>
      </c>
      <c r="U2097" t="s">
        <v>11100</v>
      </c>
      <c r="V2097" t="s">
        <v>11100</v>
      </c>
      <c r="W2097" t="s">
        <v>13157</v>
      </c>
      <c r="X2097">
        <v>13</v>
      </c>
      <c r="Y2097" t="s">
        <v>18632</v>
      </c>
      <c r="Z2097" t="s">
        <v>24102</v>
      </c>
      <c r="AA2097">
        <v>0.80484795180036839</v>
      </c>
      <c r="AB2097" t="str">
        <f>HYPERLINK("Melting_Curves/meltCurve_P30533_LRPAP1.pdf", "Melting_Curves/meltCurve_P30533_LRPAP1.pdf")</f>
        <v>Melting_Curves/meltCurve_P30533_LRPAP1.pdf</v>
      </c>
    </row>
    <row r="2098" spans="1:28" x14ac:dyDescent="0.25">
      <c r="A2098" t="s">
        <v>2102</v>
      </c>
      <c r="B2098">
        <v>0.99299721793515405</v>
      </c>
      <c r="C2098">
        <v>0.96524881779049598</v>
      </c>
      <c r="D2098">
        <v>0.86911857774686996</v>
      </c>
      <c r="E2098">
        <v>0.84887255512751403</v>
      </c>
      <c r="F2098">
        <v>0.76000560409381601</v>
      </c>
      <c r="G2098">
        <v>0.85953372526966898</v>
      </c>
      <c r="H2098">
        <v>0.961535863137427</v>
      </c>
      <c r="I2098">
        <v>1.0596380092062101</v>
      </c>
      <c r="J2098">
        <v>0.77753652369014803</v>
      </c>
      <c r="K2098">
        <v>0.17650156186879501</v>
      </c>
      <c r="L2098">
        <v>15000</v>
      </c>
      <c r="M2098">
        <v>233.01531762647599</v>
      </c>
      <c r="N2098">
        <v>64.493888039521096</v>
      </c>
      <c r="O2098">
        <v>64.368730028329495</v>
      </c>
      <c r="P2098">
        <v>-0.74534841454557099</v>
      </c>
      <c r="Q2098">
        <v>0.17641268580098701</v>
      </c>
      <c r="R2098">
        <v>0.77621821213366304</v>
      </c>
      <c r="S2098" t="s">
        <v>7649</v>
      </c>
      <c r="T2098" t="s">
        <v>11100</v>
      </c>
      <c r="U2098" t="s">
        <v>11100</v>
      </c>
      <c r="V2098" t="s">
        <v>11100</v>
      </c>
      <c r="W2098" t="s">
        <v>13158</v>
      </c>
      <c r="X2098">
        <v>19</v>
      </c>
      <c r="Y2098" t="s">
        <v>18633</v>
      </c>
      <c r="Z2098" t="s">
        <v>24103</v>
      </c>
      <c r="AA2098">
        <v>0.92799978224249291</v>
      </c>
      <c r="AB2098" t="str">
        <f>HYPERLINK("Melting_Curves/meltCurve_P30566_ADSL.pdf", "Melting_Curves/meltCurve_P30566_ADSL.pdf")</f>
        <v>Melting_Curves/meltCurve_P30566_ADSL.pdf</v>
      </c>
    </row>
    <row r="2099" spans="1:28" x14ac:dyDescent="0.25">
      <c r="A2099" t="s">
        <v>2103</v>
      </c>
      <c r="B2099">
        <v>0.99299721793515405</v>
      </c>
      <c r="C2099">
        <v>0.93417139219843703</v>
      </c>
      <c r="D2099">
        <v>0.87455831330100797</v>
      </c>
      <c r="E2099">
        <v>0.79082663441237899</v>
      </c>
      <c r="F2099">
        <v>0.76278103484617998</v>
      </c>
      <c r="G2099">
        <v>0.94382414890892297</v>
      </c>
      <c r="H2099">
        <v>3.5136093131997099</v>
      </c>
      <c r="I2099">
        <v>4.1534085186773799</v>
      </c>
      <c r="J2099">
        <v>0.90007499603270602</v>
      </c>
      <c r="K2099">
        <v>0.31141778627191402</v>
      </c>
      <c r="L2099">
        <v>13788.1772986706</v>
      </c>
      <c r="M2099">
        <v>250</v>
      </c>
      <c r="O2099">
        <v>55.149188062016997</v>
      </c>
      <c r="P2099">
        <v>0.56664487389103302</v>
      </c>
      <c r="Q2099">
        <v>1.5</v>
      </c>
      <c r="R2099">
        <v>0.141030814130643</v>
      </c>
      <c r="S2099" t="s">
        <v>7650</v>
      </c>
      <c r="T2099" t="s">
        <v>11100</v>
      </c>
      <c r="U2099" t="s">
        <v>11100</v>
      </c>
      <c r="V2099" t="s">
        <v>11100</v>
      </c>
      <c r="W2099" t="s">
        <v>13159</v>
      </c>
      <c r="X2099">
        <v>3</v>
      </c>
      <c r="Y2099" t="s">
        <v>18634</v>
      </c>
      <c r="Z2099" t="s">
        <v>24104</v>
      </c>
      <c r="AA2099">
        <v>1.1974064506821569</v>
      </c>
      <c r="AB2099" t="str">
        <f>HYPERLINK("Melting_Curves/meltCurve_P30613_2_PKLR.pdf", "Melting_Curves/meltCurve_P30613_2_PKLR.pdf")</f>
        <v>Melting_Curves/meltCurve_P30613_2_PKLR.pdf</v>
      </c>
    </row>
    <row r="2100" spans="1:28" x14ac:dyDescent="0.25">
      <c r="A2100" t="s">
        <v>2104</v>
      </c>
      <c r="B2100">
        <v>0.99299721793515405</v>
      </c>
      <c r="C2100">
        <v>0.95984502093283697</v>
      </c>
      <c r="D2100">
        <v>0.928879037948106</v>
      </c>
      <c r="E2100">
        <v>0.83648013109366104</v>
      </c>
      <c r="F2100">
        <v>0.75966453205725004</v>
      </c>
      <c r="G2100">
        <v>0.61271464073948301</v>
      </c>
      <c r="H2100">
        <v>0.61063219001812896</v>
      </c>
      <c r="I2100">
        <v>0.63349476727641296</v>
      </c>
      <c r="J2100">
        <v>0.57450997257940195</v>
      </c>
      <c r="K2100">
        <v>0.40532910166430902</v>
      </c>
      <c r="L2100">
        <v>396.95706188420701</v>
      </c>
      <c r="M2100">
        <v>7.4690936274361199</v>
      </c>
      <c r="N2100">
        <v>66.064779476262302</v>
      </c>
      <c r="O2100">
        <v>49.7366786159781</v>
      </c>
      <c r="P2100">
        <v>-2.3162679709315698E-2</v>
      </c>
      <c r="Q2100">
        <v>0.38393876248958902</v>
      </c>
      <c r="R2100">
        <v>0.93559233524908103</v>
      </c>
      <c r="S2100" t="s">
        <v>7651</v>
      </c>
      <c r="T2100" t="s">
        <v>11100</v>
      </c>
      <c r="U2100" t="s">
        <v>11100</v>
      </c>
      <c r="V2100" t="s">
        <v>11100</v>
      </c>
      <c r="W2100" t="s">
        <v>13160</v>
      </c>
      <c r="X2100">
        <v>39</v>
      </c>
      <c r="Y2100" t="s">
        <v>18635</v>
      </c>
      <c r="Z2100" t="s">
        <v>24105</v>
      </c>
      <c r="AA2100">
        <v>0.72784924741118906</v>
      </c>
      <c r="AB2100" t="str">
        <f>HYPERLINK("Melting_Curves/meltCurve_P30622_1_CLIP1.pdf", "Melting_Curves/meltCurve_P30622_1_CLIP1.pdf")</f>
        <v>Melting_Curves/meltCurve_P30622_1_CLIP1.pdf</v>
      </c>
    </row>
    <row r="2101" spans="1:28" x14ac:dyDescent="0.25">
      <c r="A2101" t="s">
        <v>2105</v>
      </c>
      <c r="B2101">
        <v>0.99299721793515405</v>
      </c>
      <c r="C2101">
        <v>0.95723815696655601</v>
      </c>
      <c r="D2101">
        <v>0.91003890603177895</v>
      </c>
      <c r="E2101">
        <v>0.87721918871938298</v>
      </c>
      <c r="F2101">
        <v>0.74329701041625296</v>
      </c>
      <c r="G2101">
        <v>0.65991593676281102</v>
      </c>
      <c r="H2101">
        <v>0.31531416032244403</v>
      </c>
      <c r="I2101">
        <v>0.20345346020181701</v>
      </c>
      <c r="J2101">
        <v>0.15836964014027</v>
      </c>
      <c r="K2101">
        <v>0.11361512314323099</v>
      </c>
      <c r="L2101">
        <v>665.55419339422804</v>
      </c>
      <c r="M2101">
        <v>12.111471495804301</v>
      </c>
      <c r="N2101">
        <v>54.952380795054999</v>
      </c>
      <c r="O2101">
        <v>53.518622921853698</v>
      </c>
      <c r="P2101">
        <v>-5.6589128222099098E-2</v>
      </c>
      <c r="Q2101">
        <v>0</v>
      </c>
      <c r="R2101">
        <v>0.98395953742215103</v>
      </c>
      <c r="S2101" t="s">
        <v>7652</v>
      </c>
      <c r="T2101" t="s">
        <v>11100</v>
      </c>
      <c r="U2101" t="s">
        <v>11100</v>
      </c>
      <c r="V2101" t="s">
        <v>11100</v>
      </c>
      <c r="W2101" t="s">
        <v>13161</v>
      </c>
      <c r="X2101">
        <v>6</v>
      </c>
      <c r="Y2101" t="s">
        <v>18636</v>
      </c>
      <c r="Z2101" t="s">
        <v>24106</v>
      </c>
      <c r="AA2101">
        <v>0.61283280110814331</v>
      </c>
      <c r="AB2101" t="str">
        <f>HYPERLINK("Melting_Curves/meltCurve_P30740_SERPINB1.pdf", "Melting_Curves/meltCurve_P30740_SERPINB1.pdf")</f>
        <v>Melting_Curves/meltCurve_P30740_SERPINB1.pdf</v>
      </c>
    </row>
    <row r="2102" spans="1:28" x14ac:dyDescent="0.25">
      <c r="A2102" t="s">
        <v>2106</v>
      </c>
      <c r="B2102">
        <v>0.99299721793515405</v>
      </c>
      <c r="C2102">
        <v>0.86828319486892303</v>
      </c>
      <c r="D2102">
        <v>1.3254410208335199</v>
      </c>
      <c r="E2102">
        <v>0.78875665236703796</v>
      </c>
      <c r="F2102">
        <v>1.0049408009541101</v>
      </c>
      <c r="G2102">
        <v>0.98283571257070801</v>
      </c>
      <c r="H2102">
        <v>0.55125727888609299</v>
      </c>
      <c r="I2102">
        <v>1.03136313677731</v>
      </c>
      <c r="J2102">
        <v>0.97715080384895203</v>
      </c>
      <c r="K2102">
        <v>1.5538951730150301</v>
      </c>
      <c r="L2102">
        <v>15000</v>
      </c>
      <c r="M2102">
        <v>229.30808231213999</v>
      </c>
      <c r="O2102">
        <v>65.409203746881303</v>
      </c>
      <c r="P2102">
        <v>0.43821830426876601</v>
      </c>
      <c r="Q2102">
        <v>1.5</v>
      </c>
      <c r="R2102">
        <v>0.44709945899497</v>
      </c>
      <c r="S2102" t="s">
        <v>7653</v>
      </c>
      <c r="T2102" t="s">
        <v>11100</v>
      </c>
      <c r="U2102" t="s">
        <v>11100</v>
      </c>
      <c r="V2102" t="s">
        <v>11100</v>
      </c>
      <c r="W2102" t="s">
        <v>13162</v>
      </c>
      <c r="X2102">
        <v>6</v>
      </c>
      <c r="Y2102" t="s">
        <v>18637</v>
      </c>
      <c r="Z2102" t="s">
        <v>24107</v>
      </c>
      <c r="AA2102">
        <v>1.0263841831324709</v>
      </c>
      <c r="AB2102" t="str">
        <f>HYPERLINK("Melting_Curves/meltCurve_P30825_SLC7A1.pdf", "Melting_Curves/meltCurve_P30825_SLC7A1.pdf")</f>
        <v>Melting_Curves/meltCurve_P30825_SLC7A1.pdf</v>
      </c>
    </row>
    <row r="2103" spans="1:28" x14ac:dyDescent="0.25">
      <c r="A2103" t="s">
        <v>2107</v>
      </c>
      <c r="B2103">
        <v>0.99299721793515405</v>
      </c>
      <c r="C2103">
        <v>0.93531475631748295</v>
      </c>
      <c r="D2103">
        <v>0.95000524691088095</v>
      </c>
      <c r="E2103">
        <v>0.86173897213029105</v>
      </c>
      <c r="F2103">
        <v>0.81893360474793897</v>
      </c>
      <c r="G2103">
        <v>1.0927135427791399</v>
      </c>
      <c r="H2103">
        <v>0.58482936526566698</v>
      </c>
      <c r="I2103">
        <v>0.25595810340601199</v>
      </c>
      <c r="J2103">
        <v>0.20931135861991401</v>
      </c>
      <c r="K2103">
        <v>0.184663072560592</v>
      </c>
      <c r="L2103">
        <v>8902.9210210452802</v>
      </c>
      <c r="M2103">
        <v>155.22303414929499</v>
      </c>
      <c r="N2103">
        <v>57.566236183264799</v>
      </c>
      <c r="O2103">
        <v>57.346151446122597</v>
      </c>
      <c r="P2103">
        <v>-0.53011171061317397</v>
      </c>
      <c r="Q2103">
        <v>0.21661458050591001</v>
      </c>
      <c r="R2103">
        <v>0.93728282069215896</v>
      </c>
      <c r="S2103" t="s">
        <v>7654</v>
      </c>
      <c r="T2103" t="s">
        <v>11100</v>
      </c>
      <c r="U2103" t="s">
        <v>11100</v>
      </c>
      <c r="V2103" t="s">
        <v>11100</v>
      </c>
      <c r="W2103" t="s">
        <v>13163</v>
      </c>
      <c r="X2103">
        <v>15</v>
      </c>
      <c r="Y2103" t="s">
        <v>18638</v>
      </c>
      <c r="Z2103" t="s">
        <v>24108</v>
      </c>
      <c r="AA2103">
        <v>0.74836368511617257</v>
      </c>
      <c r="AB2103" t="str">
        <f>HYPERLINK("Melting_Curves/meltCurve_P30837_ALDH1B1.pdf", "Melting_Curves/meltCurve_P30837_ALDH1B1.pdf")</f>
        <v>Melting_Curves/meltCurve_P30837_ALDH1B1.pdf</v>
      </c>
    </row>
    <row r="2104" spans="1:28" x14ac:dyDescent="0.25">
      <c r="A2104" t="s">
        <v>2108</v>
      </c>
      <c r="B2104">
        <v>0.99299721793515405</v>
      </c>
      <c r="C2104">
        <v>0.96896619736199596</v>
      </c>
      <c r="D2104">
        <v>1.04546707308781</v>
      </c>
      <c r="E2104">
        <v>0.87136020885840804</v>
      </c>
      <c r="F2104">
        <v>0.80692870038410203</v>
      </c>
      <c r="G2104">
        <v>0.76456340203699102</v>
      </c>
      <c r="H2104">
        <v>0.72938049923260995</v>
      </c>
      <c r="I2104">
        <v>0.81658394729973005</v>
      </c>
      <c r="J2104">
        <v>0.53766037455878801</v>
      </c>
      <c r="K2104">
        <v>0.16373942060362001</v>
      </c>
      <c r="L2104">
        <v>582.18895181952803</v>
      </c>
      <c r="M2104">
        <v>9.1813690583278191</v>
      </c>
      <c r="N2104">
        <v>63.409816793940799</v>
      </c>
      <c r="O2104">
        <v>60.619155674995497</v>
      </c>
      <c r="P2104">
        <v>-3.7890462114403202E-2</v>
      </c>
      <c r="Q2104">
        <v>0</v>
      </c>
      <c r="R2104">
        <v>0.78006987572480402</v>
      </c>
      <c r="S2104" t="s">
        <v>7655</v>
      </c>
      <c r="T2104" t="s">
        <v>11100</v>
      </c>
      <c r="U2104" t="s">
        <v>11100</v>
      </c>
      <c r="V2104" t="s">
        <v>11100</v>
      </c>
      <c r="W2104" t="s">
        <v>13164</v>
      </c>
      <c r="X2104">
        <v>36</v>
      </c>
      <c r="Y2104" t="s">
        <v>18639</v>
      </c>
      <c r="Z2104" t="s">
        <v>24109</v>
      </c>
      <c r="AA2104">
        <v>0.80417878544804955</v>
      </c>
      <c r="AB2104" t="str">
        <f>HYPERLINK("Melting_Curves/meltCurve_P31040_SDHA.pdf", "Melting_Curves/meltCurve_P31040_SDHA.pdf")</f>
        <v>Melting_Curves/meltCurve_P31040_SDHA.pdf</v>
      </c>
    </row>
    <row r="2105" spans="1:28" x14ac:dyDescent="0.25">
      <c r="A2105" t="s">
        <v>2109</v>
      </c>
      <c r="B2105">
        <v>0.99299721793515405</v>
      </c>
      <c r="C2105">
        <v>0.92448969978214002</v>
      </c>
      <c r="D2105">
        <v>1.0751953763089299</v>
      </c>
      <c r="E2105">
        <v>0.77056607356236495</v>
      </c>
      <c r="F2105">
        <v>0.70539820571883505</v>
      </c>
      <c r="G2105">
        <v>0.43554273307055102</v>
      </c>
      <c r="H2105">
        <v>0.29190441586418803</v>
      </c>
      <c r="I2105">
        <v>0.25865822355904</v>
      </c>
      <c r="J2105">
        <v>0.30732099776239702</v>
      </c>
      <c r="K2105">
        <v>0.254413943061991</v>
      </c>
      <c r="L2105">
        <v>887.242287966307</v>
      </c>
      <c r="M2105">
        <v>17.539593808169101</v>
      </c>
      <c r="N2105">
        <v>52.600349588858499</v>
      </c>
      <c r="O2105">
        <v>49.941276154659299</v>
      </c>
      <c r="P2105">
        <v>-6.6323954658295797E-2</v>
      </c>
      <c r="Q2105">
        <v>0.244652276032059</v>
      </c>
      <c r="R2105">
        <v>0.96704703432054695</v>
      </c>
      <c r="S2105" t="s">
        <v>7656</v>
      </c>
      <c r="T2105" t="s">
        <v>11100</v>
      </c>
      <c r="U2105" t="s">
        <v>11100</v>
      </c>
      <c r="V2105" t="s">
        <v>11100</v>
      </c>
      <c r="W2105" t="s">
        <v>13165</v>
      </c>
      <c r="X2105">
        <v>4</v>
      </c>
      <c r="Y2105" t="s">
        <v>18640</v>
      </c>
      <c r="Z2105" t="s">
        <v>24110</v>
      </c>
      <c r="AA2105">
        <v>0.5989967850446507</v>
      </c>
      <c r="AB2105" t="str">
        <f>HYPERLINK("Melting_Curves/meltCurve_P31146_CORO1A.pdf", "Melting_Curves/meltCurve_P31146_CORO1A.pdf")</f>
        <v>Melting_Curves/meltCurve_P31146_CORO1A.pdf</v>
      </c>
    </row>
    <row r="2106" spans="1:28" x14ac:dyDescent="0.25">
      <c r="A2106" t="s">
        <v>2110</v>
      </c>
      <c r="B2106">
        <v>0.99299721793515405</v>
      </c>
      <c r="C2106">
        <v>0.96783710033239401</v>
      </c>
      <c r="D2106">
        <v>0.88829205698658398</v>
      </c>
      <c r="E2106">
        <v>0.95025115407707805</v>
      </c>
      <c r="F2106">
        <v>0.80694325529329503</v>
      </c>
      <c r="G2106">
        <v>0.639549947197535</v>
      </c>
      <c r="H2106">
        <v>0.47818596374806299</v>
      </c>
      <c r="I2106">
        <v>0.19803915059100299</v>
      </c>
      <c r="J2106">
        <v>0.14876488360123</v>
      </c>
      <c r="K2106">
        <v>0.118909996219625</v>
      </c>
      <c r="L2106">
        <v>736.23068537939105</v>
      </c>
      <c r="M2106">
        <v>13.134454869149</v>
      </c>
      <c r="N2106">
        <v>56.053387480899197</v>
      </c>
      <c r="O2106">
        <v>54.801794750128998</v>
      </c>
      <c r="P2106">
        <v>-5.9928166563664897E-2</v>
      </c>
      <c r="Q2106">
        <v>0</v>
      </c>
      <c r="R2106">
        <v>0.98540044888837397</v>
      </c>
      <c r="S2106" t="s">
        <v>7657</v>
      </c>
      <c r="T2106" t="s">
        <v>11100</v>
      </c>
      <c r="U2106" t="s">
        <v>11100</v>
      </c>
      <c r="V2106" t="s">
        <v>11100</v>
      </c>
      <c r="W2106" t="s">
        <v>13166</v>
      </c>
      <c r="X2106">
        <v>25</v>
      </c>
      <c r="Y2106" t="s">
        <v>18641</v>
      </c>
      <c r="Z2106" t="s">
        <v>24111</v>
      </c>
      <c r="AA2106">
        <v>0.64572087717584059</v>
      </c>
      <c r="AB2106" t="str">
        <f>HYPERLINK("Melting_Curves/meltCurve_P31150_GDI1.pdf", "Melting_Curves/meltCurve_P31150_GDI1.pdf")</f>
        <v>Melting_Curves/meltCurve_P31150_GDI1.pdf</v>
      </c>
    </row>
    <row r="2107" spans="1:28" x14ac:dyDescent="0.25">
      <c r="A2107" t="s">
        <v>2111</v>
      </c>
      <c r="B2107">
        <v>0.99299721793515405</v>
      </c>
      <c r="C2107">
        <v>0.94549480094340099</v>
      </c>
      <c r="D2107">
        <v>0.95238501658540398</v>
      </c>
      <c r="E2107">
        <v>0.87811287876635902</v>
      </c>
      <c r="F2107">
        <v>0.76916458592383996</v>
      </c>
      <c r="G2107">
        <v>0.82098380696935802</v>
      </c>
      <c r="H2107">
        <v>0.67358808806138903</v>
      </c>
      <c r="I2107">
        <v>0.60121989624010097</v>
      </c>
      <c r="J2107">
        <v>0.364680737757899</v>
      </c>
      <c r="K2107">
        <v>0.32201449257034598</v>
      </c>
      <c r="L2107">
        <v>465.715826844172</v>
      </c>
      <c r="M2107">
        <v>7.5370830785972398</v>
      </c>
      <c r="N2107">
        <v>61.789927585547801</v>
      </c>
      <c r="O2107">
        <v>57.889350334655397</v>
      </c>
      <c r="P2107">
        <v>-3.2595476350641299E-2</v>
      </c>
      <c r="Q2107">
        <v>0</v>
      </c>
      <c r="R2107">
        <v>0.94671784374432899</v>
      </c>
      <c r="S2107" t="s">
        <v>7658</v>
      </c>
      <c r="T2107" t="s">
        <v>11100</v>
      </c>
      <c r="U2107" t="s">
        <v>11100</v>
      </c>
      <c r="V2107" t="s">
        <v>11100</v>
      </c>
      <c r="W2107" t="s">
        <v>13167</v>
      </c>
      <c r="X2107">
        <v>21</v>
      </c>
      <c r="Y2107" t="s">
        <v>18642</v>
      </c>
      <c r="Z2107" t="s">
        <v>24112</v>
      </c>
      <c r="AA2107">
        <v>0.75390808228670769</v>
      </c>
      <c r="AB2107" t="str">
        <f>HYPERLINK("Melting_Curves/meltCurve_P31153_MAT2A.pdf", "Melting_Curves/meltCurve_P31153_MAT2A.pdf")</f>
        <v>Melting_Curves/meltCurve_P31153_MAT2A.pdf</v>
      </c>
    </row>
    <row r="2108" spans="1:28" x14ac:dyDescent="0.25">
      <c r="A2108" t="s">
        <v>2112</v>
      </c>
      <c r="B2108">
        <v>0.99299721793515405</v>
      </c>
      <c r="C2108">
        <v>0.93713553109222603</v>
      </c>
      <c r="D2108">
        <v>1.0640575981453599</v>
      </c>
      <c r="E2108">
        <v>0.82837497052900599</v>
      </c>
      <c r="F2108">
        <v>0.67027987071305195</v>
      </c>
      <c r="G2108">
        <v>0.307357818739802</v>
      </c>
      <c r="H2108">
        <v>0.17669500719494699</v>
      </c>
      <c r="I2108">
        <v>0.170356254063738</v>
      </c>
      <c r="J2108">
        <v>0.17264542340783001</v>
      </c>
      <c r="K2108">
        <v>0.12957154075999799</v>
      </c>
      <c r="L2108">
        <v>1129.7771110926001</v>
      </c>
      <c r="M2108">
        <v>22.242709497819501</v>
      </c>
      <c r="N2108">
        <v>51.538815457482599</v>
      </c>
      <c r="O2108">
        <v>50.387933535591003</v>
      </c>
      <c r="P2108">
        <v>-9.5176126297354405E-2</v>
      </c>
      <c r="Q2108">
        <v>0.137582587648652</v>
      </c>
      <c r="R2108">
        <v>0.98616158063796699</v>
      </c>
      <c r="S2108" t="s">
        <v>7659</v>
      </c>
      <c r="T2108" t="s">
        <v>11100</v>
      </c>
      <c r="U2108" t="s">
        <v>11100</v>
      </c>
      <c r="V2108" t="s">
        <v>11100</v>
      </c>
      <c r="W2108" t="s">
        <v>13168</v>
      </c>
      <c r="X2108">
        <v>14</v>
      </c>
      <c r="Y2108" t="s">
        <v>18643</v>
      </c>
      <c r="Z2108" t="s">
        <v>24113</v>
      </c>
      <c r="AA2108">
        <v>0.54350381921682833</v>
      </c>
      <c r="AB2108" t="str">
        <f>HYPERLINK("Melting_Curves/meltCurve_P31323_PRKAR2B.pdf", "Melting_Curves/meltCurve_P31323_PRKAR2B.pdf")</f>
        <v>Melting_Curves/meltCurve_P31323_PRKAR2B.pdf</v>
      </c>
    </row>
    <row r="2109" spans="1:28" x14ac:dyDescent="0.25">
      <c r="A2109" t="s">
        <v>2113</v>
      </c>
      <c r="B2109">
        <v>0.99299721793515405</v>
      </c>
      <c r="C2109">
        <v>0.92609934188148502</v>
      </c>
      <c r="D2109">
        <v>0.80577576689474695</v>
      </c>
      <c r="E2109">
        <v>0.75360307453003705</v>
      </c>
      <c r="F2109">
        <v>0.71561215248891696</v>
      </c>
      <c r="G2109">
        <v>0.44745286515709098</v>
      </c>
      <c r="H2109">
        <v>0.23498895923648999</v>
      </c>
      <c r="I2109">
        <v>0.17875191656988201</v>
      </c>
      <c r="J2109">
        <v>0.15334114975600599</v>
      </c>
      <c r="K2109">
        <v>0.119259956203683</v>
      </c>
      <c r="L2109">
        <v>507.68094040315299</v>
      </c>
      <c r="M2109">
        <v>9.6844041039313193</v>
      </c>
      <c r="N2109">
        <v>52.422527487513896</v>
      </c>
      <c r="O2109">
        <v>50.333688139317402</v>
      </c>
      <c r="P2109">
        <v>-4.8127448163381902E-2</v>
      </c>
      <c r="Q2109">
        <v>0</v>
      </c>
      <c r="R2109">
        <v>0.97524743765828104</v>
      </c>
      <c r="S2109" t="s">
        <v>7660</v>
      </c>
      <c r="T2109" t="s">
        <v>11100</v>
      </c>
      <c r="U2109" t="s">
        <v>11100</v>
      </c>
      <c r="V2109" t="s">
        <v>11100</v>
      </c>
      <c r="W2109" t="s">
        <v>13169</v>
      </c>
      <c r="X2109">
        <v>13</v>
      </c>
      <c r="Y2109" t="s">
        <v>18644</v>
      </c>
      <c r="Z2109" t="s">
        <v>24114</v>
      </c>
      <c r="AA2109">
        <v>0.53926042634191584</v>
      </c>
      <c r="AB2109" t="str">
        <f>HYPERLINK("Melting_Curves/meltCurve_P31327_CPS1.pdf", "Melting_Curves/meltCurve_P31327_CPS1.pdf")</f>
        <v>Melting_Curves/meltCurve_P31327_CPS1.pdf</v>
      </c>
    </row>
    <row r="2110" spans="1:28" x14ac:dyDescent="0.25">
      <c r="A2110" t="s">
        <v>2114</v>
      </c>
      <c r="B2110">
        <v>0.99299721793515405</v>
      </c>
      <c r="C2110">
        <v>0.98249068067608303</v>
      </c>
      <c r="D2110">
        <v>0.90647368244206294</v>
      </c>
      <c r="E2110">
        <v>0.90976031555644399</v>
      </c>
      <c r="F2110">
        <v>0.76746752841489296</v>
      </c>
      <c r="G2110">
        <v>0.57815912336228104</v>
      </c>
      <c r="H2110">
        <v>0.74128529452079805</v>
      </c>
      <c r="I2110">
        <v>0.88672138667786704</v>
      </c>
      <c r="J2110">
        <v>0.95018282013090805</v>
      </c>
      <c r="K2110">
        <v>0.798679879692613</v>
      </c>
      <c r="L2110">
        <v>1059.74547678667</v>
      </c>
      <c r="M2110">
        <v>23.809749483560001</v>
      </c>
      <c r="O2110">
        <v>44.198483202059499</v>
      </c>
      <c r="P2110">
        <v>-2.8078988080523799E-2</v>
      </c>
      <c r="Q2110">
        <v>0.791509199595409</v>
      </c>
      <c r="R2110">
        <v>0.40279505197809201</v>
      </c>
      <c r="S2110" t="s">
        <v>7661</v>
      </c>
      <c r="T2110" t="s">
        <v>11100</v>
      </c>
      <c r="U2110" t="s">
        <v>11100</v>
      </c>
      <c r="V2110" t="s">
        <v>11100</v>
      </c>
      <c r="W2110" t="s">
        <v>13170</v>
      </c>
      <c r="X2110">
        <v>20</v>
      </c>
      <c r="Y2110" t="s">
        <v>18645</v>
      </c>
      <c r="Z2110" t="s">
        <v>24115</v>
      </c>
      <c r="AA2110">
        <v>0.84559040300146093</v>
      </c>
      <c r="AB2110" t="str">
        <f>HYPERLINK("Melting_Curves/meltCurve_P31350_RRM2.pdf", "Melting_Curves/meltCurve_P31350_RRM2.pdf")</f>
        <v>Melting_Curves/meltCurve_P31350_RRM2.pdf</v>
      </c>
    </row>
    <row r="2111" spans="1:28" x14ac:dyDescent="0.25">
      <c r="A2111" t="s">
        <v>2115</v>
      </c>
      <c r="B2111">
        <v>0.99299721793515405</v>
      </c>
      <c r="C2111">
        <v>1.06125788438641</v>
      </c>
      <c r="D2111">
        <v>1.00939391608142</v>
      </c>
      <c r="E2111">
        <v>0.87061627847990397</v>
      </c>
      <c r="F2111">
        <v>0.63660345569221499</v>
      </c>
      <c r="G2111">
        <v>0.561344930147326</v>
      </c>
      <c r="H2111">
        <v>0.45737735126747497</v>
      </c>
      <c r="I2111">
        <v>0.34252400871361299</v>
      </c>
      <c r="J2111">
        <v>0.146663398532353</v>
      </c>
      <c r="K2111">
        <v>0.10086434721316501</v>
      </c>
      <c r="L2111">
        <v>558.46687769476</v>
      </c>
      <c r="M2111">
        <v>10.124257200188</v>
      </c>
      <c r="N2111">
        <v>55.161265086050498</v>
      </c>
      <c r="O2111">
        <v>53.138920819277402</v>
      </c>
      <c r="P2111">
        <v>-4.7653163495818801E-2</v>
      </c>
      <c r="Q2111">
        <v>0</v>
      </c>
      <c r="R2111">
        <v>0.97263625593556002</v>
      </c>
      <c r="S2111" t="s">
        <v>7662</v>
      </c>
      <c r="T2111" t="s">
        <v>11100</v>
      </c>
      <c r="U2111" t="s">
        <v>11100</v>
      </c>
      <c r="V2111" t="s">
        <v>11100</v>
      </c>
      <c r="W2111" t="s">
        <v>13171</v>
      </c>
      <c r="X2111">
        <v>14</v>
      </c>
      <c r="Y2111" t="s">
        <v>18646</v>
      </c>
      <c r="Z2111" t="s">
        <v>24116</v>
      </c>
      <c r="AA2111">
        <v>0.61683182249538815</v>
      </c>
      <c r="AB2111" t="str">
        <f>HYPERLINK("Melting_Curves/meltCurve_P31689_DNAJA1.pdf", "Melting_Curves/meltCurve_P31689_DNAJA1.pdf")</f>
        <v>Melting_Curves/meltCurve_P31689_DNAJA1.pdf</v>
      </c>
    </row>
    <row r="2112" spans="1:28" x14ac:dyDescent="0.25">
      <c r="A2112" t="s">
        <v>2116</v>
      </c>
      <c r="B2112">
        <v>0.99299721793515405</v>
      </c>
      <c r="C2112">
        <v>0.92149853364642298</v>
      </c>
      <c r="D2112">
        <v>0.86591290481437999</v>
      </c>
      <c r="E2112">
        <v>0.71605973359874098</v>
      </c>
      <c r="F2112">
        <v>0.63136959938387904</v>
      </c>
      <c r="G2112">
        <v>0.34635714274093299</v>
      </c>
      <c r="H2112">
        <v>0.28500746844425601</v>
      </c>
      <c r="I2112">
        <v>0.254309003811796</v>
      </c>
      <c r="J2112">
        <v>0.22173706451744801</v>
      </c>
      <c r="K2112">
        <v>0.146608675976372</v>
      </c>
      <c r="L2112">
        <v>525.52172151023797</v>
      </c>
      <c r="M2112">
        <v>10.437611653881699</v>
      </c>
      <c r="N2112">
        <v>51.535563279694202</v>
      </c>
      <c r="O2112">
        <v>48.605921430662299</v>
      </c>
      <c r="P2112">
        <v>-4.7969906357700598E-2</v>
      </c>
      <c r="Q2112">
        <v>0.10682244899447001</v>
      </c>
      <c r="R2112">
        <v>0.98705900468468499</v>
      </c>
      <c r="S2112" t="s">
        <v>7663</v>
      </c>
      <c r="T2112" t="s">
        <v>11100</v>
      </c>
      <c r="U2112" t="s">
        <v>11100</v>
      </c>
      <c r="V2112" t="s">
        <v>11100</v>
      </c>
      <c r="W2112" t="s">
        <v>13172</v>
      </c>
      <c r="X2112">
        <v>4</v>
      </c>
      <c r="Y2112" t="s">
        <v>18647</v>
      </c>
      <c r="Z2112" t="s">
        <v>24117</v>
      </c>
      <c r="AA2112">
        <v>0.53240547975915431</v>
      </c>
      <c r="AB2112" t="str">
        <f>HYPERLINK("Melting_Curves/meltCurve_P31749_AKT1.pdf", "Melting_Curves/meltCurve_P31749_AKT1.pdf")</f>
        <v>Melting_Curves/meltCurve_P31749_AKT1.pdf</v>
      </c>
    </row>
    <row r="2113" spans="1:28" x14ac:dyDescent="0.25">
      <c r="A2113" t="s">
        <v>2117</v>
      </c>
      <c r="B2113">
        <v>0.99299721793515405</v>
      </c>
      <c r="C2113">
        <v>0.98868432373385795</v>
      </c>
      <c r="D2113">
        <v>0.95699973311905395</v>
      </c>
      <c r="E2113">
        <v>0.89146475228974797</v>
      </c>
      <c r="F2113">
        <v>0.76487571222849204</v>
      </c>
      <c r="G2113">
        <v>0.46290791586934699</v>
      </c>
      <c r="H2113">
        <v>0.29571738152212201</v>
      </c>
      <c r="I2113">
        <v>0.26773398110718299</v>
      </c>
      <c r="J2113">
        <v>0.2446241251313</v>
      </c>
      <c r="K2113">
        <v>0.20350056539107</v>
      </c>
      <c r="L2113">
        <v>1004.38253378278</v>
      </c>
      <c r="M2113">
        <v>19.339871285956299</v>
      </c>
      <c r="N2113">
        <v>53.418792701952398</v>
      </c>
      <c r="O2113">
        <v>51.387583472067298</v>
      </c>
      <c r="P2113">
        <v>-7.4521515887738393E-2</v>
      </c>
      <c r="Q2113">
        <v>0.207991179636762</v>
      </c>
      <c r="R2113">
        <v>0.99580077305341996</v>
      </c>
      <c r="S2113" t="s">
        <v>7664</v>
      </c>
      <c r="T2113" t="s">
        <v>11100</v>
      </c>
      <c r="U2113" t="s">
        <v>11100</v>
      </c>
      <c r="V2113" t="s">
        <v>11100</v>
      </c>
      <c r="W2113" t="s">
        <v>13173</v>
      </c>
      <c r="X2113">
        <v>12</v>
      </c>
      <c r="Y2113" t="s">
        <v>18648</v>
      </c>
      <c r="Z2113" t="s">
        <v>24118</v>
      </c>
      <c r="AA2113">
        <v>0.61302177049357098</v>
      </c>
      <c r="AB2113" t="str">
        <f>HYPERLINK("Melting_Curves/meltCurve_P31751_AKT2.pdf", "Melting_Curves/meltCurve_P31751_AKT2.pdf")</f>
        <v>Melting_Curves/meltCurve_P31751_AKT2.pdf</v>
      </c>
    </row>
    <row r="2114" spans="1:28" x14ac:dyDescent="0.25">
      <c r="A2114" t="s">
        <v>2118</v>
      </c>
      <c r="B2114">
        <v>0.99299721793515405</v>
      </c>
      <c r="C2114">
        <v>0.92086078166685104</v>
      </c>
      <c r="D2114">
        <v>0.88191330373704402</v>
      </c>
      <c r="E2114">
        <v>0.88052157205205706</v>
      </c>
      <c r="F2114">
        <v>0.72626758790374102</v>
      </c>
      <c r="G2114">
        <v>0.60588372993122197</v>
      </c>
      <c r="H2114">
        <v>0.68675317774820299</v>
      </c>
      <c r="I2114">
        <v>0.615600406428227</v>
      </c>
      <c r="J2114">
        <v>0.29636750892188501</v>
      </c>
      <c r="K2114">
        <v>0.24660065988267599</v>
      </c>
      <c r="L2114">
        <v>382.50263101441999</v>
      </c>
      <c r="M2114">
        <v>6.3996961229051896</v>
      </c>
      <c r="N2114">
        <v>59.768873943713302</v>
      </c>
      <c r="O2114">
        <v>54.733102657958</v>
      </c>
      <c r="P2114">
        <v>-2.9306478186801699E-2</v>
      </c>
      <c r="Q2114">
        <v>0</v>
      </c>
      <c r="R2114">
        <v>0.89072413388585303</v>
      </c>
      <c r="S2114" t="s">
        <v>7665</v>
      </c>
      <c r="T2114" t="s">
        <v>11100</v>
      </c>
      <c r="U2114" t="s">
        <v>11100</v>
      </c>
      <c r="V2114" t="s">
        <v>11100</v>
      </c>
      <c r="W2114" t="s">
        <v>13174</v>
      </c>
      <c r="X2114">
        <v>18</v>
      </c>
      <c r="Y2114" t="s">
        <v>18649</v>
      </c>
      <c r="Z2114" t="s">
        <v>24119</v>
      </c>
      <c r="AA2114">
        <v>0.69887121844044342</v>
      </c>
      <c r="AB2114" t="str">
        <f>HYPERLINK("Melting_Curves/meltCurve_P31930_UQCRC1.pdf", "Melting_Curves/meltCurve_P31930_UQCRC1.pdf")</f>
        <v>Melting_Curves/meltCurve_P31930_UQCRC1.pdf</v>
      </c>
    </row>
    <row r="2115" spans="1:28" x14ac:dyDescent="0.25">
      <c r="A2115" t="s">
        <v>2119</v>
      </c>
      <c r="B2115">
        <v>0.99299721793515405</v>
      </c>
      <c r="C2115">
        <v>0.97375285335552997</v>
      </c>
      <c r="D2115">
        <v>0.85972557626740698</v>
      </c>
      <c r="E2115">
        <v>0.82268031622926896</v>
      </c>
      <c r="F2115">
        <v>0.83801914393878296</v>
      </c>
      <c r="G2115">
        <v>0.55694027392995904</v>
      </c>
      <c r="H2115">
        <v>0.69327677778629304</v>
      </c>
      <c r="I2115">
        <v>0.80879287711277104</v>
      </c>
      <c r="J2115">
        <v>0.62502599873326403</v>
      </c>
      <c r="K2115">
        <v>0.23141147475874499</v>
      </c>
      <c r="L2115">
        <v>292.91701070422101</v>
      </c>
      <c r="M2115">
        <v>4.4860124345582397</v>
      </c>
      <c r="N2115">
        <v>65.295630677980299</v>
      </c>
      <c r="O2115">
        <v>55.447022866276903</v>
      </c>
      <c r="P2115">
        <v>-2.0405316740894699E-2</v>
      </c>
      <c r="Q2115">
        <v>0</v>
      </c>
      <c r="R2115">
        <v>0.657284795551349</v>
      </c>
      <c r="S2115" t="s">
        <v>7666</v>
      </c>
      <c r="T2115" t="s">
        <v>11100</v>
      </c>
      <c r="U2115" t="s">
        <v>11100</v>
      </c>
      <c r="V2115" t="s">
        <v>11100</v>
      </c>
      <c r="W2115" t="s">
        <v>13175</v>
      </c>
      <c r="X2115">
        <v>9</v>
      </c>
      <c r="Y2115" t="s">
        <v>18650</v>
      </c>
      <c r="Z2115" t="s">
        <v>24120</v>
      </c>
      <c r="AA2115">
        <v>0.74581719716541484</v>
      </c>
      <c r="AB2115" t="str">
        <f>HYPERLINK("Melting_Curves/meltCurve_P31937_HIBADH.pdf", "Melting_Curves/meltCurve_P31937_HIBADH.pdf")</f>
        <v>Melting_Curves/meltCurve_P31937_HIBADH.pdf</v>
      </c>
    </row>
    <row r="2116" spans="1:28" x14ac:dyDescent="0.25">
      <c r="A2116" t="s">
        <v>2120</v>
      </c>
      <c r="B2116">
        <v>0.99299721793515405</v>
      </c>
      <c r="C2116">
        <v>0.99876237457575601</v>
      </c>
      <c r="D2116">
        <v>0.967610399874128</v>
      </c>
      <c r="E2116">
        <v>0.91087632755718595</v>
      </c>
      <c r="F2116">
        <v>0.74890958508273697</v>
      </c>
      <c r="G2116">
        <v>0.47550449567835401</v>
      </c>
      <c r="H2116">
        <v>0.23683281915483101</v>
      </c>
      <c r="I2116">
        <v>0.138363170467659</v>
      </c>
      <c r="J2116">
        <v>0.113091360937802</v>
      </c>
      <c r="K2116">
        <v>8.9328455129112194E-2</v>
      </c>
      <c r="L2116">
        <v>944.16133859018998</v>
      </c>
      <c r="M2116">
        <v>17.836796500364901</v>
      </c>
      <c r="N2116">
        <v>53.345222665953401</v>
      </c>
      <c r="O2116">
        <v>52.2814548326891</v>
      </c>
      <c r="P2116">
        <v>-7.98096415488352E-2</v>
      </c>
      <c r="Q2116">
        <v>6.4327363863870099E-2</v>
      </c>
      <c r="R2116">
        <v>0.99929658624505002</v>
      </c>
      <c r="S2116" t="s">
        <v>7667</v>
      </c>
      <c r="T2116" t="s">
        <v>11100</v>
      </c>
      <c r="U2116" t="s">
        <v>11100</v>
      </c>
      <c r="V2116" t="s">
        <v>11100</v>
      </c>
      <c r="W2116" t="s">
        <v>13176</v>
      </c>
      <c r="X2116">
        <v>41</v>
      </c>
      <c r="Y2116" t="s">
        <v>18651</v>
      </c>
      <c r="Z2116" t="s">
        <v>24121</v>
      </c>
      <c r="AA2116">
        <v>0.57508275159403344</v>
      </c>
      <c r="AB2116" t="str">
        <f>HYPERLINK("Melting_Curves/meltCurve_P31939_ATIC.pdf", "Melting_Curves/meltCurve_P31939_ATIC.pdf")</f>
        <v>Melting_Curves/meltCurve_P31939_ATIC.pdf</v>
      </c>
    </row>
    <row r="2117" spans="1:28" x14ac:dyDescent="0.25">
      <c r="A2117" t="s">
        <v>2121</v>
      </c>
      <c r="B2117">
        <v>0.99299721793515405</v>
      </c>
      <c r="C2117">
        <v>1.0455175110827599</v>
      </c>
      <c r="D2117">
        <v>0.98032228094863205</v>
      </c>
      <c r="E2117">
        <v>0.89013143826635099</v>
      </c>
      <c r="F2117">
        <v>0.55913822610988995</v>
      </c>
      <c r="G2117">
        <v>0.26876567527373202</v>
      </c>
      <c r="H2117">
        <v>0.216910507974371</v>
      </c>
      <c r="I2117">
        <v>0.182030327864458</v>
      </c>
      <c r="J2117">
        <v>0.16783491935345601</v>
      </c>
      <c r="K2117">
        <v>0.17897548518696199</v>
      </c>
      <c r="L2117">
        <v>1336.3840358431</v>
      </c>
      <c r="M2117">
        <v>26.782187424953399</v>
      </c>
      <c r="N2117">
        <v>50.720518684627201</v>
      </c>
      <c r="O2117">
        <v>49.622549830700301</v>
      </c>
      <c r="P2117">
        <v>-0.111168793696156</v>
      </c>
      <c r="Q2117">
        <v>0.17610594145980701</v>
      </c>
      <c r="R2117">
        <v>0.99791924039952495</v>
      </c>
      <c r="S2117" t="s">
        <v>7668</v>
      </c>
      <c r="T2117" t="s">
        <v>11100</v>
      </c>
      <c r="U2117" t="s">
        <v>11100</v>
      </c>
      <c r="V2117" t="s">
        <v>11100</v>
      </c>
      <c r="W2117" t="s">
        <v>13177</v>
      </c>
      <c r="X2117">
        <v>5</v>
      </c>
      <c r="Y2117" t="s">
        <v>18652</v>
      </c>
      <c r="Z2117" t="s">
        <v>24122</v>
      </c>
      <c r="AA2117">
        <v>0.53663560667000965</v>
      </c>
      <c r="AB2117" t="str">
        <f>HYPERLINK("Melting_Curves/meltCurve_P31942_2_HNRNPH3.pdf", "Melting_Curves/meltCurve_P31942_2_HNRNPH3.pdf")</f>
        <v>Melting_Curves/meltCurve_P31942_2_HNRNPH3.pdf</v>
      </c>
    </row>
    <row r="2118" spans="1:28" x14ac:dyDescent="0.25">
      <c r="A2118" t="s">
        <v>2122</v>
      </c>
      <c r="B2118">
        <v>0.99299721793515405</v>
      </c>
      <c r="C2118">
        <v>0.96286534853402095</v>
      </c>
      <c r="D2118">
        <v>0.89043237380114104</v>
      </c>
      <c r="E2118">
        <v>0.85395879051397805</v>
      </c>
      <c r="F2118">
        <v>0.73778266020836702</v>
      </c>
      <c r="G2118">
        <v>0.56871278860479202</v>
      </c>
      <c r="H2118">
        <v>0.51778523967366497</v>
      </c>
      <c r="I2118">
        <v>0.34714424222860601</v>
      </c>
      <c r="J2118">
        <v>0.207252602344008</v>
      </c>
      <c r="K2118">
        <v>0.14478141244214199</v>
      </c>
      <c r="L2118">
        <v>497.80726412509</v>
      </c>
      <c r="M2118">
        <v>8.8876310418445694</v>
      </c>
      <c r="N2118">
        <v>56.0112420527566</v>
      </c>
      <c r="O2118">
        <v>53.393166976591402</v>
      </c>
      <c r="P2118">
        <v>-4.1645776726337402E-2</v>
      </c>
      <c r="Q2118">
        <v>0</v>
      </c>
      <c r="R2118">
        <v>0.98677034595218605</v>
      </c>
      <c r="S2118" t="s">
        <v>7669</v>
      </c>
      <c r="T2118" t="s">
        <v>11100</v>
      </c>
      <c r="U2118" t="s">
        <v>11100</v>
      </c>
      <c r="V2118" t="s">
        <v>11100</v>
      </c>
      <c r="W2118" t="s">
        <v>13178</v>
      </c>
      <c r="X2118">
        <v>18</v>
      </c>
      <c r="Y2118" t="s">
        <v>18653</v>
      </c>
      <c r="Z2118" t="s">
        <v>24123</v>
      </c>
      <c r="AA2118">
        <v>0.63600342279865563</v>
      </c>
      <c r="AB2118" t="str">
        <f>HYPERLINK("Melting_Curves/meltCurve_P31946_YWHAB.pdf", "Melting_Curves/meltCurve_P31946_YWHAB.pdf")</f>
        <v>Melting_Curves/meltCurve_P31946_YWHAB.pdf</v>
      </c>
    </row>
    <row r="2119" spans="1:28" x14ac:dyDescent="0.25">
      <c r="A2119" t="s">
        <v>2123</v>
      </c>
      <c r="B2119">
        <v>0.99299721793515405</v>
      </c>
      <c r="C2119">
        <v>0.94821664128503902</v>
      </c>
      <c r="D2119">
        <v>1.39102717626134</v>
      </c>
      <c r="E2119">
        <v>0.80045514182158695</v>
      </c>
      <c r="F2119">
        <v>0.93897816178284499</v>
      </c>
      <c r="G2119">
        <v>0.871152334451753</v>
      </c>
      <c r="H2119">
        <v>0.419179186507945</v>
      </c>
      <c r="I2119">
        <v>0.28606599536268101</v>
      </c>
      <c r="J2119">
        <v>0.14940033528267199</v>
      </c>
      <c r="K2119">
        <v>0.13514384718911501</v>
      </c>
      <c r="L2119">
        <v>1624.8300376188499</v>
      </c>
      <c r="M2119">
        <v>28.8212244720293</v>
      </c>
      <c r="N2119">
        <v>57.0337158800289</v>
      </c>
      <c r="O2119">
        <v>56.106848316081297</v>
      </c>
      <c r="P2119">
        <v>-0.110268666305002</v>
      </c>
      <c r="Q2119">
        <v>0.141357813457439</v>
      </c>
      <c r="R2119">
        <v>0.87210455991600999</v>
      </c>
      <c r="S2119" t="s">
        <v>7670</v>
      </c>
      <c r="T2119" t="s">
        <v>11100</v>
      </c>
      <c r="U2119" t="s">
        <v>11100</v>
      </c>
      <c r="V2119" t="s">
        <v>11100</v>
      </c>
      <c r="W2119" t="s">
        <v>13179</v>
      </c>
      <c r="X2119">
        <v>9</v>
      </c>
      <c r="Y2119" t="s">
        <v>18654</v>
      </c>
      <c r="Z2119" t="s">
        <v>24124</v>
      </c>
      <c r="AA2119">
        <v>0.70153973968302596</v>
      </c>
      <c r="AB2119" t="str">
        <f>HYPERLINK("Melting_Curves/meltCurve_P31947_2_SFN.pdf", "Melting_Curves/meltCurve_P31947_2_SFN.pdf")</f>
        <v>Melting_Curves/meltCurve_P31947_2_SFN.pdf</v>
      </c>
    </row>
    <row r="2120" spans="1:28" x14ac:dyDescent="0.25">
      <c r="A2120" t="s">
        <v>2124</v>
      </c>
      <c r="B2120">
        <v>0.99299721793515405</v>
      </c>
      <c r="C2120">
        <v>0.98622166961860902</v>
      </c>
      <c r="D2120">
        <v>1.04142162021797</v>
      </c>
      <c r="E2120">
        <v>0.90488375102009</v>
      </c>
      <c r="F2120">
        <v>0.88595958324135404</v>
      </c>
      <c r="G2120">
        <v>1.34789137865605</v>
      </c>
      <c r="H2120">
        <v>0.70256941788545302</v>
      </c>
      <c r="I2120">
        <v>0.81633981443443604</v>
      </c>
      <c r="J2120">
        <v>0.58440352803093998</v>
      </c>
      <c r="K2120">
        <v>0.49825368859792302</v>
      </c>
      <c r="L2120">
        <v>1397.99870179856</v>
      </c>
      <c r="M2120">
        <v>22.714116639141501</v>
      </c>
      <c r="O2120">
        <v>61.076469699168001</v>
      </c>
      <c r="P2120">
        <v>-5.3184148920879998E-2</v>
      </c>
      <c r="Q2120">
        <v>0.42797931034721598</v>
      </c>
      <c r="R2120">
        <v>0.61617270278664005</v>
      </c>
      <c r="S2120" t="s">
        <v>7671</v>
      </c>
      <c r="T2120" t="s">
        <v>11100</v>
      </c>
      <c r="U2120" t="s">
        <v>11100</v>
      </c>
      <c r="V2120" t="s">
        <v>11100</v>
      </c>
      <c r="W2120" t="s">
        <v>13180</v>
      </c>
      <c r="X2120">
        <v>44</v>
      </c>
      <c r="Y2120" t="s">
        <v>18655</v>
      </c>
      <c r="Z2120" t="s">
        <v>24125</v>
      </c>
      <c r="AA2120">
        <v>0.89372553394996279</v>
      </c>
      <c r="AB2120" t="str">
        <f>HYPERLINK("Melting_Curves/meltCurve_P31948_STIP1.pdf", "Melting_Curves/meltCurve_P31948_STIP1.pdf")</f>
        <v>Melting_Curves/meltCurve_P31948_STIP1.pdf</v>
      </c>
    </row>
    <row r="2121" spans="1:28" x14ac:dyDescent="0.25">
      <c r="A2121" t="s">
        <v>2125</v>
      </c>
      <c r="B2121">
        <v>0.99299721793515405</v>
      </c>
      <c r="C2121">
        <v>0.95140630235412105</v>
      </c>
      <c r="D2121">
        <v>0.89826433226742097</v>
      </c>
      <c r="E2121">
        <v>0.77210645070982797</v>
      </c>
      <c r="F2121">
        <v>0.65909012388159005</v>
      </c>
      <c r="G2121">
        <v>0.64310913464943298</v>
      </c>
      <c r="H2121">
        <v>0.47549503721559999</v>
      </c>
      <c r="I2121">
        <v>0.58366200138344004</v>
      </c>
      <c r="J2121">
        <v>0.615308450346715</v>
      </c>
      <c r="K2121">
        <v>0.49454620354102802</v>
      </c>
      <c r="L2121">
        <v>650.89040281747498</v>
      </c>
      <c r="M2121">
        <v>13.9182334394997</v>
      </c>
      <c r="O2121">
        <v>45.831630688659601</v>
      </c>
      <c r="P2121">
        <v>-3.5322361587132797E-2</v>
      </c>
      <c r="Q2121">
        <v>0.53480812986305803</v>
      </c>
      <c r="R2121">
        <v>0.94008133105549296</v>
      </c>
      <c r="S2121" t="s">
        <v>7672</v>
      </c>
      <c r="T2121" t="s">
        <v>11100</v>
      </c>
      <c r="U2121" t="s">
        <v>11100</v>
      </c>
      <c r="V2121" t="s">
        <v>11100</v>
      </c>
      <c r="W2121" t="s">
        <v>13181</v>
      </c>
      <c r="X2121">
        <v>9</v>
      </c>
      <c r="Y2121" t="s">
        <v>18656</v>
      </c>
      <c r="Z2121" t="s">
        <v>24126</v>
      </c>
      <c r="AA2121">
        <v>0.69826726218955992</v>
      </c>
      <c r="AB2121" t="str">
        <f>HYPERLINK("Melting_Curves/meltCurve_P31949_S100A11.pdf", "Melting_Curves/meltCurve_P31949_S100A11.pdf")</f>
        <v>Melting_Curves/meltCurve_P31949_S100A11.pdf</v>
      </c>
    </row>
    <row r="2122" spans="1:28" x14ac:dyDescent="0.25">
      <c r="A2122" t="s">
        <v>2126</v>
      </c>
      <c r="B2122">
        <v>0.99299721793515405</v>
      </c>
      <c r="C2122">
        <v>0.94721980569611597</v>
      </c>
      <c r="D2122">
        <v>0.98719411239771204</v>
      </c>
      <c r="E2122">
        <v>0.79450271613359402</v>
      </c>
      <c r="F2122">
        <v>0.54695891094619498</v>
      </c>
      <c r="G2122">
        <v>0.23836185667596499</v>
      </c>
      <c r="H2122">
        <v>0.12486869728545399</v>
      </c>
      <c r="I2122">
        <v>0.115676503629261</v>
      </c>
      <c r="J2122">
        <v>0.10082100327002599</v>
      </c>
      <c r="K2122">
        <v>8.8047961524073903E-2</v>
      </c>
      <c r="L2122">
        <v>997.19396358503695</v>
      </c>
      <c r="M2122">
        <v>19.9687566993661</v>
      </c>
      <c r="N2122">
        <v>50.380224213338003</v>
      </c>
      <c r="O2122">
        <v>49.445000078398202</v>
      </c>
      <c r="P2122">
        <v>-9.2846221828998404E-2</v>
      </c>
      <c r="Q2122">
        <v>8.0437549011377299E-2</v>
      </c>
      <c r="R2122">
        <v>0.99627799612610002</v>
      </c>
      <c r="S2122" t="s">
        <v>7673</v>
      </c>
      <c r="T2122" t="s">
        <v>11100</v>
      </c>
      <c r="U2122" t="s">
        <v>11100</v>
      </c>
      <c r="V2122" t="s">
        <v>11100</v>
      </c>
      <c r="W2122" t="s">
        <v>13182</v>
      </c>
      <c r="X2122">
        <v>5</v>
      </c>
      <c r="Y2122" t="s">
        <v>18657</v>
      </c>
      <c r="Z2122" t="s">
        <v>24127</v>
      </c>
      <c r="AA2122">
        <v>0.48915021008072151</v>
      </c>
      <c r="AB2122" t="str">
        <f>HYPERLINK("Melting_Curves/meltCurve_P32019_3_INPP5B.pdf", "Melting_Curves/meltCurve_P32019_3_INPP5B.pdf")</f>
        <v>Melting_Curves/meltCurve_P32019_3_INPP5B.pdf</v>
      </c>
    </row>
    <row r="2123" spans="1:28" x14ac:dyDescent="0.25">
      <c r="A2123" t="s">
        <v>2127</v>
      </c>
      <c r="B2123">
        <v>0.99299721793515405</v>
      </c>
      <c r="C2123">
        <v>1.0637618336056001</v>
      </c>
      <c r="D2123">
        <v>0.94949723934540298</v>
      </c>
      <c r="E2123">
        <v>0.91596990866803096</v>
      </c>
      <c r="F2123">
        <v>0.80720430193442205</v>
      </c>
      <c r="G2123">
        <v>0.98796759599776696</v>
      </c>
      <c r="H2123">
        <v>0.95129011968018595</v>
      </c>
      <c r="I2123">
        <v>0.59618309108593404</v>
      </c>
      <c r="J2123">
        <v>0.34535101134802998</v>
      </c>
      <c r="K2123">
        <v>0.24450687890264899</v>
      </c>
      <c r="L2123">
        <v>2375.6195976218301</v>
      </c>
      <c r="M2123">
        <v>38.996390529576502</v>
      </c>
      <c r="N2123">
        <v>61.913988674100203</v>
      </c>
      <c r="O2123">
        <v>60.759423128151496</v>
      </c>
      <c r="P2123">
        <v>-0.123096213057202</v>
      </c>
      <c r="Q2123">
        <v>0.232827694870816</v>
      </c>
      <c r="R2123">
        <v>0.93173620527566703</v>
      </c>
      <c r="S2123" t="s">
        <v>7674</v>
      </c>
      <c r="T2123" t="s">
        <v>11100</v>
      </c>
      <c r="U2123" t="s">
        <v>11100</v>
      </c>
      <c r="V2123" t="s">
        <v>11100</v>
      </c>
      <c r="W2123" t="s">
        <v>13183</v>
      </c>
      <c r="X2123">
        <v>18</v>
      </c>
      <c r="Y2123" t="s">
        <v>18658</v>
      </c>
      <c r="Z2123" t="s">
        <v>24128</v>
      </c>
      <c r="AA2123">
        <v>0.84642565355657828</v>
      </c>
      <c r="AB2123" t="str">
        <f>HYPERLINK("Melting_Curves/meltCurve_P32119_PRDX2.pdf", "Melting_Curves/meltCurve_P32119_PRDX2.pdf")</f>
        <v>Melting_Curves/meltCurve_P32119_PRDX2.pdf</v>
      </c>
    </row>
    <row r="2124" spans="1:28" x14ac:dyDescent="0.25">
      <c r="A2124" t="s">
        <v>2128</v>
      </c>
      <c r="B2124">
        <v>0.99299721793515405</v>
      </c>
      <c r="C2124">
        <v>1.07569678680006</v>
      </c>
      <c r="D2124">
        <v>1.3287981056742799</v>
      </c>
      <c r="E2124">
        <v>1.0180151428408499</v>
      </c>
      <c r="F2124">
        <v>0.80045055788229502</v>
      </c>
      <c r="G2124">
        <v>0.61671342120123995</v>
      </c>
      <c r="H2124">
        <v>0.22953536385154399</v>
      </c>
      <c r="I2124">
        <v>0.19178751475300601</v>
      </c>
      <c r="J2124">
        <v>0.13447537840721599</v>
      </c>
      <c r="K2124">
        <v>0.118811026851403</v>
      </c>
      <c r="L2124">
        <v>1296.8142416537801</v>
      </c>
      <c r="M2124">
        <v>24.073030418664001</v>
      </c>
      <c r="N2124">
        <v>54.4595577343865</v>
      </c>
      <c r="O2124">
        <v>53.502394657201101</v>
      </c>
      <c r="P2124">
        <v>-9.9584437419465197E-2</v>
      </c>
      <c r="Q2124">
        <v>0.11470678314685</v>
      </c>
      <c r="R2124">
        <v>0.93122815594503505</v>
      </c>
      <c r="S2124" t="s">
        <v>7675</v>
      </c>
      <c r="T2124" t="s">
        <v>11100</v>
      </c>
      <c r="U2124" t="s">
        <v>11100</v>
      </c>
      <c r="V2124" t="s">
        <v>11100</v>
      </c>
      <c r="W2124" t="s">
        <v>13184</v>
      </c>
      <c r="X2124">
        <v>13</v>
      </c>
      <c r="Y2124" t="s">
        <v>18659</v>
      </c>
      <c r="Z2124" t="s">
        <v>24129</v>
      </c>
      <c r="AA2124">
        <v>0.620768317855378</v>
      </c>
      <c r="AB2124" t="str">
        <f>HYPERLINK("Melting_Curves/meltCurve_P32121_5_ARRB2.pdf", "Melting_Curves/meltCurve_P32121_5_ARRB2.pdf")</f>
        <v>Melting_Curves/meltCurve_P32121_5_ARRB2.pdf</v>
      </c>
    </row>
    <row r="2125" spans="1:28" x14ac:dyDescent="0.25">
      <c r="A2125" t="s">
        <v>2129</v>
      </c>
      <c r="B2125">
        <v>0.99299721793515405</v>
      </c>
      <c r="C2125">
        <v>1.0623130486241401</v>
      </c>
      <c r="D2125">
        <v>0.86884169856715399</v>
      </c>
      <c r="E2125">
        <v>0.83796685716932795</v>
      </c>
      <c r="F2125">
        <v>0.79218872839404997</v>
      </c>
      <c r="G2125">
        <v>0.68125120423730001</v>
      </c>
      <c r="H2125">
        <v>0.83195091740833904</v>
      </c>
      <c r="I2125">
        <v>0.95749423722595095</v>
      </c>
      <c r="J2125">
        <v>0.90454264175149901</v>
      </c>
      <c r="K2125">
        <v>0.33860530840083197</v>
      </c>
      <c r="L2125">
        <v>235.12797396207</v>
      </c>
      <c r="M2125">
        <v>2.8799480327273499</v>
      </c>
      <c r="O2125">
        <v>59.0189271103213</v>
      </c>
      <c r="P2125">
        <v>-1.26226927667816E-2</v>
      </c>
      <c r="Q2125">
        <v>0</v>
      </c>
      <c r="R2125">
        <v>0.33545228478445299</v>
      </c>
      <c r="S2125" t="s">
        <v>7676</v>
      </c>
      <c r="T2125" t="s">
        <v>11100</v>
      </c>
      <c r="U2125" t="s">
        <v>11100</v>
      </c>
      <c r="V2125" t="s">
        <v>11100</v>
      </c>
      <c r="W2125" t="s">
        <v>13185</v>
      </c>
      <c r="X2125">
        <v>5</v>
      </c>
      <c r="Y2125" t="s">
        <v>18660</v>
      </c>
      <c r="Z2125" t="s">
        <v>24130</v>
      </c>
      <c r="AA2125">
        <v>0.82882498997460097</v>
      </c>
      <c r="AB2125" t="str">
        <f>HYPERLINK("Melting_Curves/meltCurve_P32321_2_DCTD.pdf", "Melting_Curves/meltCurve_P32321_2_DCTD.pdf")</f>
        <v>Melting_Curves/meltCurve_P32321_2_DCTD.pdf</v>
      </c>
    </row>
    <row r="2126" spans="1:28" x14ac:dyDescent="0.25">
      <c r="A2126" t="s">
        <v>2130</v>
      </c>
      <c r="B2126">
        <v>0.99299721793515405</v>
      </c>
      <c r="C2126">
        <v>0.94706058234541202</v>
      </c>
      <c r="D2126">
        <v>0.88984116763718002</v>
      </c>
      <c r="E2126">
        <v>0.99757814139493395</v>
      </c>
      <c r="F2126">
        <v>0.50918881373411595</v>
      </c>
      <c r="G2126">
        <v>0.21334178636488799</v>
      </c>
      <c r="H2126">
        <v>0.18283964477523901</v>
      </c>
      <c r="I2126">
        <v>0.207295492485806</v>
      </c>
      <c r="J2126">
        <v>0.24995906507566501</v>
      </c>
      <c r="K2126">
        <v>0.15237222751975801</v>
      </c>
      <c r="L2126">
        <v>3311.4106509442299</v>
      </c>
      <c r="M2126">
        <v>66.423808317449797</v>
      </c>
      <c r="N2126">
        <v>50.238768334123399</v>
      </c>
      <c r="O2126">
        <v>49.807639260868399</v>
      </c>
      <c r="P2126">
        <v>-0.26676560272468303</v>
      </c>
      <c r="Q2126">
        <v>0.19986754223310299</v>
      </c>
      <c r="R2126">
        <v>0.984267369384067</v>
      </c>
      <c r="S2126" t="s">
        <v>7677</v>
      </c>
      <c r="T2126" t="s">
        <v>11100</v>
      </c>
      <c r="U2126" t="s">
        <v>11100</v>
      </c>
      <c r="V2126" t="s">
        <v>11100</v>
      </c>
      <c r="W2126" t="s">
        <v>13186</v>
      </c>
      <c r="X2126">
        <v>2</v>
      </c>
      <c r="Y2126" t="s">
        <v>18661</v>
      </c>
      <c r="Z2126" t="s">
        <v>24131</v>
      </c>
      <c r="AA2126">
        <v>0.54365930133254825</v>
      </c>
      <c r="AB2126" t="str">
        <f>HYPERLINK("Melting_Curves/meltCurve_P32519_2_ELF1.pdf", "Melting_Curves/meltCurve_P32519_2_ELF1.pdf")</f>
        <v>Melting_Curves/meltCurve_P32519_2_ELF1.pdf</v>
      </c>
    </row>
    <row r="2127" spans="1:28" x14ac:dyDescent="0.25">
      <c r="A2127" t="s">
        <v>2131</v>
      </c>
      <c r="B2127">
        <v>0.99299721793515405</v>
      </c>
      <c r="C2127">
        <v>0.86134213143131799</v>
      </c>
      <c r="D2127">
        <v>0.91937070729535597</v>
      </c>
      <c r="E2127">
        <v>0.7601335583862</v>
      </c>
      <c r="F2127">
        <v>0.78547960803918304</v>
      </c>
      <c r="G2127">
        <v>0.47336499666785897</v>
      </c>
      <c r="H2127">
        <v>0.38542389325677401</v>
      </c>
      <c r="I2127">
        <v>0.39991848209921499</v>
      </c>
      <c r="J2127">
        <v>0.34003427433267802</v>
      </c>
      <c r="K2127">
        <v>0.41686510002198102</v>
      </c>
      <c r="L2127">
        <v>553.75214812955596</v>
      </c>
      <c r="M2127">
        <v>11.0208661833714</v>
      </c>
      <c r="N2127">
        <v>55.055263260206203</v>
      </c>
      <c r="O2127">
        <v>48.676502565477101</v>
      </c>
      <c r="P2127">
        <v>-3.9120988076381397E-2</v>
      </c>
      <c r="Q2127">
        <v>0.30907960988701599</v>
      </c>
      <c r="R2127">
        <v>0.928557365762125</v>
      </c>
      <c r="S2127" t="s">
        <v>7678</v>
      </c>
      <c r="T2127" t="s">
        <v>11100</v>
      </c>
      <c r="U2127" t="s">
        <v>11100</v>
      </c>
      <c r="V2127" t="s">
        <v>11100</v>
      </c>
      <c r="W2127" t="s">
        <v>13187</v>
      </c>
      <c r="X2127">
        <v>2</v>
      </c>
      <c r="Y2127" t="s">
        <v>18662</v>
      </c>
      <c r="Z2127" t="s">
        <v>24132</v>
      </c>
      <c r="AA2127">
        <v>0.63498409291048985</v>
      </c>
      <c r="AB2127" t="str">
        <f>HYPERLINK("Melting_Curves/meltCurve_P32856_3_STX2.pdf", "Melting_Curves/meltCurve_P32856_3_STX2.pdf")</f>
        <v>Melting_Curves/meltCurve_P32856_3_STX2.pdf</v>
      </c>
    </row>
    <row r="2128" spans="1:28" x14ac:dyDescent="0.25">
      <c r="A2128" t="s">
        <v>2132</v>
      </c>
      <c r="B2128">
        <v>0.99299721793515405</v>
      </c>
      <c r="C2128">
        <v>1.0222971699674399</v>
      </c>
      <c r="D2128">
        <v>0.84128354913369996</v>
      </c>
      <c r="E2128">
        <v>0.795892755875241</v>
      </c>
      <c r="F2128">
        <v>0.76143518832495005</v>
      </c>
      <c r="G2128">
        <v>0.61690648366713097</v>
      </c>
      <c r="H2128">
        <v>0.78235488180504698</v>
      </c>
      <c r="I2128">
        <v>0.95450235058778099</v>
      </c>
      <c r="J2128">
        <v>1.0371023619470101</v>
      </c>
      <c r="K2128">
        <v>0.82766959189964795</v>
      </c>
      <c r="L2128">
        <v>10651.763557354299</v>
      </c>
      <c r="M2128">
        <v>250</v>
      </c>
      <c r="O2128">
        <v>42.604333788034701</v>
      </c>
      <c r="P2128">
        <v>-0.25654176136725998</v>
      </c>
      <c r="Q2128">
        <v>0.82512337199010499</v>
      </c>
      <c r="R2128">
        <v>0.31746007935380399</v>
      </c>
      <c r="S2128" t="s">
        <v>7679</v>
      </c>
      <c r="T2128" t="s">
        <v>11100</v>
      </c>
      <c r="U2128" t="s">
        <v>11100</v>
      </c>
      <c r="V2128" t="s">
        <v>11100</v>
      </c>
      <c r="W2128" t="s">
        <v>13188</v>
      </c>
      <c r="X2128">
        <v>9</v>
      </c>
      <c r="Y2128" t="s">
        <v>18663</v>
      </c>
      <c r="Z2128" t="s">
        <v>24133</v>
      </c>
      <c r="AA2128">
        <v>0.85782120623078872</v>
      </c>
      <c r="AB2128" t="str">
        <f>HYPERLINK("Melting_Curves/meltCurve_P32929_CTH.pdf", "Melting_Curves/meltCurve_P32929_CTH.pdf")</f>
        <v>Melting_Curves/meltCurve_P32929_CTH.pdf</v>
      </c>
    </row>
    <row r="2129" spans="1:28" x14ac:dyDescent="0.25">
      <c r="A2129" t="s">
        <v>2133</v>
      </c>
      <c r="B2129">
        <v>0.99299721793515405</v>
      </c>
      <c r="C2129">
        <v>0.96297306965017604</v>
      </c>
      <c r="D2129">
        <v>0.98574260232132205</v>
      </c>
      <c r="E2129">
        <v>0.87531573868845403</v>
      </c>
      <c r="F2129">
        <v>0.71981473259279305</v>
      </c>
      <c r="G2129">
        <v>0.43030029051476099</v>
      </c>
      <c r="H2129">
        <v>0.177686080323532</v>
      </c>
      <c r="I2129">
        <v>0.13783686575071499</v>
      </c>
      <c r="J2129">
        <v>0.13432160234783799</v>
      </c>
      <c r="K2129">
        <v>0.117048381391288</v>
      </c>
      <c r="L2129">
        <v>1007.38023319612</v>
      </c>
      <c r="M2129">
        <v>19.351174907216301</v>
      </c>
      <c r="N2129">
        <v>52.621823540928098</v>
      </c>
      <c r="O2129">
        <v>51.511461756944897</v>
      </c>
      <c r="P2129">
        <v>-8.5124405024716701E-2</v>
      </c>
      <c r="Q2129">
        <v>9.3652978318330402E-2</v>
      </c>
      <c r="R2129">
        <v>0.99564529359655596</v>
      </c>
      <c r="S2129" t="s">
        <v>7680</v>
      </c>
      <c r="T2129" t="s">
        <v>11100</v>
      </c>
      <c r="U2129" t="s">
        <v>11100</v>
      </c>
      <c r="V2129" t="s">
        <v>11100</v>
      </c>
      <c r="W2129" t="s">
        <v>13189</v>
      </c>
      <c r="X2129">
        <v>14</v>
      </c>
      <c r="Y2129" t="s">
        <v>18664</v>
      </c>
      <c r="Z2129" t="s">
        <v>24134</v>
      </c>
      <c r="AA2129">
        <v>0.5608739444611317</v>
      </c>
      <c r="AB2129" t="str">
        <f>HYPERLINK("Melting_Curves/meltCurve_P33121_2_ACSL1.pdf", "Melting_Curves/meltCurve_P33121_2_ACSL1.pdf")</f>
        <v>Melting_Curves/meltCurve_P33121_2_ACSL1.pdf</v>
      </c>
    </row>
    <row r="2130" spans="1:28" x14ac:dyDescent="0.25">
      <c r="A2130" t="s">
        <v>2134</v>
      </c>
      <c r="B2130">
        <v>0.99299721793515405</v>
      </c>
      <c r="C2130">
        <v>0.98547957183776103</v>
      </c>
      <c r="D2130">
        <v>0.88797176554616497</v>
      </c>
      <c r="E2130">
        <v>0.85297236358853701</v>
      </c>
      <c r="F2130">
        <v>0.77081638538676001</v>
      </c>
      <c r="G2130">
        <v>0.72253676722451599</v>
      </c>
      <c r="H2130">
        <v>0.18685660364279899</v>
      </c>
      <c r="I2130">
        <v>0.15599368590756599</v>
      </c>
      <c r="J2130">
        <v>0.143822954417376</v>
      </c>
      <c r="K2130">
        <v>0.12322641853741401</v>
      </c>
      <c r="L2130">
        <v>923.75195750954401</v>
      </c>
      <c r="M2130">
        <v>17.0165085354454</v>
      </c>
      <c r="N2130">
        <v>54.643659157929903</v>
      </c>
      <c r="O2130">
        <v>53.552552960123798</v>
      </c>
      <c r="P2130">
        <v>-7.5252566821472203E-2</v>
      </c>
      <c r="Q2130">
        <v>5.2750691308166398E-2</v>
      </c>
      <c r="R2130">
        <v>0.94831908272116605</v>
      </c>
      <c r="S2130" t="s">
        <v>7681</v>
      </c>
      <c r="T2130" t="s">
        <v>11100</v>
      </c>
      <c r="U2130" t="s">
        <v>11100</v>
      </c>
      <c r="V2130" t="s">
        <v>11100</v>
      </c>
      <c r="W2130" t="s">
        <v>13190</v>
      </c>
      <c r="X2130">
        <v>50</v>
      </c>
      <c r="Y2130" t="s">
        <v>18665</v>
      </c>
      <c r="Z2130" t="s">
        <v>24135</v>
      </c>
      <c r="AA2130">
        <v>0.61197697623314773</v>
      </c>
      <c r="AB2130" t="str">
        <f>HYPERLINK("Melting_Curves/meltCurve_P33176_KIF5B.pdf", "Melting_Curves/meltCurve_P33176_KIF5B.pdf")</f>
        <v>Melting_Curves/meltCurve_P33176_KIF5B.pdf</v>
      </c>
    </row>
    <row r="2131" spans="1:28" x14ac:dyDescent="0.25">
      <c r="A2131" t="s">
        <v>2135</v>
      </c>
      <c r="B2131">
        <v>0.99299721793515405</v>
      </c>
      <c r="C2131">
        <v>0.99800655082864997</v>
      </c>
      <c r="D2131">
        <v>0.96853233408946204</v>
      </c>
      <c r="E2131">
        <v>0.87671900122580504</v>
      </c>
      <c r="F2131">
        <v>0.72115563770517399</v>
      </c>
      <c r="G2131">
        <v>0.643805582302857</v>
      </c>
      <c r="H2131">
        <v>0.66451048921232903</v>
      </c>
      <c r="I2131">
        <v>0.67081833581504602</v>
      </c>
      <c r="J2131">
        <v>0.616244982030698</v>
      </c>
      <c r="K2131">
        <v>0.48990156503815702</v>
      </c>
      <c r="L2131">
        <v>764.35781093795299</v>
      </c>
      <c r="M2131">
        <v>15.667149561435</v>
      </c>
      <c r="O2131">
        <v>48.013194997224502</v>
      </c>
      <c r="P2131">
        <v>-3.3847989688894603E-2</v>
      </c>
      <c r="Q2131">
        <v>0.58511617136995797</v>
      </c>
      <c r="R2131">
        <v>0.93620119810274005</v>
      </c>
      <c r="S2131" t="s">
        <v>7682</v>
      </c>
      <c r="T2131" t="s">
        <v>11100</v>
      </c>
      <c r="U2131" t="s">
        <v>11100</v>
      </c>
      <c r="V2131" t="s">
        <v>11100</v>
      </c>
      <c r="W2131" t="s">
        <v>13191</v>
      </c>
      <c r="X2131">
        <v>18</v>
      </c>
      <c r="Y2131" t="s">
        <v>18666</v>
      </c>
      <c r="Z2131" t="s">
        <v>24136</v>
      </c>
      <c r="AA2131">
        <v>0.75649174033988731</v>
      </c>
      <c r="AB2131" t="str">
        <f>HYPERLINK("Melting_Curves/meltCurve_P33240_2_CSTF2.pdf", "Melting_Curves/meltCurve_P33240_2_CSTF2.pdf")</f>
        <v>Melting_Curves/meltCurve_P33240_2_CSTF2.pdf</v>
      </c>
    </row>
    <row r="2132" spans="1:28" x14ac:dyDescent="0.25">
      <c r="A2132" t="s">
        <v>2136</v>
      </c>
      <c r="B2132">
        <v>0.99299721793515405</v>
      </c>
      <c r="C2132">
        <v>0.96504007061014097</v>
      </c>
      <c r="D2132">
        <v>1.0329179130013399</v>
      </c>
      <c r="E2132">
        <v>0.74415303610276495</v>
      </c>
      <c r="F2132">
        <v>0.74180267390389498</v>
      </c>
      <c r="G2132">
        <v>0.47328456915547701</v>
      </c>
      <c r="H2132">
        <v>0.35115186631026601</v>
      </c>
      <c r="I2132">
        <v>0.23672636977435499</v>
      </c>
      <c r="J2132">
        <v>0.24870660442554701</v>
      </c>
      <c r="K2132">
        <v>0.16890956724558401</v>
      </c>
      <c r="L2132">
        <v>646.23553088337405</v>
      </c>
      <c r="M2132">
        <v>12.3439676347286</v>
      </c>
      <c r="N2132">
        <v>53.661522954227799</v>
      </c>
      <c r="O2132">
        <v>51.0352727086402</v>
      </c>
      <c r="P2132">
        <v>-5.2617187047217601E-2</v>
      </c>
      <c r="Q2132">
        <v>0.13001960710825899</v>
      </c>
      <c r="R2132">
        <v>0.97605125497668299</v>
      </c>
      <c r="S2132" t="s">
        <v>7683</v>
      </c>
      <c r="T2132" t="s">
        <v>11100</v>
      </c>
      <c r="U2132" t="s">
        <v>11100</v>
      </c>
      <c r="V2132" t="s">
        <v>11100</v>
      </c>
      <c r="W2132" t="s">
        <v>13192</v>
      </c>
      <c r="X2132">
        <v>15</v>
      </c>
      <c r="Y2132" t="s">
        <v>18667</v>
      </c>
      <c r="Z2132" t="s">
        <v>24137</v>
      </c>
      <c r="AA2132">
        <v>0.59471399675708925</v>
      </c>
      <c r="AB2132" t="str">
        <f>HYPERLINK("Melting_Curves/meltCurve_P33316_DUT.pdf", "Melting_Curves/meltCurve_P33316_DUT.pdf")</f>
        <v>Melting_Curves/meltCurve_P33316_DUT.pdf</v>
      </c>
    </row>
    <row r="2133" spans="1:28" x14ac:dyDescent="0.25">
      <c r="A2133" t="s">
        <v>2137</v>
      </c>
      <c r="B2133">
        <v>0.99299721793515405</v>
      </c>
      <c r="C2133">
        <v>0.91842360159791603</v>
      </c>
      <c r="D2133">
        <v>1.01020689192695</v>
      </c>
      <c r="E2133">
        <v>0.95230748205168003</v>
      </c>
      <c r="F2133">
        <v>0.82749033037296904</v>
      </c>
      <c r="G2133">
        <v>0.41823128061849302</v>
      </c>
      <c r="H2133">
        <v>0.25783252360702302</v>
      </c>
      <c r="I2133">
        <v>0.234370844618385</v>
      </c>
      <c r="J2133">
        <v>0.24519339013161601</v>
      </c>
      <c r="K2133">
        <v>0.22719044509194899</v>
      </c>
      <c r="L2133">
        <v>1734.5826778989599</v>
      </c>
      <c r="M2133">
        <v>33.362812384059403</v>
      </c>
      <c r="N2133">
        <v>52.977461637249903</v>
      </c>
      <c r="O2133">
        <v>51.805773210130504</v>
      </c>
      <c r="P2133">
        <v>-0.12376510738990799</v>
      </c>
      <c r="Q2133">
        <v>0.23127347453844499</v>
      </c>
      <c r="R2133">
        <v>0.992952390961369</v>
      </c>
      <c r="S2133" t="s">
        <v>7684</v>
      </c>
      <c r="T2133" t="s">
        <v>11100</v>
      </c>
      <c r="U2133" t="s">
        <v>11100</v>
      </c>
      <c r="V2133" t="s">
        <v>11100</v>
      </c>
      <c r="W2133" t="s">
        <v>13193</v>
      </c>
      <c r="X2133">
        <v>16</v>
      </c>
      <c r="Y2133" t="s">
        <v>18667</v>
      </c>
      <c r="Z2133" t="s">
        <v>24138</v>
      </c>
      <c r="AA2133">
        <v>0.61936597826981776</v>
      </c>
      <c r="AB2133" t="str">
        <f>HYPERLINK("Melting_Curves/meltCurve_P33316_2_DUT.pdf", "Melting_Curves/meltCurve_P33316_2_DUT.pdf")</f>
        <v>Melting_Curves/meltCurve_P33316_2_DUT.pdf</v>
      </c>
    </row>
    <row r="2134" spans="1:28" x14ac:dyDescent="0.25">
      <c r="A2134" t="s">
        <v>2138</v>
      </c>
      <c r="B2134">
        <v>0.99299721793515405</v>
      </c>
      <c r="C2134">
        <v>0.958866496708216</v>
      </c>
      <c r="D2134">
        <v>0.77352771447728896</v>
      </c>
      <c r="E2134">
        <v>0.84440885322558001</v>
      </c>
      <c r="F2134">
        <v>0.69560182156900796</v>
      </c>
      <c r="G2134">
        <v>0.87137844197765402</v>
      </c>
      <c r="H2134">
        <v>0.65051510168752502</v>
      </c>
      <c r="I2134">
        <v>0.250641030955917</v>
      </c>
      <c r="J2134">
        <v>0.19898939401815599</v>
      </c>
      <c r="K2134">
        <v>0.13009283965124399</v>
      </c>
      <c r="L2134">
        <v>671.16208744873802</v>
      </c>
      <c r="M2134">
        <v>11.6029705156971</v>
      </c>
      <c r="N2134">
        <v>57.843988093429701</v>
      </c>
      <c r="O2134">
        <v>56.205896280652702</v>
      </c>
      <c r="P2134">
        <v>-5.1623394883984701E-2</v>
      </c>
      <c r="Q2134">
        <v>0</v>
      </c>
      <c r="R2134">
        <v>0.85459612368080795</v>
      </c>
      <c r="S2134" t="s">
        <v>7685</v>
      </c>
      <c r="T2134" t="s">
        <v>11100</v>
      </c>
      <c r="U2134" t="s">
        <v>11100</v>
      </c>
      <c r="V2134" t="s">
        <v>11100</v>
      </c>
      <c r="W2134" t="s">
        <v>13194</v>
      </c>
      <c r="X2134">
        <v>3</v>
      </c>
      <c r="Y2134" t="s">
        <v>18668</v>
      </c>
      <c r="Z2134" t="s">
        <v>24139</v>
      </c>
      <c r="AA2134">
        <v>0.6933573912752018</v>
      </c>
      <c r="AB2134" t="str">
        <f>HYPERLINK("Melting_Curves/meltCurve_P33527_7_ABCC1.pdf", "Melting_Curves/meltCurve_P33527_7_ABCC1.pdf")</f>
        <v>Melting_Curves/meltCurve_P33527_7_ABCC1.pdf</v>
      </c>
    </row>
    <row r="2135" spans="1:28" x14ac:dyDescent="0.25">
      <c r="A2135" t="s">
        <v>2139</v>
      </c>
      <c r="B2135">
        <v>0.99299721793515405</v>
      </c>
      <c r="C2135">
        <v>0.96663773456596902</v>
      </c>
      <c r="D2135">
        <v>1.22820567776819</v>
      </c>
      <c r="E2135">
        <v>0.88885844018690696</v>
      </c>
      <c r="F2135">
        <v>0.64069137825344102</v>
      </c>
      <c r="G2135">
        <v>0.61470053289231297</v>
      </c>
      <c r="H2135">
        <v>0.29095463167378</v>
      </c>
      <c r="I2135">
        <v>0.29597779103119298</v>
      </c>
      <c r="J2135">
        <v>0.29661846989066298</v>
      </c>
      <c r="K2135">
        <v>0.24155871315142899</v>
      </c>
      <c r="L2135">
        <v>933.35763052105494</v>
      </c>
      <c r="M2135">
        <v>18.006961711905699</v>
      </c>
      <c r="N2135">
        <v>53.858231274256198</v>
      </c>
      <c r="O2135">
        <v>51.206576952471302</v>
      </c>
      <c r="P2135">
        <v>-6.6294595497340902E-2</v>
      </c>
      <c r="Q2135">
        <v>0.245946737125804</v>
      </c>
      <c r="R2135">
        <v>0.92373064652063397</v>
      </c>
      <c r="S2135" t="s">
        <v>7686</v>
      </c>
      <c r="T2135" t="s">
        <v>11100</v>
      </c>
      <c r="U2135" t="s">
        <v>11100</v>
      </c>
      <c r="V2135" t="s">
        <v>11100</v>
      </c>
      <c r="W2135" t="s">
        <v>13195</v>
      </c>
      <c r="X2135">
        <v>5</v>
      </c>
      <c r="Y2135" t="s">
        <v>18669</v>
      </c>
      <c r="Z2135" t="s">
        <v>24140</v>
      </c>
      <c r="AA2135">
        <v>0.63023284286201064</v>
      </c>
      <c r="AB2135" t="str">
        <f>HYPERLINK("Melting_Curves/meltCurve_P33552_CKS2.pdf", "Melting_Curves/meltCurve_P33552_CKS2.pdf")</f>
        <v>Melting_Curves/meltCurve_P33552_CKS2.pdf</v>
      </c>
    </row>
    <row r="2136" spans="1:28" x14ac:dyDescent="0.25">
      <c r="A2136" t="s">
        <v>2140</v>
      </c>
      <c r="B2136">
        <v>0.99299721793515405</v>
      </c>
      <c r="C2136">
        <v>0.97846938601959899</v>
      </c>
      <c r="D2136">
        <v>1.0398639532062399</v>
      </c>
      <c r="E2136">
        <v>0.836583985191657</v>
      </c>
      <c r="F2136">
        <v>0.76194837419663997</v>
      </c>
      <c r="G2136">
        <v>0.61599527175236302</v>
      </c>
      <c r="H2136">
        <v>0.45771398787003897</v>
      </c>
      <c r="I2136">
        <v>0.25144954210537901</v>
      </c>
      <c r="J2136">
        <v>0.19924840826038101</v>
      </c>
      <c r="K2136">
        <v>0.17899477161784599</v>
      </c>
      <c r="L2136">
        <v>610.27211453839902</v>
      </c>
      <c r="M2136">
        <v>10.991010537943099</v>
      </c>
      <c r="N2136">
        <v>55.823213774834599</v>
      </c>
      <c r="O2136">
        <v>53.781545678948397</v>
      </c>
      <c r="P2136">
        <v>-4.96493335147076E-2</v>
      </c>
      <c r="Q2136">
        <v>2.8546203828811501E-2</v>
      </c>
      <c r="R2136">
        <v>0.98753466551772495</v>
      </c>
      <c r="S2136" t="s">
        <v>7687</v>
      </c>
      <c r="T2136" t="s">
        <v>11100</v>
      </c>
      <c r="U2136" t="s">
        <v>11100</v>
      </c>
      <c r="V2136" t="s">
        <v>11100</v>
      </c>
      <c r="W2136" t="s">
        <v>13196</v>
      </c>
      <c r="X2136">
        <v>9</v>
      </c>
      <c r="Y2136" t="s">
        <v>18670</v>
      </c>
      <c r="Z2136" t="s">
        <v>24141</v>
      </c>
      <c r="AA2136">
        <v>0.63893853607062023</v>
      </c>
      <c r="AB2136" t="str">
        <f>HYPERLINK("Melting_Curves/meltCurve_P33908_MAN1A1.pdf", "Melting_Curves/meltCurve_P33908_MAN1A1.pdf")</f>
        <v>Melting_Curves/meltCurve_P33908_MAN1A1.pdf</v>
      </c>
    </row>
    <row r="2137" spans="1:28" x14ac:dyDescent="0.25">
      <c r="A2137" t="s">
        <v>2141</v>
      </c>
      <c r="B2137">
        <v>0.99299721793515405</v>
      </c>
      <c r="C2137">
        <v>1.0458448873399599</v>
      </c>
      <c r="D2137">
        <v>0.90850547480699995</v>
      </c>
      <c r="E2137">
        <v>0.78736765476939996</v>
      </c>
      <c r="F2137">
        <v>0.25708769512749602</v>
      </c>
      <c r="G2137">
        <v>0.122182006978483</v>
      </c>
      <c r="H2137">
        <v>8.6045635350820299E-2</v>
      </c>
      <c r="I2137">
        <v>6.1943997771213601E-2</v>
      </c>
      <c r="J2137">
        <v>5.7397585582686698E-2</v>
      </c>
      <c r="K2137">
        <v>5.1842605437372097E-2</v>
      </c>
      <c r="L2137">
        <v>1517.2666995899999</v>
      </c>
      <c r="M2137">
        <v>31.4572779173625</v>
      </c>
      <c r="N2137">
        <v>48.446986637096302</v>
      </c>
      <c r="O2137">
        <v>48.0389501191856</v>
      </c>
      <c r="P2137">
        <v>-0.153071716150984</v>
      </c>
      <c r="Q2137">
        <v>6.4971241674644201E-2</v>
      </c>
      <c r="R2137">
        <v>0.99465021166488898</v>
      </c>
      <c r="S2137" t="s">
        <v>7688</v>
      </c>
      <c r="T2137" t="s">
        <v>11100</v>
      </c>
      <c r="U2137" t="s">
        <v>11100</v>
      </c>
      <c r="V2137" t="s">
        <v>11100</v>
      </c>
      <c r="W2137" t="s">
        <v>13197</v>
      </c>
      <c r="X2137">
        <v>14</v>
      </c>
      <c r="Y2137" t="s">
        <v>18671</v>
      </c>
      <c r="Z2137" t="s">
        <v>24142</v>
      </c>
      <c r="AA2137">
        <v>0.42012181069778731</v>
      </c>
      <c r="AB2137" t="str">
        <f>HYPERLINK("Melting_Curves/meltCurve_P33981_2_TTK.pdf", "Melting_Curves/meltCurve_P33981_2_TTK.pdf")</f>
        <v>Melting_Curves/meltCurve_P33981_2_TTK.pdf</v>
      </c>
    </row>
    <row r="2138" spans="1:28" x14ac:dyDescent="0.25">
      <c r="A2138" t="s">
        <v>2142</v>
      </c>
      <c r="B2138">
        <v>0.99299721793515405</v>
      </c>
      <c r="C2138">
        <v>0.93791296344342301</v>
      </c>
      <c r="D2138">
        <v>0.88708967545839101</v>
      </c>
      <c r="E2138">
        <v>0.88103668649044797</v>
      </c>
      <c r="F2138">
        <v>0.81077916237810399</v>
      </c>
      <c r="G2138">
        <v>0.91000650524216598</v>
      </c>
      <c r="H2138">
        <v>0.27412979098083901</v>
      </c>
      <c r="I2138">
        <v>0.21914257862636399</v>
      </c>
      <c r="J2138">
        <v>0.20402343831206701</v>
      </c>
      <c r="K2138">
        <v>0.189072619909019</v>
      </c>
      <c r="L2138">
        <v>3668.0044995020799</v>
      </c>
      <c r="M2138">
        <v>66.1682072252502</v>
      </c>
      <c r="N2138">
        <v>55.872936362829797</v>
      </c>
      <c r="O2138">
        <v>55.383960131875497</v>
      </c>
      <c r="P2138">
        <v>-0.23819902363732801</v>
      </c>
      <c r="Q2138">
        <v>0.20249279045816401</v>
      </c>
      <c r="R2138">
        <v>0.94136321718336402</v>
      </c>
      <c r="S2138" t="s">
        <v>7689</v>
      </c>
      <c r="T2138" t="s">
        <v>11100</v>
      </c>
      <c r="U2138" t="s">
        <v>11100</v>
      </c>
      <c r="V2138" t="s">
        <v>11100</v>
      </c>
      <c r="W2138" t="s">
        <v>13198</v>
      </c>
      <c r="X2138">
        <v>16</v>
      </c>
      <c r="Y2138" t="s">
        <v>18672</v>
      </c>
      <c r="Z2138" t="s">
        <v>24143</v>
      </c>
      <c r="AA2138">
        <v>0.69365936160496522</v>
      </c>
      <c r="AB2138" t="str">
        <f>HYPERLINK("Melting_Curves/meltCurve_P33991_MCM4.pdf", "Melting_Curves/meltCurve_P33991_MCM4.pdf")</f>
        <v>Melting_Curves/meltCurve_P33991_MCM4.pdf</v>
      </c>
    </row>
    <row r="2139" spans="1:28" x14ac:dyDescent="0.25">
      <c r="A2139" t="s">
        <v>2143</v>
      </c>
      <c r="B2139">
        <v>0.99299721793515405</v>
      </c>
      <c r="C2139">
        <v>0.95961174387037895</v>
      </c>
      <c r="D2139">
        <v>0.98534596130858898</v>
      </c>
      <c r="E2139">
        <v>0.81809684978818298</v>
      </c>
      <c r="F2139">
        <v>0.72533868540748703</v>
      </c>
      <c r="G2139">
        <v>0.74874467026968405</v>
      </c>
      <c r="H2139">
        <v>0.53507429048720401</v>
      </c>
      <c r="I2139">
        <v>0.22627257821771299</v>
      </c>
      <c r="J2139">
        <v>0.17936430238864701</v>
      </c>
      <c r="K2139">
        <v>0.16770560556465799</v>
      </c>
      <c r="L2139">
        <v>611.13046611946902</v>
      </c>
      <c r="M2139">
        <v>10.797050210427599</v>
      </c>
      <c r="N2139">
        <v>56.601613818206502</v>
      </c>
      <c r="O2139">
        <v>54.763722570301503</v>
      </c>
      <c r="P2139">
        <v>-4.9307120904178901E-2</v>
      </c>
      <c r="Q2139">
        <v>0</v>
      </c>
      <c r="R2139">
        <v>0.958189288699691</v>
      </c>
      <c r="S2139" t="s">
        <v>7690</v>
      </c>
      <c r="T2139" t="s">
        <v>11100</v>
      </c>
      <c r="U2139" t="s">
        <v>11100</v>
      </c>
      <c r="V2139" t="s">
        <v>11100</v>
      </c>
      <c r="W2139" t="s">
        <v>13199</v>
      </c>
      <c r="X2139">
        <v>17</v>
      </c>
      <c r="Y2139" t="s">
        <v>18673</v>
      </c>
      <c r="Z2139" t="s">
        <v>24144</v>
      </c>
      <c r="AA2139">
        <v>0.657702538360041</v>
      </c>
      <c r="AB2139" t="str">
        <f>HYPERLINK("Melting_Curves/meltCurve_P33992_MCM5.pdf", "Melting_Curves/meltCurve_P33992_MCM5.pdf")</f>
        <v>Melting_Curves/meltCurve_P33992_MCM5.pdf</v>
      </c>
    </row>
    <row r="2140" spans="1:28" x14ac:dyDescent="0.25">
      <c r="A2140" t="s">
        <v>2144</v>
      </c>
      <c r="B2140">
        <v>0.99299721793515405</v>
      </c>
      <c r="C2140">
        <v>0.96269460393598005</v>
      </c>
      <c r="D2140">
        <v>0.86426410137004095</v>
      </c>
      <c r="E2140">
        <v>0.75491857633287496</v>
      </c>
      <c r="F2140">
        <v>0.447353407813466</v>
      </c>
      <c r="G2140">
        <v>0.485907888998166</v>
      </c>
      <c r="H2140">
        <v>0.19875440469538699</v>
      </c>
      <c r="I2140">
        <v>0.17964505239133</v>
      </c>
      <c r="J2140">
        <v>0.17466662558594401</v>
      </c>
      <c r="K2140">
        <v>0.16273825037744999</v>
      </c>
      <c r="L2140">
        <v>583.42977354809705</v>
      </c>
      <c r="M2140">
        <v>11.72497196752</v>
      </c>
      <c r="N2140">
        <v>50.798507794817297</v>
      </c>
      <c r="O2140">
        <v>48.378300002840597</v>
      </c>
      <c r="P2140">
        <v>-5.4145073420447103E-2</v>
      </c>
      <c r="Q2140">
        <v>0.106605971043487</v>
      </c>
      <c r="R2140">
        <v>0.97493819332329101</v>
      </c>
      <c r="S2140" t="s">
        <v>7691</v>
      </c>
      <c r="T2140" t="s">
        <v>11100</v>
      </c>
      <c r="U2140" t="s">
        <v>11100</v>
      </c>
      <c r="V2140" t="s">
        <v>11100</v>
      </c>
      <c r="W2140" t="s">
        <v>13200</v>
      </c>
      <c r="X2140">
        <v>18</v>
      </c>
      <c r="Y2140" t="s">
        <v>18674</v>
      </c>
      <c r="Z2140" t="s">
        <v>24145</v>
      </c>
      <c r="AA2140">
        <v>0.51269176636679481</v>
      </c>
      <c r="AB2140" t="str">
        <f>HYPERLINK("Melting_Curves/meltCurve_P33993_MCM7.pdf", "Melting_Curves/meltCurve_P33993_MCM7.pdf")</f>
        <v>Melting_Curves/meltCurve_P33993_MCM7.pdf</v>
      </c>
    </row>
    <row r="2141" spans="1:28" x14ac:dyDescent="0.25">
      <c r="A2141" t="s">
        <v>2145</v>
      </c>
      <c r="B2141">
        <v>0.99299721793515405</v>
      </c>
      <c r="C2141">
        <v>0.93130433002692403</v>
      </c>
      <c r="D2141">
        <v>0.868887131217285</v>
      </c>
      <c r="E2141">
        <v>0.819432608646122</v>
      </c>
      <c r="F2141">
        <v>0.716818305309598</v>
      </c>
      <c r="G2141">
        <v>0.77899305452490897</v>
      </c>
      <c r="H2141">
        <v>0.91784370505635704</v>
      </c>
      <c r="I2141">
        <v>1.0199119929189</v>
      </c>
      <c r="J2141">
        <v>1.0470582283974501</v>
      </c>
      <c r="K2141">
        <v>0.55216291055153</v>
      </c>
      <c r="L2141">
        <v>1298.0836015487901</v>
      </c>
      <c r="M2141">
        <v>32.131284116034202</v>
      </c>
      <c r="O2141">
        <v>40.243869147727501</v>
      </c>
      <c r="P2141">
        <v>-3.2539384012236397E-2</v>
      </c>
      <c r="Q2141">
        <v>0.83698086090736501</v>
      </c>
      <c r="R2141">
        <v>0.12548800474445301</v>
      </c>
      <c r="S2141" t="s">
        <v>7692</v>
      </c>
      <c r="T2141" t="s">
        <v>11100</v>
      </c>
      <c r="U2141" t="s">
        <v>11100</v>
      </c>
      <c r="V2141" t="s">
        <v>11100</v>
      </c>
      <c r="W2141" t="s">
        <v>13201</v>
      </c>
      <c r="X2141">
        <v>14</v>
      </c>
      <c r="Y2141" t="s">
        <v>18675</v>
      </c>
      <c r="Z2141" t="s">
        <v>24146</v>
      </c>
      <c r="AA2141">
        <v>0.85643831519236724</v>
      </c>
      <c r="AB2141" t="str">
        <f>HYPERLINK("Melting_Curves/meltCurve_P34896_2_SHMT1.pdf", "Melting_Curves/meltCurve_P34896_2_SHMT1.pdf")</f>
        <v>Melting_Curves/meltCurve_P34896_2_SHMT1.pdf</v>
      </c>
    </row>
    <row r="2142" spans="1:28" x14ac:dyDescent="0.25">
      <c r="A2142" t="s">
        <v>2146</v>
      </c>
      <c r="B2142">
        <v>0.99299721793515405</v>
      </c>
      <c r="C2142">
        <v>0.92986772890434</v>
      </c>
      <c r="D2142">
        <v>0.91312589305359904</v>
      </c>
      <c r="E2142">
        <v>0.853877933155477</v>
      </c>
      <c r="F2142">
        <v>0.79089597848454696</v>
      </c>
      <c r="G2142">
        <v>0.93343604620269505</v>
      </c>
      <c r="H2142">
        <v>1.0626049072269801</v>
      </c>
      <c r="I2142">
        <v>1.2353560549065099</v>
      </c>
      <c r="J2142">
        <v>1.0485332898766899</v>
      </c>
      <c r="K2142">
        <v>0.61799248277612595</v>
      </c>
      <c r="L2142">
        <v>9330.2425997887603</v>
      </c>
      <c r="M2142">
        <v>250</v>
      </c>
      <c r="O2142">
        <v>37.318603774156401</v>
      </c>
      <c r="P2142">
        <v>-0.114314083411953</v>
      </c>
      <c r="Q2142">
        <v>0.93174336760027698</v>
      </c>
      <c r="R2142">
        <v>1.3452664621391899E-2</v>
      </c>
      <c r="S2142" t="s">
        <v>7693</v>
      </c>
      <c r="T2142" t="s">
        <v>11100</v>
      </c>
      <c r="U2142" t="s">
        <v>11100</v>
      </c>
      <c r="V2142" t="s">
        <v>11100</v>
      </c>
      <c r="W2142" t="s">
        <v>13202</v>
      </c>
      <c r="X2142">
        <v>41</v>
      </c>
      <c r="Y2142" t="s">
        <v>18676</v>
      </c>
      <c r="Z2142" t="s">
        <v>24147</v>
      </c>
      <c r="AA2142">
        <v>0.93251396304155276</v>
      </c>
      <c r="AB2142" t="str">
        <f>HYPERLINK("Melting_Curves/meltCurve_P34897_3_SHMT2.pdf", "Melting_Curves/meltCurve_P34897_3_SHMT2.pdf")</f>
        <v>Melting_Curves/meltCurve_P34897_3_SHMT2.pdf</v>
      </c>
    </row>
    <row r="2143" spans="1:28" x14ac:dyDescent="0.25">
      <c r="A2143" t="s">
        <v>2147</v>
      </c>
      <c r="B2143">
        <v>0.99299721793515405</v>
      </c>
      <c r="C2143">
        <v>0.96862741212029202</v>
      </c>
      <c r="D2143">
        <v>0.70674576924951504</v>
      </c>
      <c r="E2143">
        <v>0.77219549238515806</v>
      </c>
      <c r="F2143">
        <v>0.72742425405614597</v>
      </c>
      <c r="G2143">
        <v>0.66135907078589995</v>
      </c>
      <c r="H2143">
        <v>0.50556742837306501</v>
      </c>
      <c r="I2143">
        <v>0.285477755387055</v>
      </c>
      <c r="J2143">
        <v>0.164984497762759</v>
      </c>
      <c r="K2143">
        <v>0.12080980914560099</v>
      </c>
      <c r="L2143">
        <v>441.16420853332602</v>
      </c>
      <c r="M2143">
        <v>7.9982461962838602</v>
      </c>
      <c r="N2143">
        <v>55.157618501366102</v>
      </c>
      <c r="O2143">
        <v>52.029909447014099</v>
      </c>
      <c r="P2143">
        <v>-3.8474502710426198E-2</v>
      </c>
      <c r="Q2143">
        <v>0</v>
      </c>
      <c r="R2143">
        <v>0.91375375311805596</v>
      </c>
      <c r="S2143" t="s">
        <v>7694</v>
      </c>
      <c r="T2143" t="s">
        <v>11100</v>
      </c>
      <c r="U2143" t="s">
        <v>11100</v>
      </c>
      <c r="V2143" t="s">
        <v>11100</v>
      </c>
      <c r="W2143" t="s">
        <v>13203</v>
      </c>
      <c r="X2143">
        <v>30</v>
      </c>
      <c r="Y2143" t="s">
        <v>18677</v>
      </c>
      <c r="Z2143" t="s">
        <v>24148</v>
      </c>
      <c r="AA2143">
        <v>0.61072559997797449</v>
      </c>
      <c r="AB2143" t="str">
        <f>HYPERLINK("Melting_Curves/meltCurve_P34931_HSPA1L.pdf", "Melting_Curves/meltCurve_P34931_HSPA1L.pdf")</f>
        <v>Melting_Curves/meltCurve_P34931_HSPA1L.pdf</v>
      </c>
    </row>
    <row r="2144" spans="1:28" x14ac:dyDescent="0.25">
      <c r="A2144" t="s">
        <v>2148</v>
      </c>
      <c r="B2144">
        <v>0.99299721793515405</v>
      </c>
      <c r="C2144">
        <v>1.0756208603067501</v>
      </c>
      <c r="D2144">
        <v>1.13865927054089</v>
      </c>
      <c r="E2144">
        <v>0.97141291034430799</v>
      </c>
      <c r="F2144">
        <v>0.81013803546871999</v>
      </c>
      <c r="G2144">
        <v>0.778164841560123</v>
      </c>
      <c r="H2144">
        <v>0.18651392961185501</v>
      </c>
      <c r="I2144">
        <v>0.15735914805684501</v>
      </c>
      <c r="J2144">
        <v>0.12893653656290999</v>
      </c>
      <c r="K2144">
        <v>0.101930662754854</v>
      </c>
      <c r="L2144">
        <v>2609.4348597840699</v>
      </c>
      <c r="M2144">
        <v>47.5509813889174</v>
      </c>
      <c r="N2144">
        <v>55.192654333766399</v>
      </c>
      <c r="O2144">
        <v>54.779766090352702</v>
      </c>
      <c r="P2144">
        <v>-0.191143857987325</v>
      </c>
      <c r="Q2144">
        <v>0.119193178955046</v>
      </c>
      <c r="R2144">
        <v>0.96445573104404403</v>
      </c>
      <c r="S2144" t="s">
        <v>7695</v>
      </c>
      <c r="T2144" t="s">
        <v>11100</v>
      </c>
      <c r="U2144" t="s">
        <v>11100</v>
      </c>
      <c r="V2144" t="s">
        <v>11100</v>
      </c>
      <c r="W2144" t="s">
        <v>13204</v>
      </c>
      <c r="X2144">
        <v>77</v>
      </c>
      <c r="Y2144" t="s">
        <v>18678</v>
      </c>
      <c r="Z2144" t="s">
        <v>24149</v>
      </c>
      <c r="AA2144">
        <v>0.64640241487282657</v>
      </c>
      <c r="AB2144" t="str">
        <f>HYPERLINK("Melting_Curves/meltCurve_P34932_HSPA4.pdf", "Melting_Curves/meltCurve_P34932_HSPA4.pdf")</f>
        <v>Melting_Curves/meltCurve_P34932_HSPA4.pdf</v>
      </c>
    </row>
    <row r="2145" spans="1:28" x14ac:dyDescent="0.25">
      <c r="A2145" t="s">
        <v>2149</v>
      </c>
      <c r="B2145">
        <v>0.99299721793515405</v>
      </c>
      <c r="C2145">
        <v>1.05388842850533</v>
      </c>
      <c r="D2145">
        <v>0.934319103261253</v>
      </c>
      <c r="E2145">
        <v>0.91328676802439102</v>
      </c>
      <c r="F2145">
        <v>0.59019972892709704</v>
      </c>
      <c r="G2145">
        <v>0.30948933395577299</v>
      </c>
      <c r="H2145">
        <v>0.176483791351423</v>
      </c>
      <c r="I2145">
        <v>0.14410820003928501</v>
      </c>
      <c r="J2145">
        <v>0.10236673580246899</v>
      </c>
      <c r="K2145">
        <v>8.5616123409289702E-2</v>
      </c>
      <c r="L2145">
        <v>1081.80758931932</v>
      </c>
      <c r="M2145">
        <v>21.301385600604402</v>
      </c>
      <c r="N2145">
        <v>51.3132194745316</v>
      </c>
      <c r="O2145">
        <v>50.344553767726701</v>
      </c>
      <c r="P2145">
        <v>-9.5380382822687806E-2</v>
      </c>
      <c r="Q2145">
        <v>9.83194939196773E-2</v>
      </c>
      <c r="R2145">
        <v>0.99509708722965895</v>
      </c>
      <c r="S2145" t="s">
        <v>7696</v>
      </c>
      <c r="T2145" t="s">
        <v>11100</v>
      </c>
      <c r="U2145" t="s">
        <v>11100</v>
      </c>
      <c r="V2145" t="s">
        <v>11100</v>
      </c>
      <c r="W2145" t="s">
        <v>13205</v>
      </c>
      <c r="X2145">
        <v>10</v>
      </c>
      <c r="Y2145" t="s">
        <v>18679</v>
      </c>
      <c r="Z2145" t="s">
        <v>24150</v>
      </c>
      <c r="AA2145">
        <v>0.52327966894034783</v>
      </c>
      <c r="AB2145" t="str">
        <f>HYPERLINK("Melting_Curves/meltCurve_P34949_MPI.pdf", "Melting_Curves/meltCurve_P34949_MPI.pdf")</f>
        <v>Melting_Curves/meltCurve_P34949_MPI.pdf</v>
      </c>
    </row>
    <row r="2146" spans="1:28" x14ac:dyDescent="0.25">
      <c r="A2146" t="s">
        <v>2150</v>
      </c>
      <c r="B2146">
        <v>0.99299721793515405</v>
      </c>
      <c r="C2146">
        <v>0.93356413390522697</v>
      </c>
      <c r="D2146">
        <v>0.87622460194468899</v>
      </c>
      <c r="E2146">
        <v>0.88459992044848501</v>
      </c>
      <c r="F2146">
        <v>0.68249029330487898</v>
      </c>
      <c r="G2146">
        <v>0.41724642982492399</v>
      </c>
      <c r="H2146">
        <v>0.235639924201475</v>
      </c>
      <c r="I2146">
        <v>0.190258367908783</v>
      </c>
      <c r="J2146">
        <v>0.16880428421947799</v>
      </c>
      <c r="K2146">
        <v>0.14477815573768901</v>
      </c>
      <c r="L2146">
        <v>800.15799135192901</v>
      </c>
      <c r="M2146">
        <v>15.485720899156</v>
      </c>
      <c r="N2146">
        <v>52.5370895004597</v>
      </c>
      <c r="O2146">
        <v>50.832045636148202</v>
      </c>
      <c r="P2146">
        <v>-6.7584643107194003E-2</v>
      </c>
      <c r="Q2146">
        <v>0.11268984070134801</v>
      </c>
      <c r="R2146">
        <v>0.988148138922324</v>
      </c>
      <c r="S2146" t="s">
        <v>7697</v>
      </c>
      <c r="T2146" t="s">
        <v>11100</v>
      </c>
      <c r="U2146" t="s">
        <v>11100</v>
      </c>
      <c r="V2146" t="s">
        <v>11100</v>
      </c>
      <c r="W2146" t="s">
        <v>13206</v>
      </c>
      <c r="X2146">
        <v>16</v>
      </c>
      <c r="Y2146" t="s">
        <v>18680</v>
      </c>
      <c r="Z2146" t="s">
        <v>24151</v>
      </c>
      <c r="AA2146">
        <v>0.5632358023682158</v>
      </c>
      <c r="AB2146" t="str">
        <f>HYPERLINK("Melting_Curves/meltCurve_P35219_CA8.pdf", "Melting_Curves/meltCurve_P35219_CA8.pdf")</f>
        <v>Melting_Curves/meltCurve_P35219_CA8.pdf</v>
      </c>
    </row>
    <row r="2147" spans="1:28" x14ac:dyDescent="0.25">
      <c r="A2147" t="s">
        <v>2151</v>
      </c>
      <c r="B2147">
        <v>0.99299721793515405</v>
      </c>
      <c r="C2147">
        <v>0.98407976109421003</v>
      </c>
      <c r="D2147">
        <v>0.88539767259421898</v>
      </c>
      <c r="E2147">
        <v>0.85036157114292399</v>
      </c>
      <c r="F2147">
        <v>0.782205565023255</v>
      </c>
      <c r="G2147">
        <v>0.77183386400875698</v>
      </c>
      <c r="H2147">
        <v>0.65710958961524901</v>
      </c>
      <c r="I2147">
        <v>0.32291096697952099</v>
      </c>
      <c r="J2147">
        <v>0.16843563902059699</v>
      </c>
      <c r="K2147">
        <v>0.130358285425867</v>
      </c>
      <c r="L2147">
        <v>714.65599417265901</v>
      </c>
      <c r="M2147">
        <v>12.3144404738873</v>
      </c>
      <c r="N2147">
        <v>58.033980266584997</v>
      </c>
      <c r="O2147">
        <v>56.567262443597798</v>
      </c>
      <c r="P2147">
        <v>-5.4435751791119098E-2</v>
      </c>
      <c r="Q2147">
        <v>0</v>
      </c>
      <c r="R2147">
        <v>0.94477076576326302</v>
      </c>
      <c r="S2147" t="s">
        <v>7698</v>
      </c>
      <c r="T2147" t="s">
        <v>11100</v>
      </c>
      <c r="U2147" t="s">
        <v>11100</v>
      </c>
      <c r="V2147" t="s">
        <v>11100</v>
      </c>
      <c r="W2147" t="s">
        <v>13207</v>
      </c>
      <c r="X2147">
        <v>26</v>
      </c>
      <c r="Y2147" t="s">
        <v>18681</v>
      </c>
      <c r="Z2147" t="s">
        <v>24152</v>
      </c>
      <c r="AA2147">
        <v>0.70039637538842547</v>
      </c>
      <c r="AB2147" t="str">
        <f>HYPERLINK("Melting_Curves/meltCurve_P35221_CTNNA1.pdf", "Melting_Curves/meltCurve_P35221_CTNNA1.pdf")</f>
        <v>Melting_Curves/meltCurve_P35221_CTNNA1.pdf</v>
      </c>
    </row>
    <row r="2148" spans="1:28" x14ac:dyDescent="0.25">
      <c r="A2148" t="s">
        <v>2152</v>
      </c>
      <c r="B2148">
        <v>0.99299721793515405</v>
      </c>
      <c r="C2148">
        <v>0.89285658915670696</v>
      </c>
      <c r="D2148">
        <v>0.92058108955309104</v>
      </c>
      <c r="E2148">
        <v>0.85163702015073195</v>
      </c>
      <c r="F2148">
        <v>0.78169517436429803</v>
      </c>
      <c r="G2148">
        <v>0.64952127145638305</v>
      </c>
      <c r="H2148">
        <v>1.7939711820075599</v>
      </c>
      <c r="I2148">
        <v>1.8899851517750501</v>
      </c>
      <c r="J2148">
        <v>2.3932286098257198</v>
      </c>
      <c r="K2148">
        <v>3.04247793117124</v>
      </c>
      <c r="L2148">
        <v>13891.4687431935</v>
      </c>
      <c r="M2148">
        <v>250</v>
      </c>
      <c r="O2148">
        <v>55.562334852137298</v>
      </c>
      <c r="P2148">
        <v>0.56243152714819999</v>
      </c>
      <c r="Q2148">
        <v>1.5</v>
      </c>
      <c r="R2148">
        <v>0.393021320579795</v>
      </c>
      <c r="S2148" t="s">
        <v>7699</v>
      </c>
      <c r="T2148" t="s">
        <v>11100</v>
      </c>
      <c r="U2148" t="s">
        <v>11100</v>
      </c>
      <c r="V2148" t="s">
        <v>11100</v>
      </c>
      <c r="W2148" t="s">
        <v>13208</v>
      </c>
      <c r="X2148">
        <v>21</v>
      </c>
      <c r="Y2148" t="s">
        <v>18682</v>
      </c>
      <c r="Z2148" t="s">
        <v>24153</v>
      </c>
      <c r="AA2148">
        <v>1.190519991830876</v>
      </c>
      <c r="AB2148" t="str">
        <f>HYPERLINK("Melting_Curves/meltCurve_P35232_PHB.pdf", "Melting_Curves/meltCurve_P35232_PHB.pdf")</f>
        <v>Melting_Curves/meltCurve_P35232_PHB.pdf</v>
      </c>
    </row>
    <row r="2149" spans="1:28" x14ac:dyDescent="0.25">
      <c r="A2149" t="s">
        <v>2153</v>
      </c>
      <c r="B2149">
        <v>0.99299721793515405</v>
      </c>
      <c r="C2149">
        <v>1.0632572585023601</v>
      </c>
      <c r="D2149">
        <v>1.0019529649848999</v>
      </c>
      <c r="E2149">
        <v>0.96902449963707105</v>
      </c>
      <c r="F2149">
        <v>0.75868169117483997</v>
      </c>
      <c r="G2149">
        <v>0.73410075160783606</v>
      </c>
      <c r="H2149">
        <v>0.60915044185128597</v>
      </c>
      <c r="I2149">
        <v>0.57256818115216401</v>
      </c>
      <c r="J2149">
        <v>0.219298154714517</v>
      </c>
      <c r="K2149">
        <v>0.101642660165896</v>
      </c>
      <c r="L2149">
        <v>667.77998823472899</v>
      </c>
      <c r="M2149">
        <v>11.3117098813754</v>
      </c>
      <c r="N2149">
        <v>59.034398488480001</v>
      </c>
      <c r="O2149">
        <v>57.279650061187198</v>
      </c>
      <c r="P2149">
        <v>-4.9385499327927899E-2</v>
      </c>
      <c r="Q2149">
        <v>0</v>
      </c>
      <c r="R2149">
        <v>0.93649461479493301</v>
      </c>
      <c r="S2149" t="s">
        <v>7700</v>
      </c>
      <c r="T2149" t="s">
        <v>11100</v>
      </c>
      <c r="U2149" t="s">
        <v>11100</v>
      </c>
      <c r="V2149" t="s">
        <v>11100</v>
      </c>
      <c r="W2149" t="s">
        <v>13209</v>
      </c>
      <c r="X2149">
        <v>13</v>
      </c>
      <c r="Y2149" t="s">
        <v>18683</v>
      </c>
      <c r="Z2149" t="s">
        <v>24154</v>
      </c>
      <c r="AA2149">
        <v>0.72330270212585923</v>
      </c>
      <c r="AB2149" t="str">
        <f>HYPERLINK("Melting_Curves/meltCurve_P35237_SERPINB6.pdf", "Melting_Curves/meltCurve_P35237_SERPINB6.pdf")</f>
        <v>Melting_Curves/meltCurve_P35237_SERPINB6.pdf</v>
      </c>
    </row>
    <row r="2150" spans="1:28" x14ac:dyDescent="0.25">
      <c r="A2150" t="s">
        <v>2154</v>
      </c>
      <c r="B2150">
        <v>0.99299721793515405</v>
      </c>
      <c r="C2150">
        <v>1.12902585296406</v>
      </c>
      <c r="D2150">
        <v>0.97524180635153701</v>
      </c>
      <c r="E2150">
        <v>0.92101866267844601</v>
      </c>
      <c r="F2150">
        <v>0.79216017918439796</v>
      </c>
      <c r="G2150">
        <v>0.47176082117724499</v>
      </c>
      <c r="H2150">
        <v>0.21552791650950301</v>
      </c>
      <c r="I2150">
        <v>8.1219666710090704E-2</v>
      </c>
      <c r="J2150">
        <v>0.177563218983296</v>
      </c>
      <c r="K2150">
        <v>0.110189537678266</v>
      </c>
      <c r="L2150">
        <v>1209.7767352456699</v>
      </c>
      <c r="M2150">
        <v>22.920733455634402</v>
      </c>
      <c r="N2150">
        <v>53.3181325236961</v>
      </c>
      <c r="O2150">
        <v>52.384059689199503</v>
      </c>
      <c r="P2150">
        <v>-9.8110645541510694E-2</v>
      </c>
      <c r="Q2150">
        <v>0.10311147664470099</v>
      </c>
      <c r="R2150">
        <v>0.98322323075984697</v>
      </c>
      <c r="S2150" t="s">
        <v>7701</v>
      </c>
      <c r="T2150" t="s">
        <v>11100</v>
      </c>
      <c r="U2150" t="s">
        <v>11100</v>
      </c>
      <c r="V2150" t="s">
        <v>11100</v>
      </c>
      <c r="W2150" t="s">
        <v>13210</v>
      </c>
      <c r="X2150">
        <v>6</v>
      </c>
      <c r="Y2150" t="s">
        <v>18684</v>
      </c>
      <c r="Z2150" t="s">
        <v>24155</v>
      </c>
      <c r="AA2150">
        <v>0.58409386719717149</v>
      </c>
      <c r="AB2150" t="str">
        <f>HYPERLINK("Melting_Curves/meltCurve_P35240_5_NF2.pdf", "Melting_Curves/meltCurve_P35240_5_NF2.pdf")</f>
        <v>Melting_Curves/meltCurve_P35240_5_NF2.pdf</v>
      </c>
    </row>
    <row r="2151" spans="1:28" x14ac:dyDescent="0.25">
      <c r="A2151" t="s">
        <v>2155</v>
      </c>
      <c r="B2151">
        <v>0.99299721793515405</v>
      </c>
      <c r="C2151">
        <v>1.0684105164564199</v>
      </c>
      <c r="D2151">
        <v>1.0690608454425099</v>
      </c>
      <c r="E2151">
        <v>0.93808727795056202</v>
      </c>
      <c r="F2151">
        <v>0.80019629284854099</v>
      </c>
      <c r="G2151">
        <v>0.71663497997841497</v>
      </c>
      <c r="H2151">
        <v>0.68490863311657302</v>
      </c>
      <c r="I2151">
        <v>0.71934505309888797</v>
      </c>
      <c r="J2151">
        <v>0.169321130519792</v>
      </c>
      <c r="K2151">
        <v>0.107064330536477</v>
      </c>
      <c r="L2151">
        <v>747.97518533164305</v>
      </c>
      <c r="M2151">
        <v>12.437396468827901</v>
      </c>
      <c r="N2151">
        <v>60.139208988455998</v>
      </c>
      <c r="O2151">
        <v>58.647953005379001</v>
      </c>
      <c r="P2151">
        <v>-5.3028290942547199E-2</v>
      </c>
      <c r="Q2151">
        <v>0</v>
      </c>
      <c r="R2151">
        <v>0.86591643334813095</v>
      </c>
      <c r="S2151" t="s">
        <v>7702</v>
      </c>
      <c r="T2151" t="s">
        <v>11100</v>
      </c>
      <c r="U2151" t="s">
        <v>11100</v>
      </c>
      <c r="V2151" t="s">
        <v>11100</v>
      </c>
      <c r="W2151" t="s">
        <v>13211</v>
      </c>
      <c r="X2151">
        <v>44</v>
      </c>
      <c r="Y2151" t="s">
        <v>18685</v>
      </c>
      <c r="Z2151" t="s">
        <v>24156</v>
      </c>
      <c r="AA2151">
        <v>0.75565420088383806</v>
      </c>
      <c r="AB2151" t="str">
        <f>HYPERLINK("Melting_Curves/meltCurve_P35241_RDX.pdf", "Melting_Curves/meltCurve_P35241_RDX.pdf")</f>
        <v>Melting_Curves/meltCurve_P35241_RDX.pdf</v>
      </c>
    </row>
    <row r="2152" spans="1:28" x14ac:dyDescent="0.25">
      <c r="A2152" t="s">
        <v>2156</v>
      </c>
      <c r="B2152">
        <v>0.99299721793515405</v>
      </c>
      <c r="C2152">
        <v>1.0513816641470299</v>
      </c>
      <c r="D2152">
        <v>0.97953023851922405</v>
      </c>
      <c r="E2152">
        <v>1.1574642623522</v>
      </c>
      <c r="F2152">
        <v>0.89707162029045195</v>
      </c>
      <c r="G2152">
        <v>0.858318969678182</v>
      </c>
      <c r="H2152">
        <v>0.84907596221794301</v>
      </c>
      <c r="I2152">
        <v>0.74120139669879903</v>
      </c>
      <c r="J2152">
        <v>0.29537469180748199</v>
      </c>
      <c r="K2152">
        <v>0.13413171021706199</v>
      </c>
      <c r="L2152">
        <v>1685.3860180703</v>
      </c>
      <c r="M2152">
        <v>26.957467678171302</v>
      </c>
      <c r="N2152">
        <v>62.520186460471599</v>
      </c>
      <c r="O2152">
        <v>62.1791840694614</v>
      </c>
      <c r="P2152">
        <v>-0.10838730190005701</v>
      </c>
      <c r="Q2152">
        <v>0</v>
      </c>
      <c r="R2152">
        <v>0.93050715714532195</v>
      </c>
      <c r="S2152" t="s">
        <v>7703</v>
      </c>
      <c r="T2152" t="s">
        <v>11100</v>
      </c>
      <c r="U2152" t="s">
        <v>11100</v>
      </c>
      <c r="V2152" t="s">
        <v>11100</v>
      </c>
      <c r="W2152" t="s">
        <v>13212</v>
      </c>
      <c r="X2152">
        <v>4</v>
      </c>
      <c r="Y2152" t="s">
        <v>18686</v>
      </c>
      <c r="Z2152" t="s">
        <v>24157</v>
      </c>
      <c r="AA2152">
        <v>0.84546139685040167</v>
      </c>
      <c r="AB2152" t="str">
        <f>HYPERLINK("Melting_Curves/meltCurve_P35244_RPA3.pdf", "Melting_Curves/meltCurve_P35244_RPA3.pdf")</f>
        <v>Melting_Curves/meltCurve_P35244_RPA3.pdf</v>
      </c>
    </row>
    <row r="2153" spans="1:28" x14ac:dyDescent="0.25">
      <c r="A2153" t="s">
        <v>2157</v>
      </c>
      <c r="B2153">
        <v>0.99299721793515405</v>
      </c>
      <c r="C2153">
        <v>1.0397729273126599</v>
      </c>
      <c r="D2153">
        <v>1.0470839314664899</v>
      </c>
      <c r="E2153">
        <v>0.92525611572997801</v>
      </c>
      <c r="F2153">
        <v>0.89167230239374595</v>
      </c>
      <c r="G2153">
        <v>0.57746367565590895</v>
      </c>
      <c r="H2153">
        <v>0.23909197093951101</v>
      </c>
      <c r="I2153">
        <v>0.21667723748880099</v>
      </c>
      <c r="J2153">
        <v>0.16748328361307399</v>
      </c>
      <c r="K2153">
        <v>0.11831464948022</v>
      </c>
      <c r="L2153">
        <v>1445.5282748022</v>
      </c>
      <c r="M2153">
        <v>26.903751712162801</v>
      </c>
      <c r="N2153">
        <v>54.412544424632202</v>
      </c>
      <c r="O2153">
        <v>53.435397567572799</v>
      </c>
      <c r="P2153">
        <v>-0.107836185525588</v>
      </c>
      <c r="Q2153">
        <v>0.14328505822951801</v>
      </c>
      <c r="R2153">
        <v>0.99184327779293502</v>
      </c>
      <c r="S2153" t="s">
        <v>7704</v>
      </c>
      <c r="T2153" t="s">
        <v>11100</v>
      </c>
      <c r="U2153" t="s">
        <v>11100</v>
      </c>
      <c r="V2153" t="s">
        <v>11100</v>
      </c>
      <c r="W2153" t="s">
        <v>13213</v>
      </c>
      <c r="X2153">
        <v>19</v>
      </c>
      <c r="Y2153" t="s">
        <v>18687</v>
      </c>
      <c r="Z2153" t="s">
        <v>24158</v>
      </c>
      <c r="AA2153">
        <v>0.62767317205905526</v>
      </c>
      <c r="AB2153" t="str">
        <f>HYPERLINK("Melting_Curves/meltCurve_P35249_RFC4.pdf", "Melting_Curves/meltCurve_P35249_RFC4.pdf")</f>
        <v>Melting_Curves/meltCurve_P35249_RFC4.pdf</v>
      </c>
    </row>
    <row r="2154" spans="1:28" x14ac:dyDescent="0.25">
      <c r="A2154" t="s">
        <v>2158</v>
      </c>
      <c r="B2154">
        <v>0.99299721793515405</v>
      </c>
      <c r="C2154">
        <v>1.06641132080382</v>
      </c>
      <c r="D2154">
        <v>0.92169210275557401</v>
      </c>
      <c r="E2154">
        <v>0.88041887081369496</v>
      </c>
      <c r="F2154">
        <v>0.87905583058976799</v>
      </c>
      <c r="G2154">
        <v>0.43620956789829402</v>
      </c>
      <c r="H2154">
        <v>0.180225498990852</v>
      </c>
      <c r="I2154">
        <v>0.147505583994548</v>
      </c>
      <c r="J2154">
        <v>0.128318318731277</v>
      </c>
      <c r="K2154">
        <v>9.4942841062155295E-2</v>
      </c>
      <c r="L2154">
        <v>1581.5212863394599</v>
      </c>
      <c r="M2154">
        <v>29.9125470813993</v>
      </c>
      <c r="N2154">
        <v>53.326313220837399</v>
      </c>
      <c r="O2154">
        <v>52.636898561394503</v>
      </c>
      <c r="P2154">
        <v>-0.12607572379680501</v>
      </c>
      <c r="Q2154">
        <v>0.112587781830835</v>
      </c>
      <c r="R2154">
        <v>0.98469341642194796</v>
      </c>
      <c r="S2154" t="s">
        <v>7705</v>
      </c>
      <c r="T2154" t="s">
        <v>11100</v>
      </c>
      <c r="U2154" t="s">
        <v>11100</v>
      </c>
      <c r="V2154" t="s">
        <v>11100</v>
      </c>
      <c r="W2154" t="s">
        <v>13214</v>
      </c>
      <c r="X2154">
        <v>13</v>
      </c>
      <c r="Y2154" t="s">
        <v>18688</v>
      </c>
      <c r="Z2154" t="s">
        <v>24159</v>
      </c>
      <c r="AA2154">
        <v>0.58774803328588876</v>
      </c>
      <c r="AB2154" t="str">
        <f>HYPERLINK("Melting_Curves/meltCurve_P35250_RFC2.pdf", "Melting_Curves/meltCurve_P35250_RFC2.pdf")</f>
        <v>Melting_Curves/meltCurve_P35250_RFC2.pdf</v>
      </c>
    </row>
    <row r="2155" spans="1:28" x14ac:dyDescent="0.25">
      <c r="A2155" t="s">
        <v>2159</v>
      </c>
      <c r="B2155">
        <v>0.99299721793515405</v>
      </c>
      <c r="C2155">
        <v>0.82759507995749804</v>
      </c>
      <c r="D2155">
        <v>1.1080230826417801</v>
      </c>
      <c r="E2155">
        <v>0.62446563337118199</v>
      </c>
      <c r="F2155">
        <v>0.53910580549254605</v>
      </c>
      <c r="G2155">
        <v>0.43419008537238202</v>
      </c>
      <c r="H2155">
        <v>0.25589462021447801</v>
      </c>
      <c r="I2155">
        <v>0.24846345134560699</v>
      </c>
      <c r="J2155">
        <v>0.25934901401039001</v>
      </c>
      <c r="K2155">
        <v>0.302241114824706</v>
      </c>
      <c r="L2155">
        <v>825.70249854582596</v>
      </c>
      <c r="M2155">
        <v>17.120856120189998</v>
      </c>
      <c r="N2155">
        <v>50.390994455804702</v>
      </c>
      <c r="O2155">
        <v>47.584335257864701</v>
      </c>
      <c r="P2155">
        <v>-6.6546017316041206E-2</v>
      </c>
      <c r="Q2155">
        <v>0.26023375304261498</v>
      </c>
      <c r="R2155">
        <v>0.91122126131917702</v>
      </c>
      <c r="S2155" t="s">
        <v>7706</v>
      </c>
      <c r="T2155" t="s">
        <v>11100</v>
      </c>
      <c r="U2155" t="s">
        <v>11100</v>
      </c>
      <c r="V2155" t="s">
        <v>11100</v>
      </c>
      <c r="W2155" t="s">
        <v>13215</v>
      </c>
      <c r="X2155">
        <v>1</v>
      </c>
      <c r="Y2155" t="s">
        <v>18689</v>
      </c>
      <c r="Z2155" t="s">
        <v>24160</v>
      </c>
      <c r="AA2155">
        <v>0.55002029609607406</v>
      </c>
      <c r="AB2155" t="str">
        <f>HYPERLINK("Melting_Curves/meltCurve_P35251_2_RFC1.pdf", "Melting_Curves/meltCurve_P35251_2_RFC1.pdf")</f>
        <v>Melting_Curves/meltCurve_P35251_2_RFC1.pdf</v>
      </c>
    </row>
    <row r="2156" spans="1:28" x14ac:dyDescent="0.25">
      <c r="A2156" t="s">
        <v>2160</v>
      </c>
      <c r="B2156">
        <v>0.99299721793515405</v>
      </c>
      <c r="C2156">
        <v>1.1544754560944399</v>
      </c>
      <c r="D2156">
        <v>1.0239521577023201</v>
      </c>
      <c r="E2156">
        <v>0.91649411495597199</v>
      </c>
      <c r="F2156">
        <v>0.70041250281711398</v>
      </c>
      <c r="G2156">
        <v>0.60758731788183895</v>
      </c>
      <c r="H2156">
        <v>0.54216179153979105</v>
      </c>
      <c r="I2156">
        <v>0.43115364710271298</v>
      </c>
      <c r="J2156">
        <v>0.34493894338115499</v>
      </c>
      <c r="K2156">
        <v>0.18577353792585499</v>
      </c>
      <c r="L2156">
        <v>548.41339021597196</v>
      </c>
      <c r="M2156">
        <v>9.7431962671039098</v>
      </c>
      <c r="N2156">
        <v>57.524475385040397</v>
      </c>
      <c r="O2156">
        <v>54.069237885573997</v>
      </c>
      <c r="P2156">
        <v>-4.0811736403895703E-2</v>
      </c>
      <c r="Q2156">
        <v>9.4558018239719197E-2</v>
      </c>
      <c r="R2156">
        <v>0.94390037815239003</v>
      </c>
      <c r="S2156" t="s">
        <v>7707</v>
      </c>
      <c r="T2156" t="s">
        <v>11100</v>
      </c>
      <c r="U2156" t="s">
        <v>11100</v>
      </c>
      <c r="V2156" t="s">
        <v>11100</v>
      </c>
      <c r="W2156" t="s">
        <v>13216</v>
      </c>
      <c r="X2156">
        <v>4</v>
      </c>
      <c r="Y2156" t="s">
        <v>18690</v>
      </c>
      <c r="Z2156" t="s">
        <v>24161</v>
      </c>
      <c r="AA2156">
        <v>0.67970347295419031</v>
      </c>
      <c r="AB2156" t="str">
        <f>HYPERLINK("Melting_Curves/meltCurve_P35268_RPL22.pdf", "Melting_Curves/meltCurve_P35268_RPL22.pdf")</f>
        <v>Melting_Curves/meltCurve_P35268_RPL22.pdf</v>
      </c>
    </row>
    <row r="2157" spans="1:28" x14ac:dyDescent="0.25">
      <c r="A2157" t="s">
        <v>2161</v>
      </c>
      <c r="B2157">
        <v>0.99299721793515405</v>
      </c>
      <c r="C2157">
        <v>0.97692850349210703</v>
      </c>
      <c r="D2157">
        <v>0.94294306676972395</v>
      </c>
      <c r="E2157">
        <v>0.78503344305697098</v>
      </c>
      <c r="F2157">
        <v>0.68448340120560203</v>
      </c>
      <c r="G2157">
        <v>0.419191690764114</v>
      </c>
      <c r="H2157">
        <v>0.32984358324174201</v>
      </c>
      <c r="I2157">
        <v>0.26279541259217198</v>
      </c>
      <c r="J2157">
        <v>0.276528840542341</v>
      </c>
      <c r="K2157">
        <v>0.287626433929009</v>
      </c>
      <c r="L2157">
        <v>761.38198704153297</v>
      </c>
      <c r="M2157">
        <v>15.1423625483044</v>
      </c>
      <c r="N2157">
        <v>52.565041261743303</v>
      </c>
      <c r="O2157">
        <v>49.4290739426051</v>
      </c>
      <c r="P2157">
        <v>-5.81343835238914E-2</v>
      </c>
      <c r="Q2157">
        <v>0.24100340338027501</v>
      </c>
      <c r="R2157">
        <v>0.99119970120057699</v>
      </c>
      <c r="S2157" t="s">
        <v>7708</v>
      </c>
      <c r="T2157" t="s">
        <v>11100</v>
      </c>
      <c r="U2157" t="s">
        <v>11100</v>
      </c>
      <c r="V2157" t="s">
        <v>11100</v>
      </c>
      <c r="W2157" t="s">
        <v>13217</v>
      </c>
      <c r="X2157">
        <v>15</v>
      </c>
      <c r="Y2157" t="s">
        <v>18691</v>
      </c>
      <c r="Z2157" t="s">
        <v>24162</v>
      </c>
      <c r="AA2157">
        <v>0.59253221167071879</v>
      </c>
      <c r="AB2157" t="str">
        <f>HYPERLINK("Melting_Curves/meltCurve_P35269_GTF2F1.pdf", "Melting_Curves/meltCurve_P35269_GTF2F1.pdf")</f>
        <v>Melting_Curves/meltCurve_P35269_GTF2F1.pdf</v>
      </c>
    </row>
    <row r="2158" spans="1:28" x14ac:dyDescent="0.25">
      <c r="A2158" t="s">
        <v>2162</v>
      </c>
      <c r="B2158">
        <v>0.99299721793515405</v>
      </c>
      <c r="C2158">
        <v>0.96668707911513996</v>
      </c>
      <c r="D2158">
        <v>0.88478432770562299</v>
      </c>
      <c r="E2158">
        <v>0.862350366253687</v>
      </c>
      <c r="F2158">
        <v>0.72771745250128494</v>
      </c>
      <c r="G2158">
        <v>0.54284271822863595</v>
      </c>
      <c r="H2158">
        <v>0.28776315783574702</v>
      </c>
      <c r="I2158">
        <v>0.19605800006005999</v>
      </c>
      <c r="J2158">
        <v>0.18575911314398499</v>
      </c>
      <c r="K2158">
        <v>0.13184737113911901</v>
      </c>
      <c r="L2158">
        <v>643.01117629678401</v>
      </c>
      <c r="M2158">
        <v>12.0142028150782</v>
      </c>
      <c r="N2158">
        <v>53.928632201989501</v>
      </c>
      <c r="O2158">
        <v>52.102787556519203</v>
      </c>
      <c r="P2158">
        <v>-5.5157218717123702E-2</v>
      </c>
      <c r="Q2158">
        <v>4.34136009985455E-2</v>
      </c>
      <c r="R2158">
        <v>0.99029537991625805</v>
      </c>
      <c r="S2158" t="s">
        <v>7709</v>
      </c>
      <c r="T2158" t="s">
        <v>11100</v>
      </c>
      <c r="U2158" t="s">
        <v>11100</v>
      </c>
      <c r="V2158" t="s">
        <v>11100</v>
      </c>
      <c r="W2158" t="s">
        <v>13218</v>
      </c>
      <c r="X2158">
        <v>10</v>
      </c>
      <c r="Y2158" t="s">
        <v>18692</v>
      </c>
      <c r="Z2158" t="s">
        <v>24163</v>
      </c>
      <c r="AA2158">
        <v>0.58884574747011442</v>
      </c>
      <c r="AB2158" t="str">
        <f>HYPERLINK("Melting_Curves/meltCurve_P35270_SPR.pdf", "Melting_Curves/meltCurve_P35270_SPR.pdf")</f>
        <v>Melting_Curves/meltCurve_P35270_SPR.pdf</v>
      </c>
    </row>
    <row r="2159" spans="1:28" x14ac:dyDescent="0.25">
      <c r="A2159" t="s">
        <v>2163</v>
      </c>
      <c r="B2159">
        <v>0.99299721793515405</v>
      </c>
      <c r="C2159">
        <v>0.99949273800143801</v>
      </c>
      <c r="D2159">
        <v>1.03150256173525</v>
      </c>
      <c r="E2159">
        <v>0.87490153904534296</v>
      </c>
      <c r="F2159">
        <v>0.79719081491627497</v>
      </c>
      <c r="G2159">
        <v>0.66750062940103005</v>
      </c>
      <c r="H2159">
        <v>0.46599844696611997</v>
      </c>
      <c r="I2159">
        <v>0.20694447601021901</v>
      </c>
      <c r="J2159">
        <v>0.13039613995466101</v>
      </c>
      <c r="K2159">
        <v>0.108335648201559</v>
      </c>
      <c r="L2159">
        <v>754.11800305991505</v>
      </c>
      <c r="M2159">
        <v>13.455637748258001</v>
      </c>
      <c r="N2159">
        <v>56.044761363195498</v>
      </c>
      <c r="O2159">
        <v>54.850317094512299</v>
      </c>
      <c r="P2159">
        <v>-6.1338373178705802E-2</v>
      </c>
      <c r="Q2159">
        <v>0</v>
      </c>
      <c r="R2159">
        <v>0.98962333405470404</v>
      </c>
      <c r="S2159" t="s">
        <v>7710</v>
      </c>
      <c r="T2159" t="s">
        <v>11100</v>
      </c>
      <c r="U2159" t="s">
        <v>11100</v>
      </c>
      <c r="V2159" t="s">
        <v>11100</v>
      </c>
      <c r="W2159" t="s">
        <v>13219</v>
      </c>
      <c r="X2159">
        <v>16</v>
      </c>
      <c r="Y2159" t="s">
        <v>18693</v>
      </c>
      <c r="Z2159" t="s">
        <v>24164</v>
      </c>
      <c r="AA2159">
        <v>0.64566713782447493</v>
      </c>
      <c r="AB2159" t="str">
        <f>HYPERLINK("Melting_Curves/meltCurve_P35520_CBS.pdf", "Melting_Curves/meltCurve_P35520_CBS.pdf")</f>
        <v>Melting_Curves/meltCurve_P35520_CBS.pdf</v>
      </c>
    </row>
    <row r="2160" spans="1:28" x14ac:dyDescent="0.25">
      <c r="A2160" t="s">
        <v>2164</v>
      </c>
      <c r="B2160">
        <v>0.99299721793515405</v>
      </c>
      <c r="C2160">
        <v>0.76325728980563701</v>
      </c>
      <c r="D2160">
        <v>0.92374570791251398</v>
      </c>
      <c r="E2160">
        <v>0.75070413743471298</v>
      </c>
      <c r="F2160">
        <v>0.69522191335322403</v>
      </c>
      <c r="G2160">
        <v>0.61533318647344704</v>
      </c>
      <c r="H2160">
        <v>0.58117975758848905</v>
      </c>
      <c r="I2160">
        <v>0.53320873638987898</v>
      </c>
      <c r="J2160">
        <v>0.47780758732029499</v>
      </c>
      <c r="K2160">
        <v>0.56499179493932095</v>
      </c>
      <c r="L2160">
        <v>332.468660030264</v>
      </c>
      <c r="M2160">
        <v>6.8578939509087196</v>
      </c>
      <c r="O2160">
        <v>44.859607676279303</v>
      </c>
      <c r="P2160">
        <v>-2.1584802599293199E-2</v>
      </c>
      <c r="Q2160">
        <v>0.43635492306492701</v>
      </c>
      <c r="R2160">
        <v>0.86839861818081399</v>
      </c>
      <c r="S2160" t="s">
        <v>7711</v>
      </c>
      <c r="T2160" t="s">
        <v>11100</v>
      </c>
      <c r="U2160" t="s">
        <v>11100</v>
      </c>
      <c r="V2160" t="s">
        <v>11100</v>
      </c>
      <c r="W2160" t="s">
        <v>13220</v>
      </c>
      <c r="X2160">
        <v>1</v>
      </c>
      <c r="Y2160" t="s">
        <v>18694</v>
      </c>
      <c r="Z2160" t="s">
        <v>24165</v>
      </c>
      <c r="AA2160">
        <v>0.68390190066045331</v>
      </c>
      <c r="AB2160" t="str">
        <f>HYPERLINK("Melting_Curves/meltCurve_P35556_FBN2.pdf", "Melting_Curves/meltCurve_P35556_FBN2.pdf")</f>
        <v>Melting_Curves/meltCurve_P35556_FBN2.pdf</v>
      </c>
    </row>
    <row r="2161" spans="1:28" x14ac:dyDescent="0.25">
      <c r="A2161" t="s">
        <v>2165</v>
      </c>
      <c r="B2161">
        <v>0.99299721793515405</v>
      </c>
      <c r="C2161">
        <v>1.02285336114959</v>
      </c>
      <c r="D2161">
        <v>0.98540133506866601</v>
      </c>
      <c r="E2161">
        <v>1.14778470544296</v>
      </c>
      <c r="F2161">
        <v>1.0402636747145899</v>
      </c>
      <c r="G2161">
        <v>0.28529112828373798</v>
      </c>
      <c r="H2161">
        <v>0.14673197935617999</v>
      </c>
      <c r="I2161">
        <v>0.11349406880349699</v>
      </c>
      <c r="J2161">
        <v>0.116793915019532</v>
      </c>
      <c r="K2161">
        <v>8.2235594700450804E-2</v>
      </c>
      <c r="L2161">
        <v>13372.8899017526</v>
      </c>
      <c r="M2161">
        <v>250</v>
      </c>
      <c r="N2161">
        <v>53.547437611199598</v>
      </c>
      <c r="O2161">
        <v>53.488136676336097</v>
      </c>
      <c r="P2161">
        <v>-1.0343253007950799</v>
      </c>
      <c r="Q2161">
        <v>0.114813875015081</v>
      </c>
      <c r="R2161">
        <v>0.98695157719471305</v>
      </c>
      <c r="S2161" t="s">
        <v>7712</v>
      </c>
      <c r="T2161" t="s">
        <v>11100</v>
      </c>
      <c r="U2161" t="s">
        <v>11100</v>
      </c>
      <c r="V2161" t="s">
        <v>11100</v>
      </c>
      <c r="W2161" t="s">
        <v>13221</v>
      </c>
      <c r="X2161">
        <v>10</v>
      </c>
      <c r="Y2161" t="s">
        <v>18695</v>
      </c>
      <c r="Z2161" t="s">
        <v>24166</v>
      </c>
      <c r="AA2161">
        <v>0.6015002982871398</v>
      </c>
      <c r="AB2161" t="str">
        <f>HYPERLINK("Melting_Curves/meltCurve_P35573_AGL.pdf", "Melting_Curves/meltCurve_P35573_AGL.pdf")</f>
        <v>Melting_Curves/meltCurve_P35573_AGL.pdf</v>
      </c>
    </row>
    <row r="2162" spans="1:28" x14ac:dyDescent="0.25">
      <c r="A2162" t="s">
        <v>2166</v>
      </c>
      <c r="B2162">
        <v>0.99299721793515405</v>
      </c>
      <c r="C2162">
        <v>0.96763844694051304</v>
      </c>
      <c r="D2162">
        <v>0.96405122691636502</v>
      </c>
      <c r="E2162">
        <v>0.84944972658325402</v>
      </c>
      <c r="F2162">
        <v>0.78842049748326104</v>
      </c>
      <c r="G2162">
        <v>1.2385746116267899</v>
      </c>
      <c r="H2162">
        <v>0.71189008739124604</v>
      </c>
      <c r="I2162">
        <v>0.26660301890995303</v>
      </c>
      <c r="J2162">
        <v>0.25274124306846402</v>
      </c>
      <c r="K2162">
        <v>0.218854667134568</v>
      </c>
      <c r="L2162">
        <v>11787.551433200901</v>
      </c>
      <c r="M2162">
        <v>204.877559336665</v>
      </c>
      <c r="N2162">
        <v>57.725510554978598</v>
      </c>
      <c r="O2162">
        <v>57.529132805847098</v>
      </c>
      <c r="P2162">
        <v>-0.67124508042580999</v>
      </c>
      <c r="Q2162">
        <v>0.246063895613536</v>
      </c>
      <c r="R2162">
        <v>0.88976205332790204</v>
      </c>
      <c r="S2162" t="s">
        <v>7713</v>
      </c>
      <c r="T2162" t="s">
        <v>11100</v>
      </c>
      <c r="U2162" t="s">
        <v>11100</v>
      </c>
      <c r="V2162" t="s">
        <v>11100</v>
      </c>
      <c r="W2162" t="s">
        <v>13222</v>
      </c>
      <c r="X2162">
        <v>113</v>
      </c>
      <c r="Y2162" t="s">
        <v>18696</v>
      </c>
      <c r="Z2162" t="s">
        <v>24167</v>
      </c>
      <c r="AA2162">
        <v>0.76223683955635024</v>
      </c>
      <c r="AB2162" t="str">
        <f>HYPERLINK("Melting_Curves/meltCurve_P35579_MYH9.pdf", "Melting_Curves/meltCurve_P35579_MYH9.pdf")</f>
        <v>Melting_Curves/meltCurve_P35579_MYH9.pdf</v>
      </c>
    </row>
    <row r="2163" spans="1:28" x14ac:dyDescent="0.25">
      <c r="A2163" t="s">
        <v>2167</v>
      </c>
      <c r="B2163">
        <v>0.99299721793515405</v>
      </c>
      <c r="C2163">
        <v>0.93580015857888399</v>
      </c>
      <c r="D2163">
        <v>0.93158320319627497</v>
      </c>
      <c r="E2163">
        <v>0.85669653305535298</v>
      </c>
      <c r="F2163">
        <v>0.75280710429429998</v>
      </c>
      <c r="G2163">
        <v>0.62065194374579202</v>
      </c>
      <c r="H2163">
        <v>0.43085326291227399</v>
      </c>
      <c r="I2163">
        <v>0.29467374755975201</v>
      </c>
      <c r="J2163">
        <v>0.26923278640962101</v>
      </c>
      <c r="K2163">
        <v>0.230328378063337</v>
      </c>
      <c r="L2163">
        <v>534.12601648595898</v>
      </c>
      <c r="M2163">
        <v>9.6968468836078401</v>
      </c>
      <c r="N2163">
        <v>55.980262138457697</v>
      </c>
      <c r="O2163">
        <v>52.892890544555598</v>
      </c>
      <c r="P2163">
        <v>-4.2555060747380302E-2</v>
      </c>
      <c r="Q2163">
        <v>7.2016254733651197E-2</v>
      </c>
      <c r="R2163">
        <v>0.99378419383231298</v>
      </c>
      <c r="S2163" t="s">
        <v>7714</v>
      </c>
      <c r="T2163" t="s">
        <v>11100</v>
      </c>
      <c r="U2163" t="s">
        <v>11100</v>
      </c>
      <c r="V2163" t="s">
        <v>11100</v>
      </c>
      <c r="W2163" t="s">
        <v>13223</v>
      </c>
      <c r="X2163">
        <v>52</v>
      </c>
      <c r="Y2163" t="s">
        <v>18697</v>
      </c>
      <c r="Z2163" t="s">
        <v>24168</v>
      </c>
      <c r="AA2163">
        <v>0.64167290116061937</v>
      </c>
      <c r="AB2163" t="str">
        <f>HYPERLINK("Melting_Curves/meltCurve_P35580_MYH10.pdf", "Melting_Curves/meltCurve_P35580_MYH10.pdf")</f>
        <v>Melting_Curves/meltCurve_P35580_MYH10.pdf</v>
      </c>
    </row>
    <row r="2164" spans="1:28" x14ac:dyDescent="0.25">
      <c r="A2164" t="s">
        <v>2168</v>
      </c>
      <c r="B2164">
        <v>0.99299721793515405</v>
      </c>
      <c r="C2164">
        <v>1.0910766798904299</v>
      </c>
      <c r="D2164">
        <v>1.06738657578513</v>
      </c>
      <c r="E2164">
        <v>0.925108694564444</v>
      </c>
      <c r="F2164">
        <v>0.80339587672006596</v>
      </c>
      <c r="G2164">
        <v>0.76835235609080499</v>
      </c>
      <c r="H2164">
        <v>0.52385495165518703</v>
      </c>
      <c r="I2164">
        <v>0.35041880708175499</v>
      </c>
      <c r="J2164">
        <v>0.19254579436335501</v>
      </c>
      <c r="K2164">
        <v>0.138766376658989</v>
      </c>
      <c r="L2164">
        <v>746.06020723824099</v>
      </c>
      <c r="M2164">
        <v>12.9123131174709</v>
      </c>
      <c r="N2164">
        <v>57.778974395999199</v>
      </c>
      <c r="O2164">
        <v>56.445781144063901</v>
      </c>
      <c r="P2164">
        <v>-5.7199381843490001E-2</v>
      </c>
      <c r="Q2164">
        <v>0</v>
      </c>
      <c r="R2164">
        <v>0.97901417224403298</v>
      </c>
      <c r="S2164" t="s">
        <v>7715</v>
      </c>
      <c r="T2164" t="s">
        <v>11100</v>
      </c>
      <c r="U2164" t="s">
        <v>11100</v>
      </c>
      <c r="V2164" t="s">
        <v>11100</v>
      </c>
      <c r="W2164" t="s">
        <v>13224</v>
      </c>
      <c r="X2164">
        <v>18</v>
      </c>
      <c r="Y2164" t="s">
        <v>18698</v>
      </c>
      <c r="Z2164" t="s">
        <v>24169</v>
      </c>
      <c r="AA2164">
        <v>0.69473546776554429</v>
      </c>
      <c r="AB2164" t="str">
        <f>HYPERLINK("Melting_Curves/meltCurve_P35606_COPB2.pdf", "Melting_Curves/meltCurve_P35606_COPB2.pdf")</f>
        <v>Melting_Curves/meltCurve_P35606_COPB2.pdf</v>
      </c>
    </row>
    <row r="2165" spans="1:28" x14ac:dyDescent="0.25">
      <c r="A2165" t="s">
        <v>2169</v>
      </c>
      <c r="B2165">
        <v>0.99299721793515405</v>
      </c>
      <c r="C2165">
        <v>0.95001157481046905</v>
      </c>
      <c r="D2165">
        <v>0.91908696164528603</v>
      </c>
      <c r="E2165">
        <v>0.85313234069827704</v>
      </c>
      <c r="F2165">
        <v>0.74772748835310698</v>
      </c>
      <c r="G2165">
        <v>0.60098387158436595</v>
      </c>
      <c r="H2165">
        <v>0.57317641685434595</v>
      </c>
      <c r="I2165">
        <v>0.55484256092565198</v>
      </c>
      <c r="J2165">
        <v>0.47314910297645302</v>
      </c>
      <c r="K2165">
        <v>0.34898665119184702</v>
      </c>
      <c r="L2165">
        <v>373.81528915916402</v>
      </c>
      <c r="M2165">
        <v>6.6344059423030703</v>
      </c>
      <c r="N2165">
        <v>60.781625933028401</v>
      </c>
      <c r="O2165">
        <v>51.8858644707352</v>
      </c>
      <c r="P2165">
        <v>-2.5889429950671599E-2</v>
      </c>
      <c r="Q2165">
        <v>0.19192567816921</v>
      </c>
      <c r="R2165">
        <v>0.97494984489282699</v>
      </c>
      <c r="S2165" t="s">
        <v>7716</v>
      </c>
      <c r="T2165" t="s">
        <v>11100</v>
      </c>
      <c r="U2165" t="s">
        <v>11100</v>
      </c>
      <c r="V2165" t="s">
        <v>11100</v>
      </c>
      <c r="W2165" t="s">
        <v>13225</v>
      </c>
      <c r="X2165">
        <v>17</v>
      </c>
      <c r="Y2165" t="s">
        <v>18699</v>
      </c>
      <c r="Z2165" t="s">
        <v>24170</v>
      </c>
      <c r="AA2165">
        <v>0.70123750278611996</v>
      </c>
      <c r="AB2165" t="str">
        <f>HYPERLINK("Melting_Curves/meltCurve_P35611_2_ADD1.pdf", "Melting_Curves/meltCurve_P35611_2_ADD1.pdf")</f>
        <v>Melting_Curves/meltCurve_P35611_2_ADD1.pdf</v>
      </c>
    </row>
    <row r="2166" spans="1:28" x14ac:dyDescent="0.25">
      <c r="A2166" t="s">
        <v>2170</v>
      </c>
      <c r="B2166">
        <v>0.99299721793515405</v>
      </c>
      <c r="C2166">
        <v>0.96036369098376195</v>
      </c>
      <c r="D2166">
        <v>0.89116128583062204</v>
      </c>
      <c r="E2166">
        <v>0.86280708332925704</v>
      </c>
      <c r="F2166">
        <v>0.77695717871659198</v>
      </c>
      <c r="G2166">
        <v>0.571176006630146</v>
      </c>
      <c r="H2166">
        <v>0.51487673886900998</v>
      </c>
      <c r="I2166">
        <v>0.49746202734657202</v>
      </c>
      <c r="J2166">
        <v>0.40645940931710101</v>
      </c>
      <c r="K2166">
        <v>0.24955979062824399</v>
      </c>
      <c r="L2166">
        <v>379.49808275642903</v>
      </c>
      <c r="M2166">
        <v>6.4789575866732498</v>
      </c>
      <c r="N2166">
        <v>58.5739415125947</v>
      </c>
      <c r="O2166">
        <v>53.743045389214103</v>
      </c>
      <c r="P2166">
        <v>-3.0212646593699401E-2</v>
      </c>
      <c r="Q2166">
        <v>0</v>
      </c>
      <c r="R2166">
        <v>0.97302573852293395</v>
      </c>
      <c r="S2166" t="s">
        <v>7717</v>
      </c>
      <c r="T2166" t="s">
        <v>11100</v>
      </c>
      <c r="U2166" t="s">
        <v>11100</v>
      </c>
      <c r="V2166" t="s">
        <v>11100</v>
      </c>
      <c r="W2166" t="s">
        <v>13226</v>
      </c>
      <c r="X2166">
        <v>8</v>
      </c>
      <c r="Y2166" t="s">
        <v>18700</v>
      </c>
      <c r="Z2166" t="s">
        <v>24171</v>
      </c>
      <c r="AA2166">
        <v>0.6761228218337616</v>
      </c>
      <c r="AB2166" t="str">
        <f>HYPERLINK("Melting_Curves/meltCurve_P35612_ADD2.pdf", "Melting_Curves/meltCurve_P35612_ADD2.pdf")</f>
        <v>Melting_Curves/meltCurve_P35612_ADD2.pdf</v>
      </c>
    </row>
    <row r="2167" spans="1:28" x14ac:dyDescent="0.25">
      <c r="A2167" t="s">
        <v>2171</v>
      </c>
      <c r="B2167">
        <v>0.99299721793515405</v>
      </c>
      <c r="C2167">
        <v>0.97127432992121898</v>
      </c>
      <c r="D2167">
        <v>0.90969681795603896</v>
      </c>
      <c r="E2167">
        <v>0.89004796099392403</v>
      </c>
      <c r="F2167">
        <v>0.76956165295986101</v>
      </c>
      <c r="G2167">
        <v>0.55080888920586502</v>
      </c>
      <c r="H2167">
        <v>0.59714097900449803</v>
      </c>
      <c r="I2167">
        <v>0.62162199450875</v>
      </c>
      <c r="J2167">
        <v>0.77837100851413099</v>
      </c>
      <c r="K2167">
        <v>0.69877817810068599</v>
      </c>
      <c r="L2167">
        <v>1240.7956662448701</v>
      </c>
      <c r="M2167">
        <v>26.0240724684339</v>
      </c>
      <c r="O2167">
        <v>47.399913127939698</v>
      </c>
      <c r="P2167">
        <v>-4.7649632893759501E-2</v>
      </c>
      <c r="Q2167">
        <v>0.65285030238031105</v>
      </c>
      <c r="R2167">
        <v>0.80598929853819401</v>
      </c>
      <c r="S2167" t="s">
        <v>7718</v>
      </c>
      <c r="T2167" t="s">
        <v>11100</v>
      </c>
      <c r="U2167" t="s">
        <v>11100</v>
      </c>
      <c r="V2167" t="s">
        <v>11100</v>
      </c>
      <c r="W2167" t="s">
        <v>13227</v>
      </c>
      <c r="X2167">
        <v>7</v>
      </c>
      <c r="Y2167" t="s">
        <v>18701</v>
      </c>
      <c r="Z2167" t="s">
        <v>24172</v>
      </c>
      <c r="AA2167">
        <v>0.77913939432715962</v>
      </c>
      <c r="AB2167" t="str">
        <f>HYPERLINK("Melting_Curves/meltCurve_P35613_2_BSG.pdf", "Melting_Curves/meltCurve_P35613_2_BSG.pdf")</f>
        <v>Melting_Curves/meltCurve_P35613_2_BSG.pdf</v>
      </c>
    </row>
    <row r="2168" spans="1:28" x14ac:dyDescent="0.25">
      <c r="A2168" t="s">
        <v>2172</v>
      </c>
      <c r="B2168">
        <v>0.99299721793515405</v>
      </c>
      <c r="C2168">
        <v>0.98846645078705198</v>
      </c>
      <c r="D2168">
        <v>0.91463946567710397</v>
      </c>
      <c r="E2168">
        <v>0.82841474797958803</v>
      </c>
      <c r="F2168">
        <v>0.85094720994469097</v>
      </c>
      <c r="G2168">
        <v>0.478772516503366</v>
      </c>
      <c r="H2168">
        <v>0.54320303272750303</v>
      </c>
      <c r="I2168">
        <v>0.55256660494160903</v>
      </c>
      <c r="J2168">
        <v>0.586264899677158</v>
      </c>
      <c r="K2168">
        <v>0.42101264950158102</v>
      </c>
      <c r="L2168">
        <v>739.94196329112106</v>
      </c>
      <c r="M2168">
        <v>14.861471537833401</v>
      </c>
      <c r="N2168">
        <v>64.289519750112404</v>
      </c>
      <c r="O2168">
        <v>48.9138648119892</v>
      </c>
      <c r="P2168">
        <v>-3.9312666128815697E-2</v>
      </c>
      <c r="Q2168">
        <v>0.48249190116671398</v>
      </c>
      <c r="R2168">
        <v>0.88561502952462201</v>
      </c>
      <c r="S2168" t="s">
        <v>7719</v>
      </c>
      <c r="T2168" t="s">
        <v>11100</v>
      </c>
      <c r="U2168" t="s">
        <v>11100</v>
      </c>
      <c r="V2168" t="s">
        <v>11100</v>
      </c>
      <c r="W2168" t="s">
        <v>13228</v>
      </c>
      <c r="X2168">
        <v>6</v>
      </c>
      <c r="Y2168" t="s">
        <v>18702</v>
      </c>
      <c r="Z2168" t="s">
        <v>24173</v>
      </c>
      <c r="AA2168">
        <v>0.71414948483725682</v>
      </c>
      <c r="AB2168" t="str">
        <f>HYPERLINK("Melting_Curves/meltCurve_P35637_2_FUS.pdf", "Melting_Curves/meltCurve_P35637_2_FUS.pdf")</f>
        <v>Melting_Curves/meltCurve_P35637_2_FUS.pdf</v>
      </c>
    </row>
    <row r="2169" spans="1:28" x14ac:dyDescent="0.25">
      <c r="A2169" t="s">
        <v>2173</v>
      </c>
      <c r="B2169">
        <v>0.99299721793515405</v>
      </c>
      <c r="C2169">
        <v>0.91010219018161698</v>
      </c>
      <c r="D2169">
        <v>0.90836641490751702</v>
      </c>
      <c r="E2169">
        <v>0.77541919189523001</v>
      </c>
      <c r="F2169">
        <v>0.66156745788594196</v>
      </c>
      <c r="G2169">
        <v>0.41878879091024301</v>
      </c>
      <c r="H2169">
        <v>0.303086763549268</v>
      </c>
      <c r="I2169">
        <v>0.26362731199165101</v>
      </c>
      <c r="J2169">
        <v>0.23968855430447999</v>
      </c>
      <c r="K2169">
        <v>0.201744633780091</v>
      </c>
      <c r="L2169">
        <v>585.40677665788803</v>
      </c>
      <c r="M2169">
        <v>11.4953870356191</v>
      </c>
      <c r="N2169">
        <v>52.541186933629902</v>
      </c>
      <c r="O2169">
        <v>49.457366029677999</v>
      </c>
      <c r="P2169">
        <v>-4.9469716069303303E-2</v>
      </c>
      <c r="Q2169">
        <v>0.14889491554307199</v>
      </c>
      <c r="R2169">
        <v>0.99120829448898995</v>
      </c>
      <c r="S2169" t="s">
        <v>7720</v>
      </c>
      <c r="T2169" t="s">
        <v>11100</v>
      </c>
      <c r="U2169" t="s">
        <v>11100</v>
      </c>
      <c r="V2169" t="s">
        <v>11100</v>
      </c>
      <c r="W2169" t="s">
        <v>13229</v>
      </c>
      <c r="X2169">
        <v>12</v>
      </c>
      <c r="Y2169" t="s">
        <v>18703</v>
      </c>
      <c r="Z2169" t="s">
        <v>24174</v>
      </c>
      <c r="AA2169">
        <v>0.56720479453825989</v>
      </c>
      <c r="AB2169" t="str">
        <f>HYPERLINK("Melting_Curves/meltCurve_P35658_2_NUP214.pdf", "Melting_Curves/meltCurve_P35658_2_NUP214.pdf")</f>
        <v>Melting_Curves/meltCurve_P35658_2_NUP214.pdf</v>
      </c>
    </row>
    <row r="2170" spans="1:28" x14ac:dyDescent="0.25">
      <c r="A2170" t="s">
        <v>2174</v>
      </c>
      <c r="B2170">
        <v>0.99299721793515405</v>
      </c>
      <c r="C2170">
        <v>1.01476437886224</v>
      </c>
      <c r="D2170">
        <v>0.91734312151237596</v>
      </c>
      <c r="E2170">
        <v>0.70291107058941804</v>
      </c>
      <c r="F2170">
        <v>0.491201597147293</v>
      </c>
      <c r="G2170">
        <v>0.35138499306712201</v>
      </c>
      <c r="H2170">
        <v>0.21251780259024</v>
      </c>
      <c r="I2170">
        <v>0.182990674715624</v>
      </c>
      <c r="J2170">
        <v>0.162760697449466</v>
      </c>
      <c r="K2170">
        <v>0.13198607234189699</v>
      </c>
      <c r="L2170">
        <v>712.35080413091998</v>
      </c>
      <c r="M2170">
        <v>14.496838327579001</v>
      </c>
      <c r="N2170">
        <v>50.166823317149202</v>
      </c>
      <c r="O2170">
        <v>48.231740369945101</v>
      </c>
      <c r="P2170">
        <v>-6.5489674222097394E-2</v>
      </c>
      <c r="Q2170">
        <v>0.12855073116059901</v>
      </c>
      <c r="R2170">
        <v>0.99647425044614002</v>
      </c>
      <c r="S2170" t="s">
        <v>7721</v>
      </c>
      <c r="T2170" t="s">
        <v>11100</v>
      </c>
      <c r="U2170" t="s">
        <v>11100</v>
      </c>
      <c r="V2170" t="s">
        <v>11100</v>
      </c>
      <c r="W2170" t="s">
        <v>13230</v>
      </c>
      <c r="X2170">
        <v>9</v>
      </c>
      <c r="Y2170" t="s">
        <v>18704</v>
      </c>
      <c r="Z2170" t="s">
        <v>24175</v>
      </c>
      <c r="AA2170">
        <v>0.50083327299437852</v>
      </c>
      <c r="AB2170" t="str">
        <f>HYPERLINK("Melting_Curves/meltCurve_P35659_DEK.pdf", "Melting_Curves/meltCurve_P35659_DEK.pdf")</f>
        <v>Melting_Curves/meltCurve_P35659_DEK.pdf</v>
      </c>
    </row>
    <row r="2171" spans="1:28" x14ac:dyDescent="0.25">
      <c r="A2171" t="s">
        <v>2175</v>
      </c>
      <c r="B2171">
        <v>0.99299721793515405</v>
      </c>
      <c r="C2171">
        <v>0.90107086962307303</v>
      </c>
      <c r="D2171">
        <v>0.93698759976281798</v>
      </c>
      <c r="E2171">
        <v>0.92049031044431795</v>
      </c>
      <c r="F2171">
        <v>0.81426745534943301</v>
      </c>
      <c r="G2171">
        <v>0.59791246929715602</v>
      </c>
      <c r="H2171">
        <v>0.64293941125681497</v>
      </c>
      <c r="I2171">
        <v>0.80425140842587906</v>
      </c>
      <c r="J2171">
        <v>1.00028586739547</v>
      </c>
      <c r="K2171">
        <v>1.0731891477319599</v>
      </c>
      <c r="L2171">
        <v>743.45687395224502</v>
      </c>
      <c r="M2171">
        <v>17.6665603228615</v>
      </c>
      <c r="O2171">
        <v>41.554625607855002</v>
      </c>
      <c r="P2171">
        <v>-1.79502167710258E-2</v>
      </c>
      <c r="Q2171">
        <v>0.83112164317394899</v>
      </c>
      <c r="R2171">
        <v>0.120091303743686</v>
      </c>
      <c r="S2171" t="s">
        <v>7722</v>
      </c>
      <c r="T2171" t="s">
        <v>11100</v>
      </c>
      <c r="U2171" t="s">
        <v>11100</v>
      </c>
      <c r="V2171" t="s">
        <v>11100</v>
      </c>
      <c r="W2171" t="s">
        <v>13231</v>
      </c>
      <c r="X2171">
        <v>5</v>
      </c>
      <c r="Y2171" t="s">
        <v>18705</v>
      </c>
      <c r="Z2171" t="s">
        <v>24176</v>
      </c>
      <c r="AA2171">
        <v>0.86309450259034814</v>
      </c>
      <c r="AB2171" t="str">
        <f>HYPERLINK("Melting_Curves/meltCurve_P35754_GLRX.pdf", "Melting_Curves/meltCurve_P35754_GLRX.pdf")</f>
        <v>Melting_Curves/meltCurve_P35754_GLRX.pdf</v>
      </c>
    </row>
    <row r="2172" spans="1:28" x14ac:dyDescent="0.25">
      <c r="A2172" t="s">
        <v>2176</v>
      </c>
      <c r="B2172">
        <v>0.99299721793515405</v>
      </c>
      <c r="C2172">
        <v>0.779940955978494</v>
      </c>
      <c r="D2172">
        <v>0.97786606021931899</v>
      </c>
      <c r="E2172">
        <v>0.75012790593190604</v>
      </c>
      <c r="F2172">
        <v>0.84112045308831396</v>
      </c>
      <c r="G2172">
        <v>0.62596294121990204</v>
      </c>
      <c r="H2172">
        <v>0.36994542982182399</v>
      </c>
      <c r="I2172">
        <v>0.322531673137047</v>
      </c>
      <c r="J2172">
        <v>0.29203945631455702</v>
      </c>
      <c r="K2172">
        <v>0.20814109057968999</v>
      </c>
      <c r="L2172">
        <v>450.455677579949</v>
      </c>
      <c r="M2172">
        <v>8.0350601557545005</v>
      </c>
      <c r="N2172">
        <v>56.0612700737992</v>
      </c>
      <c r="O2172">
        <v>52.908735465633001</v>
      </c>
      <c r="P2172">
        <v>-3.8008848284179102E-2</v>
      </c>
      <c r="Q2172">
        <v>0</v>
      </c>
      <c r="R2172">
        <v>0.91219245543632699</v>
      </c>
      <c r="S2172" t="s">
        <v>7723</v>
      </c>
      <c r="T2172" t="s">
        <v>11100</v>
      </c>
      <c r="U2172" t="s">
        <v>11100</v>
      </c>
      <c r="V2172" t="s">
        <v>11100</v>
      </c>
      <c r="W2172" t="s">
        <v>13232</v>
      </c>
      <c r="X2172">
        <v>4</v>
      </c>
      <c r="Y2172" t="s">
        <v>18706</v>
      </c>
      <c r="Z2172" t="s">
        <v>24177</v>
      </c>
      <c r="AA2172">
        <v>0.63330421492842037</v>
      </c>
      <c r="AB2172" t="str">
        <f>HYPERLINK("Melting_Curves/meltCurve_P35790_2_CHKA.pdf", "Melting_Curves/meltCurve_P35790_2_CHKA.pdf")</f>
        <v>Melting_Curves/meltCurve_P35790_2_CHKA.pdf</v>
      </c>
    </row>
    <row r="2173" spans="1:28" x14ac:dyDescent="0.25">
      <c r="A2173" t="s">
        <v>2177</v>
      </c>
      <c r="B2173">
        <v>0.99299721793515405</v>
      </c>
      <c r="C2173">
        <v>0.96895109719788797</v>
      </c>
      <c r="D2173">
        <v>0.97825705331905999</v>
      </c>
      <c r="E2173">
        <v>0.89551906566292405</v>
      </c>
      <c r="F2173">
        <v>0.75274552346624701</v>
      </c>
      <c r="G2173">
        <v>0.466293989502092</v>
      </c>
      <c r="H2173">
        <v>0.23282751962339701</v>
      </c>
      <c r="I2173">
        <v>0.203234789984266</v>
      </c>
      <c r="J2173">
        <v>0.186791579065025</v>
      </c>
      <c r="K2173">
        <v>0.161542285834052</v>
      </c>
      <c r="L2173">
        <v>1039.5846805577</v>
      </c>
      <c r="M2173">
        <v>19.915248560838201</v>
      </c>
      <c r="N2173">
        <v>53.159031916952898</v>
      </c>
      <c r="O2173">
        <v>51.682684268215802</v>
      </c>
      <c r="P2173">
        <v>-8.1804394756587906E-2</v>
      </c>
      <c r="Q2173">
        <v>0.15085590878559199</v>
      </c>
      <c r="R2173">
        <v>0.99644887833003504</v>
      </c>
      <c r="S2173" t="s">
        <v>7724</v>
      </c>
      <c r="T2173" t="s">
        <v>11100</v>
      </c>
      <c r="U2173" t="s">
        <v>11100</v>
      </c>
      <c r="V2173" t="s">
        <v>11100</v>
      </c>
      <c r="W2173" t="s">
        <v>13233</v>
      </c>
      <c r="X2173">
        <v>14</v>
      </c>
      <c r="Y2173" t="s">
        <v>18707</v>
      </c>
      <c r="Z2173" t="s">
        <v>24178</v>
      </c>
      <c r="AA2173">
        <v>0.5920955337164171</v>
      </c>
      <c r="AB2173" t="str">
        <f>HYPERLINK("Melting_Curves/meltCurve_P35813_PPM1A.pdf", "Melting_Curves/meltCurve_P35813_PPM1A.pdf")</f>
        <v>Melting_Curves/meltCurve_P35813_PPM1A.pdf</v>
      </c>
    </row>
    <row r="2174" spans="1:28" x14ac:dyDescent="0.25">
      <c r="A2174" t="s">
        <v>2178</v>
      </c>
      <c r="B2174">
        <v>0.99299721793515405</v>
      </c>
      <c r="C2174">
        <v>0.96773730505636901</v>
      </c>
      <c r="D2174">
        <v>0.85027679088462005</v>
      </c>
      <c r="E2174">
        <v>0.69844320730875797</v>
      </c>
      <c r="F2174">
        <v>0.43360768987229897</v>
      </c>
      <c r="G2174">
        <v>0.51405856102593195</v>
      </c>
      <c r="H2174">
        <v>0.65738709065273504</v>
      </c>
      <c r="I2174">
        <v>0.30970504500499701</v>
      </c>
      <c r="J2174">
        <v>0.20714214967078001</v>
      </c>
      <c r="K2174">
        <v>0.193636965008358</v>
      </c>
      <c r="L2174">
        <v>335.92968380667799</v>
      </c>
      <c r="M2174">
        <v>6.2192461460845196</v>
      </c>
      <c r="N2174">
        <v>54.014534222851204</v>
      </c>
      <c r="O2174">
        <v>49.233504067289097</v>
      </c>
      <c r="P2174">
        <v>-3.1670298051697902E-2</v>
      </c>
      <c r="Q2174">
        <v>0</v>
      </c>
      <c r="R2174">
        <v>0.86386753603607402</v>
      </c>
      <c r="S2174" t="s">
        <v>7725</v>
      </c>
      <c r="T2174" t="s">
        <v>11100</v>
      </c>
      <c r="U2174" t="s">
        <v>11100</v>
      </c>
      <c r="V2174" t="s">
        <v>11100</v>
      </c>
      <c r="W2174" t="s">
        <v>13234</v>
      </c>
      <c r="X2174">
        <v>13</v>
      </c>
      <c r="Y2174" t="s">
        <v>18708</v>
      </c>
      <c r="Z2174" t="s">
        <v>24179</v>
      </c>
      <c r="AA2174">
        <v>0.57496698517921097</v>
      </c>
      <c r="AB2174" t="str">
        <f>HYPERLINK("Melting_Curves/meltCurve_P35998_PSMC2.pdf", "Melting_Curves/meltCurve_P35998_PSMC2.pdf")</f>
        <v>Melting_Curves/meltCurve_P35998_PSMC2.pdf</v>
      </c>
    </row>
    <row r="2175" spans="1:28" x14ac:dyDescent="0.25">
      <c r="A2175" t="s">
        <v>2179</v>
      </c>
      <c r="B2175">
        <v>0.99299721793515405</v>
      </c>
      <c r="C2175">
        <v>1.0526389509458001</v>
      </c>
      <c r="D2175">
        <v>0.93933676116529197</v>
      </c>
      <c r="E2175">
        <v>1.03233583673295</v>
      </c>
      <c r="F2175">
        <v>0.81967796200619003</v>
      </c>
      <c r="G2175">
        <v>0.64790992581250495</v>
      </c>
      <c r="H2175">
        <v>0.358146701452212</v>
      </c>
      <c r="I2175">
        <v>0.20327039193190499</v>
      </c>
      <c r="J2175">
        <v>0.161344066821965</v>
      </c>
      <c r="K2175">
        <v>0.120564065083792</v>
      </c>
      <c r="L2175">
        <v>1030.1148405256299</v>
      </c>
      <c r="M2175">
        <v>18.799875959929</v>
      </c>
      <c r="N2175">
        <v>55.415020074120697</v>
      </c>
      <c r="O2175">
        <v>54.185026439176198</v>
      </c>
      <c r="P2175">
        <v>-7.8500076795560994E-2</v>
      </c>
      <c r="Q2175">
        <v>9.5025540641572301E-2</v>
      </c>
      <c r="R2175">
        <v>0.99050028972357296</v>
      </c>
      <c r="S2175" t="s">
        <v>7726</v>
      </c>
      <c r="T2175" t="s">
        <v>11100</v>
      </c>
      <c r="U2175" t="s">
        <v>11100</v>
      </c>
      <c r="V2175" t="s">
        <v>11100</v>
      </c>
      <c r="W2175" t="s">
        <v>13235</v>
      </c>
      <c r="X2175">
        <v>9</v>
      </c>
      <c r="Y2175" t="s">
        <v>18709</v>
      </c>
      <c r="Z2175" t="s">
        <v>24180</v>
      </c>
      <c r="AA2175">
        <v>0.64292834754296802</v>
      </c>
      <c r="AB2175" t="str">
        <f>HYPERLINK("Melting_Curves/meltCurve_P36404_ARL2.pdf", "Melting_Curves/meltCurve_P36404_ARL2.pdf")</f>
        <v>Melting_Curves/meltCurve_P36404_ARL2.pdf</v>
      </c>
    </row>
    <row r="2176" spans="1:28" x14ac:dyDescent="0.25">
      <c r="A2176" t="s">
        <v>2180</v>
      </c>
      <c r="B2176">
        <v>0.99299721793515405</v>
      </c>
      <c r="C2176">
        <v>1.07966453713416</v>
      </c>
      <c r="D2176">
        <v>1.10934647403961</v>
      </c>
      <c r="E2176">
        <v>1.06042678033869</v>
      </c>
      <c r="F2176">
        <v>0.72727863386604796</v>
      </c>
      <c r="G2176">
        <v>0.79403764004580601</v>
      </c>
      <c r="H2176">
        <v>0.48921553026949599</v>
      </c>
      <c r="I2176">
        <v>0.40047241448256998</v>
      </c>
      <c r="J2176">
        <v>0.23112487661444001</v>
      </c>
      <c r="K2176">
        <v>0.13108034794712001</v>
      </c>
      <c r="L2176">
        <v>729.92754680816404</v>
      </c>
      <c r="M2176">
        <v>12.583140189075101</v>
      </c>
      <c r="N2176">
        <v>58.0083776591581</v>
      </c>
      <c r="O2176">
        <v>56.601779009685004</v>
      </c>
      <c r="P2176">
        <v>-5.5588639512720098E-2</v>
      </c>
      <c r="Q2176">
        <v>0</v>
      </c>
      <c r="R2176">
        <v>0.94713923408354606</v>
      </c>
      <c r="S2176" t="s">
        <v>7727</v>
      </c>
      <c r="T2176" t="s">
        <v>11100</v>
      </c>
      <c r="U2176" t="s">
        <v>11100</v>
      </c>
      <c r="V2176" t="s">
        <v>11100</v>
      </c>
      <c r="W2176" t="s">
        <v>13236</v>
      </c>
      <c r="X2176">
        <v>11</v>
      </c>
      <c r="Y2176" t="s">
        <v>18710</v>
      </c>
      <c r="Z2176" t="s">
        <v>24181</v>
      </c>
      <c r="AA2176">
        <v>0.70035014379935456</v>
      </c>
      <c r="AB2176" t="str">
        <f>HYPERLINK("Melting_Curves/meltCurve_P36405_ARL3.pdf", "Melting_Curves/meltCurve_P36405_ARL3.pdf")</f>
        <v>Melting_Curves/meltCurve_P36405_ARL3.pdf</v>
      </c>
    </row>
    <row r="2177" spans="1:28" x14ac:dyDescent="0.25">
      <c r="A2177" t="s">
        <v>2181</v>
      </c>
      <c r="B2177">
        <v>0.99299721793515405</v>
      </c>
      <c r="C2177">
        <v>1.1731258702885901</v>
      </c>
      <c r="D2177">
        <v>1.0529501614780501</v>
      </c>
      <c r="E2177">
        <v>0.90172563273960205</v>
      </c>
      <c r="F2177">
        <v>0.88179100695322199</v>
      </c>
      <c r="G2177">
        <v>1.0899411532437999</v>
      </c>
      <c r="H2177">
        <v>0.17310661728958401</v>
      </c>
      <c r="I2177">
        <v>0</v>
      </c>
      <c r="J2177">
        <v>0</v>
      </c>
      <c r="K2177">
        <v>0</v>
      </c>
      <c r="L2177">
        <v>14260.239789827599</v>
      </c>
      <c r="M2177">
        <v>250</v>
      </c>
      <c r="N2177">
        <v>57.040939074084399</v>
      </c>
      <c r="O2177">
        <v>57.037311767258501</v>
      </c>
      <c r="P2177">
        <v>-1.09577399878013</v>
      </c>
      <c r="Q2177">
        <v>0</v>
      </c>
      <c r="R2177">
        <v>0.97257740221146805</v>
      </c>
      <c r="S2177" t="s">
        <v>7728</v>
      </c>
      <c r="T2177" t="s">
        <v>11100</v>
      </c>
      <c r="U2177" t="s">
        <v>11100</v>
      </c>
      <c r="V2177" t="s">
        <v>11100</v>
      </c>
      <c r="W2177" t="s">
        <v>13237</v>
      </c>
      <c r="X2177">
        <v>2</v>
      </c>
      <c r="Y2177" t="s">
        <v>18711</v>
      </c>
      <c r="Z2177" t="s">
        <v>24182</v>
      </c>
      <c r="AA2177">
        <v>0.66813207797258534</v>
      </c>
      <c r="AB2177" t="str">
        <f>HYPERLINK("Melting_Curves/meltCurve_P36406_3_TRIM23.pdf", "Melting_Curves/meltCurve_P36406_3_TRIM23.pdf")</f>
        <v>Melting_Curves/meltCurve_P36406_3_TRIM23.pdf</v>
      </c>
    </row>
    <row r="2178" spans="1:28" x14ac:dyDescent="0.25">
      <c r="A2178" t="s">
        <v>2182</v>
      </c>
      <c r="B2178">
        <v>0.99299721793515405</v>
      </c>
      <c r="C2178">
        <v>1.0567487505323301</v>
      </c>
      <c r="D2178">
        <v>0.96164043857330905</v>
      </c>
      <c r="E2178">
        <v>0.91718266837254803</v>
      </c>
      <c r="F2178">
        <v>0.84897641074117303</v>
      </c>
      <c r="G2178">
        <v>0.51075463850457403</v>
      </c>
      <c r="H2178">
        <v>0.20331082604641901</v>
      </c>
      <c r="I2178">
        <v>0.16553603273949599</v>
      </c>
      <c r="J2178">
        <v>0.15422911782933099</v>
      </c>
      <c r="K2178">
        <v>0.13791115135822199</v>
      </c>
      <c r="L2178">
        <v>1392.2042781066</v>
      </c>
      <c r="M2178">
        <v>26.215071959029601</v>
      </c>
      <c r="N2178">
        <v>53.7322739558454</v>
      </c>
      <c r="O2178">
        <v>52.800896697425799</v>
      </c>
      <c r="P2178">
        <v>-0.107806747195637</v>
      </c>
      <c r="Q2178">
        <v>0.131457323474651</v>
      </c>
      <c r="R2178">
        <v>0.99286685817365605</v>
      </c>
      <c r="S2178" t="s">
        <v>7729</v>
      </c>
      <c r="T2178" t="s">
        <v>11100</v>
      </c>
      <c r="U2178" t="s">
        <v>11100</v>
      </c>
      <c r="V2178" t="s">
        <v>11100</v>
      </c>
      <c r="W2178" t="s">
        <v>13238</v>
      </c>
      <c r="X2178">
        <v>16</v>
      </c>
      <c r="Y2178" t="s">
        <v>18712</v>
      </c>
      <c r="Z2178" t="s">
        <v>24183</v>
      </c>
      <c r="AA2178">
        <v>0.6048422879984614</v>
      </c>
      <c r="AB2178" t="str">
        <f>HYPERLINK("Melting_Curves/meltCurve_P36507_MAP2K2.pdf", "Melting_Curves/meltCurve_P36507_MAP2K2.pdf")</f>
        <v>Melting_Curves/meltCurve_P36507_MAP2K2.pdf</v>
      </c>
    </row>
    <row r="2179" spans="1:28" x14ac:dyDescent="0.25">
      <c r="A2179" t="s">
        <v>2183</v>
      </c>
      <c r="B2179">
        <v>0.99299721793515405</v>
      </c>
      <c r="C2179">
        <v>0.90954685290003401</v>
      </c>
      <c r="D2179">
        <v>0.86751613963305896</v>
      </c>
      <c r="E2179">
        <v>0.88548944188661605</v>
      </c>
      <c r="F2179">
        <v>0.89226869466328895</v>
      </c>
      <c r="G2179">
        <v>1.2882121108096201</v>
      </c>
      <c r="H2179">
        <v>1.3370774375313199</v>
      </c>
      <c r="I2179">
        <v>1.32368611455452</v>
      </c>
      <c r="J2179">
        <v>1.13113905151132</v>
      </c>
      <c r="K2179">
        <v>0.78636789241015903</v>
      </c>
      <c r="L2179">
        <v>12983.7698172894</v>
      </c>
      <c r="M2179">
        <v>250</v>
      </c>
      <c r="O2179">
        <v>51.931771763763699</v>
      </c>
      <c r="P2179">
        <v>0.208560640728543</v>
      </c>
      <c r="Q2179">
        <v>1.17329472416945</v>
      </c>
      <c r="R2179">
        <v>0.33442989185071897</v>
      </c>
      <c r="S2179" t="s">
        <v>7730</v>
      </c>
      <c r="T2179" t="s">
        <v>11100</v>
      </c>
      <c r="U2179" t="s">
        <v>11100</v>
      </c>
      <c r="V2179" t="s">
        <v>11100</v>
      </c>
      <c r="W2179" t="s">
        <v>13239</v>
      </c>
      <c r="X2179">
        <v>6</v>
      </c>
      <c r="Y2179" t="s">
        <v>18713</v>
      </c>
      <c r="Z2179" t="s">
        <v>24184</v>
      </c>
      <c r="AA2179">
        <v>1.087006581097564</v>
      </c>
      <c r="AB2179" t="str">
        <f>HYPERLINK("Melting_Curves/meltCurve_P36542_ATP5C1.pdf", "Melting_Curves/meltCurve_P36542_ATP5C1.pdf")</f>
        <v>Melting_Curves/meltCurve_P36542_ATP5C1.pdf</v>
      </c>
    </row>
    <row r="2180" spans="1:28" x14ac:dyDescent="0.25">
      <c r="A2180" t="s">
        <v>2184</v>
      </c>
      <c r="B2180">
        <v>0.99299721793515405</v>
      </c>
      <c r="C2180">
        <v>0.969400411884214</v>
      </c>
      <c r="D2180">
        <v>0.96801497741971598</v>
      </c>
      <c r="E2180">
        <v>0.81191160864607503</v>
      </c>
      <c r="F2180">
        <v>0.67001845288248496</v>
      </c>
      <c r="G2180">
        <v>0.61392906043963102</v>
      </c>
      <c r="H2180">
        <v>0.49151511760577399</v>
      </c>
      <c r="I2180">
        <v>0.26103960186042402</v>
      </c>
      <c r="J2180">
        <v>0.14496725967306301</v>
      </c>
      <c r="K2180">
        <v>0.118595277928555</v>
      </c>
      <c r="L2180">
        <v>544.73652433775703</v>
      </c>
      <c r="M2180">
        <v>9.8707448504416195</v>
      </c>
      <c r="N2180">
        <v>55.1869701030515</v>
      </c>
      <c r="O2180">
        <v>53.065055107001299</v>
      </c>
      <c r="P2180">
        <v>-4.6526807331631198E-2</v>
      </c>
      <c r="Q2180">
        <v>0</v>
      </c>
      <c r="R2180">
        <v>0.97999995102065496</v>
      </c>
      <c r="S2180" t="s">
        <v>7731</v>
      </c>
      <c r="T2180" t="s">
        <v>11100</v>
      </c>
      <c r="U2180" t="s">
        <v>11100</v>
      </c>
      <c r="V2180" t="s">
        <v>11100</v>
      </c>
      <c r="W2180" t="s">
        <v>13240</v>
      </c>
      <c r="X2180">
        <v>7</v>
      </c>
      <c r="Y2180" t="s">
        <v>18714</v>
      </c>
      <c r="Z2180" t="s">
        <v>24185</v>
      </c>
      <c r="AA2180">
        <v>0.61706457173075335</v>
      </c>
      <c r="AB2180" t="str">
        <f>HYPERLINK("Melting_Curves/meltCurve_P36543_ATP6V1E1.pdf", "Melting_Curves/meltCurve_P36543_ATP6V1E1.pdf")</f>
        <v>Melting_Curves/meltCurve_P36543_ATP6V1E1.pdf</v>
      </c>
    </row>
    <row r="2181" spans="1:28" x14ac:dyDescent="0.25">
      <c r="A2181" t="s">
        <v>2185</v>
      </c>
      <c r="B2181">
        <v>0.99299721793515405</v>
      </c>
      <c r="C2181">
        <v>0.96003747914240301</v>
      </c>
      <c r="D2181">
        <v>0.92367680676455199</v>
      </c>
      <c r="E2181">
        <v>0.80364226443887399</v>
      </c>
      <c r="F2181">
        <v>0.680677468352616</v>
      </c>
      <c r="G2181">
        <v>0.51747114306372</v>
      </c>
      <c r="H2181">
        <v>0.49782401698399797</v>
      </c>
      <c r="I2181">
        <v>0.49987234515467699</v>
      </c>
      <c r="J2181">
        <v>0.32168953930030902</v>
      </c>
      <c r="K2181">
        <v>0.142895954544942</v>
      </c>
      <c r="L2181">
        <v>391.97258363698</v>
      </c>
      <c r="M2181">
        <v>6.9416896684140799</v>
      </c>
      <c r="N2181">
        <v>56.466451876538798</v>
      </c>
      <c r="O2181">
        <v>52.339296883564401</v>
      </c>
      <c r="P2181">
        <v>-3.3220556497356502E-2</v>
      </c>
      <c r="Q2181">
        <v>0</v>
      </c>
      <c r="R2181">
        <v>0.95260206537661896</v>
      </c>
      <c r="S2181" t="s">
        <v>7732</v>
      </c>
      <c r="T2181" t="s">
        <v>11100</v>
      </c>
      <c r="U2181" t="s">
        <v>11100</v>
      </c>
      <c r="V2181" t="s">
        <v>11100</v>
      </c>
      <c r="W2181" t="s">
        <v>13241</v>
      </c>
      <c r="X2181">
        <v>24</v>
      </c>
      <c r="Y2181" t="s">
        <v>18715</v>
      </c>
      <c r="Z2181" t="s">
        <v>24186</v>
      </c>
      <c r="AA2181">
        <v>0.63557407744551964</v>
      </c>
      <c r="AB2181" t="str">
        <f>HYPERLINK("Melting_Curves/meltCurve_P36551_CPOX.pdf", "Melting_Curves/meltCurve_P36551_CPOX.pdf")</f>
        <v>Melting_Curves/meltCurve_P36551_CPOX.pdf</v>
      </c>
    </row>
    <row r="2182" spans="1:28" x14ac:dyDescent="0.25">
      <c r="A2182" t="s">
        <v>2186</v>
      </c>
      <c r="B2182">
        <v>0.99299721793515405</v>
      </c>
      <c r="C2182">
        <v>1.1272372559950099</v>
      </c>
      <c r="D2182">
        <v>1.0024871709610299</v>
      </c>
      <c r="E2182">
        <v>0.96479131127720597</v>
      </c>
      <c r="F2182">
        <v>0.88147326595425202</v>
      </c>
      <c r="G2182">
        <v>0.67378071478491697</v>
      </c>
      <c r="H2182">
        <v>0.47375386035675598</v>
      </c>
      <c r="I2182">
        <v>0.36001706960491298</v>
      </c>
      <c r="J2182">
        <v>0.226947051181809</v>
      </c>
      <c r="K2182">
        <v>0.16863410985841201</v>
      </c>
      <c r="L2182">
        <v>821.44658932961204</v>
      </c>
      <c r="M2182">
        <v>14.610022922439599</v>
      </c>
      <c r="N2182">
        <v>57.147261196942502</v>
      </c>
      <c r="O2182">
        <v>55.203007640217102</v>
      </c>
      <c r="P2182">
        <v>-5.9221861252679003E-2</v>
      </c>
      <c r="Q2182">
        <v>0.10503666415988901</v>
      </c>
      <c r="R2182">
        <v>0.982798397850557</v>
      </c>
      <c r="S2182" t="s">
        <v>7733</v>
      </c>
      <c r="T2182" t="s">
        <v>11100</v>
      </c>
      <c r="U2182" t="s">
        <v>11100</v>
      </c>
      <c r="V2182" t="s">
        <v>11100</v>
      </c>
      <c r="W2182" t="s">
        <v>13242</v>
      </c>
      <c r="X2182">
        <v>3</v>
      </c>
      <c r="Y2182" t="s">
        <v>18716</v>
      </c>
      <c r="Z2182" t="s">
        <v>24187</v>
      </c>
      <c r="AA2182">
        <v>0.68812504317535284</v>
      </c>
      <c r="AB2182" t="str">
        <f>HYPERLINK("Melting_Curves/meltCurve_P36639_4_NUDT1.pdf", "Melting_Curves/meltCurve_P36639_4_NUDT1.pdf")</f>
        <v>Melting_Curves/meltCurve_P36639_4_NUDT1.pdf</v>
      </c>
    </row>
    <row r="2183" spans="1:28" x14ac:dyDescent="0.25">
      <c r="A2183" t="s">
        <v>2187</v>
      </c>
      <c r="B2183">
        <v>0.99299721793515405</v>
      </c>
      <c r="C2183">
        <v>1.05019475996741</v>
      </c>
      <c r="D2183">
        <v>0.94323007258440705</v>
      </c>
      <c r="E2183">
        <v>0.88545027792847197</v>
      </c>
      <c r="F2183">
        <v>0.78607179300866603</v>
      </c>
      <c r="G2183">
        <v>0.57633652861130502</v>
      </c>
      <c r="H2183">
        <v>0.56856136909656196</v>
      </c>
      <c r="I2183">
        <v>0.60774850335808095</v>
      </c>
      <c r="J2183">
        <v>0.36251332140335002</v>
      </c>
      <c r="K2183">
        <v>0.12853123989993101</v>
      </c>
      <c r="L2183">
        <v>466.677245972864</v>
      </c>
      <c r="M2183">
        <v>7.92989897226881</v>
      </c>
      <c r="N2183">
        <v>58.850336460254297</v>
      </c>
      <c r="O2183">
        <v>55.460836204777699</v>
      </c>
      <c r="P2183">
        <v>-3.5787258802651399E-2</v>
      </c>
      <c r="Q2183">
        <v>0</v>
      </c>
      <c r="R2183">
        <v>0.91184815504379402</v>
      </c>
      <c r="S2183" t="s">
        <v>7734</v>
      </c>
      <c r="T2183" t="s">
        <v>11100</v>
      </c>
      <c r="U2183" t="s">
        <v>11100</v>
      </c>
      <c r="V2183" t="s">
        <v>11100</v>
      </c>
      <c r="W2183" t="s">
        <v>13243</v>
      </c>
      <c r="X2183">
        <v>22</v>
      </c>
      <c r="Y2183" t="s">
        <v>18717</v>
      </c>
      <c r="Z2183" t="s">
        <v>24188</v>
      </c>
      <c r="AA2183">
        <v>0.69767147720805245</v>
      </c>
      <c r="AB2183" t="str">
        <f>HYPERLINK("Melting_Curves/meltCurve_P36871_PGM1.pdf", "Melting_Curves/meltCurve_P36871_PGM1.pdf")</f>
        <v>Melting_Curves/meltCurve_P36871_PGM1.pdf</v>
      </c>
    </row>
    <row r="2184" spans="1:28" x14ac:dyDescent="0.25">
      <c r="A2184" t="s">
        <v>2188</v>
      </c>
      <c r="B2184">
        <v>0.99299721793515405</v>
      </c>
      <c r="C2184">
        <v>0.99087815995238204</v>
      </c>
      <c r="D2184">
        <v>0.93788187911981702</v>
      </c>
      <c r="E2184">
        <v>0.89713713552936203</v>
      </c>
      <c r="F2184">
        <v>0.75879761749888697</v>
      </c>
      <c r="G2184">
        <v>0.42643666683458498</v>
      </c>
      <c r="H2184">
        <v>0.16873856572143101</v>
      </c>
      <c r="I2184">
        <v>0.15170329279653499</v>
      </c>
      <c r="J2184">
        <v>0.139640210914354</v>
      </c>
      <c r="K2184">
        <v>0.10746847916909</v>
      </c>
      <c r="L2184">
        <v>1129.5706005453701</v>
      </c>
      <c r="M2184">
        <v>21.624192855023701</v>
      </c>
      <c r="N2184">
        <v>52.795033196587298</v>
      </c>
      <c r="O2184">
        <v>51.795846512653597</v>
      </c>
      <c r="P2184">
        <v>-9.3701930902018907E-2</v>
      </c>
      <c r="Q2184">
        <v>0.102254476378734</v>
      </c>
      <c r="R2184">
        <v>0.99420535676659305</v>
      </c>
      <c r="S2184" t="s">
        <v>7735</v>
      </c>
      <c r="T2184" t="s">
        <v>11100</v>
      </c>
      <c r="U2184" t="s">
        <v>11100</v>
      </c>
      <c r="V2184" t="s">
        <v>11100</v>
      </c>
      <c r="W2184" t="s">
        <v>13244</v>
      </c>
      <c r="X2184">
        <v>15</v>
      </c>
      <c r="Y2184" t="s">
        <v>18718</v>
      </c>
      <c r="Z2184" t="s">
        <v>24189</v>
      </c>
      <c r="AA2184">
        <v>0.56839645420843676</v>
      </c>
      <c r="AB2184" t="str">
        <f>HYPERLINK("Melting_Curves/meltCurve_P36915_GNL1.pdf", "Melting_Curves/meltCurve_P36915_GNL1.pdf")</f>
        <v>Melting_Curves/meltCurve_P36915_GNL1.pdf</v>
      </c>
    </row>
    <row r="2185" spans="1:28" x14ac:dyDescent="0.25">
      <c r="A2185" t="s">
        <v>2189</v>
      </c>
      <c r="B2185">
        <v>0.99299721793515405</v>
      </c>
      <c r="C2185">
        <v>0.89959406222379601</v>
      </c>
      <c r="D2185">
        <v>0.96105750583117899</v>
      </c>
      <c r="E2185">
        <v>0.85900262338021904</v>
      </c>
      <c r="F2185">
        <v>0.71083564837585</v>
      </c>
      <c r="G2185">
        <v>0.55540182214012002</v>
      </c>
      <c r="H2185">
        <v>0.74296201034478104</v>
      </c>
      <c r="I2185">
        <v>0.91720876886760605</v>
      </c>
      <c r="J2185">
        <v>1.1392947992103899</v>
      </c>
      <c r="K2185">
        <v>0.84342526645656601</v>
      </c>
      <c r="L2185">
        <v>1001.0305743182</v>
      </c>
      <c r="M2185">
        <v>23.376839808710901</v>
      </c>
      <c r="O2185">
        <v>42.5117904937552</v>
      </c>
      <c r="P2185">
        <v>-2.4341217282772599E-2</v>
      </c>
      <c r="Q2185">
        <v>0.82294085365956304</v>
      </c>
      <c r="R2185">
        <v>0.122071205409667</v>
      </c>
      <c r="S2185" t="s">
        <v>7736</v>
      </c>
      <c r="T2185" t="s">
        <v>11100</v>
      </c>
      <c r="U2185" t="s">
        <v>11100</v>
      </c>
      <c r="V2185" t="s">
        <v>11100</v>
      </c>
      <c r="W2185" t="s">
        <v>13245</v>
      </c>
      <c r="X2185">
        <v>10</v>
      </c>
      <c r="Y2185" t="s">
        <v>18719</v>
      </c>
      <c r="Z2185" t="s">
        <v>24190</v>
      </c>
      <c r="AA2185">
        <v>0.85904260531987053</v>
      </c>
      <c r="AB2185" t="str">
        <f>HYPERLINK("Melting_Curves/meltCurve_P36954_POLR2I.pdf", "Melting_Curves/meltCurve_P36954_POLR2I.pdf")</f>
        <v>Melting_Curves/meltCurve_P36954_POLR2I.pdf</v>
      </c>
    </row>
    <row r="2186" spans="1:28" x14ac:dyDescent="0.25">
      <c r="A2186" t="s">
        <v>2190</v>
      </c>
      <c r="B2186">
        <v>0.99299721793515405</v>
      </c>
      <c r="C2186">
        <v>0.89717419092349804</v>
      </c>
      <c r="D2186">
        <v>0.93958125301235496</v>
      </c>
      <c r="E2186">
        <v>0.97556458984019101</v>
      </c>
      <c r="F2186">
        <v>0.81576055814733806</v>
      </c>
      <c r="G2186">
        <v>1.1144242637547801</v>
      </c>
      <c r="H2186">
        <v>1.6146071558122399</v>
      </c>
      <c r="I2186">
        <v>1.6242985494203599</v>
      </c>
      <c r="J2186">
        <v>1.576585440036</v>
      </c>
      <c r="K2186">
        <v>1.6183792168992499</v>
      </c>
      <c r="L2186">
        <v>13515.3573805265</v>
      </c>
      <c r="M2186">
        <v>250</v>
      </c>
      <c r="O2186">
        <v>54.057966727544297</v>
      </c>
      <c r="P2186">
        <v>0.57808312195687905</v>
      </c>
      <c r="Q2186">
        <v>1.5</v>
      </c>
      <c r="R2186">
        <v>0.90939296821425397</v>
      </c>
      <c r="S2186" t="s">
        <v>7737</v>
      </c>
      <c r="T2186" t="s">
        <v>11100</v>
      </c>
      <c r="U2186" t="s">
        <v>11100</v>
      </c>
      <c r="V2186" t="s">
        <v>11100</v>
      </c>
      <c r="W2186" t="s">
        <v>13246</v>
      </c>
      <c r="X2186">
        <v>8</v>
      </c>
      <c r="Y2186" t="s">
        <v>18720</v>
      </c>
      <c r="Z2186" t="s">
        <v>24191</v>
      </c>
      <c r="AA2186">
        <v>1.2155954028145191</v>
      </c>
      <c r="AB2186" t="str">
        <f>HYPERLINK("Melting_Curves/meltCurve_P36957_DLST.pdf", "Melting_Curves/meltCurve_P36957_DLST.pdf")</f>
        <v>Melting_Curves/meltCurve_P36957_DLST.pdf</v>
      </c>
    </row>
    <row r="2187" spans="1:28" x14ac:dyDescent="0.25">
      <c r="A2187" t="s">
        <v>2191</v>
      </c>
      <c r="B2187">
        <v>0.99299721793515405</v>
      </c>
      <c r="C2187">
        <v>0.99552853602432301</v>
      </c>
      <c r="D2187">
        <v>1.02226090432854</v>
      </c>
      <c r="E2187">
        <v>0.77008868311318901</v>
      </c>
      <c r="F2187">
        <v>0.71094590626911103</v>
      </c>
      <c r="G2187">
        <v>0.54942766974052504</v>
      </c>
      <c r="H2187">
        <v>0.40764331149309502</v>
      </c>
      <c r="I2187">
        <v>0.36153635871933998</v>
      </c>
      <c r="J2187">
        <v>0.11243417411544999</v>
      </c>
      <c r="K2187">
        <v>9.3996843117682694E-2</v>
      </c>
      <c r="L2187">
        <v>551.76686257550898</v>
      </c>
      <c r="M2187">
        <v>10.064855557383099</v>
      </c>
      <c r="N2187">
        <v>54.821139520007797</v>
      </c>
      <c r="O2187">
        <v>52.788933236043597</v>
      </c>
      <c r="P2187">
        <v>-4.7688177609593402E-2</v>
      </c>
      <c r="Q2187">
        <v>0</v>
      </c>
      <c r="R2187">
        <v>0.97172023381306405</v>
      </c>
      <c r="S2187" t="s">
        <v>7738</v>
      </c>
      <c r="T2187" t="s">
        <v>11100</v>
      </c>
      <c r="U2187" t="s">
        <v>11100</v>
      </c>
      <c r="V2187" t="s">
        <v>11100</v>
      </c>
      <c r="W2187" t="s">
        <v>13247</v>
      </c>
      <c r="X2187">
        <v>7</v>
      </c>
      <c r="Y2187" t="s">
        <v>18721</v>
      </c>
      <c r="Z2187" t="s">
        <v>24192</v>
      </c>
      <c r="AA2187">
        <v>0.60732243484501458</v>
      </c>
      <c r="AB2187" t="str">
        <f>HYPERLINK("Melting_Curves/meltCurve_P36969_2_GPX4.pdf", "Melting_Curves/meltCurve_P36969_2_GPX4.pdf")</f>
        <v>Melting_Curves/meltCurve_P36969_2_GPX4.pdf</v>
      </c>
    </row>
    <row r="2188" spans="1:28" x14ac:dyDescent="0.25">
      <c r="A2188" t="s">
        <v>2192</v>
      </c>
      <c r="B2188">
        <v>0.99299721793515405</v>
      </c>
      <c r="C2188">
        <v>0.93845109360196199</v>
      </c>
      <c r="D2188">
        <v>0.95995476571541305</v>
      </c>
      <c r="E2188">
        <v>0.94864022716192997</v>
      </c>
      <c r="F2188">
        <v>0.74530294698675903</v>
      </c>
      <c r="G2188">
        <v>0.65894777184223197</v>
      </c>
      <c r="H2188">
        <v>0.77573108814762204</v>
      </c>
      <c r="I2188">
        <v>0.95877485625027203</v>
      </c>
      <c r="J2188">
        <v>1.1016459694398699</v>
      </c>
      <c r="K2188">
        <v>0.80066882539064999</v>
      </c>
      <c r="L2188">
        <v>11684.8354124134</v>
      </c>
      <c r="M2188">
        <v>250</v>
      </c>
      <c r="O2188">
        <v>46.736350680404797</v>
      </c>
      <c r="P2188">
        <v>-0.21372740549791799</v>
      </c>
      <c r="Q2188">
        <v>0.84017857674551499</v>
      </c>
      <c r="R2188">
        <v>0.18481637928214301</v>
      </c>
      <c r="S2188" t="s">
        <v>7739</v>
      </c>
      <c r="T2188" t="s">
        <v>11100</v>
      </c>
      <c r="U2188" t="s">
        <v>11100</v>
      </c>
      <c r="V2188" t="s">
        <v>11100</v>
      </c>
      <c r="W2188" t="s">
        <v>13248</v>
      </c>
      <c r="X2188">
        <v>6</v>
      </c>
      <c r="Y2188" t="s">
        <v>18722</v>
      </c>
      <c r="Z2188" t="s">
        <v>24193</v>
      </c>
      <c r="AA2188">
        <v>0.89207686785515761</v>
      </c>
      <c r="AB2188" t="str">
        <f>HYPERLINK("Melting_Curves/meltCurve_P37108_SRP14.pdf", "Melting_Curves/meltCurve_P37108_SRP14.pdf")</f>
        <v>Melting_Curves/meltCurve_P37108_SRP14.pdf</v>
      </c>
    </row>
    <row r="2189" spans="1:28" x14ac:dyDescent="0.25">
      <c r="A2189" t="s">
        <v>2193</v>
      </c>
      <c r="B2189">
        <v>0.99299721793515405</v>
      </c>
      <c r="C2189">
        <v>0.98186028400518699</v>
      </c>
      <c r="D2189">
        <v>0.89948138010844203</v>
      </c>
      <c r="E2189">
        <v>0.94315146083740897</v>
      </c>
      <c r="F2189">
        <v>0.76983058717846098</v>
      </c>
      <c r="G2189">
        <v>0.49673041749184099</v>
      </c>
      <c r="H2189">
        <v>0.27244734041176299</v>
      </c>
      <c r="I2189">
        <v>0.20527740157722199</v>
      </c>
      <c r="J2189">
        <v>0.18623648210711299</v>
      </c>
      <c r="K2189">
        <v>0.13102511438814399</v>
      </c>
      <c r="L2189">
        <v>972.09535187459699</v>
      </c>
      <c r="M2189">
        <v>18.398280029027699</v>
      </c>
      <c r="N2189">
        <v>53.713908856152798</v>
      </c>
      <c r="O2189">
        <v>52.223869404916002</v>
      </c>
      <c r="P2189">
        <v>-7.6643325990894906E-2</v>
      </c>
      <c r="Q2189">
        <v>0.12982520355390401</v>
      </c>
      <c r="R2189">
        <v>0.99205088601293601</v>
      </c>
      <c r="S2189" t="s">
        <v>7740</v>
      </c>
      <c r="T2189" t="s">
        <v>11100</v>
      </c>
      <c r="U2189" t="s">
        <v>11100</v>
      </c>
      <c r="V2189" t="s">
        <v>11100</v>
      </c>
      <c r="W2189" t="s">
        <v>13249</v>
      </c>
      <c r="X2189">
        <v>14</v>
      </c>
      <c r="Y2189" t="s">
        <v>18723</v>
      </c>
      <c r="Z2189" t="s">
        <v>24194</v>
      </c>
      <c r="AA2189">
        <v>0.60155280212343554</v>
      </c>
      <c r="AB2189" t="str">
        <f>HYPERLINK("Melting_Curves/meltCurve_P37268_FDFT1.pdf", "Melting_Curves/meltCurve_P37268_FDFT1.pdf")</f>
        <v>Melting_Curves/meltCurve_P37268_FDFT1.pdf</v>
      </c>
    </row>
    <row r="2190" spans="1:28" x14ac:dyDescent="0.25">
      <c r="A2190" t="s">
        <v>2194</v>
      </c>
      <c r="B2190">
        <v>0.99299721793515405</v>
      </c>
      <c r="C2190">
        <v>0.91099233494773801</v>
      </c>
      <c r="D2190">
        <v>1.0412210041875301</v>
      </c>
      <c r="E2190">
        <v>0.95020099598743601</v>
      </c>
      <c r="F2190">
        <v>0.89020416079665898</v>
      </c>
      <c r="G2190">
        <v>0.86652202486708596</v>
      </c>
      <c r="H2190">
        <v>0.71196233264509501</v>
      </c>
      <c r="I2190">
        <v>0.77949374491265899</v>
      </c>
      <c r="J2190">
        <v>0.25286281938505301</v>
      </c>
      <c r="K2190">
        <v>7.1491360247607494E-2</v>
      </c>
      <c r="L2190">
        <v>1405.2855232054501</v>
      </c>
      <c r="M2190">
        <v>22.682126101323099</v>
      </c>
      <c r="N2190">
        <v>61.9556347892266</v>
      </c>
      <c r="O2190">
        <v>61.480088775804802</v>
      </c>
      <c r="P2190">
        <v>-9.2235450560707005E-2</v>
      </c>
      <c r="Q2190">
        <v>0</v>
      </c>
      <c r="R2190">
        <v>0.89217478193341704</v>
      </c>
      <c r="S2190" t="s">
        <v>7741</v>
      </c>
      <c r="T2190" t="s">
        <v>11100</v>
      </c>
      <c r="U2190" t="s">
        <v>11100</v>
      </c>
      <c r="V2190" t="s">
        <v>11100</v>
      </c>
      <c r="W2190" t="s">
        <v>13250</v>
      </c>
      <c r="X2190">
        <v>2</v>
      </c>
      <c r="Y2190" t="s">
        <v>18724</v>
      </c>
      <c r="Z2190" t="s">
        <v>24195</v>
      </c>
      <c r="AA2190">
        <v>0.82561263590323863</v>
      </c>
      <c r="AB2190" t="str">
        <f>HYPERLINK("Melting_Curves/meltCurve_P37287_3_PIGA.pdf", "Melting_Curves/meltCurve_P37287_3_PIGA.pdf")</f>
        <v>Melting_Curves/meltCurve_P37287_3_PIGA.pdf</v>
      </c>
    </row>
    <row r="2191" spans="1:28" x14ac:dyDescent="0.25">
      <c r="A2191" t="s">
        <v>2195</v>
      </c>
      <c r="B2191">
        <v>0.99299721793515405</v>
      </c>
      <c r="C2191">
        <v>0.96716326507588102</v>
      </c>
      <c r="D2191">
        <v>0.85959780281232201</v>
      </c>
      <c r="E2191">
        <v>0.77166413880894902</v>
      </c>
      <c r="F2191">
        <v>0.64121128312340803</v>
      </c>
      <c r="G2191">
        <v>0.38616718731178901</v>
      </c>
      <c r="H2191">
        <v>0.22621110508753001</v>
      </c>
      <c r="I2191">
        <v>0.19885168900407399</v>
      </c>
      <c r="J2191">
        <v>0.207575473196211</v>
      </c>
      <c r="K2191">
        <v>0.205615938716664</v>
      </c>
      <c r="L2191">
        <v>658.33524571860403</v>
      </c>
      <c r="M2191">
        <v>13.081791011340201</v>
      </c>
      <c r="N2191">
        <v>51.6224260097882</v>
      </c>
      <c r="O2191">
        <v>49.192161680909997</v>
      </c>
      <c r="P2191">
        <v>-5.7175918907837298E-2</v>
      </c>
      <c r="Q2191">
        <v>0.14014182657204999</v>
      </c>
      <c r="R2191">
        <v>0.98750465327811499</v>
      </c>
      <c r="S2191" t="s">
        <v>7742</v>
      </c>
      <c r="T2191" t="s">
        <v>11100</v>
      </c>
      <c r="U2191" t="s">
        <v>11100</v>
      </c>
      <c r="V2191" t="s">
        <v>11100</v>
      </c>
      <c r="W2191" t="s">
        <v>13251</v>
      </c>
      <c r="X2191">
        <v>22</v>
      </c>
      <c r="Y2191" t="s">
        <v>18725</v>
      </c>
      <c r="Z2191" t="s">
        <v>24196</v>
      </c>
      <c r="AA2191">
        <v>0.54333334629207419</v>
      </c>
      <c r="AB2191" t="str">
        <f>HYPERLINK("Melting_Curves/meltCurve_P37802_TAGLN2.pdf", "Melting_Curves/meltCurve_P37802_TAGLN2.pdf")</f>
        <v>Melting_Curves/meltCurve_P37802_TAGLN2.pdf</v>
      </c>
    </row>
    <row r="2192" spans="1:28" x14ac:dyDescent="0.25">
      <c r="A2192" t="s">
        <v>2196</v>
      </c>
      <c r="B2192">
        <v>0.99299721793515405</v>
      </c>
      <c r="C2192">
        <v>1.0335593491233801</v>
      </c>
      <c r="D2192">
        <v>1.03297231599832</v>
      </c>
      <c r="E2192">
        <v>0.94320272647902004</v>
      </c>
      <c r="F2192">
        <v>0.766340700455304</v>
      </c>
      <c r="G2192">
        <v>0.49530296290014297</v>
      </c>
      <c r="H2192">
        <v>0.23444939123354</v>
      </c>
      <c r="I2192">
        <v>0.15066601327653101</v>
      </c>
      <c r="J2192">
        <v>0.134610817367841</v>
      </c>
      <c r="K2192">
        <v>0.10599541588233501</v>
      </c>
      <c r="L2192">
        <v>1088.13128281893</v>
      </c>
      <c r="M2192">
        <v>20.546466600054799</v>
      </c>
      <c r="N2192">
        <v>53.524249808692403</v>
      </c>
      <c r="O2192">
        <v>52.465517928447198</v>
      </c>
      <c r="P2192">
        <v>-8.8366537982340995E-2</v>
      </c>
      <c r="Q2192">
        <v>9.7448615419253495E-2</v>
      </c>
      <c r="R2192">
        <v>0.99738655491796102</v>
      </c>
      <c r="S2192" t="s">
        <v>7743</v>
      </c>
      <c r="T2192" t="s">
        <v>11100</v>
      </c>
      <c r="U2192" t="s">
        <v>11100</v>
      </c>
      <c r="V2192" t="s">
        <v>11100</v>
      </c>
      <c r="W2192" t="s">
        <v>13252</v>
      </c>
      <c r="X2192">
        <v>28</v>
      </c>
      <c r="Y2192" t="s">
        <v>18726</v>
      </c>
      <c r="Z2192" t="s">
        <v>24197</v>
      </c>
      <c r="AA2192">
        <v>0.58853409515945609</v>
      </c>
      <c r="AB2192" t="str">
        <f>HYPERLINK("Melting_Curves/meltCurve_P37837_TALDO1.pdf", "Melting_Curves/meltCurve_P37837_TALDO1.pdf")</f>
        <v>Melting_Curves/meltCurve_P37837_TALDO1.pdf</v>
      </c>
    </row>
    <row r="2193" spans="1:28" x14ac:dyDescent="0.25">
      <c r="A2193" t="s">
        <v>2197</v>
      </c>
      <c r="B2193">
        <v>0.99299721793515405</v>
      </c>
      <c r="C2193">
        <v>0.95125837071285502</v>
      </c>
      <c r="D2193">
        <v>1.0035627347743701</v>
      </c>
      <c r="E2193">
        <v>0.87911072756299902</v>
      </c>
      <c r="F2193">
        <v>0.76241418793660098</v>
      </c>
      <c r="G2193">
        <v>0.635917882630884</v>
      </c>
      <c r="H2193">
        <v>0.41198828038339602</v>
      </c>
      <c r="I2193">
        <v>0.31689321587869701</v>
      </c>
      <c r="J2193">
        <v>0.254190563908408</v>
      </c>
      <c r="K2193">
        <v>0.15162419344189201</v>
      </c>
      <c r="L2193">
        <v>589.49417596191302</v>
      </c>
      <c r="M2193">
        <v>10.559900088367</v>
      </c>
      <c r="N2193">
        <v>56.1361960087523</v>
      </c>
      <c r="O2193">
        <v>53.933431826241097</v>
      </c>
      <c r="P2193">
        <v>-4.7570824857388998E-2</v>
      </c>
      <c r="Q2193">
        <v>2.8534201534683602E-2</v>
      </c>
      <c r="R2193">
        <v>0.99347809923928698</v>
      </c>
      <c r="S2193" t="s">
        <v>7744</v>
      </c>
      <c r="T2193" t="s">
        <v>11100</v>
      </c>
      <c r="U2193" t="s">
        <v>11100</v>
      </c>
      <c r="V2193" t="s">
        <v>11100</v>
      </c>
      <c r="W2193" t="s">
        <v>13253</v>
      </c>
      <c r="X2193">
        <v>29</v>
      </c>
      <c r="Y2193" t="s">
        <v>18727</v>
      </c>
      <c r="Z2193" t="s">
        <v>24198</v>
      </c>
      <c r="AA2193">
        <v>0.64630145330537347</v>
      </c>
      <c r="AB2193" t="str">
        <f>HYPERLINK("Melting_Curves/meltCurve_P38117_ETFB.pdf", "Melting_Curves/meltCurve_P38117_ETFB.pdf")</f>
        <v>Melting_Curves/meltCurve_P38117_ETFB.pdf</v>
      </c>
    </row>
    <row r="2194" spans="1:28" x14ac:dyDescent="0.25">
      <c r="A2194" t="s">
        <v>2198</v>
      </c>
      <c r="B2194">
        <v>0.99299721793515405</v>
      </c>
      <c r="C2194">
        <v>0.95978449151916301</v>
      </c>
      <c r="D2194">
        <v>0.89684275538063596</v>
      </c>
      <c r="E2194">
        <v>0.80776731535102797</v>
      </c>
      <c r="F2194">
        <v>0.60097484202846896</v>
      </c>
      <c r="G2194">
        <v>0.47986270755093902</v>
      </c>
      <c r="H2194">
        <v>0.44809351262636699</v>
      </c>
      <c r="I2194">
        <v>0.586660536943865</v>
      </c>
      <c r="J2194">
        <v>0.52795598200549698</v>
      </c>
      <c r="K2194">
        <v>0.26118054555508202</v>
      </c>
      <c r="L2194">
        <v>707.59230291913605</v>
      </c>
      <c r="M2194">
        <v>14.761346813347</v>
      </c>
      <c r="N2194">
        <v>54.927826187603898</v>
      </c>
      <c r="O2194">
        <v>47.081527860483199</v>
      </c>
      <c r="P2194">
        <v>-4.51811357408054E-2</v>
      </c>
      <c r="Q2194">
        <v>0.42363847633882401</v>
      </c>
      <c r="R2194">
        <v>0.88733691015475102</v>
      </c>
      <c r="S2194" t="s">
        <v>7745</v>
      </c>
      <c r="T2194" t="s">
        <v>11100</v>
      </c>
      <c r="U2194" t="s">
        <v>11100</v>
      </c>
      <c r="V2194" t="s">
        <v>11100</v>
      </c>
      <c r="W2194" t="s">
        <v>13254</v>
      </c>
      <c r="X2194">
        <v>19</v>
      </c>
      <c r="Y2194" t="s">
        <v>18728</v>
      </c>
      <c r="Z2194" t="s">
        <v>24199</v>
      </c>
      <c r="AA2194">
        <v>0.64679160661430612</v>
      </c>
      <c r="AB2194" t="str">
        <f>HYPERLINK("Melting_Curves/meltCurve_P38606_ATP6V1A.pdf", "Melting_Curves/meltCurve_P38606_ATP6V1A.pdf")</f>
        <v>Melting_Curves/meltCurve_P38606_ATP6V1A.pdf</v>
      </c>
    </row>
    <row r="2195" spans="1:28" x14ac:dyDescent="0.25">
      <c r="A2195" t="s">
        <v>2199</v>
      </c>
      <c r="B2195">
        <v>0.99299721793515405</v>
      </c>
      <c r="C2195">
        <v>0.95909259983412798</v>
      </c>
      <c r="D2195">
        <v>0.952675451763629</v>
      </c>
      <c r="E2195">
        <v>0.86409791829421001</v>
      </c>
      <c r="F2195">
        <v>0.71181709297854801</v>
      </c>
      <c r="G2195">
        <v>0.60932612212138204</v>
      </c>
      <c r="H2195">
        <v>0.35433633830443401</v>
      </c>
      <c r="I2195">
        <v>0.15699218259254999</v>
      </c>
      <c r="J2195">
        <v>9.0596817838058299E-2</v>
      </c>
      <c r="K2195">
        <v>7.0646507775649597E-2</v>
      </c>
      <c r="L2195">
        <v>708.05253489354004</v>
      </c>
      <c r="M2195">
        <v>13.009889754482501</v>
      </c>
      <c r="N2195">
        <v>54.424176416759003</v>
      </c>
      <c r="O2195">
        <v>53.186457565544899</v>
      </c>
      <c r="P2195">
        <v>-6.11630407510022E-2</v>
      </c>
      <c r="Q2195">
        <v>0</v>
      </c>
      <c r="R2195">
        <v>0.99051646720780295</v>
      </c>
      <c r="S2195" t="s">
        <v>7746</v>
      </c>
      <c r="T2195" t="s">
        <v>11100</v>
      </c>
      <c r="U2195" t="s">
        <v>11100</v>
      </c>
      <c r="V2195" t="s">
        <v>11100</v>
      </c>
      <c r="W2195" t="s">
        <v>13255</v>
      </c>
      <c r="X2195">
        <v>61</v>
      </c>
      <c r="Y2195" t="s">
        <v>18729</v>
      </c>
      <c r="Z2195" t="s">
        <v>24200</v>
      </c>
      <c r="AA2195">
        <v>0.59709184771637669</v>
      </c>
      <c r="AB2195" t="str">
        <f>HYPERLINK("Melting_Curves/meltCurve_P38646_HSPA9.pdf", "Melting_Curves/meltCurve_P38646_HSPA9.pdf")</f>
        <v>Melting_Curves/meltCurve_P38646_HSPA9.pdf</v>
      </c>
    </row>
    <row r="2196" spans="1:28" x14ac:dyDescent="0.25">
      <c r="A2196" t="s">
        <v>2200</v>
      </c>
      <c r="B2196">
        <v>0.99299721793515405</v>
      </c>
      <c r="C2196">
        <v>1.00436472734396</v>
      </c>
      <c r="D2196">
        <v>1.02522436383511</v>
      </c>
      <c r="E2196">
        <v>0.87803976742326195</v>
      </c>
      <c r="F2196">
        <v>0.830062432001068</v>
      </c>
      <c r="G2196">
        <v>0.55441916364531496</v>
      </c>
      <c r="H2196">
        <v>0.27037118138518601</v>
      </c>
      <c r="I2196">
        <v>0.222381685047359</v>
      </c>
      <c r="J2196">
        <v>0.14459497792033801</v>
      </c>
      <c r="K2196">
        <v>0.100410378312225</v>
      </c>
      <c r="L2196">
        <v>957.517971153551</v>
      </c>
      <c r="M2196">
        <v>17.80296003802</v>
      </c>
      <c r="N2196">
        <v>54.380249447163301</v>
      </c>
      <c r="O2196">
        <v>53.119358885994302</v>
      </c>
      <c r="P2196">
        <v>-7.6364724317434199E-2</v>
      </c>
      <c r="Q2196">
        <v>8.8637805456568505E-2</v>
      </c>
      <c r="R2196">
        <v>0.992460417408358</v>
      </c>
      <c r="S2196" t="s">
        <v>7747</v>
      </c>
      <c r="T2196" t="s">
        <v>11100</v>
      </c>
      <c r="U2196" t="s">
        <v>11100</v>
      </c>
      <c r="V2196" t="s">
        <v>11100</v>
      </c>
      <c r="W2196" t="s">
        <v>13256</v>
      </c>
      <c r="X2196">
        <v>17</v>
      </c>
      <c r="Y2196" t="s">
        <v>18730</v>
      </c>
      <c r="Z2196" t="s">
        <v>24201</v>
      </c>
      <c r="AA2196">
        <v>0.61136240088944072</v>
      </c>
      <c r="AB2196" t="str">
        <f>HYPERLINK("Melting_Curves/meltCurve_P38919_EIF4A3.pdf", "Melting_Curves/meltCurve_P38919_EIF4A3.pdf")</f>
        <v>Melting_Curves/meltCurve_P38919_EIF4A3.pdf</v>
      </c>
    </row>
    <row r="2197" spans="1:28" x14ac:dyDescent="0.25">
      <c r="A2197" t="s">
        <v>2201</v>
      </c>
      <c r="B2197">
        <v>0.99299721793515405</v>
      </c>
      <c r="C2197">
        <v>0.91293624516479899</v>
      </c>
      <c r="D2197">
        <v>1.0854166605159401</v>
      </c>
      <c r="E2197">
        <v>1.04410244380193</v>
      </c>
      <c r="F2197">
        <v>1.0055467359458501</v>
      </c>
      <c r="G2197">
        <v>0.82137116457583703</v>
      </c>
      <c r="H2197">
        <v>0.87766020361233499</v>
      </c>
      <c r="I2197">
        <v>0.91101035344236403</v>
      </c>
      <c r="J2197">
        <v>0.82193961553009598</v>
      </c>
      <c r="K2197">
        <v>0.68415087336415403</v>
      </c>
      <c r="L2197">
        <v>502.19720354532899</v>
      </c>
      <c r="M2197">
        <v>6.5310753553874497</v>
      </c>
      <c r="Q2197">
        <v>0</v>
      </c>
      <c r="R2197">
        <v>0.67721415315632705</v>
      </c>
      <c r="S2197" t="s">
        <v>7748</v>
      </c>
      <c r="T2197" t="s">
        <v>11100</v>
      </c>
      <c r="U2197" t="s">
        <v>11100</v>
      </c>
      <c r="V2197" t="s">
        <v>11100</v>
      </c>
      <c r="W2197" t="s">
        <v>13257</v>
      </c>
      <c r="X2197">
        <v>6</v>
      </c>
      <c r="Y2197" t="s">
        <v>18731</v>
      </c>
      <c r="Z2197" t="s">
        <v>24202</v>
      </c>
      <c r="AA2197">
        <v>0.9239478915524203</v>
      </c>
      <c r="AB2197" t="str">
        <f>HYPERLINK("Melting_Curves/meltCurve_P39019_RPS19.pdf", "Melting_Curves/meltCurve_P39019_RPS19.pdf")</f>
        <v>Melting_Curves/meltCurve_P39019_RPS19.pdf</v>
      </c>
    </row>
    <row r="2198" spans="1:28" x14ac:dyDescent="0.25">
      <c r="A2198" t="s">
        <v>2202</v>
      </c>
      <c r="B2198">
        <v>0.99299721793515405</v>
      </c>
      <c r="C2198">
        <v>0.81272630512897504</v>
      </c>
      <c r="D2198">
        <v>1.03084400739001</v>
      </c>
      <c r="E2198">
        <v>0.82946394436865301</v>
      </c>
      <c r="F2198">
        <v>0.65716825909892396</v>
      </c>
      <c r="G2198">
        <v>0.29537184319007398</v>
      </c>
      <c r="H2198">
        <v>0.926074915865708</v>
      </c>
      <c r="I2198">
        <v>0.248389175441972</v>
      </c>
      <c r="J2198">
        <v>0.49454669634746501</v>
      </c>
      <c r="K2198">
        <v>0.25752071768953799</v>
      </c>
      <c r="L2198">
        <v>343.48633899545001</v>
      </c>
      <c r="M2198">
        <v>6.1284844287230902</v>
      </c>
      <c r="N2198">
        <v>57.941295439987002</v>
      </c>
      <c r="O2198">
        <v>50.959899956009998</v>
      </c>
      <c r="P2198">
        <v>-2.74185623393895E-2</v>
      </c>
      <c r="Q2198">
        <v>9.0760493589179106E-2</v>
      </c>
      <c r="R2198">
        <v>0.58152823157647804</v>
      </c>
      <c r="S2198" t="s">
        <v>7749</v>
      </c>
      <c r="T2198" t="s">
        <v>11100</v>
      </c>
      <c r="U2198" t="s">
        <v>11100</v>
      </c>
      <c r="V2198" t="s">
        <v>11100</v>
      </c>
      <c r="W2198" t="s">
        <v>13258</v>
      </c>
      <c r="X2198">
        <v>1</v>
      </c>
      <c r="Y2198" t="s">
        <v>18732</v>
      </c>
      <c r="Z2198" t="s">
        <v>24203</v>
      </c>
      <c r="AA2198">
        <v>0.65377943443212394</v>
      </c>
      <c r="AB2198" t="str">
        <f>HYPERLINK("Melting_Curves/meltCurve_P39023_RPL3.pdf", "Melting_Curves/meltCurve_P39023_RPL3.pdf")</f>
        <v>Melting_Curves/meltCurve_P39023_RPL3.pdf</v>
      </c>
    </row>
    <row r="2199" spans="1:28" x14ac:dyDescent="0.25">
      <c r="A2199" t="s">
        <v>2203</v>
      </c>
      <c r="B2199">
        <v>0.99299721793515405</v>
      </c>
      <c r="C2199">
        <v>1.20934156682085</v>
      </c>
      <c r="D2199">
        <v>1.03261060683091</v>
      </c>
      <c r="E2199">
        <v>1.04144313605063</v>
      </c>
      <c r="F2199">
        <v>0.90356132179797999</v>
      </c>
      <c r="G2199">
        <v>1.1610725015177401</v>
      </c>
      <c r="H2199">
        <v>0.59450210973267303</v>
      </c>
      <c r="I2199">
        <v>0.27233476265288697</v>
      </c>
      <c r="J2199">
        <v>0.213010283638005</v>
      </c>
      <c r="K2199">
        <v>0.162898405229087</v>
      </c>
      <c r="L2199">
        <v>9563.6927080140995</v>
      </c>
      <c r="M2199">
        <v>166.68381091080099</v>
      </c>
      <c r="N2199">
        <v>57.571692203211903</v>
      </c>
      <c r="O2199">
        <v>57.368004142183302</v>
      </c>
      <c r="P2199">
        <v>-0.56943506372476205</v>
      </c>
      <c r="Q2199">
        <v>0.21606428613188899</v>
      </c>
      <c r="R2199">
        <v>0.94186861473439698</v>
      </c>
      <c r="S2199" t="s">
        <v>7750</v>
      </c>
      <c r="T2199" t="s">
        <v>11100</v>
      </c>
      <c r="U2199" t="s">
        <v>11100</v>
      </c>
      <c r="V2199" t="s">
        <v>11100</v>
      </c>
      <c r="W2199" t="s">
        <v>13259</v>
      </c>
      <c r="X2199">
        <v>10</v>
      </c>
      <c r="Y2199" t="s">
        <v>18733</v>
      </c>
      <c r="Z2199" t="s">
        <v>24204</v>
      </c>
      <c r="AA2199">
        <v>0.74869768888371491</v>
      </c>
      <c r="AB2199" t="str">
        <f>HYPERLINK("Melting_Curves/meltCurve_P39656_DDOST.pdf", "Melting_Curves/meltCurve_P39656_DDOST.pdf")</f>
        <v>Melting_Curves/meltCurve_P39656_DDOST.pdf</v>
      </c>
    </row>
    <row r="2200" spans="1:28" x14ac:dyDescent="0.25">
      <c r="A2200" t="s">
        <v>2204</v>
      </c>
      <c r="B2200">
        <v>0.99299721793515405</v>
      </c>
      <c r="C2200">
        <v>1.1377982755226901</v>
      </c>
      <c r="D2200">
        <v>1.2042901516716999</v>
      </c>
      <c r="E2200">
        <v>1.02038449707252</v>
      </c>
      <c r="F2200">
        <v>0.87047110241798697</v>
      </c>
      <c r="G2200">
        <v>0.83346416831480197</v>
      </c>
      <c r="H2200">
        <v>0.651827403359865</v>
      </c>
      <c r="I2200">
        <v>0.71576589166219196</v>
      </c>
      <c r="J2200">
        <v>0.71289392663266604</v>
      </c>
      <c r="K2200">
        <v>0.60876853092935401</v>
      </c>
      <c r="L2200">
        <v>1254.75578930351</v>
      </c>
      <c r="M2200">
        <v>23.832977398147701</v>
      </c>
      <c r="O2200">
        <v>52.281400097005204</v>
      </c>
      <c r="P2200">
        <v>-3.8408541864213899E-2</v>
      </c>
      <c r="Q2200">
        <v>0.66298451869973896</v>
      </c>
      <c r="R2200">
        <v>0.80178528695699802</v>
      </c>
      <c r="S2200" t="s">
        <v>7751</v>
      </c>
      <c r="T2200" t="s">
        <v>11100</v>
      </c>
      <c r="U2200" t="s">
        <v>11100</v>
      </c>
      <c r="V2200" t="s">
        <v>11100</v>
      </c>
      <c r="W2200" t="s">
        <v>13260</v>
      </c>
      <c r="X2200">
        <v>16</v>
      </c>
      <c r="Y2200" t="s">
        <v>18734</v>
      </c>
      <c r="Z2200" t="s">
        <v>24205</v>
      </c>
      <c r="AA2200">
        <v>0.84201056381460238</v>
      </c>
      <c r="AB2200" t="str">
        <f>HYPERLINK("Melting_Curves/meltCurve_P39687_ANP32A.pdf", "Melting_Curves/meltCurve_P39687_ANP32A.pdf")</f>
        <v>Melting_Curves/meltCurve_P39687_ANP32A.pdf</v>
      </c>
    </row>
    <row r="2201" spans="1:28" x14ac:dyDescent="0.25">
      <c r="A2201" t="s">
        <v>2205</v>
      </c>
      <c r="B2201">
        <v>0.99299721793515405</v>
      </c>
      <c r="C2201">
        <v>0.96003875847874798</v>
      </c>
      <c r="D2201">
        <v>1.05069021741103</v>
      </c>
      <c r="E2201">
        <v>0.81591308897273696</v>
      </c>
      <c r="F2201">
        <v>0.61285966909065903</v>
      </c>
      <c r="G2201">
        <v>0.28773950977363999</v>
      </c>
      <c r="H2201">
        <v>0.157019150766081</v>
      </c>
      <c r="I2201">
        <v>0.144782212654672</v>
      </c>
      <c r="J2201">
        <v>0.13053558264187901</v>
      </c>
      <c r="K2201">
        <v>0.101074743165133</v>
      </c>
      <c r="L2201">
        <v>1048.6495293513899</v>
      </c>
      <c r="M2201">
        <v>20.761896838772198</v>
      </c>
      <c r="N2201">
        <v>51.093498492357398</v>
      </c>
      <c r="O2201">
        <v>50.046798580308099</v>
      </c>
      <c r="P2201">
        <v>-9.2741682318983998E-2</v>
      </c>
      <c r="Q2201">
        <v>0.105805445855793</v>
      </c>
      <c r="R2201">
        <v>0.99213876623194097</v>
      </c>
      <c r="S2201" t="s">
        <v>7752</v>
      </c>
      <c r="T2201" t="s">
        <v>11100</v>
      </c>
      <c r="U2201" t="s">
        <v>11100</v>
      </c>
      <c r="V2201" t="s">
        <v>11100</v>
      </c>
      <c r="W2201" t="s">
        <v>13261</v>
      </c>
      <c r="X2201">
        <v>26</v>
      </c>
      <c r="Y2201" t="s">
        <v>18735</v>
      </c>
      <c r="Z2201" t="s">
        <v>24206</v>
      </c>
      <c r="AA2201">
        <v>0.5194584314052767</v>
      </c>
      <c r="AB2201" t="str">
        <f>HYPERLINK("Melting_Curves/meltCurve_P39748_FEN1.pdf", "Melting_Curves/meltCurve_P39748_FEN1.pdf")</f>
        <v>Melting_Curves/meltCurve_P39748_FEN1.pdf</v>
      </c>
    </row>
    <row r="2202" spans="1:28" x14ac:dyDescent="0.25">
      <c r="A2202" t="s">
        <v>2206</v>
      </c>
      <c r="B2202">
        <v>0.99299721793515405</v>
      </c>
      <c r="C2202">
        <v>0.91545737090031098</v>
      </c>
      <c r="D2202">
        <v>0.94907759666561298</v>
      </c>
      <c r="E2202">
        <v>0.74920134548406503</v>
      </c>
      <c r="F2202">
        <v>0.70634701889813201</v>
      </c>
      <c r="G2202">
        <v>0.50176531571736505</v>
      </c>
      <c r="H2202">
        <v>0.28600634443787598</v>
      </c>
      <c r="I2202">
        <v>0.259857368833606</v>
      </c>
      <c r="J2202">
        <v>0.25444876236284503</v>
      </c>
      <c r="K2202">
        <v>0.26206980951655701</v>
      </c>
      <c r="L2202">
        <v>610.24760435423502</v>
      </c>
      <c r="M2202">
        <v>11.903316789544</v>
      </c>
      <c r="N2202">
        <v>53.212604530023597</v>
      </c>
      <c r="O2202">
        <v>49.884320640091602</v>
      </c>
      <c r="P2202">
        <v>-4.9141550685285001E-2</v>
      </c>
      <c r="Q2202">
        <v>0.17643688025575699</v>
      </c>
      <c r="R2202">
        <v>0.97733900875920199</v>
      </c>
      <c r="S2202" t="s">
        <v>7753</v>
      </c>
      <c r="T2202" t="s">
        <v>11100</v>
      </c>
      <c r="U2202" t="s">
        <v>11100</v>
      </c>
      <c r="V2202" t="s">
        <v>11100</v>
      </c>
      <c r="W2202" t="s">
        <v>13262</v>
      </c>
      <c r="X2202">
        <v>13</v>
      </c>
      <c r="Y2202" t="s">
        <v>18736</v>
      </c>
      <c r="Z2202" t="s">
        <v>24207</v>
      </c>
      <c r="AA2202">
        <v>0.58922338625345083</v>
      </c>
      <c r="AB2202" t="str">
        <f>HYPERLINK("Melting_Curves/meltCurve_P39880_3_CUX1.pdf", "Melting_Curves/meltCurve_P39880_3_CUX1.pdf")</f>
        <v>Melting_Curves/meltCurve_P39880_3_CUX1.pdf</v>
      </c>
    </row>
    <row r="2203" spans="1:28" x14ac:dyDescent="0.25">
      <c r="A2203" t="s">
        <v>2207</v>
      </c>
      <c r="B2203">
        <v>0.99299721793515405</v>
      </c>
      <c r="C2203">
        <v>0.98964422198776103</v>
      </c>
      <c r="D2203">
        <v>1.10322963822745</v>
      </c>
      <c r="E2203">
        <v>0.910263046165941</v>
      </c>
      <c r="F2203">
        <v>0.77633783822890901</v>
      </c>
      <c r="G2203">
        <v>0.59292118624526302</v>
      </c>
      <c r="H2203">
        <v>0.28564294949089403</v>
      </c>
      <c r="I2203">
        <v>0.27649076876428003</v>
      </c>
      <c r="J2203">
        <v>0.25077090536689001</v>
      </c>
      <c r="K2203">
        <v>0.26723276087587899</v>
      </c>
      <c r="L2203">
        <v>1100.5058801611001</v>
      </c>
      <c r="M2203">
        <v>20.886016263518901</v>
      </c>
      <c r="N2203">
        <v>54.319610779708697</v>
      </c>
      <c r="O2203">
        <v>52.2151590464916</v>
      </c>
      <c r="P2203">
        <v>-7.6733245335978501E-2</v>
      </c>
      <c r="Q2203">
        <v>0.23268712138004199</v>
      </c>
      <c r="R2203">
        <v>0.97937991124625301</v>
      </c>
      <c r="S2203" t="s">
        <v>7754</v>
      </c>
      <c r="T2203" t="s">
        <v>11100</v>
      </c>
      <c r="U2203" t="s">
        <v>11100</v>
      </c>
      <c r="V2203" t="s">
        <v>11100</v>
      </c>
      <c r="W2203" t="s">
        <v>13263</v>
      </c>
      <c r="X2203">
        <v>4</v>
      </c>
      <c r="Y2203" t="s">
        <v>18737</v>
      </c>
      <c r="Z2203" t="s">
        <v>24208</v>
      </c>
      <c r="AA2203">
        <v>0.64315347102936282</v>
      </c>
      <c r="AB2203" t="str">
        <f>HYPERLINK("Melting_Curves/meltCurve_P40121_2_CAPG.pdf", "Melting_Curves/meltCurve_P40121_2_CAPG.pdf")</f>
        <v>Melting_Curves/meltCurve_P40121_2_CAPG.pdf</v>
      </c>
    </row>
    <row r="2204" spans="1:28" x14ac:dyDescent="0.25">
      <c r="A2204" t="s">
        <v>2208</v>
      </c>
      <c r="B2204">
        <v>0.99299721793515405</v>
      </c>
      <c r="C2204">
        <v>0.89963509681517795</v>
      </c>
      <c r="D2204">
        <v>0.96172762696501202</v>
      </c>
      <c r="E2204">
        <v>0.92885569237008303</v>
      </c>
      <c r="F2204">
        <v>0.85628073272726601</v>
      </c>
      <c r="G2204">
        <v>0.57771909487623496</v>
      </c>
      <c r="H2204">
        <v>0.669099023532015</v>
      </c>
      <c r="I2204">
        <v>0.77051128965987103</v>
      </c>
      <c r="J2204">
        <v>0.77212338246692502</v>
      </c>
      <c r="K2204">
        <v>0.66181023526529104</v>
      </c>
      <c r="L2204">
        <v>12557.2436089121</v>
      </c>
      <c r="M2204">
        <v>250</v>
      </c>
      <c r="O2204">
        <v>50.225751055085802</v>
      </c>
      <c r="P2204">
        <v>-0.38544388651258299</v>
      </c>
      <c r="Q2204">
        <v>0.69025260530027799</v>
      </c>
      <c r="R2204">
        <v>0.75656254169638004</v>
      </c>
      <c r="S2204" t="s">
        <v>7755</v>
      </c>
      <c r="T2204" t="s">
        <v>11100</v>
      </c>
      <c r="U2204" t="s">
        <v>11100</v>
      </c>
      <c r="V2204" t="s">
        <v>11100</v>
      </c>
      <c r="W2204" t="s">
        <v>13264</v>
      </c>
      <c r="X2204">
        <v>2</v>
      </c>
      <c r="Y2204" t="s">
        <v>18738</v>
      </c>
      <c r="Z2204" t="s">
        <v>24209</v>
      </c>
      <c r="AA2204">
        <v>0.82686792206376558</v>
      </c>
      <c r="AB2204" t="str">
        <f>HYPERLINK("Melting_Curves/meltCurve_P40189_3_IL6ST.pdf", "Melting_Curves/meltCurve_P40189_3_IL6ST.pdf")</f>
        <v>Melting_Curves/meltCurve_P40189_3_IL6ST.pdf</v>
      </c>
    </row>
    <row r="2205" spans="1:28" x14ac:dyDescent="0.25">
      <c r="A2205" t="s">
        <v>2209</v>
      </c>
      <c r="B2205">
        <v>0.99299721793515405</v>
      </c>
      <c r="C2205">
        <v>0.961783995536031</v>
      </c>
      <c r="D2205">
        <v>0.95945577296613804</v>
      </c>
      <c r="E2205">
        <v>0.79591435655220899</v>
      </c>
      <c r="F2205">
        <v>0.70020231942320899</v>
      </c>
      <c r="G2205">
        <v>0.45450153380015401</v>
      </c>
      <c r="H2205">
        <v>0.309182683068154</v>
      </c>
      <c r="I2205">
        <v>0.23085120716405899</v>
      </c>
      <c r="J2205">
        <v>0.238723813666079</v>
      </c>
      <c r="K2205">
        <v>0.20200626042992401</v>
      </c>
      <c r="L2205">
        <v>699.62544040452406</v>
      </c>
      <c r="M2205">
        <v>13.5858879800419</v>
      </c>
      <c r="N2205">
        <v>53.019867536019397</v>
      </c>
      <c r="O2205">
        <v>50.419191658706097</v>
      </c>
      <c r="P2205">
        <v>-5.6487510450493397E-2</v>
      </c>
      <c r="Q2205">
        <v>0.16159151811526101</v>
      </c>
      <c r="R2205">
        <v>0.99394682712281501</v>
      </c>
      <c r="S2205" t="s">
        <v>7756</v>
      </c>
      <c r="T2205" t="s">
        <v>11100</v>
      </c>
      <c r="U2205" t="s">
        <v>11100</v>
      </c>
      <c r="V2205" t="s">
        <v>11100</v>
      </c>
      <c r="W2205" t="s">
        <v>13265</v>
      </c>
      <c r="X2205">
        <v>26</v>
      </c>
      <c r="Y2205" t="s">
        <v>18739</v>
      </c>
      <c r="Z2205" t="s">
        <v>24210</v>
      </c>
      <c r="AA2205">
        <v>0.58522211151298487</v>
      </c>
      <c r="AB2205" t="str">
        <f>HYPERLINK("Melting_Curves/meltCurve_P40222_TXLNA.pdf", "Melting_Curves/meltCurve_P40222_TXLNA.pdf")</f>
        <v>Melting_Curves/meltCurve_P40222_TXLNA.pdf</v>
      </c>
    </row>
    <row r="2206" spans="1:28" x14ac:dyDescent="0.25">
      <c r="A2206" t="s">
        <v>2210</v>
      </c>
      <c r="B2206">
        <v>0.99299721793515405</v>
      </c>
      <c r="C2206">
        <v>0.91686837713671898</v>
      </c>
      <c r="D2206">
        <v>0.85298778852253399</v>
      </c>
      <c r="E2206">
        <v>0.72722607433403197</v>
      </c>
      <c r="F2206">
        <v>0.60205598850864706</v>
      </c>
      <c r="G2206">
        <v>0.50399986703536104</v>
      </c>
      <c r="H2206">
        <v>0.88911060692349897</v>
      </c>
      <c r="I2206">
        <v>0.80310003629094995</v>
      </c>
      <c r="J2206">
        <v>0.76334322736502502</v>
      </c>
      <c r="K2206">
        <v>0.26444430738515801</v>
      </c>
      <c r="L2206">
        <v>854.93999949335898</v>
      </c>
      <c r="M2206">
        <v>19.698945181025199</v>
      </c>
      <c r="O2206">
        <v>42.960458657645397</v>
      </c>
      <c r="P2206">
        <v>-4.1814712930615401E-2</v>
      </c>
      <c r="Q2206">
        <v>0.63524600617232996</v>
      </c>
      <c r="R2206">
        <v>0.38236071351260298</v>
      </c>
      <c r="S2206" t="s">
        <v>7757</v>
      </c>
      <c r="T2206" t="s">
        <v>11100</v>
      </c>
      <c r="U2206" t="s">
        <v>11100</v>
      </c>
      <c r="V2206" t="s">
        <v>11100</v>
      </c>
      <c r="W2206" t="s">
        <v>13266</v>
      </c>
      <c r="X2206">
        <v>27</v>
      </c>
      <c r="Y2206" t="s">
        <v>18740</v>
      </c>
      <c r="Z2206" t="s">
        <v>24211</v>
      </c>
      <c r="AA2206">
        <v>0.71822219602077653</v>
      </c>
      <c r="AB2206" t="str">
        <f>HYPERLINK("Melting_Curves/meltCurve_P40227_CCT6A.pdf", "Melting_Curves/meltCurve_P40227_CCT6A.pdf")</f>
        <v>Melting_Curves/meltCurve_P40227_CCT6A.pdf</v>
      </c>
    </row>
    <row r="2207" spans="1:28" x14ac:dyDescent="0.25">
      <c r="A2207" t="s">
        <v>2211</v>
      </c>
      <c r="B2207">
        <v>0.99299721793515405</v>
      </c>
      <c r="C2207">
        <v>1.14868080580641</v>
      </c>
      <c r="D2207">
        <v>1.1414348302970301</v>
      </c>
      <c r="E2207">
        <v>1.0373860923909199</v>
      </c>
      <c r="F2207">
        <v>0.73624989149017495</v>
      </c>
      <c r="G2207">
        <v>0.41111190618426902</v>
      </c>
      <c r="H2207">
        <v>0.310533199856597</v>
      </c>
      <c r="I2207">
        <v>0.244560482537068</v>
      </c>
      <c r="J2207">
        <v>0.18841092747603799</v>
      </c>
      <c r="K2207">
        <v>0.14489563888655399</v>
      </c>
      <c r="L2207">
        <v>1381.45135822523</v>
      </c>
      <c r="M2207">
        <v>26.636288986274799</v>
      </c>
      <c r="N2207">
        <v>52.868148506909399</v>
      </c>
      <c r="O2207">
        <v>51.573809623121299</v>
      </c>
      <c r="P2207">
        <v>-0.10347596683278</v>
      </c>
      <c r="Q2207">
        <v>0.19859769847882799</v>
      </c>
      <c r="R2207">
        <v>0.96359215275694399</v>
      </c>
      <c r="S2207" t="s">
        <v>7758</v>
      </c>
      <c r="T2207" t="s">
        <v>11100</v>
      </c>
      <c r="U2207" t="s">
        <v>11100</v>
      </c>
      <c r="V2207" t="s">
        <v>11100</v>
      </c>
      <c r="W2207" t="s">
        <v>13267</v>
      </c>
      <c r="X2207">
        <v>16</v>
      </c>
      <c r="Y2207" t="s">
        <v>18741</v>
      </c>
      <c r="Z2207" t="s">
        <v>24212</v>
      </c>
      <c r="AA2207">
        <v>0.60197318117239207</v>
      </c>
      <c r="AB2207" t="str">
        <f>HYPERLINK("Melting_Curves/meltCurve_P40763_STAT3.pdf", "Melting_Curves/meltCurve_P40763_STAT3.pdf")</f>
        <v>Melting_Curves/meltCurve_P40763_STAT3.pdf</v>
      </c>
    </row>
    <row r="2208" spans="1:28" x14ac:dyDescent="0.25">
      <c r="A2208" t="s">
        <v>2212</v>
      </c>
      <c r="B2208">
        <v>0.99299721793515405</v>
      </c>
      <c r="C2208">
        <v>0.54658388379419498</v>
      </c>
      <c r="D2208">
        <v>0.91178539879430198</v>
      </c>
      <c r="E2208">
        <v>0.639493365309169</v>
      </c>
      <c r="F2208">
        <v>0.52290081018450596</v>
      </c>
      <c r="G2208">
        <v>0.37744808960231202</v>
      </c>
      <c r="H2208">
        <v>0.21111606320925799</v>
      </c>
      <c r="I2208">
        <v>0.22723984112023801</v>
      </c>
      <c r="J2208">
        <v>0.24876305940343499</v>
      </c>
      <c r="K2208">
        <v>0.16259842047616099</v>
      </c>
      <c r="L2208">
        <v>318.47802500221502</v>
      </c>
      <c r="M2208">
        <v>6.3773418482267701</v>
      </c>
      <c r="N2208">
        <v>49.938991728839099</v>
      </c>
      <c r="O2208">
        <v>45.705879510099102</v>
      </c>
      <c r="P2208">
        <v>-3.4973260854348903E-2</v>
      </c>
      <c r="Q2208">
        <v>0</v>
      </c>
      <c r="R2208">
        <v>0.82879075803269797</v>
      </c>
      <c r="S2208" t="s">
        <v>7759</v>
      </c>
      <c r="T2208" t="s">
        <v>11100</v>
      </c>
      <c r="U2208" t="s">
        <v>11100</v>
      </c>
      <c r="V2208" t="s">
        <v>11100</v>
      </c>
      <c r="W2208" t="s">
        <v>13268</v>
      </c>
      <c r="X2208">
        <v>16</v>
      </c>
      <c r="Y2208" t="s">
        <v>18741</v>
      </c>
      <c r="Z2208" t="s">
        <v>24213</v>
      </c>
      <c r="AA2208">
        <v>0.47848116944564623</v>
      </c>
      <c r="AB2208" t="str">
        <f>HYPERLINK("Melting_Curves/meltCurve_P40763_2_STAT3.pdf", "Melting_Curves/meltCurve_P40763_2_STAT3.pdf")</f>
        <v>Melting_Curves/meltCurve_P40763_2_STAT3.pdf</v>
      </c>
    </row>
    <row r="2209" spans="1:28" x14ac:dyDescent="0.25">
      <c r="A2209" t="s">
        <v>2213</v>
      </c>
      <c r="B2209">
        <v>0.99299721793515405</v>
      </c>
      <c r="C2209">
        <v>0.92087138726854101</v>
      </c>
      <c r="D2209">
        <v>0.77743038295738098</v>
      </c>
      <c r="E2209">
        <v>0.77693606441393803</v>
      </c>
      <c r="F2209">
        <v>0.56472450028489996</v>
      </c>
      <c r="G2209">
        <v>0.38028978088106502</v>
      </c>
      <c r="H2209">
        <v>0.171990198291984</v>
      </c>
      <c r="I2209">
        <v>0.103927188087372</v>
      </c>
      <c r="J2209">
        <v>8.1361098689531994E-2</v>
      </c>
      <c r="K2209">
        <v>9.6300637554958102E-2</v>
      </c>
      <c r="L2209">
        <v>549.44863572313102</v>
      </c>
      <c r="M2209">
        <v>10.818542375084</v>
      </c>
      <c r="N2209">
        <v>50.787676313969499</v>
      </c>
      <c r="O2209">
        <v>49.144756268690102</v>
      </c>
      <c r="P2209">
        <v>-5.5053858028933297E-2</v>
      </c>
      <c r="Q2209">
        <v>0</v>
      </c>
      <c r="R2209">
        <v>0.98303552641242797</v>
      </c>
      <c r="S2209" t="s">
        <v>7760</v>
      </c>
      <c r="T2209" t="s">
        <v>11100</v>
      </c>
      <c r="U2209" t="s">
        <v>11100</v>
      </c>
      <c r="V2209" t="s">
        <v>11100</v>
      </c>
      <c r="W2209" t="s">
        <v>13269</v>
      </c>
      <c r="X2209">
        <v>6</v>
      </c>
      <c r="Y2209" t="s">
        <v>18742</v>
      </c>
      <c r="Z2209" t="s">
        <v>24214</v>
      </c>
      <c r="AA2209">
        <v>0.48883531779585132</v>
      </c>
      <c r="AB2209" t="str">
        <f>HYPERLINK("Melting_Curves/meltCurve_P40818_USP8.pdf", "Melting_Curves/meltCurve_P40818_USP8.pdf")</f>
        <v>Melting_Curves/meltCurve_P40818_USP8.pdf</v>
      </c>
    </row>
    <row r="2210" spans="1:28" x14ac:dyDescent="0.25">
      <c r="A2210" t="s">
        <v>2214</v>
      </c>
      <c r="B2210">
        <v>0.99299721793515405</v>
      </c>
      <c r="C2210">
        <v>1.00445335485397</v>
      </c>
      <c r="D2210">
        <v>1.0397447307058301</v>
      </c>
      <c r="E2210">
        <v>0.92465211310311701</v>
      </c>
      <c r="F2210">
        <v>0.78223007415562495</v>
      </c>
      <c r="G2210">
        <v>0.79755165867475997</v>
      </c>
      <c r="H2210">
        <v>0.625068442014871</v>
      </c>
      <c r="I2210">
        <v>0.61858173324896304</v>
      </c>
      <c r="J2210">
        <v>0.14424350996632199</v>
      </c>
      <c r="K2210">
        <v>8.5252554476467998E-2</v>
      </c>
      <c r="L2210">
        <v>803.553827665634</v>
      </c>
      <c r="M2210">
        <v>13.5183415182796</v>
      </c>
      <c r="N2210">
        <v>59.441746359125702</v>
      </c>
      <c r="O2210">
        <v>58.186228520676003</v>
      </c>
      <c r="P2210">
        <v>-5.8091041527578297E-2</v>
      </c>
      <c r="Q2210">
        <v>0</v>
      </c>
      <c r="R2210">
        <v>0.91351238392030298</v>
      </c>
      <c r="S2210" t="s">
        <v>7761</v>
      </c>
      <c r="T2210" t="s">
        <v>11100</v>
      </c>
      <c r="U2210" t="s">
        <v>11100</v>
      </c>
      <c r="V2210" t="s">
        <v>11100</v>
      </c>
      <c r="W2210" t="s">
        <v>13270</v>
      </c>
      <c r="X2210">
        <v>28</v>
      </c>
      <c r="Y2210" t="s">
        <v>18743</v>
      </c>
      <c r="Z2210" t="s">
        <v>24215</v>
      </c>
      <c r="AA2210">
        <v>0.74132054450249874</v>
      </c>
      <c r="AB2210" t="str">
        <f>HYPERLINK("Melting_Curves/meltCurve_P40925_MDH1.pdf", "Melting_Curves/meltCurve_P40925_MDH1.pdf")</f>
        <v>Melting_Curves/meltCurve_P40925_MDH1.pdf</v>
      </c>
    </row>
    <row r="2211" spans="1:28" x14ac:dyDescent="0.25">
      <c r="A2211" t="s">
        <v>2215</v>
      </c>
      <c r="B2211">
        <v>0.99299721793515405</v>
      </c>
      <c r="C2211">
        <v>1.00741987122004</v>
      </c>
      <c r="D2211">
        <v>0.93059397364611796</v>
      </c>
      <c r="E2211">
        <v>0.84482877732611805</v>
      </c>
      <c r="F2211">
        <v>0.70007848558550501</v>
      </c>
      <c r="G2211">
        <v>0.54171606019950203</v>
      </c>
      <c r="H2211">
        <v>0.55961920495100004</v>
      </c>
      <c r="I2211">
        <v>0.60183388958602801</v>
      </c>
      <c r="J2211">
        <v>0.26772295087425102</v>
      </c>
      <c r="K2211">
        <v>8.4307748193090004E-2</v>
      </c>
      <c r="L2211">
        <v>441.497365186178</v>
      </c>
      <c r="M2211">
        <v>7.7021369758115004</v>
      </c>
      <c r="N2211">
        <v>57.3214115054218</v>
      </c>
      <c r="O2211">
        <v>53.841316826046501</v>
      </c>
      <c r="P2211">
        <v>-3.5809738409323798E-2</v>
      </c>
      <c r="Q2211">
        <v>0</v>
      </c>
      <c r="R2211">
        <v>0.89504747073281998</v>
      </c>
      <c r="S2211" t="s">
        <v>7762</v>
      </c>
      <c r="T2211" t="s">
        <v>11100</v>
      </c>
      <c r="U2211" t="s">
        <v>11100</v>
      </c>
      <c r="V2211" t="s">
        <v>11100</v>
      </c>
      <c r="W2211" t="s">
        <v>13271</v>
      </c>
      <c r="X2211">
        <v>35</v>
      </c>
      <c r="Y2211" t="s">
        <v>18744</v>
      </c>
      <c r="Z2211" t="s">
        <v>24216</v>
      </c>
      <c r="AA2211">
        <v>0.66113972758947814</v>
      </c>
      <c r="AB2211" t="str">
        <f>HYPERLINK("Melting_Curves/meltCurve_P40926_MDH2.pdf", "Melting_Curves/meltCurve_P40926_MDH2.pdf")</f>
        <v>Melting_Curves/meltCurve_P40926_MDH2.pdf</v>
      </c>
    </row>
    <row r="2212" spans="1:28" x14ac:dyDescent="0.25">
      <c r="A2212" t="s">
        <v>2216</v>
      </c>
      <c r="B2212">
        <v>0.99299721793515405</v>
      </c>
      <c r="C2212">
        <v>1.1229204081322699</v>
      </c>
      <c r="D2212">
        <v>0.97249536734542896</v>
      </c>
      <c r="E2212">
        <v>0.91938582206397901</v>
      </c>
      <c r="F2212">
        <v>0.89274625075588698</v>
      </c>
      <c r="G2212">
        <v>0.52999779639385902</v>
      </c>
      <c r="H2212">
        <v>0.214303370077291</v>
      </c>
      <c r="I2212">
        <v>0.20362520506627199</v>
      </c>
      <c r="J2212">
        <v>0.18513405735713601</v>
      </c>
      <c r="K2212">
        <v>0.18202378630418101</v>
      </c>
      <c r="L2212">
        <v>1712.6017447199299</v>
      </c>
      <c r="M2212">
        <v>32.188553422776401</v>
      </c>
      <c r="N2212">
        <v>53.934501958354403</v>
      </c>
      <c r="O2212">
        <v>53.001209732942201</v>
      </c>
      <c r="P2212">
        <v>-0.12504259994512801</v>
      </c>
      <c r="Q2212">
        <v>0.17643065867007901</v>
      </c>
      <c r="R2212">
        <v>0.98388064919846596</v>
      </c>
      <c r="S2212" t="s">
        <v>7763</v>
      </c>
      <c r="T2212" t="s">
        <v>11100</v>
      </c>
      <c r="U2212" t="s">
        <v>11100</v>
      </c>
      <c r="V2212" t="s">
        <v>11100</v>
      </c>
      <c r="W2212" t="s">
        <v>13272</v>
      </c>
      <c r="X2212">
        <v>4</v>
      </c>
      <c r="Y2212" t="s">
        <v>18745</v>
      </c>
      <c r="Z2212" t="s">
        <v>24217</v>
      </c>
      <c r="AA2212">
        <v>0.62590161875617867</v>
      </c>
      <c r="AB2212" t="str">
        <f>HYPERLINK("Melting_Curves/meltCurve_P40937_RFC5.pdf", "Melting_Curves/meltCurve_P40937_RFC5.pdf")</f>
        <v>Melting_Curves/meltCurve_P40937_RFC5.pdf</v>
      </c>
    </row>
    <row r="2213" spans="1:28" x14ac:dyDescent="0.25">
      <c r="A2213" t="s">
        <v>2217</v>
      </c>
      <c r="B2213">
        <v>0.99299721793515405</v>
      </c>
      <c r="C2213">
        <v>0.90104425274982802</v>
      </c>
      <c r="D2213">
        <v>1.0294690830681901</v>
      </c>
      <c r="E2213">
        <v>0.84762823870020698</v>
      </c>
      <c r="F2213">
        <v>1.0409627273789499</v>
      </c>
      <c r="G2213">
        <v>0.56881330570861599</v>
      </c>
      <c r="H2213">
        <v>0.37439451980052302</v>
      </c>
      <c r="I2213">
        <v>0.32702012850241302</v>
      </c>
      <c r="J2213">
        <v>0.260854174427116</v>
      </c>
      <c r="K2213">
        <v>0.160202788889936</v>
      </c>
      <c r="L2213">
        <v>2244.3520945226701</v>
      </c>
      <c r="M2213">
        <v>41.883804009234403</v>
      </c>
      <c r="N2213">
        <v>54.564141988277598</v>
      </c>
      <c r="O2213">
        <v>53.463480715806703</v>
      </c>
      <c r="P2213">
        <v>-0.14411690051366599</v>
      </c>
      <c r="Q2213">
        <v>0.26415682330283302</v>
      </c>
      <c r="R2213">
        <v>0.94507336623787697</v>
      </c>
      <c r="S2213" t="s">
        <v>7764</v>
      </c>
      <c r="T2213" t="s">
        <v>11100</v>
      </c>
      <c r="U2213" t="s">
        <v>11100</v>
      </c>
      <c r="V2213" t="s">
        <v>11100</v>
      </c>
      <c r="W2213" t="s">
        <v>13273</v>
      </c>
      <c r="X2213">
        <v>3</v>
      </c>
      <c r="Y2213" t="s">
        <v>18746</v>
      </c>
      <c r="Z2213" t="s">
        <v>24218</v>
      </c>
      <c r="AA2213">
        <v>0.67343313818716577</v>
      </c>
      <c r="AB2213" t="str">
        <f>HYPERLINK("Melting_Curves/meltCurve_P40938_2_RFC3.pdf", "Melting_Curves/meltCurve_P40938_2_RFC3.pdf")</f>
        <v>Melting_Curves/meltCurve_P40938_2_RFC3.pdf</v>
      </c>
    </row>
    <row r="2214" spans="1:28" x14ac:dyDescent="0.25">
      <c r="A2214" t="s">
        <v>2218</v>
      </c>
      <c r="B2214">
        <v>0.99299721793515405</v>
      </c>
      <c r="C2214">
        <v>0.98168507830946805</v>
      </c>
      <c r="D2214">
        <v>0.82933025496690005</v>
      </c>
      <c r="E2214">
        <v>0.84455910574878901</v>
      </c>
      <c r="F2214">
        <v>0.77525929889562895</v>
      </c>
      <c r="G2214">
        <v>0.81758563001644202</v>
      </c>
      <c r="H2214">
        <v>0.227138181682742</v>
      </c>
      <c r="I2214">
        <v>0.206043459628903</v>
      </c>
      <c r="J2214">
        <v>0.17628487446744101</v>
      </c>
      <c r="K2214">
        <v>0.146854057524578</v>
      </c>
      <c r="L2214">
        <v>809.66309851507901</v>
      </c>
      <c r="M2214">
        <v>14.6892640520112</v>
      </c>
      <c r="N2214">
        <v>55.477920358794997</v>
      </c>
      <c r="O2214">
        <v>54.128069235389198</v>
      </c>
      <c r="P2214">
        <v>-6.4779805755341396E-2</v>
      </c>
      <c r="Q2214">
        <v>4.5283320857813003E-2</v>
      </c>
      <c r="R2214">
        <v>0.90826113827824995</v>
      </c>
      <c r="S2214" t="s">
        <v>7765</v>
      </c>
      <c r="T2214" t="s">
        <v>11100</v>
      </c>
      <c r="U2214" t="s">
        <v>11100</v>
      </c>
      <c r="V2214" t="s">
        <v>11100</v>
      </c>
      <c r="W2214" t="s">
        <v>13274</v>
      </c>
      <c r="X2214">
        <v>17</v>
      </c>
      <c r="Y2214" t="s">
        <v>18747</v>
      </c>
      <c r="Z2214" t="s">
        <v>24219</v>
      </c>
      <c r="AA2214">
        <v>0.63518894008133586</v>
      </c>
      <c r="AB2214" t="str">
        <f>HYPERLINK("Melting_Curves/meltCurve_P40939_HADHA.pdf", "Melting_Curves/meltCurve_P40939_HADHA.pdf")</f>
        <v>Melting_Curves/meltCurve_P40939_HADHA.pdf</v>
      </c>
    </row>
    <row r="2215" spans="1:28" x14ac:dyDescent="0.25">
      <c r="A2215" t="s">
        <v>2219</v>
      </c>
      <c r="B2215">
        <v>0.99299721793515405</v>
      </c>
      <c r="C2215">
        <v>1.0570745360706399</v>
      </c>
      <c r="D2215">
        <v>1.1015363201605299</v>
      </c>
      <c r="E2215">
        <v>0.85809636486962204</v>
      </c>
      <c r="F2215">
        <v>0.60865959748284404</v>
      </c>
      <c r="G2215">
        <v>0.48990745300088401</v>
      </c>
      <c r="H2215">
        <v>0.35122201677888398</v>
      </c>
      <c r="I2215">
        <v>0.18819180524826501</v>
      </c>
      <c r="J2215">
        <v>0.12049793188168299</v>
      </c>
      <c r="K2215">
        <v>0.11117466161762</v>
      </c>
      <c r="L2215">
        <v>729.13862795896296</v>
      </c>
      <c r="M2215">
        <v>13.841403783279199</v>
      </c>
      <c r="N2215">
        <v>53.270256452552999</v>
      </c>
      <c r="O2215">
        <v>51.615046822184297</v>
      </c>
      <c r="P2215">
        <v>-6.2269683697426297E-2</v>
      </c>
      <c r="Q2215">
        <v>7.1305802425546697E-2</v>
      </c>
      <c r="R2215">
        <v>0.97485045774317503</v>
      </c>
      <c r="S2215" t="s">
        <v>7766</v>
      </c>
      <c r="T2215" t="s">
        <v>11100</v>
      </c>
      <c r="U2215" t="s">
        <v>11100</v>
      </c>
      <c r="V2215" t="s">
        <v>11100</v>
      </c>
      <c r="W2215" t="s">
        <v>13275</v>
      </c>
      <c r="X2215">
        <v>22</v>
      </c>
      <c r="Y2215" t="s">
        <v>18748</v>
      </c>
      <c r="Z2215" t="s">
        <v>24220</v>
      </c>
      <c r="AA2215">
        <v>0.57499355410423714</v>
      </c>
      <c r="AB2215" t="str">
        <f>HYPERLINK("Melting_Curves/meltCurve_P41091_EIF2S3.pdf", "Melting_Curves/meltCurve_P41091_EIF2S3.pdf")</f>
        <v>Melting_Curves/meltCurve_P41091_EIF2S3.pdf</v>
      </c>
    </row>
    <row r="2216" spans="1:28" x14ac:dyDescent="0.25">
      <c r="A2216" t="s">
        <v>2220</v>
      </c>
      <c r="B2216">
        <v>0.99299721793515405</v>
      </c>
      <c r="C2216">
        <v>0.99830163179873699</v>
      </c>
      <c r="D2216">
        <v>0.97429047919157696</v>
      </c>
      <c r="E2216">
        <v>0.86262084039199005</v>
      </c>
      <c r="F2216">
        <v>0.76080026398966805</v>
      </c>
      <c r="G2216">
        <v>0.56776513596506795</v>
      </c>
      <c r="H2216">
        <v>0.64550572787253502</v>
      </c>
      <c r="I2216">
        <v>0.85775952496965202</v>
      </c>
      <c r="J2216">
        <v>1.0338449900291999</v>
      </c>
      <c r="K2216">
        <v>0.90133635671099399</v>
      </c>
      <c r="L2216">
        <v>2252.1227230076202</v>
      </c>
      <c r="M2216">
        <v>49.173659314092298</v>
      </c>
      <c r="O2216">
        <v>45.723818498592102</v>
      </c>
      <c r="P2216">
        <v>-5.5187128688365499E-2</v>
      </c>
      <c r="Q2216">
        <v>0.79473856840941703</v>
      </c>
      <c r="R2216">
        <v>0.33605380803158502</v>
      </c>
      <c r="S2216" t="s">
        <v>7767</v>
      </c>
      <c r="T2216" t="s">
        <v>11100</v>
      </c>
      <c r="U2216" t="s">
        <v>11100</v>
      </c>
      <c r="V2216" t="s">
        <v>11100</v>
      </c>
      <c r="W2216" t="s">
        <v>13276</v>
      </c>
      <c r="X2216">
        <v>6</v>
      </c>
      <c r="Y2216" t="s">
        <v>18749</v>
      </c>
      <c r="Z2216" t="s">
        <v>24221</v>
      </c>
      <c r="AA2216">
        <v>0.85537313502792267</v>
      </c>
      <c r="AB2216" t="str">
        <f>HYPERLINK("Melting_Curves/meltCurve_P41208_CETN2.pdf", "Melting_Curves/meltCurve_P41208_CETN2.pdf")</f>
        <v>Melting_Curves/meltCurve_P41208_CETN2.pdf</v>
      </c>
    </row>
    <row r="2217" spans="1:28" x14ac:dyDescent="0.25">
      <c r="A2217" t="s">
        <v>2221</v>
      </c>
      <c r="B2217">
        <v>0.99299721793515405</v>
      </c>
      <c r="C2217">
        <v>1.0935019490190201</v>
      </c>
      <c r="D2217">
        <v>0.97312614937963704</v>
      </c>
      <c r="E2217">
        <v>0.94031068831799403</v>
      </c>
      <c r="F2217">
        <v>0.41910851402299598</v>
      </c>
      <c r="G2217">
        <v>0.165478939584773</v>
      </c>
      <c r="H2217">
        <v>0.1907478994455</v>
      </c>
      <c r="I2217">
        <v>0.228473891958032</v>
      </c>
      <c r="J2217">
        <v>0.14952195426100001</v>
      </c>
      <c r="K2217">
        <v>4.1050169522521697E-2</v>
      </c>
      <c r="L2217">
        <v>2160.2376278863198</v>
      </c>
      <c r="M2217">
        <v>43.803196769664197</v>
      </c>
      <c r="N2217">
        <v>49.722974630727897</v>
      </c>
      <c r="O2217">
        <v>49.214450003085901</v>
      </c>
      <c r="P2217">
        <v>-0.18905297067417401</v>
      </c>
      <c r="Q2217">
        <v>0.150370475508184</v>
      </c>
      <c r="R2217">
        <v>0.98221113442256003</v>
      </c>
      <c r="S2217" t="s">
        <v>7768</v>
      </c>
      <c r="T2217" t="s">
        <v>11100</v>
      </c>
      <c r="U2217" t="s">
        <v>11100</v>
      </c>
      <c r="V2217" t="s">
        <v>11100</v>
      </c>
      <c r="W2217" t="s">
        <v>13277</v>
      </c>
      <c r="X2217">
        <v>2</v>
      </c>
      <c r="Y2217" t="s">
        <v>18750</v>
      </c>
      <c r="Z2217" t="s">
        <v>24222</v>
      </c>
      <c r="AA2217">
        <v>0.50160879871577635</v>
      </c>
      <c r="AB2217" t="str">
        <f>HYPERLINK("Melting_Curves/meltCurve_P41214_EIF2D.pdf", "Melting_Curves/meltCurve_P41214_EIF2D.pdf")</f>
        <v>Melting_Curves/meltCurve_P41214_EIF2D.pdf</v>
      </c>
    </row>
    <row r="2218" spans="1:28" x14ac:dyDescent="0.25">
      <c r="A2218" t="s">
        <v>2222</v>
      </c>
      <c r="B2218">
        <v>0.99299721793515405</v>
      </c>
      <c r="C2218">
        <v>0.88781800965218605</v>
      </c>
      <c r="D2218">
        <v>0.86600739018318096</v>
      </c>
      <c r="E2218">
        <v>0.61454961172641498</v>
      </c>
      <c r="F2218">
        <v>0.58187800559242298</v>
      </c>
      <c r="G2218">
        <v>0.64929218808685196</v>
      </c>
      <c r="H2218">
        <v>0.84284272976304098</v>
      </c>
      <c r="I2218">
        <v>0.66738261354944695</v>
      </c>
      <c r="J2218">
        <v>0.54567993173798601</v>
      </c>
      <c r="K2218">
        <v>0.51527397579995904</v>
      </c>
      <c r="L2218">
        <v>1067.01785857663</v>
      </c>
      <c r="M2218">
        <v>24.864607210249499</v>
      </c>
      <c r="O2218">
        <v>42.638433565220602</v>
      </c>
      <c r="P2218">
        <v>-5.4424107201873503E-2</v>
      </c>
      <c r="Q2218">
        <v>0.626693995589098</v>
      </c>
      <c r="R2218">
        <v>0.67489783308308604</v>
      </c>
      <c r="S2218" t="s">
        <v>7769</v>
      </c>
      <c r="T2218" t="s">
        <v>11100</v>
      </c>
      <c r="U2218" t="s">
        <v>11100</v>
      </c>
      <c r="V2218" t="s">
        <v>11100</v>
      </c>
      <c r="W2218" t="s">
        <v>13278</v>
      </c>
      <c r="X2218">
        <v>7</v>
      </c>
      <c r="Y2218" t="s">
        <v>18751</v>
      </c>
      <c r="Z2218" t="s">
        <v>24223</v>
      </c>
      <c r="AA2218">
        <v>0.70345330873460366</v>
      </c>
      <c r="AB2218" t="str">
        <f>HYPERLINK("Melting_Curves/meltCurve_P41219_PRPH.pdf", "Melting_Curves/meltCurve_P41219_PRPH.pdf")</f>
        <v>Melting_Curves/meltCurve_P41219_PRPH.pdf</v>
      </c>
    </row>
    <row r="2219" spans="1:28" x14ac:dyDescent="0.25">
      <c r="A2219" t="s">
        <v>2223</v>
      </c>
      <c r="B2219">
        <v>0.99299721793515405</v>
      </c>
      <c r="C2219">
        <v>1.0427663552763</v>
      </c>
      <c r="D2219">
        <v>1.0227317145335399</v>
      </c>
      <c r="E2219">
        <v>0.95680751999567504</v>
      </c>
      <c r="F2219">
        <v>0.76375438073922897</v>
      </c>
      <c r="G2219">
        <v>0.47279908409724902</v>
      </c>
      <c r="H2219">
        <v>0.232939944705533</v>
      </c>
      <c r="I2219">
        <v>0.15725243346551601</v>
      </c>
      <c r="J2219">
        <v>0.134018775363316</v>
      </c>
      <c r="K2219">
        <v>0.120566199559868</v>
      </c>
      <c r="L2219">
        <v>1143.2269912602101</v>
      </c>
      <c r="M2219">
        <v>21.6859616940514</v>
      </c>
      <c r="N2219">
        <v>53.3441317550527</v>
      </c>
      <c r="O2219">
        <v>52.275239586550498</v>
      </c>
      <c r="P2219">
        <v>-9.2049161626642895E-2</v>
      </c>
      <c r="Q2219">
        <v>0.112462092456491</v>
      </c>
      <c r="R2219">
        <v>0.99781748002981097</v>
      </c>
      <c r="S2219" t="s">
        <v>7770</v>
      </c>
      <c r="T2219" t="s">
        <v>11100</v>
      </c>
      <c r="U2219" t="s">
        <v>11100</v>
      </c>
      <c r="V2219" t="s">
        <v>11100</v>
      </c>
      <c r="W2219" t="s">
        <v>13279</v>
      </c>
      <c r="X2219">
        <v>10</v>
      </c>
      <c r="Y2219" t="s">
        <v>18752</v>
      </c>
      <c r="Z2219" t="s">
        <v>24224</v>
      </c>
      <c r="AA2219">
        <v>0.58741233514068414</v>
      </c>
      <c r="AB2219" t="str">
        <f>HYPERLINK("Melting_Curves/meltCurve_P41223_BUD31.pdf", "Melting_Curves/meltCurve_P41223_BUD31.pdf")</f>
        <v>Melting_Curves/meltCurve_P41223_BUD31.pdf</v>
      </c>
    </row>
    <row r="2220" spans="1:28" x14ac:dyDescent="0.25">
      <c r="A2220" t="s">
        <v>2224</v>
      </c>
      <c r="B2220">
        <v>0.99299721793515405</v>
      </c>
      <c r="C2220">
        <v>0.95982154107942597</v>
      </c>
      <c r="D2220">
        <v>1.0043462828790499</v>
      </c>
      <c r="E2220">
        <v>0.86367233035453606</v>
      </c>
      <c r="F2220">
        <v>0.70481405473421399</v>
      </c>
      <c r="G2220">
        <v>0.72099403663669803</v>
      </c>
      <c r="H2220">
        <v>0.38322291708244899</v>
      </c>
      <c r="I2220">
        <v>0.15948807028376599</v>
      </c>
      <c r="J2220">
        <v>0.136237491107151</v>
      </c>
      <c r="K2220">
        <v>0.109111201144954</v>
      </c>
      <c r="L2220">
        <v>713.23682898729203</v>
      </c>
      <c r="M2220">
        <v>12.8891914211199</v>
      </c>
      <c r="N2220">
        <v>55.336041412352998</v>
      </c>
      <c r="O2220">
        <v>54.054781998057599</v>
      </c>
      <c r="P2220">
        <v>-5.9622568772089803E-2</v>
      </c>
      <c r="Q2220">
        <v>0</v>
      </c>
      <c r="R2220">
        <v>0.97220200001975599</v>
      </c>
      <c r="S2220" t="s">
        <v>7771</v>
      </c>
      <c r="T2220" t="s">
        <v>11100</v>
      </c>
      <c r="U2220" t="s">
        <v>11100</v>
      </c>
      <c r="V2220" t="s">
        <v>11100</v>
      </c>
      <c r="W2220" t="s">
        <v>13280</v>
      </c>
      <c r="X2220">
        <v>8</v>
      </c>
      <c r="Y2220" t="s">
        <v>18753</v>
      </c>
      <c r="Z2220" t="s">
        <v>24225</v>
      </c>
      <c r="AA2220">
        <v>0.62443530986303908</v>
      </c>
      <c r="AB2220" t="str">
        <f>HYPERLINK("Melting_Curves/meltCurve_P41227_2_NAA10.pdf", "Melting_Curves/meltCurve_P41227_2_NAA10.pdf")</f>
        <v>Melting_Curves/meltCurve_P41227_2_NAA10.pdf</v>
      </c>
    </row>
    <row r="2221" spans="1:28" x14ac:dyDescent="0.25">
      <c r="A2221" t="s">
        <v>2225</v>
      </c>
      <c r="B2221">
        <v>0.99299721793515405</v>
      </c>
      <c r="C2221">
        <v>0.97205375567545904</v>
      </c>
      <c r="D2221">
        <v>0.95370788425715203</v>
      </c>
      <c r="E2221">
        <v>0.86391403462373795</v>
      </c>
      <c r="F2221">
        <v>0.61404903740047601</v>
      </c>
      <c r="G2221">
        <v>0.327450716135468</v>
      </c>
      <c r="H2221">
        <v>0.20672273387311599</v>
      </c>
      <c r="I2221">
        <v>0.15037041654483799</v>
      </c>
      <c r="J2221">
        <v>0.12675059905798899</v>
      </c>
      <c r="K2221">
        <v>9.7597032652242094E-2</v>
      </c>
      <c r="L2221">
        <v>929.64918357591102</v>
      </c>
      <c r="M2221">
        <v>18.270464592540598</v>
      </c>
      <c r="N2221">
        <v>51.5103861720862</v>
      </c>
      <c r="O2221">
        <v>50.284807799760202</v>
      </c>
      <c r="P2221">
        <v>-8.1772679994609604E-2</v>
      </c>
      <c r="Q2221">
        <v>9.98078464657913E-2</v>
      </c>
      <c r="R2221">
        <v>0.998904316417905</v>
      </c>
      <c r="S2221" t="s">
        <v>7772</v>
      </c>
      <c r="T2221" t="s">
        <v>11100</v>
      </c>
      <c r="U2221" t="s">
        <v>11100</v>
      </c>
      <c r="V2221" t="s">
        <v>11100</v>
      </c>
      <c r="W2221" t="s">
        <v>13281</v>
      </c>
      <c r="X2221">
        <v>22</v>
      </c>
      <c r="Y2221" t="s">
        <v>18754</v>
      </c>
      <c r="Z2221" t="s">
        <v>24226</v>
      </c>
      <c r="AA2221">
        <v>0.53004501249574187</v>
      </c>
      <c r="AB2221" t="str">
        <f>HYPERLINK("Melting_Curves/meltCurve_P41229_2_KDM5C.pdf", "Melting_Curves/meltCurve_P41229_2_KDM5C.pdf")</f>
        <v>Melting_Curves/meltCurve_P41229_2_KDM5C.pdf</v>
      </c>
    </row>
    <row r="2222" spans="1:28" x14ac:dyDescent="0.25">
      <c r="A2222" t="s">
        <v>2226</v>
      </c>
      <c r="B2222">
        <v>0.99299721793515405</v>
      </c>
      <c r="C2222">
        <v>0.88940765243342201</v>
      </c>
      <c r="D2222">
        <v>1.05614447819804</v>
      </c>
      <c r="E2222">
        <v>0.860283068014844</v>
      </c>
      <c r="F2222">
        <v>0.80198538203188696</v>
      </c>
      <c r="G2222">
        <v>0.60314759732826795</v>
      </c>
      <c r="H2222">
        <v>0.59886542216751404</v>
      </c>
      <c r="I2222">
        <v>0.73348280897801299</v>
      </c>
      <c r="J2222">
        <v>0.80960505818851303</v>
      </c>
      <c r="K2222">
        <v>0.85115558471355401</v>
      </c>
      <c r="L2222">
        <v>1849.3744670604101</v>
      </c>
      <c r="M2222">
        <v>39.488062991697802</v>
      </c>
      <c r="O2222">
        <v>46.714131323500503</v>
      </c>
      <c r="P2222">
        <v>-5.7427641227559299E-2</v>
      </c>
      <c r="Q2222">
        <v>0.72825443251187505</v>
      </c>
      <c r="R2222">
        <v>0.62266784856908497</v>
      </c>
      <c r="S2222" t="s">
        <v>7773</v>
      </c>
      <c r="T2222" t="s">
        <v>11100</v>
      </c>
      <c r="U2222" t="s">
        <v>11100</v>
      </c>
      <c r="V2222" t="s">
        <v>11100</v>
      </c>
      <c r="W2222" t="s">
        <v>13282</v>
      </c>
      <c r="X2222">
        <v>16</v>
      </c>
      <c r="Y2222" t="s">
        <v>18755</v>
      </c>
      <c r="Z2222" t="s">
        <v>24227</v>
      </c>
      <c r="AA2222">
        <v>0.81823361645475601</v>
      </c>
      <c r="AB2222" t="str">
        <f>HYPERLINK("Melting_Curves/meltCurve_P41236_PPP1R2.pdf", "Melting_Curves/meltCurve_P41236_PPP1R2.pdf")</f>
        <v>Melting_Curves/meltCurve_P41236_PPP1R2.pdf</v>
      </c>
    </row>
    <row r="2223" spans="1:28" x14ac:dyDescent="0.25">
      <c r="A2223" t="s">
        <v>2227</v>
      </c>
      <c r="B2223">
        <v>0.99299721793515405</v>
      </c>
      <c r="C2223">
        <v>1.0527709246909001</v>
      </c>
      <c r="D2223">
        <v>0.93956240908469801</v>
      </c>
      <c r="E2223">
        <v>0.89160281602895097</v>
      </c>
      <c r="F2223">
        <v>0.74092132638201802</v>
      </c>
      <c r="G2223">
        <v>0.26902909918281898</v>
      </c>
      <c r="H2223">
        <v>0.145444790171638</v>
      </c>
      <c r="I2223">
        <v>0.120666052982403</v>
      </c>
      <c r="J2223">
        <v>0.112754778831527</v>
      </c>
      <c r="K2223">
        <v>8.8861403992546897E-2</v>
      </c>
      <c r="L2223">
        <v>1513.0779838270801</v>
      </c>
      <c r="M2223">
        <v>29.408169449180601</v>
      </c>
      <c r="N2223">
        <v>51.845315019835503</v>
      </c>
      <c r="O2223">
        <v>51.214792681781198</v>
      </c>
      <c r="P2223">
        <v>-0.12916665592556101</v>
      </c>
      <c r="Q2223">
        <v>0.100223258277405</v>
      </c>
      <c r="R2223">
        <v>0.991783453436897</v>
      </c>
      <c r="S2223" t="s">
        <v>7774</v>
      </c>
      <c r="T2223" t="s">
        <v>11100</v>
      </c>
      <c r="U2223" t="s">
        <v>11100</v>
      </c>
      <c r="V2223" t="s">
        <v>11100</v>
      </c>
      <c r="W2223" t="s">
        <v>13283</v>
      </c>
      <c r="X2223">
        <v>15</v>
      </c>
      <c r="Y2223" t="s">
        <v>18756</v>
      </c>
      <c r="Z2223" t="s">
        <v>24228</v>
      </c>
      <c r="AA2223">
        <v>0.53950520306663852</v>
      </c>
      <c r="AB2223" t="str">
        <f>HYPERLINK("Melting_Curves/meltCurve_P41240_CSK.pdf", "Melting_Curves/meltCurve_P41240_CSK.pdf")</f>
        <v>Melting_Curves/meltCurve_P41240_CSK.pdf</v>
      </c>
    </row>
    <row r="2224" spans="1:28" x14ac:dyDescent="0.25">
      <c r="A2224" t="s">
        <v>2228</v>
      </c>
      <c r="B2224">
        <v>0.99299721793515405</v>
      </c>
      <c r="C2224">
        <v>1.0359616515582699</v>
      </c>
      <c r="D2224">
        <v>1.0135891066912299</v>
      </c>
      <c r="E2224">
        <v>0.90032636305040903</v>
      </c>
      <c r="F2224">
        <v>0.79863288500945695</v>
      </c>
      <c r="G2224">
        <v>0.77579648625850905</v>
      </c>
      <c r="H2224">
        <v>0.88854574851818902</v>
      </c>
      <c r="I2224">
        <v>1.02608486755811</v>
      </c>
      <c r="J2224">
        <v>0.92434899660260805</v>
      </c>
      <c r="K2224">
        <v>0.56653905646163705</v>
      </c>
      <c r="L2224">
        <v>242.5856923467</v>
      </c>
      <c r="M2224">
        <v>2.43513036398432</v>
      </c>
      <c r="O2224">
        <v>66.258169863397796</v>
      </c>
      <c r="P2224">
        <v>-9.6919556524253294E-3</v>
      </c>
      <c r="Q2224">
        <v>0</v>
      </c>
      <c r="R2224">
        <v>0.30788263603870297</v>
      </c>
      <c r="S2224" t="s">
        <v>7775</v>
      </c>
      <c r="T2224" t="s">
        <v>11100</v>
      </c>
      <c r="U2224" t="s">
        <v>11100</v>
      </c>
      <c r="V2224" t="s">
        <v>11100</v>
      </c>
      <c r="W2224" t="s">
        <v>13284</v>
      </c>
      <c r="X2224">
        <v>27</v>
      </c>
      <c r="Y2224" t="s">
        <v>18757</v>
      </c>
      <c r="Z2224" t="s">
        <v>24229</v>
      </c>
      <c r="AA2224">
        <v>0.89333291140302395</v>
      </c>
      <c r="AB2224" t="str">
        <f>HYPERLINK("Melting_Curves/meltCurve_P41250_GARS.pdf", "Melting_Curves/meltCurve_P41250_GARS.pdf")</f>
        <v>Melting_Curves/meltCurve_P41250_GARS.pdf</v>
      </c>
    </row>
    <row r="2225" spans="1:28" x14ac:dyDescent="0.25">
      <c r="A2225" t="s">
        <v>2229</v>
      </c>
      <c r="B2225">
        <v>0.99299721793515405</v>
      </c>
      <c r="C2225">
        <v>0.92156168174400399</v>
      </c>
      <c r="D2225">
        <v>1.06604045763866</v>
      </c>
      <c r="E2225">
        <v>0.87801819042368701</v>
      </c>
      <c r="F2225">
        <v>0.70841139227751604</v>
      </c>
      <c r="G2225">
        <v>0.64290112246901998</v>
      </c>
      <c r="H2225">
        <v>0.46480513951110197</v>
      </c>
      <c r="I2225">
        <v>0.49296389619307202</v>
      </c>
      <c r="J2225">
        <v>0.431253653638625</v>
      </c>
      <c r="K2225">
        <v>0.39645312154318202</v>
      </c>
      <c r="L2225">
        <v>775.60980283900506</v>
      </c>
      <c r="M2225">
        <v>15.1487995898369</v>
      </c>
      <c r="N2225">
        <v>57.464546568512503</v>
      </c>
      <c r="O2225">
        <v>50.332091679960399</v>
      </c>
      <c r="P2225">
        <v>-4.4840125726548899E-2</v>
      </c>
      <c r="Q2225">
        <v>0.404130211774899</v>
      </c>
      <c r="R2225">
        <v>0.96165517588835703</v>
      </c>
      <c r="S2225" t="s">
        <v>7776</v>
      </c>
      <c r="T2225" t="s">
        <v>11100</v>
      </c>
      <c r="U2225" t="s">
        <v>11100</v>
      </c>
      <c r="V2225" t="s">
        <v>11100</v>
      </c>
      <c r="W2225" t="s">
        <v>13285</v>
      </c>
      <c r="X2225">
        <v>4</v>
      </c>
      <c r="Y2225" t="s">
        <v>18758</v>
      </c>
      <c r="Z2225" t="s">
        <v>24230</v>
      </c>
      <c r="AA2225">
        <v>0.69790313174640417</v>
      </c>
      <c r="AB2225" t="str">
        <f>HYPERLINK("Melting_Curves/meltCurve_P41440_SLC19A1.pdf", "Melting_Curves/meltCurve_P41440_SLC19A1.pdf")</f>
        <v>Melting_Curves/meltCurve_P41440_SLC19A1.pdf</v>
      </c>
    </row>
    <row r="2226" spans="1:28" x14ac:dyDescent="0.25">
      <c r="A2226" t="s">
        <v>2230</v>
      </c>
      <c r="B2226">
        <v>0.99299721793515405</v>
      </c>
      <c r="C2226">
        <v>0.95560525467886603</v>
      </c>
      <c r="D2226">
        <v>0.88733600798183498</v>
      </c>
      <c r="E2226">
        <v>0.87001273092851705</v>
      </c>
      <c r="F2226">
        <v>0.76596067223118203</v>
      </c>
      <c r="G2226">
        <v>0.57101891906011704</v>
      </c>
      <c r="H2226">
        <v>0.60392477483968099</v>
      </c>
      <c r="I2226">
        <v>0.63043549213683203</v>
      </c>
      <c r="J2226">
        <v>0.64633590146229203</v>
      </c>
      <c r="K2226">
        <v>0.42545765838408101</v>
      </c>
      <c r="L2226">
        <v>495.86602938291702</v>
      </c>
      <c r="M2226">
        <v>9.9573652039001495</v>
      </c>
      <c r="O2226">
        <v>47.9152892660112</v>
      </c>
      <c r="P2226">
        <v>-2.6030208398243999E-2</v>
      </c>
      <c r="Q2226">
        <v>0.49921345504751902</v>
      </c>
      <c r="R2226">
        <v>0.88443444557746098</v>
      </c>
      <c r="S2226" t="s">
        <v>7777</v>
      </c>
      <c r="T2226" t="s">
        <v>11100</v>
      </c>
      <c r="U2226" t="s">
        <v>11100</v>
      </c>
      <c r="V2226" t="s">
        <v>11100</v>
      </c>
      <c r="W2226" t="s">
        <v>13286</v>
      </c>
      <c r="X2226">
        <v>10</v>
      </c>
      <c r="Y2226" t="s">
        <v>18759</v>
      </c>
      <c r="Z2226" t="s">
        <v>24231</v>
      </c>
      <c r="AA2226">
        <v>0.7302623593761981</v>
      </c>
      <c r="AB2226" t="str">
        <f>HYPERLINK("Melting_Curves/meltCurve_P41567_EIF1.pdf", "Melting_Curves/meltCurve_P41567_EIF1.pdf")</f>
        <v>Melting_Curves/meltCurve_P41567_EIF1.pdf</v>
      </c>
    </row>
    <row r="2227" spans="1:28" x14ac:dyDescent="0.25">
      <c r="A2227" t="s">
        <v>2231</v>
      </c>
      <c r="B2227">
        <v>0.99299721793515405</v>
      </c>
      <c r="C2227">
        <v>1.0697928508157699</v>
      </c>
      <c r="D2227">
        <v>0.964256142029292</v>
      </c>
      <c r="E2227">
        <v>1.0107354701795099</v>
      </c>
      <c r="F2227">
        <v>0.82278066256612004</v>
      </c>
      <c r="G2227">
        <v>0.61123965050542195</v>
      </c>
      <c r="H2227">
        <v>0.27928064506779798</v>
      </c>
      <c r="I2227">
        <v>0.225269831465784</v>
      </c>
      <c r="J2227">
        <v>0.21116967800888001</v>
      </c>
      <c r="K2227">
        <v>0.16353697387391999</v>
      </c>
      <c r="L2227">
        <v>1248.23557954533</v>
      </c>
      <c r="M2227">
        <v>23.2557148747931</v>
      </c>
      <c r="N2227">
        <v>54.641042105727898</v>
      </c>
      <c r="O2227">
        <v>53.2822166367826</v>
      </c>
      <c r="P2227">
        <v>-9.0715169782773705E-2</v>
      </c>
      <c r="Q2227">
        <v>0.16864862234738201</v>
      </c>
      <c r="R2227">
        <v>0.99029266376672098</v>
      </c>
      <c r="S2227" t="s">
        <v>7778</v>
      </c>
      <c r="T2227" t="s">
        <v>11100</v>
      </c>
      <c r="U2227" t="s">
        <v>11100</v>
      </c>
      <c r="V2227" t="s">
        <v>11100</v>
      </c>
      <c r="W2227" t="s">
        <v>13287</v>
      </c>
      <c r="X2227">
        <v>8</v>
      </c>
      <c r="Y2227" t="s">
        <v>18760</v>
      </c>
      <c r="Z2227" t="s">
        <v>24232</v>
      </c>
      <c r="AA2227">
        <v>0.63892008754460716</v>
      </c>
      <c r="AB2227" t="str">
        <f>HYPERLINK("Melting_Curves/meltCurve_P41743_PRKCI.pdf", "Melting_Curves/meltCurve_P41743_PRKCI.pdf")</f>
        <v>Melting_Curves/meltCurve_P41743_PRKCI.pdf</v>
      </c>
    </row>
    <row r="2228" spans="1:28" x14ac:dyDescent="0.25">
      <c r="A2228" t="s">
        <v>2232</v>
      </c>
      <c r="B2228">
        <v>0.99299721793515405</v>
      </c>
      <c r="C2228">
        <v>0.91089812949454996</v>
      </c>
      <c r="D2228">
        <v>0.78430645710067004</v>
      </c>
      <c r="E2228">
        <v>0.65544354078910005</v>
      </c>
      <c r="F2228">
        <v>0.72508229492645604</v>
      </c>
      <c r="G2228">
        <v>0.390490916662733</v>
      </c>
      <c r="H2228">
        <v>0.56632589032592595</v>
      </c>
      <c r="I2228">
        <v>0.74225427894857798</v>
      </c>
      <c r="J2228">
        <v>0.83337505704564796</v>
      </c>
      <c r="K2228">
        <v>0.50046209765280902</v>
      </c>
      <c r="L2228">
        <v>940.13706209061399</v>
      </c>
      <c r="M2228">
        <v>22.229283339871898</v>
      </c>
      <c r="O2228">
        <v>41.954931687244603</v>
      </c>
      <c r="P2228">
        <v>-5.0008002239301901E-2</v>
      </c>
      <c r="Q2228">
        <v>0.62247330264338296</v>
      </c>
      <c r="R2228">
        <v>0.54862589171008302</v>
      </c>
      <c r="S2228" t="s">
        <v>7779</v>
      </c>
      <c r="T2228" t="s">
        <v>11100</v>
      </c>
      <c r="U2228" t="s">
        <v>11100</v>
      </c>
      <c r="V2228" t="s">
        <v>11100</v>
      </c>
      <c r="W2228" t="s">
        <v>13288</v>
      </c>
      <c r="X2228">
        <v>3</v>
      </c>
      <c r="Y2228" t="s">
        <v>18761</v>
      </c>
      <c r="Z2228" t="s">
        <v>24233</v>
      </c>
      <c r="AA2228">
        <v>0.69340167322358182</v>
      </c>
      <c r="AB2228" t="str">
        <f>HYPERLINK("Melting_Curves/meltCurve_P42126_2_ECI1.pdf", "Melting_Curves/meltCurve_P42126_2_ECI1.pdf")</f>
        <v>Melting_Curves/meltCurve_P42126_2_ECI1.pdf</v>
      </c>
    </row>
    <row r="2229" spans="1:28" x14ac:dyDescent="0.25">
      <c r="A2229" t="s">
        <v>2233</v>
      </c>
      <c r="B2229">
        <v>0.99299721793515405</v>
      </c>
      <c r="C2229">
        <v>1.0071650521322499</v>
      </c>
      <c r="D2229">
        <v>0.97131133599938901</v>
      </c>
      <c r="E2229">
        <v>0.82273430588662</v>
      </c>
      <c r="F2229">
        <v>0.88080477102842003</v>
      </c>
      <c r="G2229">
        <v>0.49963108939830397</v>
      </c>
      <c r="H2229">
        <v>0.43914208444873098</v>
      </c>
      <c r="I2229">
        <v>0.38656982088616398</v>
      </c>
      <c r="J2229">
        <v>0.363705523098384</v>
      </c>
      <c r="K2229">
        <v>0.28593631629197802</v>
      </c>
      <c r="L2229">
        <v>828.43661908915306</v>
      </c>
      <c r="M2229">
        <v>15.809395536579</v>
      </c>
      <c r="N2229">
        <v>55.5508932413818</v>
      </c>
      <c r="O2229">
        <v>51.584604459165497</v>
      </c>
      <c r="P2229">
        <v>-5.3947225359367197E-2</v>
      </c>
      <c r="Q2229">
        <v>0.29595853093651497</v>
      </c>
      <c r="R2229">
        <v>0.96128912427089197</v>
      </c>
      <c r="S2229" t="s">
        <v>7780</v>
      </c>
      <c r="T2229" t="s">
        <v>11100</v>
      </c>
      <c r="U2229" t="s">
        <v>11100</v>
      </c>
      <c r="V2229" t="s">
        <v>11100</v>
      </c>
      <c r="W2229" t="s">
        <v>13289</v>
      </c>
      <c r="X2229">
        <v>27</v>
      </c>
      <c r="Y2229" t="s">
        <v>18762</v>
      </c>
      <c r="Z2229" t="s">
        <v>24234</v>
      </c>
      <c r="AA2229">
        <v>0.66978488748106246</v>
      </c>
      <c r="AB2229" t="str">
        <f>HYPERLINK("Melting_Curves/meltCurve_P42166_TMPO.pdf", "Melting_Curves/meltCurve_P42166_TMPO.pdf")</f>
        <v>Melting_Curves/meltCurve_P42166_TMPO.pdf</v>
      </c>
    </row>
    <row r="2230" spans="1:28" x14ac:dyDescent="0.25">
      <c r="A2230" t="s">
        <v>2234</v>
      </c>
      <c r="B2230">
        <v>0.99299721793515405</v>
      </c>
      <c r="C2230">
        <v>1.0125104372853599</v>
      </c>
      <c r="D2230">
        <v>0.97112859058775203</v>
      </c>
      <c r="E2230">
        <v>0.81279015294225598</v>
      </c>
      <c r="F2230">
        <v>0.78433701947853596</v>
      </c>
      <c r="G2230">
        <v>0.63948178691502799</v>
      </c>
      <c r="H2230">
        <v>0.59087073211118801</v>
      </c>
      <c r="I2230">
        <v>0.52274987752654001</v>
      </c>
      <c r="J2230">
        <v>0.497446086876144</v>
      </c>
      <c r="K2230">
        <v>0.39785495883919297</v>
      </c>
      <c r="L2230">
        <v>486.45705403109798</v>
      </c>
      <c r="M2230">
        <v>9.0986563087173398</v>
      </c>
      <c r="N2230">
        <v>61.518809239082401</v>
      </c>
      <c r="O2230">
        <v>51.071895927144801</v>
      </c>
      <c r="P2230">
        <v>-2.9056114547645399E-2</v>
      </c>
      <c r="Q2230">
        <v>0.34807190703643598</v>
      </c>
      <c r="R2230">
        <v>0.97881238096557099</v>
      </c>
      <c r="S2230" t="s">
        <v>7781</v>
      </c>
      <c r="T2230" t="s">
        <v>11100</v>
      </c>
      <c r="U2230" t="s">
        <v>11100</v>
      </c>
      <c r="V2230" t="s">
        <v>11100</v>
      </c>
      <c r="W2230" t="s">
        <v>13290</v>
      </c>
      <c r="X2230">
        <v>27</v>
      </c>
      <c r="Y2230" t="s">
        <v>18762</v>
      </c>
      <c r="Z2230" t="s">
        <v>24235</v>
      </c>
      <c r="AA2230">
        <v>0.71880500835484085</v>
      </c>
      <c r="AB2230" t="str">
        <f>HYPERLINK("Melting_Curves/meltCurve_P42167_TMPO.pdf", "Melting_Curves/meltCurve_P42167_TMPO.pdf")</f>
        <v>Melting_Curves/meltCurve_P42167_TMPO.pdf</v>
      </c>
    </row>
    <row r="2231" spans="1:28" x14ac:dyDescent="0.25">
      <c r="A2231" t="s">
        <v>2235</v>
      </c>
      <c r="B2231">
        <v>0.99299721793515405</v>
      </c>
      <c r="C2231">
        <v>1.0848853035163599</v>
      </c>
      <c r="D2231">
        <v>0.92919461965391703</v>
      </c>
      <c r="E2231">
        <v>0.92121604775397403</v>
      </c>
      <c r="F2231">
        <v>0.46868259134792301</v>
      </c>
      <c r="G2231">
        <v>0.248722496117595</v>
      </c>
      <c r="H2231">
        <v>0.186688205935994</v>
      </c>
      <c r="I2231">
        <v>0.15596447370215799</v>
      </c>
      <c r="J2231">
        <v>0.11704043696836</v>
      </c>
      <c r="K2231">
        <v>8.4158642113678794E-2</v>
      </c>
      <c r="L2231">
        <v>1395.1443445600901</v>
      </c>
      <c r="M2231">
        <v>28.1024794103609</v>
      </c>
      <c r="N2231">
        <v>50.193830058234397</v>
      </c>
      <c r="O2231">
        <v>49.395542094460801</v>
      </c>
      <c r="P2231">
        <v>-0.123415502795524</v>
      </c>
      <c r="Q2231">
        <v>0.13230091050471099</v>
      </c>
      <c r="R2231">
        <v>0.98796519751964096</v>
      </c>
      <c r="S2231" t="s">
        <v>7782</v>
      </c>
      <c r="T2231" t="s">
        <v>11100</v>
      </c>
      <c r="U2231" t="s">
        <v>11100</v>
      </c>
      <c r="V2231" t="s">
        <v>11100</v>
      </c>
      <c r="W2231" t="s">
        <v>13291</v>
      </c>
      <c r="X2231">
        <v>20</v>
      </c>
      <c r="Y2231" t="s">
        <v>18763</v>
      </c>
      <c r="Z2231" t="s">
        <v>24236</v>
      </c>
      <c r="AA2231">
        <v>0.50405377137476626</v>
      </c>
      <c r="AB2231" t="str">
        <f>HYPERLINK("Melting_Curves/meltCurve_P42224_STAT1.pdf", "Melting_Curves/meltCurve_P42224_STAT1.pdf")</f>
        <v>Melting_Curves/meltCurve_P42224_STAT1.pdf</v>
      </c>
    </row>
    <row r="2232" spans="1:28" x14ac:dyDescent="0.25">
      <c r="A2232" t="s">
        <v>2236</v>
      </c>
      <c r="B2232">
        <v>0.99299721793515405</v>
      </c>
      <c r="C2232">
        <v>1.01639805298754</v>
      </c>
      <c r="D2232">
        <v>0.80687470222879099</v>
      </c>
      <c r="E2232">
        <v>0.72772346586707903</v>
      </c>
      <c r="F2232">
        <v>0.63416636484700195</v>
      </c>
      <c r="G2232">
        <v>0.319946424584583</v>
      </c>
      <c r="H2232">
        <v>0.21474492687143901</v>
      </c>
      <c r="I2232">
        <v>8.2789502767728895E-2</v>
      </c>
      <c r="J2232">
        <v>7.5468443857369893E-2</v>
      </c>
      <c r="K2232">
        <v>2.8284686331413799E-2</v>
      </c>
      <c r="L2232">
        <v>611.86527616054605</v>
      </c>
      <c r="M2232">
        <v>12.006539041239099</v>
      </c>
      <c r="N2232">
        <v>50.961002889878699</v>
      </c>
      <c r="O2232">
        <v>49.609058468630103</v>
      </c>
      <c r="P2232">
        <v>-6.0520334891824498E-2</v>
      </c>
      <c r="Q2232">
        <v>0</v>
      </c>
      <c r="R2232">
        <v>0.982928680584089</v>
      </c>
      <c r="S2232" t="s">
        <v>7783</v>
      </c>
      <c r="T2232" t="s">
        <v>11100</v>
      </c>
      <c r="U2232" t="s">
        <v>11100</v>
      </c>
      <c r="V2232" t="s">
        <v>11100</v>
      </c>
      <c r="W2232" t="s">
        <v>13292</v>
      </c>
      <c r="X2232">
        <v>4</v>
      </c>
      <c r="Y2232" t="s">
        <v>18764</v>
      </c>
      <c r="Z2232" t="s">
        <v>24237</v>
      </c>
      <c r="AA2232">
        <v>0.49146734988690149</v>
      </c>
      <c r="AB2232" t="str">
        <f>HYPERLINK("Melting_Curves/meltCurve_P42226_STAT6.pdf", "Melting_Curves/meltCurve_P42226_STAT6.pdf")</f>
        <v>Melting_Curves/meltCurve_P42226_STAT6.pdf</v>
      </c>
    </row>
    <row r="2233" spans="1:28" x14ac:dyDescent="0.25">
      <c r="A2233" t="s">
        <v>2237</v>
      </c>
      <c r="B2233">
        <v>0.99299721793515405</v>
      </c>
      <c r="C2233">
        <v>0.91060549828773396</v>
      </c>
      <c r="D2233">
        <v>0.91752571851315301</v>
      </c>
      <c r="E2233">
        <v>0.96602313664070905</v>
      </c>
      <c r="F2233">
        <v>1.2895138367363299</v>
      </c>
      <c r="G2233">
        <v>1.0343283453600201</v>
      </c>
      <c r="H2233">
        <v>0.45040989303676798</v>
      </c>
      <c r="I2233">
        <v>0.318213318903178</v>
      </c>
      <c r="J2233">
        <v>0.235215912665178</v>
      </c>
      <c r="K2233">
        <v>0.18310081976144801</v>
      </c>
      <c r="L2233">
        <v>9792.1373255689196</v>
      </c>
      <c r="M2233">
        <v>171.58127319838599</v>
      </c>
      <c r="N2233">
        <v>57.295472542208998</v>
      </c>
      <c r="O2233">
        <v>57.062213092015398</v>
      </c>
      <c r="P2233">
        <v>-0.56717697940456302</v>
      </c>
      <c r="Q2233">
        <v>0.245503361165511</v>
      </c>
      <c r="R2233">
        <v>0.92066065832683297</v>
      </c>
      <c r="S2233" t="s">
        <v>7784</v>
      </c>
      <c r="T2233" t="s">
        <v>11100</v>
      </c>
      <c r="U2233" t="s">
        <v>11100</v>
      </c>
      <c r="V2233" t="s">
        <v>11100</v>
      </c>
      <c r="W2233" t="s">
        <v>13293</v>
      </c>
      <c r="X2233">
        <v>26</v>
      </c>
      <c r="Y2233" t="s">
        <v>18765</v>
      </c>
      <c r="Z2233" t="s">
        <v>24238</v>
      </c>
      <c r="AA2233">
        <v>0.75042120972404436</v>
      </c>
      <c r="AB2233" t="str">
        <f>HYPERLINK("Melting_Curves/meltCurve_P42285_SKIV2L2.pdf", "Melting_Curves/meltCurve_P42285_SKIV2L2.pdf")</f>
        <v>Melting_Curves/meltCurve_P42285_SKIV2L2.pdf</v>
      </c>
    </row>
    <row r="2234" spans="1:28" x14ac:dyDescent="0.25">
      <c r="A2234" t="s">
        <v>2238</v>
      </c>
      <c r="B2234">
        <v>0.99299721793515405</v>
      </c>
      <c r="C2234">
        <v>0.94885220158654504</v>
      </c>
      <c r="D2234">
        <v>1.19108586784056</v>
      </c>
      <c r="E2234">
        <v>0.82236613866917196</v>
      </c>
      <c r="F2234">
        <v>0.60104309361841401</v>
      </c>
      <c r="G2234">
        <v>0.424986291158442</v>
      </c>
      <c r="H2234">
        <v>0.21738366307711801</v>
      </c>
      <c r="I2234">
        <v>0.16848082887082999</v>
      </c>
      <c r="J2234">
        <v>0.13603246691019799</v>
      </c>
      <c r="K2234">
        <v>8.01183068789251E-2</v>
      </c>
      <c r="L2234">
        <v>894.59186755420501</v>
      </c>
      <c r="M2234">
        <v>17.403567276489799</v>
      </c>
      <c r="N2234">
        <v>52.053596314832703</v>
      </c>
      <c r="O2234">
        <v>50.738515582741499</v>
      </c>
      <c r="P2234">
        <v>-7.7371349550998697E-2</v>
      </c>
      <c r="Q2234">
        <v>9.7774333513505896E-2</v>
      </c>
      <c r="R2234">
        <v>0.961542487536583</v>
      </c>
      <c r="S2234" t="s">
        <v>7785</v>
      </c>
      <c r="T2234" t="s">
        <v>11100</v>
      </c>
      <c r="U2234" t="s">
        <v>11100</v>
      </c>
      <c r="V2234" t="s">
        <v>11100</v>
      </c>
      <c r="W2234" t="s">
        <v>13294</v>
      </c>
      <c r="X2234">
        <v>7</v>
      </c>
      <c r="Y2234" t="s">
        <v>18766</v>
      </c>
      <c r="Z2234" t="s">
        <v>24239</v>
      </c>
      <c r="AA2234">
        <v>0.54550443411460092</v>
      </c>
      <c r="AB2234" t="str">
        <f>HYPERLINK("Melting_Curves/meltCurve_P42330_AKR1C3.pdf", "Melting_Curves/meltCurve_P42330_AKR1C3.pdf")</f>
        <v>Melting_Curves/meltCurve_P42330_AKR1C3.pdf</v>
      </c>
    </row>
    <row r="2235" spans="1:28" x14ac:dyDescent="0.25">
      <c r="A2235" t="s">
        <v>2239</v>
      </c>
      <c r="B2235">
        <v>0.99299721793515405</v>
      </c>
      <c r="C2235">
        <v>0.81615935234151704</v>
      </c>
      <c r="D2235">
        <v>1.0312065075440999</v>
      </c>
      <c r="E2235">
        <v>0.71108197739692103</v>
      </c>
      <c r="F2235">
        <v>0.60360935279897299</v>
      </c>
      <c r="G2235">
        <v>0.32661847738525102</v>
      </c>
      <c r="H2235">
        <v>0.213791179858556</v>
      </c>
      <c r="I2235">
        <v>0.21806840280811099</v>
      </c>
      <c r="J2235">
        <v>0.17977401078865299</v>
      </c>
      <c r="K2235">
        <v>0.161845546020673</v>
      </c>
      <c r="L2235">
        <v>738.94212181585203</v>
      </c>
      <c r="M2235">
        <v>14.841339409360501</v>
      </c>
      <c r="N2235">
        <v>50.935992917465597</v>
      </c>
      <c r="O2235">
        <v>48.911724390360099</v>
      </c>
      <c r="P2235">
        <v>-6.5093009719026707E-2</v>
      </c>
      <c r="Q2235">
        <v>0.141997653757057</v>
      </c>
      <c r="R2235">
        <v>0.95614167646342596</v>
      </c>
      <c r="S2235" t="s">
        <v>7786</v>
      </c>
      <c r="T2235" t="s">
        <v>11100</v>
      </c>
      <c r="U2235" t="s">
        <v>11100</v>
      </c>
      <c r="V2235" t="s">
        <v>11100</v>
      </c>
      <c r="W2235" t="s">
        <v>13295</v>
      </c>
      <c r="X2235">
        <v>1</v>
      </c>
      <c r="Y2235" t="s">
        <v>18767</v>
      </c>
      <c r="Z2235" t="s">
        <v>24240</v>
      </c>
      <c r="AA2235">
        <v>0.52611530796845041</v>
      </c>
      <c r="AB2235" t="str">
        <f>HYPERLINK("Melting_Curves/meltCurve_P42336_PIK3CA.pdf", "Melting_Curves/meltCurve_P42336_PIK3CA.pdf")</f>
        <v>Melting_Curves/meltCurve_P42336_PIK3CA.pdf</v>
      </c>
    </row>
    <row r="2236" spans="1:28" x14ac:dyDescent="0.25">
      <c r="A2236" t="s">
        <v>2240</v>
      </c>
      <c r="B2236">
        <v>0.99299721793515405</v>
      </c>
      <c r="C2236">
        <v>0.97146342261560603</v>
      </c>
      <c r="D2236">
        <v>0.93380258355531398</v>
      </c>
      <c r="E2236">
        <v>0.76708502007421697</v>
      </c>
      <c r="F2236">
        <v>0.67590481337336294</v>
      </c>
      <c r="G2236">
        <v>0.37044145514382898</v>
      </c>
      <c r="H2236">
        <v>0.18868503541232201</v>
      </c>
      <c r="I2236">
        <v>0.19315151215514101</v>
      </c>
      <c r="J2236">
        <v>0.14766873924634799</v>
      </c>
      <c r="K2236">
        <v>0.14120673692837399</v>
      </c>
      <c r="L2236">
        <v>744.66405997010202</v>
      </c>
      <c r="M2236">
        <v>14.601367884828001</v>
      </c>
      <c r="N2236">
        <v>51.781082299111098</v>
      </c>
      <c r="O2236">
        <v>50.071651372726201</v>
      </c>
      <c r="P2236">
        <v>-6.5700739435648303E-2</v>
      </c>
      <c r="Q2236">
        <v>9.8885744906538203E-2</v>
      </c>
      <c r="R2236">
        <v>0.98941888981389003</v>
      </c>
      <c r="S2236" t="s">
        <v>7787</v>
      </c>
      <c r="T2236" t="s">
        <v>11100</v>
      </c>
      <c r="U2236" t="s">
        <v>11100</v>
      </c>
      <c r="V2236" t="s">
        <v>11100</v>
      </c>
      <c r="W2236" t="s">
        <v>13296</v>
      </c>
      <c r="X2236">
        <v>13</v>
      </c>
      <c r="Y2236" t="s">
        <v>18768</v>
      </c>
      <c r="Z2236" t="s">
        <v>24241</v>
      </c>
      <c r="AA2236">
        <v>0.53817714365169167</v>
      </c>
      <c r="AB2236" t="str">
        <f>HYPERLINK("Melting_Curves/meltCurve_P42345_MTOR.pdf", "Melting_Curves/meltCurve_P42345_MTOR.pdf")</f>
        <v>Melting_Curves/meltCurve_P42345_MTOR.pdf</v>
      </c>
    </row>
    <row r="2237" spans="1:28" x14ac:dyDescent="0.25">
      <c r="A2237" t="s">
        <v>2241</v>
      </c>
      <c r="B2237">
        <v>0.99299721793515405</v>
      </c>
      <c r="C2237">
        <v>0.97457708521070396</v>
      </c>
      <c r="D2237">
        <v>1.0247959833315501</v>
      </c>
      <c r="E2237">
        <v>0.88931206312222599</v>
      </c>
      <c r="F2237">
        <v>0.78528192177553602</v>
      </c>
      <c r="G2237">
        <v>0.64085762489958198</v>
      </c>
      <c r="H2237">
        <v>0.59571514343909204</v>
      </c>
      <c r="I2237">
        <v>0.68595568265834395</v>
      </c>
      <c r="J2237">
        <v>0.74380731890898899</v>
      </c>
      <c r="K2237">
        <v>0.83462528327070196</v>
      </c>
      <c r="L2237">
        <v>1589.60732878919</v>
      </c>
      <c r="M2237">
        <v>33.352381146809101</v>
      </c>
      <c r="O2237">
        <v>47.490619929358303</v>
      </c>
      <c r="P2237">
        <v>-5.1961120051957903E-2</v>
      </c>
      <c r="Q2237">
        <v>0.704050476751925</v>
      </c>
      <c r="R2237">
        <v>0.81259929804100495</v>
      </c>
      <c r="S2237" t="s">
        <v>7788</v>
      </c>
      <c r="T2237" t="s">
        <v>11100</v>
      </c>
      <c r="U2237" t="s">
        <v>11100</v>
      </c>
      <c r="V2237" t="s">
        <v>11100</v>
      </c>
      <c r="W2237" t="s">
        <v>13297</v>
      </c>
      <c r="X2237">
        <v>15</v>
      </c>
      <c r="Y2237" t="s">
        <v>18769</v>
      </c>
      <c r="Z2237" t="s">
        <v>24242</v>
      </c>
      <c r="AA2237">
        <v>0.81062777793259344</v>
      </c>
      <c r="AB2237" t="str">
        <f>HYPERLINK("Melting_Curves/meltCurve_P42574_CASP3.pdf", "Melting_Curves/meltCurve_P42574_CASP3.pdf")</f>
        <v>Melting_Curves/meltCurve_P42574_CASP3.pdf</v>
      </c>
    </row>
    <row r="2238" spans="1:28" x14ac:dyDescent="0.25">
      <c r="A2238" t="s">
        <v>2242</v>
      </c>
      <c r="B2238">
        <v>0.99299721793515405</v>
      </c>
      <c r="C2238">
        <v>1.0508436965471399</v>
      </c>
      <c r="D2238">
        <v>0.94436781199111797</v>
      </c>
      <c r="E2238">
        <v>0.96233540597700395</v>
      </c>
      <c r="F2238">
        <v>0.68134046751258703</v>
      </c>
      <c r="G2238">
        <v>0.290593289317151</v>
      </c>
      <c r="H2238">
        <v>0.21348583463016599</v>
      </c>
      <c r="I2238">
        <v>0.142440269772978</v>
      </c>
      <c r="J2238">
        <v>0.17922321944852601</v>
      </c>
      <c r="K2238">
        <v>9.0251243161763597E-2</v>
      </c>
      <c r="L2238">
        <v>1469.02801097823</v>
      </c>
      <c r="M2238">
        <v>28.746205430074401</v>
      </c>
      <c r="N2238">
        <v>51.701948509051199</v>
      </c>
      <c r="O2238">
        <v>50.857963469906998</v>
      </c>
      <c r="P2238">
        <v>-0.12130585922932199</v>
      </c>
      <c r="Q2238">
        <v>0.141546095770546</v>
      </c>
      <c r="R2238">
        <v>0.99251836240152702</v>
      </c>
      <c r="S2238" t="s">
        <v>7789</v>
      </c>
      <c r="T2238" t="s">
        <v>11100</v>
      </c>
      <c r="U2238" t="s">
        <v>11100</v>
      </c>
      <c r="V2238" t="s">
        <v>11100</v>
      </c>
      <c r="W2238" t="s">
        <v>13298</v>
      </c>
      <c r="X2238">
        <v>7</v>
      </c>
      <c r="Y2238" t="s">
        <v>18770</v>
      </c>
      <c r="Z2238" t="s">
        <v>24243</v>
      </c>
      <c r="AA2238">
        <v>0.55093398038098618</v>
      </c>
      <c r="AB2238" t="str">
        <f>HYPERLINK("Melting_Curves/meltCurve_P42575_CASP2.pdf", "Melting_Curves/meltCurve_P42575_CASP2.pdf")</f>
        <v>Melting_Curves/meltCurve_P42575_CASP2.pdf</v>
      </c>
    </row>
    <row r="2239" spans="1:28" x14ac:dyDescent="0.25">
      <c r="A2239" t="s">
        <v>2243</v>
      </c>
      <c r="B2239">
        <v>0.99299721793515405</v>
      </c>
      <c r="C2239">
        <v>0.97841817207381798</v>
      </c>
      <c r="D2239">
        <v>0.8754800170282</v>
      </c>
      <c r="E2239">
        <v>0.79513409186608897</v>
      </c>
      <c r="F2239">
        <v>0.55345929775387503</v>
      </c>
      <c r="G2239">
        <v>0.32868748821440602</v>
      </c>
      <c r="H2239">
        <v>0.358323496195179</v>
      </c>
      <c r="I2239">
        <v>0.306258365410365</v>
      </c>
      <c r="J2239">
        <v>0.27438143997793202</v>
      </c>
      <c r="K2239">
        <v>0.232353398539456</v>
      </c>
      <c r="L2239">
        <v>771.65670444075101</v>
      </c>
      <c r="M2239">
        <v>15.8117877563622</v>
      </c>
      <c r="N2239">
        <v>51.061560290507003</v>
      </c>
      <c r="O2239">
        <v>48.042020800304897</v>
      </c>
      <c r="P2239">
        <v>-6.1585352050727099E-2</v>
      </c>
      <c r="Q2239">
        <v>0.25158578245035401</v>
      </c>
      <c r="R2239">
        <v>0.98764981079819603</v>
      </c>
      <c r="S2239" t="s">
        <v>7790</v>
      </c>
      <c r="T2239" t="s">
        <v>11100</v>
      </c>
      <c r="U2239" t="s">
        <v>11100</v>
      </c>
      <c r="V2239" t="s">
        <v>11100</v>
      </c>
      <c r="W2239" t="s">
        <v>13299</v>
      </c>
      <c r="X2239">
        <v>3</v>
      </c>
      <c r="Y2239" t="s">
        <v>18771</v>
      </c>
      <c r="Z2239" t="s">
        <v>24244</v>
      </c>
      <c r="AA2239">
        <v>0.56088469789606354</v>
      </c>
      <c r="AB2239" t="str">
        <f>HYPERLINK("Melting_Curves/meltCurve_P42677_RPS27.pdf", "Melting_Curves/meltCurve_P42677_RPS27.pdf")</f>
        <v>Melting_Curves/meltCurve_P42677_RPS27.pdf</v>
      </c>
    </row>
    <row r="2240" spans="1:28" x14ac:dyDescent="0.25">
      <c r="A2240" t="s">
        <v>2244</v>
      </c>
      <c r="B2240">
        <v>0.99299721793515405</v>
      </c>
      <c r="C2240">
        <v>0.871954570790751</v>
      </c>
      <c r="D2240">
        <v>0.95916708746795398</v>
      </c>
      <c r="E2240">
        <v>0.81153672562874002</v>
      </c>
      <c r="F2240">
        <v>0.401677294117948</v>
      </c>
      <c r="G2240">
        <v>0.187192848056419</v>
      </c>
      <c r="H2240">
        <v>0.12629505375632699</v>
      </c>
      <c r="I2240">
        <v>0.12722355214266801</v>
      </c>
      <c r="J2240">
        <v>0.124540564853157</v>
      </c>
      <c r="K2240">
        <v>0.11783556798762999</v>
      </c>
      <c r="L2240">
        <v>1271.78615075426</v>
      </c>
      <c r="M2240">
        <v>26.0586862057934</v>
      </c>
      <c r="N2240">
        <v>49.309736194048803</v>
      </c>
      <c r="O2240">
        <v>48.5199969573465</v>
      </c>
      <c r="P2240">
        <v>-0.118542954837647</v>
      </c>
      <c r="Q2240">
        <v>0.117125375610586</v>
      </c>
      <c r="R2240">
        <v>0.98798422100930094</v>
      </c>
      <c r="S2240" t="s">
        <v>7791</v>
      </c>
      <c r="T2240" t="s">
        <v>11100</v>
      </c>
      <c r="U2240" t="s">
        <v>11100</v>
      </c>
      <c r="V2240" t="s">
        <v>11100</v>
      </c>
      <c r="W2240" t="s">
        <v>13300</v>
      </c>
      <c r="X2240">
        <v>3</v>
      </c>
      <c r="Y2240" t="s">
        <v>18772</v>
      </c>
      <c r="Z2240" t="s">
        <v>24245</v>
      </c>
      <c r="AA2240">
        <v>0.47154319344808882</v>
      </c>
      <c r="AB2240" t="str">
        <f>HYPERLINK("Melting_Curves/meltCurve_P42684_6_ABL2.pdf", "Melting_Curves/meltCurve_P42684_6_ABL2.pdf")</f>
        <v>Melting_Curves/meltCurve_P42684_6_ABL2.pdf</v>
      </c>
    </row>
    <row r="2241" spans="1:28" x14ac:dyDescent="0.25">
      <c r="A2241" t="s">
        <v>2245</v>
      </c>
      <c r="B2241">
        <v>0.99299721793515405</v>
      </c>
      <c r="C2241">
        <v>1.0185664157254399</v>
      </c>
      <c r="D2241">
        <v>0.60175838605778298</v>
      </c>
      <c r="E2241">
        <v>0.77871424829377101</v>
      </c>
      <c r="F2241">
        <v>0.78463579060536703</v>
      </c>
      <c r="G2241">
        <v>0.44566451271048102</v>
      </c>
      <c r="H2241">
        <v>0.29264223666742301</v>
      </c>
      <c r="I2241">
        <v>0.34948459336440701</v>
      </c>
      <c r="J2241">
        <v>0.31440011740430601</v>
      </c>
      <c r="K2241">
        <v>7.7598164155416705E-2</v>
      </c>
      <c r="L2241">
        <v>384.79385401572</v>
      </c>
      <c r="M2241">
        <v>7.1903488416760597</v>
      </c>
      <c r="N2241">
        <v>53.5153248437366</v>
      </c>
      <c r="O2241">
        <v>49.840376859322099</v>
      </c>
      <c r="P2241">
        <v>-3.61274922122507E-2</v>
      </c>
      <c r="Q2241">
        <v>0</v>
      </c>
      <c r="R2241">
        <v>0.85275736633458699</v>
      </c>
      <c r="S2241" t="s">
        <v>7792</v>
      </c>
      <c r="T2241" t="s">
        <v>11100</v>
      </c>
      <c r="U2241" t="s">
        <v>11100</v>
      </c>
      <c r="V2241" t="s">
        <v>11100</v>
      </c>
      <c r="W2241" t="s">
        <v>13301</v>
      </c>
      <c r="X2241">
        <v>1</v>
      </c>
      <c r="Y2241" t="s">
        <v>18773</v>
      </c>
      <c r="Z2241" t="s">
        <v>24246</v>
      </c>
      <c r="AA2241">
        <v>0.56688288131689835</v>
      </c>
      <c r="AB2241" t="str">
        <f>HYPERLINK("Melting_Curves/meltCurve_P42695_NCAPD3.pdf", "Melting_Curves/meltCurve_P42695_NCAPD3.pdf")</f>
        <v>Melting_Curves/meltCurve_P42695_NCAPD3.pdf</v>
      </c>
    </row>
    <row r="2242" spans="1:28" x14ac:dyDescent="0.25">
      <c r="A2242" t="s">
        <v>2246</v>
      </c>
      <c r="B2242">
        <v>0.99299721793515405</v>
      </c>
      <c r="C2242">
        <v>0.90312576382296805</v>
      </c>
      <c r="D2242">
        <v>1.0191102245079</v>
      </c>
      <c r="E2242">
        <v>0.90837725993149998</v>
      </c>
      <c r="F2242">
        <v>0.69480421788331503</v>
      </c>
      <c r="G2242">
        <v>0.836891568982987</v>
      </c>
      <c r="H2242">
        <v>0.50608747870733395</v>
      </c>
      <c r="I2242">
        <v>0.44288209485480801</v>
      </c>
      <c r="J2242">
        <v>0.40184228364817098</v>
      </c>
      <c r="K2242">
        <v>0.348442607161564</v>
      </c>
      <c r="L2242">
        <v>493.39503160475198</v>
      </c>
      <c r="M2242">
        <v>8.61513692934912</v>
      </c>
      <c r="N2242">
        <v>59.726219424721997</v>
      </c>
      <c r="O2242">
        <v>54.435597932659299</v>
      </c>
      <c r="P2242">
        <v>-3.36941400434159E-2</v>
      </c>
      <c r="Q2242">
        <v>0.14912976011955101</v>
      </c>
      <c r="R2242">
        <v>0.91927735136122202</v>
      </c>
      <c r="S2242" t="s">
        <v>7793</v>
      </c>
      <c r="T2242" t="s">
        <v>11100</v>
      </c>
      <c r="U2242" t="s">
        <v>11100</v>
      </c>
      <c r="V2242" t="s">
        <v>11100</v>
      </c>
      <c r="W2242" t="s">
        <v>13302</v>
      </c>
      <c r="X2242">
        <v>1</v>
      </c>
      <c r="Y2242" t="s">
        <v>18774</v>
      </c>
      <c r="Z2242" t="s">
        <v>24247</v>
      </c>
      <c r="AA2242">
        <v>0.715896137684922</v>
      </c>
      <c r="AB2242" t="str">
        <f>HYPERLINK("Melting_Curves/meltCurve_P42702_LIFR.pdf", "Melting_Curves/meltCurve_P42702_LIFR.pdf")</f>
        <v>Melting_Curves/meltCurve_P42702_LIFR.pdf</v>
      </c>
    </row>
    <row r="2243" spans="1:28" x14ac:dyDescent="0.25">
      <c r="A2243" t="s">
        <v>2247</v>
      </c>
      <c r="B2243">
        <v>0.99299721793515405</v>
      </c>
      <c r="C2243">
        <v>1.03913042199407</v>
      </c>
      <c r="D2243">
        <v>1.07657379640767</v>
      </c>
      <c r="E2243">
        <v>0.95209941363907802</v>
      </c>
      <c r="F2243">
        <v>0.43471377274032802</v>
      </c>
      <c r="G2243">
        <v>0.195748410068876</v>
      </c>
      <c r="H2243">
        <v>0.136015563180447</v>
      </c>
      <c r="I2243">
        <v>0.1158613376439</v>
      </c>
      <c r="J2243">
        <v>0.100790452236073</v>
      </c>
      <c r="K2243">
        <v>7.7960697599806894E-2</v>
      </c>
      <c r="L2243">
        <v>1967.0549849426</v>
      </c>
      <c r="M2243">
        <v>39.687924876304798</v>
      </c>
      <c r="N2243">
        <v>49.8920356707537</v>
      </c>
      <c r="O2243">
        <v>49.437724840921497</v>
      </c>
      <c r="P2243">
        <v>-0.177591494801739</v>
      </c>
      <c r="Q2243">
        <v>0.115126236860821</v>
      </c>
      <c r="R2243">
        <v>0.99324990195197105</v>
      </c>
      <c r="S2243" t="s">
        <v>7794</v>
      </c>
      <c r="T2243" t="s">
        <v>11100</v>
      </c>
      <c r="U2243" t="s">
        <v>11100</v>
      </c>
      <c r="V2243" t="s">
        <v>11100</v>
      </c>
      <c r="W2243" t="s">
        <v>13303</v>
      </c>
      <c r="X2243">
        <v>50</v>
      </c>
      <c r="Y2243" t="s">
        <v>18775</v>
      </c>
      <c r="Z2243" t="s">
        <v>24248</v>
      </c>
      <c r="AA2243">
        <v>0.48876200017968752</v>
      </c>
      <c r="AB2243" t="str">
        <f>HYPERLINK("Melting_Curves/meltCurve_P42704_LRPPRC.pdf", "Melting_Curves/meltCurve_P42704_LRPPRC.pdf")</f>
        <v>Melting_Curves/meltCurve_P42704_LRPPRC.pdf</v>
      </c>
    </row>
    <row r="2244" spans="1:28" x14ac:dyDescent="0.25">
      <c r="A2244" t="s">
        <v>2248</v>
      </c>
      <c r="B2244">
        <v>0.99299721793515405</v>
      </c>
      <c r="C2244">
        <v>0.94917291304793405</v>
      </c>
      <c r="D2244">
        <v>1.061845410783</v>
      </c>
      <c r="E2244">
        <v>0.919531639472979</v>
      </c>
      <c r="F2244">
        <v>0.83027972916964998</v>
      </c>
      <c r="G2244">
        <v>0.73510736419620204</v>
      </c>
      <c r="H2244">
        <v>0.74616951541936705</v>
      </c>
      <c r="I2244">
        <v>0.85578615182752704</v>
      </c>
      <c r="J2244">
        <v>0.92031456104272003</v>
      </c>
      <c r="K2244">
        <v>0.78220863377970296</v>
      </c>
      <c r="L2244">
        <v>3430.8773561623698</v>
      </c>
      <c r="M2244">
        <v>73.309392032135705</v>
      </c>
      <c r="O2244">
        <v>46.765178600221503</v>
      </c>
      <c r="P2244">
        <v>-7.3928346583363294E-2</v>
      </c>
      <c r="Q2244">
        <v>0.81135995002720196</v>
      </c>
      <c r="R2244">
        <v>0.70032483835025505</v>
      </c>
      <c r="S2244" t="s">
        <v>7795</v>
      </c>
      <c r="T2244" t="s">
        <v>11100</v>
      </c>
      <c r="U2244" t="s">
        <v>11100</v>
      </c>
      <c r="V2244" t="s">
        <v>11100</v>
      </c>
      <c r="W2244" t="s">
        <v>13304</v>
      </c>
      <c r="X2244">
        <v>15</v>
      </c>
      <c r="Y2244" t="s">
        <v>18776</v>
      </c>
      <c r="Z2244" t="s">
        <v>24249</v>
      </c>
      <c r="AA2244">
        <v>0.87316278734434438</v>
      </c>
      <c r="AB2244" t="str">
        <f>HYPERLINK("Melting_Curves/meltCurve_P42765_ACAA2.pdf", "Melting_Curves/meltCurve_P42765_ACAA2.pdf")</f>
        <v>Melting_Curves/meltCurve_P42765_ACAA2.pdf</v>
      </c>
    </row>
    <row r="2245" spans="1:28" x14ac:dyDescent="0.25">
      <c r="A2245" t="s">
        <v>2249</v>
      </c>
      <c r="B2245">
        <v>0.99299721793515405</v>
      </c>
      <c r="C2245">
        <v>0.99466422952390998</v>
      </c>
      <c r="D2245">
        <v>1.0905827883097801</v>
      </c>
      <c r="E2245">
        <v>0.93525524997530496</v>
      </c>
      <c r="F2245">
        <v>0.68560124800356403</v>
      </c>
      <c r="G2245">
        <v>0.51394821743560704</v>
      </c>
      <c r="H2245">
        <v>0.35411021235128798</v>
      </c>
      <c r="I2245">
        <v>0.273817174199043</v>
      </c>
      <c r="J2245">
        <v>0.22937769778813999</v>
      </c>
      <c r="K2245">
        <v>0.154070124858771</v>
      </c>
      <c r="L2245">
        <v>867.57583808736899</v>
      </c>
      <c r="M2245">
        <v>16.524248436324999</v>
      </c>
      <c r="N2245">
        <v>53.9116690487797</v>
      </c>
      <c r="O2245">
        <v>51.752327127715297</v>
      </c>
      <c r="P2245">
        <v>-6.5835171883995097E-2</v>
      </c>
      <c r="Q2245">
        <v>0.17529976374176601</v>
      </c>
      <c r="R2245">
        <v>0.98404432016180998</v>
      </c>
      <c r="S2245" t="s">
        <v>7796</v>
      </c>
      <c r="T2245" t="s">
        <v>11100</v>
      </c>
      <c r="U2245" t="s">
        <v>11100</v>
      </c>
      <c r="V2245" t="s">
        <v>11100</v>
      </c>
      <c r="W2245" t="s">
        <v>13305</v>
      </c>
      <c r="X2245">
        <v>13</v>
      </c>
      <c r="Y2245" t="s">
        <v>18777</v>
      </c>
      <c r="Z2245" t="s">
        <v>24250</v>
      </c>
      <c r="AA2245">
        <v>0.61516400603977417</v>
      </c>
      <c r="AB2245" t="str">
        <f>HYPERLINK("Melting_Curves/meltCurve_P42771_CDKN2A.pdf", "Melting_Curves/meltCurve_P42771_CDKN2A.pdf")</f>
        <v>Melting_Curves/meltCurve_P42771_CDKN2A.pdf</v>
      </c>
    </row>
    <row r="2246" spans="1:28" x14ac:dyDescent="0.25">
      <c r="A2246" t="s">
        <v>2250</v>
      </c>
      <c r="B2246">
        <v>0.99299721793515405</v>
      </c>
      <c r="C2246">
        <v>0.82101157393447399</v>
      </c>
      <c r="D2246">
        <v>1.17475256124868</v>
      </c>
      <c r="E2246">
        <v>0.807910882807098</v>
      </c>
      <c r="F2246">
        <v>0.63060637325636604</v>
      </c>
      <c r="G2246">
        <v>0.71603087869487803</v>
      </c>
      <c r="H2246">
        <v>0.403674068643049</v>
      </c>
      <c r="I2246">
        <v>0.35181396078309202</v>
      </c>
      <c r="J2246">
        <v>0.27479233395626901</v>
      </c>
      <c r="K2246">
        <v>0.258720221593632</v>
      </c>
      <c r="L2246">
        <v>560.44040895110902</v>
      </c>
      <c r="M2246">
        <v>10.3416295750209</v>
      </c>
      <c r="N2246">
        <v>56.031476315808902</v>
      </c>
      <c r="O2246">
        <v>52.283726231309203</v>
      </c>
      <c r="P2246">
        <v>-4.23520448447939E-2</v>
      </c>
      <c r="Q2246">
        <v>0.143896671556346</v>
      </c>
      <c r="R2246">
        <v>0.87530241687216503</v>
      </c>
      <c r="S2246" t="s">
        <v>7797</v>
      </c>
      <c r="T2246" t="s">
        <v>11100</v>
      </c>
      <c r="U2246" t="s">
        <v>11100</v>
      </c>
      <c r="V2246" t="s">
        <v>11100</v>
      </c>
      <c r="W2246" t="s">
        <v>13306</v>
      </c>
      <c r="X2246">
        <v>7</v>
      </c>
      <c r="Y2246" t="s">
        <v>18778</v>
      </c>
      <c r="Z2246" t="s">
        <v>24251</v>
      </c>
      <c r="AA2246">
        <v>0.64895161774833632</v>
      </c>
      <c r="AB2246" t="str">
        <f>HYPERLINK("Melting_Curves/meltCurve_P42773_CDKN2C.pdf", "Melting_Curves/meltCurve_P42773_CDKN2C.pdf")</f>
        <v>Melting_Curves/meltCurve_P42773_CDKN2C.pdf</v>
      </c>
    </row>
    <row r="2247" spans="1:28" x14ac:dyDescent="0.25">
      <c r="A2247" t="s">
        <v>2251</v>
      </c>
      <c r="B2247">
        <v>0.99299721793515405</v>
      </c>
      <c r="C2247">
        <v>0.97715197542274801</v>
      </c>
      <c r="D2247">
        <v>1.0373799327031501</v>
      </c>
      <c r="E2247">
        <v>0.93147750471179203</v>
      </c>
      <c r="F2247">
        <v>0.82333072836725096</v>
      </c>
      <c r="G2247">
        <v>0.758179229466726</v>
      </c>
      <c r="H2247">
        <v>0.72149850122778503</v>
      </c>
      <c r="I2247">
        <v>0.94387428931980399</v>
      </c>
      <c r="J2247">
        <v>0.86330269986880503</v>
      </c>
      <c r="K2247">
        <v>0.42148183223949398</v>
      </c>
      <c r="L2247">
        <v>318.56798977892498</v>
      </c>
      <c r="M2247">
        <v>4.1873325003389699</v>
      </c>
      <c r="O2247">
        <v>63.344658940711703</v>
      </c>
      <c r="P2247">
        <v>-1.6709199064711099E-2</v>
      </c>
      <c r="Q2247">
        <v>0</v>
      </c>
      <c r="R2247">
        <v>0.50818713049736697</v>
      </c>
      <c r="S2247" t="s">
        <v>7798</v>
      </c>
      <c r="T2247" t="s">
        <v>11100</v>
      </c>
      <c r="U2247" t="s">
        <v>11100</v>
      </c>
      <c r="V2247" t="s">
        <v>11100</v>
      </c>
      <c r="W2247" t="s">
        <v>13307</v>
      </c>
      <c r="X2247">
        <v>6</v>
      </c>
      <c r="Y2247" t="s">
        <v>18779</v>
      </c>
      <c r="Z2247" t="s">
        <v>24252</v>
      </c>
      <c r="AA2247">
        <v>0.85245219945205064</v>
      </c>
      <c r="AB2247" t="str">
        <f>HYPERLINK("Melting_Curves/meltCurve_P42785_PRCP.pdf", "Melting_Curves/meltCurve_P42785_PRCP.pdf")</f>
        <v>Melting_Curves/meltCurve_P42785_PRCP.pdf</v>
      </c>
    </row>
    <row r="2248" spans="1:28" x14ac:dyDescent="0.25">
      <c r="A2248" t="s">
        <v>2252</v>
      </c>
      <c r="B2248">
        <v>0.99299721793515405</v>
      </c>
      <c r="C2248">
        <v>0.86389123300016302</v>
      </c>
      <c r="D2248">
        <v>0.99472554646829403</v>
      </c>
      <c r="E2248">
        <v>0.91523815991656299</v>
      </c>
      <c r="F2248">
        <v>0.76408821040352704</v>
      </c>
      <c r="G2248">
        <v>0.359696166888612</v>
      </c>
      <c r="H2248">
        <v>0.22182329235617901</v>
      </c>
      <c r="I2248">
        <v>0.26020192190226299</v>
      </c>
      <c r="J2248">
        <v>0.17753539966731699</v>
      </c>
      <c r="K2248">
        <v>0.16124566296058701</v>
      </c>
      <c r="L2248">
        <v>1454.7524420218399</v>
      </c>
      <c r="M2248">
        <v>28.2282924888748</v>
      </c>
      <c r="N2248">
        <v>52.414905260014102</v>
      </c>
      <c r="O2248">
        <v>51.2787070353464</v>
      </c>
      <c r="P2248">
        <v>-0.11165863731680301</v>
      </c>
      <c r="Q2248">
        <v>0.188663226859415</v>
      </c>
      <c r="R2248">
        <v>0.97767360614780296</v>
      </c>
      <c r="S2248" t="s">
        <v>7799</v>
      </c>
      <c r="T2248" t="s">
        <v>11100</v>
      </c>
      <c r="U2248" t="s">
        <v>11100</v>
      </c>
      <c r="V2248" t="s">
        <v>11100</v>
      </c>
      <c r="W2248" t="s">
        <v>13308</v>
      </c>
      <c r="X2248">
        <v>1</v>
      </c>
      <c r="Y2248" t="s">
        <v>18780</v>
      </c>
      <c r="Z2248" t="s">
        <v>24253</v>
      </c>
      <c r="AA2248">
        <v>0.58748489855035169</v>
      </c>
      <c r="AB2248" t="str">
        <f>HYPERLINK("Melting_Curves/meltCurve_P42898_MTHFR.pdf", "Melting_Curves/meltCurve_P42898_MTHFR.pdf")</f>
        <v>Melting_Curves/meltCurve_P42898_MTHFR.pdf</v>
      </c>
    </row>
    <row r="2249" spans="1:28" x14ac:dyDescent="0.25">
      <c r="A2249" t="s">
        <v>2253</v>
      </c>
      <c r="B2249">
        <v>0.99299721793515405</v>
      </c>
      <c r="C2249">
        <v>1.0966086501787</v>
      </c>
      <c r="D2249">
        <v>1.2769705390786199</v>
      </c>
      <c r="E2249">
        <v>0.93797374062430705</v>
      </c>
      <c r="F2249">
        <v>0.92153861396543002</v>
      </c>
      <c r="G2249">
        <v>0.99571469648806998</v>
      </c>
      <c r="H2249">
        <v>0.93258317841154403</v>
      </c>
      <c r="I2249">
        <v>1.0978078300015901</v>
      </c>
      <c r="J2249">
        <v>1.0088968367972</v>
      </c>
      <c r="K2249">
        <v>1.2830221429522199</v>
      </c>
      <c r="L2249">
        <v>6050.4523327959496</v>
      </c>
      <c r="M2249">
        <v>90.570303216482401</v>
      </c>
      <c r="O2249">
        <v>66.771382574458201</v>
      </c>
      <c r="P2249">
        <v>0.169553008674456</v>
      </c>
      <c r="Q2249">
        <v>1.5</v>
      </c>
      <c r="R2249">
        <v>0.31460290836150501</v>
      </c>
      <c r="S2249" t="s">
        <v>7800</v>
      </c>
      <c r="T2249" t="s">
        <v>11100</v>
      </c>
      <c r="U2249" t="s">
        <v>11100</v>
      </c>
      <c r="V2249" t="s">
        <v>11100</v>
      </c>
      <c r="W2249" t="s">
        <v>13309</v>
      </c>
      <c r="X2249">
        <v>2</v>
      </c>
      <c r="Y2249" t="s">
        <v>18781</v>
      </c>
      <c r="Z2249" t="s">
        <v>24254</v>
      </c>
      <c r="AA2249">
        <v>1.01004743695655</v>
      </c>
      <c r="AB2249" t="str">
        <f>HYPERLINK("Melting_Curves/meltCurve_P43003_2_SLC1A3.pdf", "Melting_Curves/meltCurve_P43003_2_SLC1A3.pdf")</f>
        <v>Melting_Curves/meltCurve_P43003_2_SLC1A3.pdf</v>
      </c>
    </row>
    <row r="2250" spans="1:28" x14ac:dyDescent="0.25">
      <c r="A2250" t="s">
        <v>2254</v>
      </c>
      <c r="B2250">
        <v>0.99299721793515405</v>
      </c>
      <c r="C2250">
        <v>1.24302621542527</v>
      </c>
      <c r="D2250">
        <v>1.00769452137625</v>
      </c>
      <c r="E2250">
        <v>1.2578218314243099</v>
      </c>
      <c r="F2250">
        <v>1.0835902266478401</v>
      </c>
      <c r="G2250">
        <v>0.73029210886976303</v>
      </c>
      <c r="H2250">
        <v>1.0289084563115201</v>
      </c>
      <c r="I2250">
        <v>0.97871792263508295</v>
      </c>
      <c r="J2250">
        <v>1.2808669025103401</v>
      </c>
      <c r="K2250">
        <v>0.91623115137720701</v>
      </c>
      <c r="L2250">
        <v>15000</v>
      </c>
      <c r="M2250">
        <v>241.019453500536</v>
      </c>
      <c r="O2250">
        <v>62.2313553039805</v>
      </c>
      <c r="P2250">
        <v>9.5302146355666903E-2</v>
      </c>
      <c r="Q2250">
        <v>1.09842826602224</v>
      </c>
      <c r="R2250">
        <v>-2.8985569818013299E-2</v>
      </c>
      <c r="S2250" t="s">
        <v>7801</v>
      </c>
      <c r="T2250" t="s">
        <v>11100</v>
      </c>
      <c r="U2250" t="s">
        <v>11100</v>
      </c>
      <c r="V2250" t="s">
        <v>11100</v>
      </c>
      <c r="W2250" t="s">
        <v>13310</v>
      </c>
      <c r="X2250">
        <v>1</v>
      </c>
      <c r="Y2250" t="s">
        <v>18782</v>
      </c>
      <c r="Z2250" t="s">
        <v>24255</v>
      </c>
      <c r="AA2250">
        <v>1.0156200221594121</v>
      </c>
      <c r="AB2250" t="str">
        <f>HYPERLINK("Melting_Curves/meltCurve_P43007_SLC1A4.pdf", "Melting_Curves/meltCurve_P43007_SLC1A4.pdf")</f>
        <v>Melting_Curves/meltCurve_P43007_SLC1A4.pdf</v>
      </c>
    </row>
    <row r="2251" spans="1:28" x14ac:dyDescent="0.25">
      <c r="A2251" t="s">
        <v>2255</v>
      </c>
      <c r="B2251">
        <v>0.99299721793515405</v>
      </c>
      <c r="C2251">
        <v>1.0666112440844699</v>
      </c>
      <c r="D2251">
        <v>0.94813360346624598</v>
      </c>
      <c r="E2251">
        <v>0.90515931058614596</v>
      </c>
      <c r="F2251">
        <v>0.88186372546436698</v>
      </c>
      <c r="G2251">
        <v>0.59291042636683899</v>
      </c>
      <c r="H2251">
        <v>0.69626786169358501</v>
      </c>
      <c r="I2251">
        <v>0.76331647864986696</v>
      </c>
      <c r="J2251">
        <v>0.66141003655193997</v>
      </c>
      <c r="K2251">
        <v>0.32542954880832098</v>
      </c>
      <c r="L2251">
        <v>360.06450721412898</v>
      </c>
      <c r="M2251">
        <v>5.4423480668284396</v>
      </c>
      <c r="N2251">
        <v>66.159778043876102</v>
      </c>
      <c r="O2251">
        <v>58.826985871607</v>
      </c>
      <c r="P2251">
        <v>-2.3234323434618499E-2</v>
      </c>
      <c r="Q2251">
        <v>0</v>
      </c>
      <c r="R2251">
        <v>0.76354753831206901</v>
      </c>
      <c r="S2251" t="s">
        <v>7802</v>
      </c>
      <c r="T2251" t="s">
        <v>11100</v>
      </c>
      <c r="U2251" t="s">
        <v>11100</v>
      </c>
      <c r="V2251" t="s">
        <v>11100</v>
      </c>
      <c r="W2251" t="s">
        <v>13311</v>
      </c>
      <c r="X2251">
        <v>13</v>
      </c>
      <c r="Y2251" t="s">
        <v>18783</v>
      </c>
      <c r="Z2251" t="s">
        <v>24256</v>
      </c>
      <c r="AA2251">
        <v>0.78541794783499908</v>
      </c>
      <c r="AB2251" t="str">
        <f>HYPERLINK("Melting_Curves/meltCurve_P43034_PAFAH1B1.pdf", "Melting_Curves/meltCurve_P43034_PAFAH1B1.pdf")</f>
        <v>Melting_Curves/meltCurve_P43034_PAFAH1B1.pdf</v>
      </c>
    </row>
    <row r="2252" spans="1:28" x14ac:dyDescent="0.25">
      <c r="A2252" t="s">
        <v>2256</v>
      </c>
      <c r="B2252">
        <v>0.99299721793515405</v>
      </c>
      <c r="C2252">
        <v>1.03984902090142</v>
      </c>
      <c r="D2252">
        <v>0.87490559926477396</v>
      </c>
      <c r="E2252">
        <v>0.84213815634897904</v>
      </c>
      <c r="F2252">
        <v>0.78510183656477495</v>
      </c>
      <c r="G2252">
        <v>0.48443321222125602</v>
      </c>
      <c r="H2252">
        <v>0.60579921598161601</v>
      </c>
      <c r="I2252">
        <v>0.66572077317302303</v>
      </c>
      <c r="J2252">
        <v>0.69542613157348798</v>
      </c>
      <c r="K2252">
        <v>0.481133200253065</v>
      </c>
      <c r="L2252">
        <v>825.57438188387096</v>
      </c>
      <c r="M2252">
        <v>17.346525002044999</v>
      </c>
      <c r="O2252">
        <v>46.974066905699303</v>
      </c>
      <c r="P2252">
        <v>-3.8464371818608199E-2</v>
      </c>
      <c r="Q2252">
        <v>0.58338056770339797</v>
      </c>
      <c r="R2252">
        <v>0.81165811433159696</v>
      </c>
      <c r="S2252" t="s">
        <v>7803</v>
      </c>
      <c r="T2252" t="s">
        <v>11100</v>
      </c>
      <c r="U2252" t="s">
        <v>11100</v>
      </c>
      <c r="V2252" t="s">
        <v>11100</v>
      </c>
      <c r="W2252" t="s">
        <v>13312</v>
      </c>
      <c r="X2252">
        <v>9</v>
      </c>
      <c r="Y2252" t="s">
        <v>18784</v>
      </c>
      <c r="Z2252" t="s">
        <v>24257</v>
      </c>
      <c r="AA2252">
        <v>0.73763259459706176</v>
      </c>
      <c r="AB2252" t="str">
        <f>HYPERLINK("Melting_Curves/meltCurve_P43121_MCAM.pdf", "Melting_Curves/meltCurve_P43121_MCAM.pdf")</f>
        <v>Melting_Curves/meltCurve_P43121_MCAM.pdf</v>
      </c>
    </row>
    <row r="2253" spans="1:28" x14ac:dyDescent="0.25">
      <c r="A2253" t="s">
        <v>2257</v>
      </c>
      <c r="B2253">
        <v>0.99299721793515405</v>
      </c>
      <c r="C2253">
        <v>1.1788786607656401</v>
      </c>
      <c r="D2253">
        <v>0.90880069871785496</v>
      </c>
      <c r="E2253">
        <v>0.97333671829909396</v>
      </c>
      <c r="F2253">
        <v>0.75333492912597899</v>
      </c>
      <c r="G2253">
        <v>0.35318143071581098</v>
      </c>
      <c r="H2253">
        <v>0.33167832293039001</v>
      </c>
      <c r="I2253">
        <v>0.28533570137692998</v>
      </c>
      <c r="J2253">
        <v>0.25421335071088802</v>
      </c>
      <c r="K2253">
        <v>0.18648841806810301</v>
      </c>
      <c r="L2253">
        <v>1698.1850149347499</v>
      </c>
      <c r="M2253">
        <v>33.173087080372099</v>
      </c>
      <c r="N2253">
        <v>52.305744415946599</v>
      </c>
      <c r="O2253">
        <v>51.006699954573101</v>
      </c>
      <c r="P2253">
        <v>-0.12140235118614801</v>
      </c>
      <c r="Q2253">
        <v>0.25333383151203098</v>
      </c>
      <c r="R2253">
        <v>0.96085692377235299</v>
      </c>
      <c r="S2253" t="s">
        <v>7804</v>
      </c>
      <c r="T2253" t="s">
        <v>11100</v>
      </c>
      <c r="U2253" t="s">
        <v>11100</v>
      </c>
      <c r="V2253" t="s">
        <v>11100</v>
      </c>
      <c r="W2253" t="s">
        <v>13313</v>
      </c>
      <c r="X2253">
        <v>5</v>
      </c>
      <c r="Y2253" t="s">
        <v>18785</v>
      </c>
      <c r="Z2253" t="s">
        <v>24258</v>
      </c>
      <c r="AA2253">
        <v>0.61037768041719609</v>
      </c>
      <c r="AB2253" t="str">
        <f>HYPERLINK("Melting_Curves/meltCurve_P43155_2_CRAT.pdf", "Melting_Curves/meltCurve_P43155_2_CRAT.pdf")</f>
        <v>Melting_Curves/meltCurve_P43155_2_CRAT.pdf</v>
      </c>
    </row>
    <row r="2254" spans="1:28" x14ac:dyDescent="0.25">
      <c r="A2254" t="s">
        <v>2258</v>
      </c>
      <c r="B2254">
        <v>0.99299721793515405</v>
      </c>
      <c r="C2254">
        <v>1.02015221097261</v>
      </c>
      <c r="D2254">
        <v>1.0322886019750299</v>
      </c>
      <c r="E2254">
        <v>0.95509848233142602</v>
      </c>
      <c r="F2254">
        <v>0.78477012104101695</v>
      </c>
      <c r="G2254">
        <v>0.38880907801621101</v>
      </c>
      <c r="H2254">
        <v>0.19404757586833199</v>
      </c>
      <c r="I2254">
        <v>0.18383124154315</v>
      </c>
      <c r="J2254">
        <v>0.166301809289959</v>
      </c>
      <c r="K2254">
        <v>0.154875344151823</v>
      </c>
      <c r="L2254">
        <v>1535.07816111938</v>
      </c>
      <c r="M2254">
        <v>29.530556807581402</v>
      </c>
      <c r="N2254">
        <v>52.668424700895898</v>
      </c>
      <c r="O2254">
        <v>51.746050122351598</v>
      </c>
      <c r="P2254">
        <v>-0.119901607474952</v>
      </c>
      <c r="Q2254">
        <v>0.159596727431183</v>
      </c>
      <c r="R2254">
        <v>0.998340064106787</v>
      </c>
      <c r="S2254" t="s">
        <v>7805</v>
      </c>
      <c r="T2254" t="s">
        <v>11100</v>
      </c>
      <c r="U2254" t="s">
        <v>11100</v>
      </c>
      <c r="V2254" t="s">
        <v>11100</v>
      </c>
      <c r="W2254" t="s">
        <v>13314</v>
      </c>
      <c r="X2254">
        <v>18</v>
      </c>
      <c r="Y2254" t="s">
        <v>18786</v>
      </c>
      <c r="Z2254" t="s">
        <v>24259</v>
      </c>
      <c r="AA2254">
        <v>0.58477764642235452</v>
      </c>
      <c r="AB2254" t="str">
        <f>HYPERLINK("Melting_Curves/meltCurve_P43246_MSH2.pdf", "Melting_Curves/meltCurve_P43246_MSH2.pdf")</f>
        <v>Melting_Curves/meltCurve_P43246_MSH2.pdf</v>
      </c>
    </row>
    <row r="2255" spans="1:28" x14ac:dyDescent="0.25">
      <c r="A2255" t="s">
        <v>2259</v>
      </c>
      <c r="B2255">
        <v>0.99299721793515405</v>
      </c>
      <c r="C2255">
        <v>0.96272342420602497</v>
      </c>
      <c r="D2255">
        <v>1.1348655091201301</v>
      </c>
      <c r="E2255">
        <v>0.820691911130772</v>
      </c>
      <c r="F2255">
        <v>0.49413715393850599</v>
      </c>
      <c r="G2255">
        <v>0.24275656189096601</v>
      </c>
      <c r="H2255">
        <v>0.14953919434650201</v>
      </c>
      <c r="I2255">
        <v>0.16625317332466599</v>
      </c>
      <c r="J2255">
        <v>0.112047647196998</v>
      </c>
      <c r="K2255">
        <v>9.5056801453660994E-2</v>
      </c>
      <c r="L2255">
        <v>1254.54276617858</v>
      </c>
      <c r="M2255">
        <v>25.3039803458229</v>
      </c>
      <c r="N2255">
        <v>50.140441043901603</v>
      </c>
      <c r="O2255">
        <v>49.272330943476</v>
      </c>
      <c r="P2255">
        <v>-0.112547725973872</v>
      </c>
      <c r="Q2255">
        <v>0.12339203862296499</v>
      </c>
      <c r="R2255">
        <v>0.98203119865412003</v>
      </c>
      <c r="S2255" t="s">
        <v>7806</v>
      </c>
      <c r="T2255" t="s">
        <v>11100</v>
      </c>
      <c r="U2255" t="s">
        <v>11100</v>
      </c>
      <c r="V2255" t="s">
        <v>11100</v>
      </c>
      <c r="W2255" t="s">
        <v>13315</v>
      </c>
      <c r="X2255">
        <v>10</v>
      </c>
      <c r="Y2255" t="s">
        <v>18787</v>
      </c>
      <c r="Z2255" t="s">
        <v>24260</v>
      </c>
      <c r="AA2255">
        <v>0.49840454879049328</v>
      </c>
      <c r="AB2255" t="str">
        <f>HYPERLINK("Melting_Curves/meltCurve_P43250_2_GRK6.pdf", "Melting_Curves/meltCurve_P43250_2_GRK6.pdf")</f>
        <v>Melting_Curves/meltCurve_P43250_2_GRK6.pdf</v>
      </c>
    </row>
    <row r="2256" spans="1:28" x14ac:dyDescent="0.25">
      <c r="A2256" t="s">
        <v>2260</v>
      </c>
      <c r="B2256">
        <v>0.99299721793515405</v>
      </c>
      <c r="C2256">
        <v>0.93590087229769303</v>
      </c>
      <c r="D2256">
        <v>0.93589033402668698</v>
      </c>
      <c r="E2256">
        <v>0.85848723697623097</v>
      </c>
      <c r="F2256">
        <v>0.71923002571834704</v>
      </c>
      <c r="G2256">
        <v>0.603160914369954</v>
      </c>
      <c r="H2256">
        <v>0.65522536825245503</v>
      </c>
      <c r="I2256">
        <v>0.69635392260290296</v>
      </c>
      <c r="J2256">
        <v>0.67136683222018001</v>
      </c>
      <c r="K2256">
        <v>0.44589238524067398</v>
      </c>
      <c r="L2256">
        <v>559.63937939888399</v>
      </c>
      <c r="M2256">
        <v>11.5694857526119</v>
      </c>
      <c r="O2256">
        <v>46.994595149100803</v>
      </c>
      <c r="P2256">
        <v>-2.6620690598139901E-2</v>
      </c>
      <c r="Q2256">
        <v>0.56759312746814305</v>
      </c>
      <c r="R2256">
        <v>0.84694548762213795</v>
      </c>
      <c r="S2256" t="s">
        <v>7807</v>
      </c>
      <c r="T2256" t="s">
        <v>11100</v>
      </c>
      <c r="U2256" t="s">
        <v>11100</v>
      </c>
      <c r="V2256" t="s">
        <v>11100</v>
      </c>
      <c r="W2256" t="s">
        <v>13316</v>
      </c>
      <c r="X2256">
        <v>23</v>
      </c>
      <c r="Y2256" t="s">
        <v>18788</v>
      </c>
      <c r="Z2256" t="s">
        <v>24261</v>
      </c>
      <c r="AA2256">
        <v>0.7454847941932603</v>
      </c>
      <c r="AB2256" t="str">
        <f>HYPERLINK("Melting_Curves/meltCurve_P43304_GPD2.pdf", "Melting_Curves/meltCurve_P43304_GPD2.pdf")</f>
        <v>Melting_Curves/meltCurve_P43304_GPD2.pdf</v>
      </c>
    </row>
    <row r="2257" spans="1:28" x14ac:dyDescent="0.25">
      <c r="A2257" t="s">
        <v>2261</v>
      </c>
      <c r="B2257">
        <v>0.99299721793515405</v>
      </c>
      <c r="C2257">
        <v>0.96835209120718602</v>
      </c>
      <c r="D2257">
        <v>0.89099315317035799</v>
      </c>
      <c r="E2257">
        <v>0.85481471079107096</v>
      </c>
      <c r="F2257">
        <v>0.41522671020107199</v>
      </c>
      <c r="G2257">
        <v>0.22800248375968499</v>
      </c>
      <c r="H2257">
        <v>0.191333682743526</v>
      </c>
      <c r="I2257">
        <v>0.133527425562425</v>
      </c>
      <c r="J2257">
        <v>0.11720529835200599</v>
      </c>
      <c r="K2257">
        <v>0.10559910327034901</v>
      </c>
      <c r="L2257">
        <v>1171.9158935268899</v>
      </c>
      <c r="M2257">
        <v>23.8877068099765</v>
      </c>
      <c r="N2257">
        <v>49.660118204030198</v>
      </c>
      <c r="O2257">
        <v>48.719435804096697</v>
      </c>
      <c r="P2257">
        <v>-0.107198082021889</v>
      </c>
      <c r="Q2257">
        <v>0.12548391699174899</v>
      </c>
      <c r="R2257">
        <v>0.99060731018454895</v>
      </c>
      <c r="S2257" t="s">
        <v>7808</v>
      </c>
      <c r="T2257" t="s">
        <v>11100</v>
      </c>
      <c r="U2257" t="s">
        <v>11100</v>
      </c>
      <c r="V2257" t="s">
        <v>11100</v>
      </c>
      <c r="W2257" t="s">
        <v>13317</v>
      </c>
      <c r="X2257">
        <v>5</v>
      </c>
      <c r="Y2257" t="s">
        <v>18789</v>
      </c>
      <c r="Z2257" t="s">
        <v>24262</v>
      </c>
      <c r="AA2257">
        <v>0.48527924795527883</v>
      </c>
      <c r="AB2257" t="str">
        <f>HYPERLINK("Melting_Curves/meltCurve_P43378_PTPN9.pdf", "Melting_Curves/meltCurve_P43378_PTPN9.pdf")</f>
        <v>Melting_Curves/meltCurve_P43378_PTPN9.pdf</v>
      </c>
    </row>
    <row r="2258" spans="1:28" x14ac:dyDescent="0.25">
      <c r="A2258" t="s">
        <v>2262</v>
      </c>
      <c r="B2258">
        <v>0.99299721793515405</v>
      </c>
      <c r="C2258">
        <v>1.01076955320371</v>
      </c>
      <c r="D2258">
        <v>0.77870741580314096</v>
      </c>
      <c r="E2258">
        <v>0.855851376134806</v>
      </c>
      <c r="F2258">
        <v>0.55613085317301003</v>
      </c>
      <c r="G2258">
        <v>0.158316023310965</v>
      </c>
      <c r="H2258">
        <v>0.19311538598302899</v>
      </c>
      <c r="I2258">
        <v>0.190210852439502</v>
      </c>
      <c r="J2258">
        <v>0.120760309364725</v>
      </c>
      <c r="K2258">
        <v>9.1579377457344693E-2</v>
      </c>
      <c r="L2258">
        <v>990.77518857381301</v>
      </c>
      <c r="M2258">
        <v>19.962818666736599</v>
      </c>
      <c r="N2258">
        <v>50.260108171860601</v>
      </c>
      <c r="O2258">
        <v>49.141042155753603</v>
      </c>
      <c r="P2258">
        <v>-9.0334835992240403E-2</v>
      </c>
      <c r="Q2258">
        <v>0.11054595821256701</v>
      </c>
      <c r="R2258">
        <v>0.95878974043870002</v>
      </c>
      <c r="S2258" t="s">
        <v>7809</v>
      </c>
      <c r="T2258" t="s">
        <v>11100</v>
      </c>
      <c r="U2258" t="s">
        <v>11100</v>
      </c>
      <c r="V2258" t="s">
        <v>11100</v>
      </c>
      <c r="W2258" t="s">
        <v>13318</v>
      </c>
      <c r="X2258">
        <v>2</v>
      </c>
      <c r="Y2258" t="s">
        <v>18790</v>
      </c>
      <c r="Z2258" t="s">
        <v>24263</v>
      </c>
      <c r="AA2258">
        <v>0.49679641207164671</v>
      </c>
      <c r="AB2258" t="str">
        <f>HYPERLINK("Melting_Curves/meltCurve_P43405_2_SYK.pdf", "Melting_Curves/meltCurve_P43405_2_SYK.pdf")</f>
        <v>Melting_Curves/meltCurve_P43405_2_SYK.pdf</v>
      </c>
    </row>
    <row r="2259" spans="1:28" x14ac:dyDescent="0.25">
      <c r="A2259" t="s">
        <v>2263</v>
      </c>
      <c r="B2259">
        <v>0.99299721793515405</v>
      </c>
      <c r="C2259">
        <v>1.0126797830282701</v>
      </c>
      <c r="D2259">
        <v>0.97989333923162103</v>
      </c>
      <c r="E2259">
        <v>0.948595861952653</v>
      </c>
      <c r="F2259">
        <v>0.789386423650278</v>
      </c>
      <c r="G2259">
        <v>0.465203184354543</v>
      </c>
      <c r="H2259">
        <v>0.37599110166710897</v>
      </c>
      <c r="I2259">
        <v>0.42517837601935599</v>
      </c>
      <c r="J2259">
        <v>0.45688721266846</v>
      </c>
      <c r="K2259">
        <v>0.312067201131422</v>
      </c>
      <c r="L2259">
        <v>1819.9264733043401</v>
      </c>
      <c r="M2259">
        <v>35.674316331355598</v>
      </c>
      <c r="N2259">
        <v>53.252884856391702</v>
      </c>
      <c r="O2259">
        <v>50.855518212465597</v>
      </c>
      <c r="P2259">
        <v>-0.107267818930292</v>
      </c>
      <c r="Q2259">
        <v>0.388339372541047</v>
      </c>
      <c r="R2259">
        <v>0.98190601453498705</v>
      </c>
      <c r="S2259" t="s">
        <v>7810</v>
      </c>
      <c r="T2259" t="s">
        <v>11100</v>
      </c>
      <c r="U2259" t="s">
        <v>11100</v>
      </c>
      <c r="V2259" t="s">
        <v>11100</v>
      </c>
      <c r="W2259" t="s">
        <v>13319</v>
      </c>
      <c r="X2259">
        <v>15</v>
      </c>
      <c r="Y2259" t="s">
        <v>18791</v>
      </c>
      <c r="Z2259" t="s">
        <v>24264</v>
      </c>
      <c r="AA2259">
        <v>0.67679530906197227</v>
      </c>
      <c r="AB2259" t="str">
        <f>HYPERLINK("Melting_Curves/meltCurve_P43487_RANBP1.pdf", "Melting_Curves/meltCurve_P43487_RANBP1.pdf")</f>
        <v>Melting_Curves/meltCurve_P43487_RANBP1.pdf</v>
      </c>
    </row>
    <row r="2260" spans="1:28" x14ac:dyDescent="0.25">
      <c r="A2260" t="s">
        <v>2264</v>
      </c>
      <c r="B2260">
        <v>0.99299721793515405</v>
      </c>
      <c r="C2260">
        <v>1.1589401511813699</v>
      </c>
      <c r="D2260">
        <v>1.0360969598043199</v>
      </c>
      <c r="E2260">
        <v>1.0191845779288</v>
      </c>
      <c r="F2260">
        <v>0.82075218012231799</v>
      </c>
      <c r="G2260">
        <v>0.85471352831994496</v>
      </c>
      <c r="H2260">
        <v>0.75857493847383795</v>
      </c>
      <c r="I2260">
        <v>0.64960649338544096</v>
      </c>
      <c r="J2260">
        <v>0.17285019804086299</v>
      </c>
      <c r="K2260">
        <v>0.120172671212826</v>
      </c>
      <c r="L2260">
        <v>1217.9205414319299</v>
      </c>
      <c r="M2260">
        <v>19.942112464716601</v>
      </c>
      <c r="N2260">
        <v>61.072795014998</v>
      </c>
      <c r="O2260">
        <v>60.468600817869401</v>
      </c>
      <c r="P2260">
        <v>-8.24509039149698E-2</v>
      </c>
      <c r="Q2260">
        <v>0</v>
      </c>
      <c r="R2260">
        <v>0.91647229736162605</v>
      </c>
      <c r="S2260" t="s">
        <v>7811</v>
      </c>
      <c r="T2260" t="s">
        <v>11100</v>
      </c>
      <c r="U2260" t="s">
        <v>11100</v>
      </c>
      <c r="V2260" t="s">
        <v>11100</v>
      </c>
      <c r="W2260" t="s">
        <v>13320</v>
      </c>
      <c r="X2260">
        <v>25</v>
      </c>
      <c r="Y2260" t="s">
        <v>18792</v>
      </c>
      <c r="Z2260" t="s">
        <v>24265</v>
      </c>
      <c r="AA2260">
        <v>0.79776118462017276</v>
      </c>
      <c r="AB2260" t="str">
        <f>HYPERLINK("Melting_Curves/meltCurve_P43490_NAMPT.pdf", "Melting_Curves/meltCurve_P43490_NAMPT.pdf")</f>
        <v>Melting_Curves/meltCurve_P43490_NAMPT.pdf</v>
      </c>
    </row>
    <row r="2261" spans="1:28" x14ac:dyDescent="0.25">
      <c r="A2261" t="s">
        <v>2265</v>
      </c>
      <c r="B2261">
        <v>0.99299721793515405</v>
      </c>
      <c r="C2261">
        <v>0.90640248374134702</v>
      </c>
      <c r="D2261">
        <v>0.91241792986821801</v>
      </c>
      <c r="E2261">
        <v>0.72425804891310797</v>
      </c>
      <c r="F2261">
        <v>0.60796870280928195</v>
      </c>
      <c r="G2261">
        <v>0.64489418875606896</v>
      </c>
      <c r="H2261">
        <v>0.50365225424517901</v>
      </c>
      <c r="I2261">
        <v>0.225856280215467</v>
      </c>
      <c r="J2261">
        <v>0.143074180353463</v>
      </c>
      <c r="K2261">
        <v>0.15053209364793099</v>
      </c>
      <c r="L2261">
        <v>445.60098530938598</v>
      </c>
      <c r="M2261">
        <v>8.1913782634543306</v>
      </c>
      <c r="N2261">
        <v>54.398788232339399</v>
      </c>
      <c r="O2261">
        <v>51.445202609894302</v>
      </c>
      <c r="P2261">
        <v>-3.9847541189506099E-2</v>
      </c>
      <c r="Q2261">
        <v>0</v>
      </c>
      <c r="R2261">
        <v>0.94617070030579997</v>
      </c>
      <c r="S2261" t="s">
        <v>7812</v>
      </c>
      <c r="T2261" t="s">
        <v>11100</v>
      </c>
      <c r="U2261" t="s">
        <v>11100</v>
      </c>
      <c r="V2261" t="s">
        <v>11100</v>
      </c>
      <c r="W2261" t="s">
        <v>13321</v>
      </c>
      <c r="X2261">
        <v>13</v>
      </c>
      <c r="Y2261" t="s">
        <v>18793</v>
      </c>
      <c r="Z2261" t="s">
        <v>24266</v>
      </c>
      <c r="AA2261">
        <v>0.5920753499232525</v>
      </c>
      <c r="AB2261" t="str">
        <f>HYPERLINK("Melting_Curves/meltCurve_P43686_PSMC4.pdf", "Melting_Curves/meltCurve_P43686_PSMC4.pdf")</f>
        <v>Melting_Curves/meltCurve_P43686_PSMC4.pdf</v>
      </c>
    </row>
    <row r="2262" spans="1:28" x14ac:dyDescent="0.25">
      <c r="A2262" t="s">
        <v>2266</v>
      </c>
      <c r="B2262">
        <v>0.99299721793515405</v>
      </c>
      <c r="C2262">
        <v>0.97185253815801897</v>
      </c>
      <c r="D2262">
        <v>0.95812576355884504</v>
      </c>
      <c r="E2262">
        <v>0.75168111323440001</v>
      </c>
      <c r="F2262">
        <v>0.477423281404393</v>
      </c>
      <c r="G2262">
        <v>0.19216164463514701</v>
      </c>
      <c r="H2262">
        <v>0.13233866560638699</v>
      </c>
      <c r="I2262">
        <v>0.116199815003829</v>
      </c>
      <c r="J2262">
        <v>0.104431018963855</v>
      </c>
      <c r="K2262">
        <v>9.1230142926449903E-2</v>
      </c>
      <c r="L2262">
        <v>984.05169510042299</v>
      </c>
      <c r="M2262">
        <v>20.032186941772999</v>
      </c>
      <c r="N2262">
        <v>49.602791356306298</v>
      </c>
      <c r="O2262">
        <v>48.641855758342302</v>
      </c>
      <c r="P2262">
        <v>-9.3901861811905504E-2</v>
      </c>
      <c r="Q2262">
        <v>8.7985198205146595E-2</v>
      </c>
      <c r="R2262">
        <v>0.997992899637414</v>
      </c>
      <c r="S2262" t="s">
        <v>7813</v>
      </c>
      <c r="T2262" t="s">
        <v>11100</v>
      </c>
      <c r="U2262" t="s">
        <v>11100</v>
      </c>
      <c r="V2262" t="s">
        <v>11100</v>
      </c>
      <c r="W2262" t="s">
        <v>13322</v>
      </c>
      <c r="X2262">
        <v>15</v>
      </c>
      <c r="Y2262" t="s">
        <v>18794</v>
      </c>
      <c r="Z2262" t="s">
        <v>24267</v>
      </c>
      <c r="AA2262">
        <v>0.46852882026666681</v>
      </c>
      <c r="AB2262" t="str">
        <f>HYPERLINK("Melting_Curves/meltCurve_P43897_TSFM.pdf", "Melting_Curves/meltCurve_P43897_TSFM.pdf")</f>
        <v>Melting_Curves/meltCurve_P43897_TSFM.pdf</v>
      </c>
    </row>
    <row r="2263" spans="1:28" x14ac:dyDescent="0.25">
      <c r="A2263" t="s">
        <v>2267</v>
      </c>
      <c r="B2263">
        <v>0.99299721793515405</v>
      </c>
      <c r="C2263">
        <v>1.0232793692311499</v>
      </c>
      <c r="D2263">
        <v>0.90391765920640299</v>
      </c>
      <c r="E2263">
        <v>0.88256834688574204</v>
      </c>
      <c r="F2263">
        <v>0.67970611699775596</v>
      </c>
      <c r="G2263">
        <v>0.595407165631195</v>
      </c>
      <c r="H2263">
        <v>0.60742177156349497</v>
      </c>
      <c r="I2263">
        <v>0.67222451999793298</v>
      </c>
      <c r="J2263">
        <v>0.68418394356053003</v>
      </c>
      <c r="K2263">
        <v>0.70874381451766799</v>
      </c>
      <c r="L2263">
        <v>1555.83740733473</v>
      </c>
      <c r="M2263">
        <v>32.994581093321699</v>
      </c>
      <c r="O2263">
        <v>46.982126092141698</v>
      </c>
      <c r="P2263">
        <v>-6.1217071038254897E-2</v>
      </c>
      <c r="Q2263">
        <v>0.65132513300862704</v>
      </c>
      <c r="R2263">
        <v>0.91855781533936498</v>
      </c>
      <c r="S2263" t="s">
        <v>7814</v>
      </c>
      <c r="T2263" t="s">
        <v>11100</v>
      </c>
      <c r="U2263" t="s">
        <v>11100</v>
      </c>
      <c r="V2263" t="s">
        <v>11100</v>
      </c>
      <c r="W2263" t="s">
        <v>13323</v>
      </c>
      <c r="X2263">
        <v>19</v>
      </c>
      <c r="Y2263" t="s">
        <v>18795</v>
      </c>
      <c r="Z2263" t="s">
        <v>24268</v>
      </c>
      <c r="AA2263">
        <v>0.77102070782929699</v>
      </c>
      <c r="AB2263" t="str">
        <f>HYPERLINK("Melting_Curves/meltCurve_P45880_VDAC2.pdf", "Melting_Curves/meltCurve_P45880_VDAC2.pdf")</f>
        <v>Melting_Curves/meltCurve_P45880_VDAC2.pdf</v>
      </c>
    </row>
    <row r="2264" spans="1:28" x14ac:dyDescent="0.25">
      <c r="A2264" t="s">
        <v>2268</v>
      </c>
      <c r="B2264">
        <v>0.99299721793515405</v>
      </c>
      <c r="C2264">
        <v>0.98553230147654003</v>
      </c>
      <c r="D2264">
        <v>0.76146127883413295</v>
      </c>
      <c r="E2264">
        <v>0.706773192332108</v>
      </c>
      <c r="F2264">
        <v>0.58996452791126697</v>
      </c>
      <c r="G2264">
        <v>0.44930231775155199</v>
      </c>
      <c r="H2264">
        <v>0.50876460611737095</v>
      </c>
      <c r="I2264">
        <v>0.403834439891887</v>
      </c>
      <c r="J2264">
        <v>0.40705082325530501</v>
      </c>
      <c r="K2264">
        <v>0.41241158077786499</v>
      </c>
      <c r="L2264">
        <v>565.364074061005</v>
      </c>
      <c r="M2264">
        <v>12.2028523478275</v>
      </c>
      <c r="N2264">
        <v>53.2648843164719</v>
      </c>
      <c r="O2264">
        <v>45.138927980215797</v>
      </c>
      <c r="P2264">
        <v>-4.0702092502175803E-2</v>
      </c>
      <c r="Q2264">
        <v>0.39789982662177298</v>
      </c>
      <c r="R2264">
        <v>0.96734694252323905</v>
      </c>
      <c r="S2264" t="s">
        <v>7815</v>
      </c>
      <c r="T2264" t="s">
        <v>11100</v>
      </c>
      <c r="U2264" t="s">
        <v>11100</v>
      </c>
      <c r="V2264" t="s">
        <v>11100</v>
      </c>
      <c r="W2264" t="s">
        <v>13324</v>
      </c>
      <c r="X2264">
        <v>19</v>
      </c>
      <c r="Y2264" t="s">
        <v>18795</v>
      </c>
      <c r="Z2264" t="s">
        <v>24269</v>
      </c>
      <c r="AA2264">
        <v>0.60503085283327251</v>
      </c>
      <c r="AB2264" t="str">
        <f>HYPERLINK("Melting_Curves/meltCurve_P45880_2_VDAC2.pdf", "Melting_Curves/meltCurve_P45880_2_VDAC2.pdf")</f>
        <v>Melting_Curves/meltCurve_P45880_2_VDAC2.pdf</v>
      </c>
    </row>
    <row r="2265" spans="1:28" x14ac:dyDescent="0.25">
      <c r="A2265" t="s">
        <v>2269</v>
      </c>
      <c r="B2265">
        <v>0.99299721793515405</v>
      </c>
      <c r="C2265">
        <v>1.04381067436273</v>
      </c>
      <c r="D2265">
        <v>0.90663374249080098</v>
      </c>
      <c r="E2265">
        <v>0.88509984268125297</v>
      </c>
      <c r="F2265">
        <v>0.773306928247669</v>
      </c>
      <c r="G2265">
        <v>0.70471718150523499</v>
      </c>
      <c r="H2265">
        <v>0.45788991385660899</v>
      </c>
      <c r="I2265">
        <v>0.33089973715915499</v>
      </c>
      <c r="J2265">
        <v>0.25395078246370001</v>
      </c>
      <c r="K2265">
        <v>0.174205020806773</v>
      </c>
      <c r="L2265">
        <v>568.50899280110104</v>
      </c>
      <c r="M2265">
        <v>9.9798074978358695</v>
      </c>
      <c r="N2265">
        <v>56.965941324378399</v>
      </c>
      <c r="O2265">
        <v>54.820291169116501</v>
      </c>
      <c r="P2265">
        <v>-4.5533775204872499E-2</v>
      </c>
      <c r="Q2265">
        <v>0</v>
      </c>
      <c r="R2265">
        <v>0.98745424192821996</v>
      </c>
      <c r="S2265" t="s">
        <v>7816</v>
      </c>
      <c r="T2265" t="s">
        <v>11100</v>
      </c>
      <c r="U2265" t="s">
        <v>11100</v>
      </c>
      <c r="V2265" t="s">
        <v>11100</v>
      </c>
      <c r="W2265" t="s">
        <v>13325</v>
      </c>
      <c r="X2265">
        <v>11</v>
      </c>
      <c r="Y2265" t="s">
        <v>18796</v>
      </c>
      <c r="Z2265" t="s">
        <v>24270</v>
      </c>
      <c r="AA2265">
        <v>0.66486891873857135</v>
      </c>
      <c r="AB2265" t="str">
        <f>HYPERLINK("Melting_Curves/meltCurve_P45954_ACADSB.pdf", "Melting_Curves/meltCurve_P45954_ACADSB.pdf")</f>
        <v>Melting_Curves/meltCurve_P45954_ACADSB.pdf</v>
      </c>
    </row>
    <row r="2266" spans="1:28" x14ac:dyDescent="0.25">
      <c r="A2266" t="s">
        <v>2270</v>
      </c>
      <c r="B2266">
        <v>0.99299721793515405</v>
      </c>
      <c r="C2266">
        <v>1.0243868027752501</v>
      </c>
      <c r="D2266">
        <v>0.99506330680460697</v>
      </c>
      <c r="E2266">
        <v>1.01318092304577</v>
      </c>
      <c r="F2266">
        <v>0.74270301230063396</v>
      </c>
      <c r="G2266">
        <v>0.342865320021078</v>
      </c>
      <c r="H2266">
        <v>0.18913362617931001</v>
      </c>
      <c r="I2266">
        <v>0.16295862820746601</v>
      </c>
      <c r="J2266">
        <v>0.14681515956441901</v>
      </c>
      <c r="K2266">
        <v>0.115515825869587</v>
      </c>
      <c r="L2266">
        <v>1588.27721064825</v>
      </c>
      <c r="M2266">
        <v>30.723144482788801</v>
      </c>
      <c r="N2266">
        <v>52.260788123885398</v>
      </c>
      <c r="O2266">
        <v>51.478901766671001</v>
      </c>
      <c r="P2266">
        <v>-0.128139769574348</v>
      </c>
      <c r="Q2266">
        <v>0.14117442460638799</v>
      </c>
      <c r="R2266">
        <v>0.99768693414770504</v>
      </c>
      <c r="S2266" t="s">
        <v>7817</v>
      </c>
      <c r="T2266" t="s">
        <v>11100</v>
      </c>
      <c r="U2266" t="s">
        <v>11100</v>
      </c>
      <c r="V2266" t="s">
        <v>11100</v>
      </c>
      <c r="W2266" t="s">
        <v>13326</v>
      </c>
      <c r="X2266">
        <v>11</v>
      </c>
      <c r="Y2266" t="s">
        <v>18797</v>
      </c>
      <c r="Z2266" t="s">
        <v>24271</v>
      </c>
      <c r="AA2266">
        <v>0.56705394182401314</v>
      </c>
      <c r="AB2266" t="str">
        <f>HYPERLINK("Melting_Curves/meltCurve_P45973_CBX5.pdf", "Melting_Curves/meltCurve_P45973_CBX5.pdf")</f>
        <v>Melting_Curves/meltCurve_P45973_CBX5.pdf</v>
      </c>
    </row>
    <row r="2267" spans="1:28" x14ac:dyDescent="0.25">
      <c r="A2267" t="s">
        <v>2271</v>
      </c>
      <c r="B2267">
        <v>0.99299721793515405</v>
      </c>
      <c r="C2267">
        <v>0.98837055462589696</v>
      </c>
      <c r="D2267">
        <v>0.94523331135698396</v>
      </c>
      <c r="E2267">
        <v>0.86738282622284801</v>
      </c>
      <c r="F2267">
        <v>0.74834890262822895</v>
      </c>
      <c r="G2267">
        <v>0.55032777864568305</v>
      </c>
      <c r="H2267">
        <v>0.37857652548813903</v>
      </c>
      <c r="I2267">
        <v>0.22775445402163499</v>
      </c>
      <c r="J2267">
        <v>0.161347026065051</v>
      </c>
      <c r="K2267">
        <v>0.13636042110961699</v>
      </c>
      <c r="L2267">
        <v>627.20697941225603</v>
      </c>
      <c r="M2267">
        <v>11.496297887964101</v>
      </c>
      <c r="N2267">
        <v>54.737030538770099</v>
      </c>
      <c r="O2267">
        <v>52.984843326049202</v>
      </c>
      <c r="P2267">
        <v>-5.3253726545019302E-2</v>
      </c>
      <c r="Q2267">
        <v>1.85231267974174E-2</v>
      </c>
      <c r="R2267">
        <v>0.99912013359201701</v>
      </c>
      <c r="S2267" t="s">
        <v>7818</v>
      </c>
      <c r="T2267" t="s">
        <v>11100</v>
      </c>
      <c r="U2267" t="s">
        <v>11100</v>
      </c>
      <c r="V2267" t="s">
        <v>11100</v>
      </c>
      <c r="W2267" t="s">
        <v>13327</v>
      </c>
      <c r="X2267">
        <v>46</v>
      </c>
      <c r="Y2267" t="s">
        <v>18798</v>
      </c>
      <c r="Z2267" t="s">
        <v>24272</v>
      </c>
      <c r="AA2267">
        <v>0.60842360381648342</v>
      </c>
      <c r="AB2267" t="str">
        <f>HYPERLINK("Melting_Curves/meltCurve_P45974_2_USP5.pdf", "Melting_Curves/meltCurve_P45974_2_USP5.pdf")</f>
        <v>Melting_Curves/meltCurve_P45974_2_USP5.pdf</v>
      </c>
    </row>
    <row r="2268" spans="1:28" x14ac:dyDescent="0.25">
      <c r="A2268" t="s">
        <v>2272</v>
      </c>
      <c r="B2268">
        <v>0.99299721793515405</v>
      </c>
      <c r="C2268">
        <v>1.43435823902918</v>
      </c>
      <c r="D2268">
        <v>3.2378203148703402</v>
      </c>
      <c r="E2268">
        <v>1.7596826097577101</v>
      </c>
      <c r="F2268">
        <v>0.75394209512708399</v>
      </c>
      <c r="G2268">
        <v>0.54095976815269597</v>
      </c>
      <c r="H2268">
        <v>0.30292421511302398</v>
      </c>
      <c r="I2268">
        <v>0.31203776734955502</v>
      </c>
      <c r="J2268">
        <v>0.29588564406478002</v>
      </c>
      <c r="K2268">
        <v>0.17620317174594399</v>
      </c>
      <c r="L2268">
        <v>1886.6922293851301</v>
      </c>
      <c r="M2268">
        <v>35.827701062388499</v>
      </c>
      <c r="N2268">
        <v>53.792792015410797</v>
      </c>
      <c r="O2268">
        <v>52.496902677421701</v>
      </c>
      <c r="P2268">
        <v>-0.12543069113326399</v>
      </c>
      <c r="Q2268">
        <v>0.26484799589706898</v>
      </c>
      <c r="R2268">
        <v>0.28848273381425499</v>
      </c>
      <c r="S2268" t="s">
        <v>7819</v>
      </c>
      <c r="T2268" t="s">
        <v>11100</v>
      </c>
      <c r="U2268" t="s">
        <v>11100</v>
      </c>
      <c r="V2268" t="s">
        <v>11100</v>
      </c>
      <c r="W2268" t="s">
        <v>13328</v>
      </c>
      <c r="X2268">
        <v>7</v>
      </c>
      <c r="Y2268" t="s">
        <v>18799</v>
      </c>
      <c r="Z2268" t="s">
        <v>24273</v>
      </c>
      <c r="AA2268">
        <v>0.65191552040240974</v>
      </c>
      <c r="AB2268" t="str">
        <f>HYPERLINK("Melting_Curves/meltCurve_P45983_3_MAPK8.pdf", "Melting_Curves/meltCurve_P45983_3_MAPK8.pdf")</f>
        <v>Melting_Curves/meltCurve_P45983_3_MAPK8.pdf</v>
      </c>
    </row>
    <row r="2269" spans="1:28" x14ac:dyDescent="0.25">
      <c r="A2269" t="s">
        <v>2273</v>
      </c>
      <c r="B2269">
        <v>0.99299721793515405</v>
      </c>
      <c r="C2269">
        <v>1.0194591705685601</v>
      </c>
      <c r="D2269">
        <v>1.0116187212347001</v>
      </c>
      <c r="E2269">
        <v>0.91189222148125004</v>
      </c>
      <c r="F2269">
        <v>0.77954963144383405</v>
      </c>
      <c r="G2269">
        <v>0.59824049647277799</v>
      </c>
      <c r="H2269">
        <v>0.27658896395434701</v>
      </c>
      <c r="I2269">
        <v>0.125186859137558</v>
      </c>
      <c r="J2269">
        <v>7.1175073622561605E-2</v>
      </c>
      <c r="K2269">
        <v>7.3352220034609603E-2</v>
      </c>
      <c r="L2269">
        <v>912.96666236052397</v>
      </c>
      <c r="M2269">
        <v>16.779865099840599</v>
      </c>
      <c r="N2269">
        <v>54.449633844591197</v>
      </c>
      <c r="O2269">
        <v>53.653332071949499</v>
      </c>
      <c r="P2269">
        <v>-7.7698688609934605E-2</v>
      </c>
      <c r="Q2269">
        <v>6.3037206232618298E-3</v>
      </c>
      <c r="R2269">
        <v>0.99560309563590199</v>
      </c>
      <c r="S2269" t="s">
        <v>7820</v>
      </c>
      <c r="T2269" t="s">
        <v>11100</v>
      </c>
      <c r="U2269" t="s">
        <v>11100</v>
      </c>
      <c r="V2269" t="s">
        <v>11100</v>
      </c>
      <c r="W2269" t="s">
        <v>13329</v>
      </c>
      <c r="X2269">
        <v>6</v>
      </c>
      <c r="Y2269" t="s">
        <v>18800</v>
      </c>
      <c r="Z2269" t="s">
        <v>24274</v>
      </c>
      <c r="AA2269">
        <v>0.59702755374670458</v>
      </c>
      <c r="AB2269" t="str">
        <f>HYPERLINK("Melting_Curves/meltCurve_P45984_3_MAPK9.pdf", "Melting_Curves/meltCurve_P45984_3_MAPK9.pdf")</f>
        <v>Melting_Curves/meltCurve_P45984_3_MAPK9.pdf</v>
      </c>
    </row>
    <row r="2270" spans="1:28" x14ac:dyDescent="0.25">
      <c r="A2270" t="s">
        <v>2274</v>
      </c>
      <c r="B2270">
        <v>0.99299721793515405</v>
      </c>
      <c r="C2270">
        <v>1.06790283759266</v>
      </c>
      <c r="D2270">
        <v>0.98250067377893102</v>
      </c>
      <c r="E2270">
        <v>0.95978901809557304</v>
      </c>
      <c r="F2270">
        <v>0.84221761534943695</v>
      </c>
      <c r="G2270">
        <v>0.52679850010599205</v>
      </c>
      <c r="H2270">
        <v>0.22600051599311199</v>
      </c>
      <c r="I2270">
        <v>0.187399714402854</v>
      </c>
      <c r="J2270">
        <v>0.17640811945865201</v>
      </c>
      <c r="K2270">
        <v>0.118562312128346</v>
      </c>
      <c r="L2270">
        <v>1349.66836593021</v>
      </c>
      <c r="M2270">
        <v>25.356310808204999</v>
      </c>
      <c r="N2270">
        <v>53.915300295741403</v>
      </c>
      <c r="O2270">
        <v>52.900320788322901</v>
      </c>
      <c r="P2270">
        <v>-0.103285577967534</v>
      </c>
      <c r="Q2270">
        <v>0.13808072931182</v>
      </c>
      <c r="R2270">
        <v>0.99445117339023803</v>
      </c>
      <c r="S2270" t="s">
        <v>7821</v>
      </c>
      <c r="T2270" t="s">
        <v>11100</v>
      </c>
      <c r="U2270" t="s">
        <v>11100</v>
      </c>
      <c r="V2270" t="s">
        <v>11100</v>
      </c>
      <c r="W2270" t="s">
        <v>13330</v>
      </c>
      <c r="X2270">
        <v>6</v>
      </c>
      <c r="Y2270" t="s">
        <v>18801</v>
      </c>
      <c r="Z2270" t="s">
        <v>24275</v>
      </c>
      <c r="AA2270">
        <v>0.61174646980442593</v>
      </c>
      <c r="AB2270" t="str">
        <f>HYPERLINK("Melting_Curves/meltCurve_P45985_MAP2K4.pdf", "Melting_Curves/meltCurve_P45985_MAP2K4.pdf")</f>
        <v>Melting_Curves/meltCurve_P45985_MAP2K4.pdf</v>
      </c>
    </row>
    <row r="2271" spans="1:28" x14ac:dyDescent="0.25">
      <c r="A2271" t="s">
        <v>2275</v>
      </c>
      <c r="B2271">
        <v>0.99299721793515405</v>
      </c>
      <c r="C2271">
        <v>0.95123959445420603</v>
      </c>
      <c r="D2271">
        <v>0.99190249776399897</v>
      </c>
      <c r="E2271">
        <v>0.828662365234063</v>
      </c>
      <c r="F2271">
        <v>0.43009908184187901</v>
      </c>
      <c r="G2271">
        <v>0.24229479786371599</v>
      </c>
      <c r="H2271">
        <v>0.17633759057744799</v>
      </c>
      <c r="I2271">
        <v>0.15955205252632901</v>
      </c>
      <c r="J2271">
        <v>0.13782904864763901</v>
      </c>
      <c r="K2271">
        <v>0.12448406756842199</v>
      </c>
      <c r="L2271">
        <v>1257.93563085603</v>
      </c>
      <c r="M2271">
        <v>25.670399264783899</v>
      </c>
      <c r="N2271">
        <v>49.664779715381499</v>
      </c>
      <c r="O2271">
        <v>48.7088736575027</v>
      </c>
      <c r="P2271">
        <v>-0.11268005067213099</v>
      </c>
      <c r="Q2271">
        <v>0.14478122886037501</v>
      </c>
      <c r="R2271">
        <v>0.997180402277556</v>
      </c>
      <c r="S2271" t="s">
        <v>7822</v>
      </c>
      <c r="T2271" t="s">
        <v>11100</v>
      </c>
      <c r="U2271" t="s">
        <v>11100</v>
      </c>
      <c r="V2271" t="s">
        <v>11100</v>
      </c>
      <c r="W2271" t="s">
        <v>13331</v>
      </c>
      <c r="X2271">
        <v>11</v>
      </c>
      <c r="Y2271" t="s">
        <v>18802</v>
      </c>
      <c r="Z2271" t="s">
        <v>24276</v>
      </c>
      <c r="AA2271">
        <v>0.49398327313890822</v>
      </c>
      <c r="AB2271" t="str">
        <f>HYPERLINK("Melting_Curves/meltCurve_P46013_MKI67.pdf", "Melting_Curves/meltCurve_P46013_MKI67.pdf")</f>
        <v>Melting_Curves/meltCurve_P46013_MKI67.pdf</v>
      </c>
    </row>
    <row r="2272" spans="1:28" x14ac:dyDescent="0.25">
      <c r="A2272" t="s">
        <v>2276</v>
      </c>
      <c r="B2272">
        <v>0.99299721793515405</v>
      </c>
      <c r="C2272">
        <v>0.83603665273151495</v>
      </c>
      <c r="D2272">
        <v>0.91589322557282304</v>
      </c>
      <c r="E2272">
        <v>0.85392926631301203</v>
      </c>
      <c r="F2272">
        <v>0.46938801130854602</v>
      </c>
      <c r="G2272">
        <v>0.190848720242663</v>
      </c>
      <c r="H2272">
        <v>0.17083323721385399</v>
      </c>
      <c r="I2272">
        <v>0.19441942580628799</v>
      </c>
      <c r="J2272">
        <v>0.15184869637814899</v>
      </c>
      <c r="K2272">
        <v>0.13124988852084801</v>
      </c>
      <c r="L2272">
        <v>1310.52576549318</v>
      </c>
      <c r="M2272">
        <v>26.660900456253199</v>
      </c>
      <c r="N2272">
        <v>49.818216025338899</v>
      </c>
      <c r="O2272">
        <v>48.881293186845603</v>
      </c>
      <c r="P2272">
        <v>-0.115995441956811</v>
      </c>
      <c r="Q2272">
        <v>0.14932382773225999</v>
      </c>
      <c r="R2272">
        <v>0.97165906151459502</v>
      </c>
      <c r="S2272" t="s">
        <v>7823</v>
      </c>
      <c r="T2272" t="s">
        <v>11100</v>
      </c>
      <c r="U2272" t="s">
        <v>11100</v>
      </c>
      <c r="V2272" t="s">
        <v>11100</v>
      </c>
      <c r="W2272" t="s">
        <v>13332</v>
      </c>
      <c r="X2272">
        <v>9</v>
      </c>
      <c r="Y2272" t="s">
        <v>18802</v>
      </c>
      <c r="Z2272" t="s">
        <v>24277</v>
      </c>
      <c r="AA2272">
        <v>0.50049647041363987</v>
      </c>
      <c r="AB2272" t="str">
        <f>HYPERLINK("Melting_Curves/meltCurve_P46013_2_MKI67.pdf", "Melting_Curves/meltCurve_P46013_2_MKI67.pdf")</f>
        <v>Melting_Curves/meltCurve_P46013_2_MKI67.pdf</v>
      </c>
    </row>
    <row r="2273" spans="1:28" x14ac:dyDescent="0.25">
      <c r="A2273" t="s">
        <v>2277</v>
      </c>
      <c r="B2273">
        <v>0.99299721793515405</v>
      </c>
      <c r="C2273">
        <v>1.04151453598164</v>
      </c>
      <c r="D2273">
        <v>0.97507483462509703</v>
      </c>
      <c r="E2273">
        <v>0.90574769632903995</v>
      </c>
      <c r="F2273">
        <v>0.76087702680775504</v>
      </c>
      <c r="G2273">
        <v>0.36152515505103</v>
      </c>
      <c r="H2273">
        <v>0.17831248042370099</v>
      </c>
      <c r="I2273">
        <v>0.147250097717015</v>
      </c>
      <c r="J2273">
        <v>0.122644211090564</v>
      </c>
      <c r="K2273">
        <v>0.10115292517405799</v>
      </c>
      <c r="L2273">
        <v>1283.96929314623</v>
      </c>
      <c r="M2273">
        <v>24.7181104853344</v>
      </c>
      <c r="N2273">
        <v>52.463670901429303</v>
      </c>
      <c r="O2273">
        <v>51.608070226054402</v>
      </c>
      <c r="P2273">
        <v>-0.10674956956101</v>
      </c>
      <c r="Q2273">
        <v>0.108497912222236</v>
      </c>
      <c r="R2273">
        <v>0.99631114655615305</v>
      </c>
      <c r="S2273" t="s">
        <v>7824</v>
      </c>
      <c r="T2273" t="s">
        <v>11100</v>
      </c>
      <c r="U2273" t="s">
        <v>11100</v>
      </c>
      <c r="V2273" t="s">
        <v>11100</v>
      </c>
      <c r="W2273" t="s">
        <v>13333</v>
      </c>
      <c r="X2273">
        <v>28</v>
      </c>
      <c r="Y2273" t="s">
        <v>18803</v>
      </c>
      <c r="Z2273" t="s">
        <v>24278</v>
      </c>
      <c r="AA2273">
        <v>0.56065890081335856</v>
      </c>
      <c r="AB2273" t="str">
        <f>HYPERLINK("Melting_Curves/meltCurve_P46060_RANGAP1.pdf", "Melting_Curves/meltCurve_P46060_RANGAP1.pdf")</f>
        <v>Melting_Curves/meltCurve_P46060_RANGAP1.pdf</v>
      </c>
    </row>
    <row r="2274" spans="1:28" x14ac:dyDescent="0.25">
      <c r="A2274" t="s">
        <v>2278</v>
      </c>
      <c r="B2274">
        <v>0.99299721793515405</v>
      </c>
      <c r="C2274">
        <v>1.14687498886426</v>
      </c>
      <c r="D2274">
        <v>0.99221389674967497</v>
      </c>
      <c r="E2274">
        <v>0.90216196563275197</v>
      </c>
      <c r="F2274">
        <v>0.74466925150749896</v>
      </c>
      <c r="G2274">
        <v>0.56351539833223496</v>
      </c>
      <c r="H2274">
        <v>0.43857854115288702</v>
      </c>
      <c r="I2274">
        <v>0.220065002382206</v>
      </c>
      <c r="J2274">
        <v>0.15129178230794299</v>
      </c>
      <c r="K2274">
        <v>0.143289521175573</v>
      </c>
      <c r="L2274">
        <v>702.86186007346998</v>
      </c>
      <c r="M2274">
        <v>12.8362615768203</v>
      </c>
      <c r="N2274">
        <v>55.150441286482398</v>
      </c>
      <c r="O2274">
        <v>53.478084375368198</v>
      </c>
      <c r="P2274">
        <v>-5.7385677019990901E-2</v>
      </c>
      <c r="Q2274">
        <v>4.3862859365951197E-2</v>
      </c>
      <c r="R2274">
        <v>0.97705798452124304</v>
      </c>
      <c r="S2274" t="s">
        <v>7825</v>
      </c>
      <c r="T2274" t="s">
        <v>11100</v>
      </c>
      <c r="U2274" t="s">
        <v>11100</v>
      </c>
      <c r="V2274" t="s">
        <v>11100</v>
      </c>
      <c r="W2274" t="s">
        <v>13334</v>
      </c>
      <c r="X2274">
        <v>11</v>
      </c>
      <c r="Y2274" t="s">
        <v>18804</v>
      </c>
      <c r="Z2274" t="s">
        <v>24279</v>
      </c>
      <c r="AA2274">
        <v>0.62435336644765416</v>
      </c>
      <c r="AB2274" t="str">
        <f>HYPERLINK("Melting_Curves/meltCurve_P46063_RECQL.pdf", "Melting_Curves/meltCurve_P46063_RECQL.pdf")</f>
        <v>Melting_Curves/meltCurve_P46063_RECQL.pdf</v>
      </c>
    </row>
    <row r="2275" spans="1:28" x14ac:dyDescent="0.25">
      <c r="A2275" t="s">
        <v>2279</v>
      </c>
      <c r="B2275">
        <v>0.99299721793515405</v>
      </c>
      <c r="C2275">
        <v>1.04770225260332</v>
      </c>
      <c r="D2275">
        <v>0.96237270620910698</v>
      </c>
      <c r="E2275">
        <v>0.71350462504398204</v>
      </c>
      <c r="F2275">
        <v>0.81025971346289005</v>
      </c>
      <c r="G2275">
        <v>0.55796796131537396</v>
      </c>
      <c r="H2275">
        <v>0.51498138883712097</v>
      </c>
      <c r="I2275">
        <v>0.25457341659312599</v>
      </c>
      <c r="J2275">
        <v>0.22867445071881901</v>
      </c>
      <c r="K2275">
        <v>0.12739686726920599</v>
      </c>
      <c r="L2275">
        <v>526.57642973823295</v>
      </c>
      <c r="M2275">
        <v>9.4619723179230295</v>
      </c>
      <c r="N2275">
        <v>55.651864799628697</v>
      </c>
      <c r="O2275">
        <v>53.336030025699301</v>
      </c>
      <c r="P2275">
        <v>-4.4377386422840899E-2</v>
      </c>
      <c r="Q2275">
        <v>0</v>
      </c>
      <c r="R2275">
        <v>0.95600497655968097</v>
      </c>
      <c r="S2275" t="s">
        <v>7826</v>
      </c>
      <c r="T2275" t="s">
        <v>11100</v>
      </c>
      <c r="U2275" t="s">
        <v>11100</v>
      </c>
      <c r="V2275" t="s">
        <v>11100</v>
      </c>
      <c r="W2275" t="s">
        <v>13335</v>
      </c>
      <c r="X2275">
        <v>2</v>
      </c>
      <c r="Y2275" t="s">
        <v>18805</v>
      </c>
      <c r="Z2275" t="s">
        <v>24280</v>
      </c>
      <c r="AA2275">
        <v>0.62859360907863004</v>
      </c>
      <c r="AB2275" t="str">
        <f>HYPERLINK("Melting_Curves/meltCurve_P46087_2_NOP2.pdf", "Melting_Curves/meltCurve_P46087_2_NOP2.pdf")</f>
        <v>Melting_Curves/meltCurve_P46087_2_NOP2.pdf</v>
      </c>
    </row>
    <row r="2276" spans="1:28" x14ac:dyDescent="0.25">
      <c r="A2276" t="s">
        <v>2280</v>
      </c>
      <c r="B2276">
        <v>0.99299721793515405</v>
      </c>
      <c r="C2276">
        <v>1.07586565232895</v>
      </c>
      <c r="D2276">
        <v>1.10330141471336</v>
      </c>
      <c r="E2276">
        <v>0.996304326239558</v>
      </c>
      <c r="F2276">
        <v>0.86189249003327595</v>
      </c>
      <c r="G2276">
        <v>0.47613427305978601</v>
      </c>
      <c r="H2276">
        <v>0.31411933780624701</v>
      </c>
      <c r="I2276">
        <v>0.24007756465739699</v>
      </c>
      <c r="J2276">
        <v>0.18370417891087301</v>
      </c>
      <c r="K2276">
        <v>0.15996586389161099</v>
      </c>
      <c r="L2276">
        <v>1438.07669160879</v>
      </c>
      <c r="M2276">
        <v>27.1843390081325</v>
      </c>
      <c r="N2276">
        <v>53.851400347478503</v>
      </c>
      <c r="O2276">
        <v>52.617137197574699</v>
      </c>
      <c r="P2276">
        <v>-0.104550768825538</v>
      </c>
      <c r="Q2276">
        <v>0.190547267747956</v>
      </c>
      <c r="R2276">
        <v>0.98495945830523002</v>
      </c>
      <c r="S2276" t="s">
        <v>7827</v>
      </c>
      <c r="T2276" t="s">
        <v>11100</v>
      </c>
      <c r="U2276" t="s">
        <v>11100</v>
      </c>
      <c r="V2276" t="s">
        <v>11100</v>
      </c>
      <c r="W2276" t="s">
        <v>13336</v>
      </c>
      <c r="X2276">
        <v>13</v>
      </c>
      <c r="Y2276" t="s">
        <v>18806</v>
      </c>
      <c r="Z2276" t="s">
        <v>24281</v>
      </c>
      <c r="AA2276">
        <v>0.62575523404863864</v>
      </c>
      <c r="AB2276" t="str">
        <f>HYPERLINK("Melting_Curves/meltCurve_P46108_CRK.pdf", "Melting_Curves/meltCurve_P46108_CRK.pdf")</f>
        <v>Melting_Curves/meltCurve_P46108_CRK.pdf</v>
      </c>
    </row>
    <row r="2277" spans="1:28" x14ac:dyDescent="0.25">
      <c r="A2277" t="s">
        <v>2281</v>
      </c>
      <c r="B2277">
        <v>0.99299721793515405</v>
      </c>
      <c r="C2277">
        <v>0.96965208718935403</v>
      </c>
      <c r="D2277">
        <v>1.18699009112944</v>
      </c>
      <c r="E2277">
        <v>1.0068629665142199</v>
      </c>
      <c r="F2277">
        <v>0.90074199832172297</v>
      </c>
      <c r="G2277">
        <v>0.66610750517189599</v>
      </c>
      <c r="H2277">
        <v>0.42002909295201402</v>
      </c>
      <c r="I2277">
        <v>0.45272012950338397</v>
      </c>
      <c r="J2277">
        <v>0.423073079163584</v>
      </c>
      <c r="K2277">
        <v>0.30240432436449799</v>
      </c>
      <c r="L2277">
        <v>1514.2204336469699</v>
      </c>
      <c r="M2277">
        <v>28.3538462326336</v>
      </c>
      <c r="N2277">
        <v>56.165110965589399</v>
      </c>
      <c r="O2277">
        <v>53.140879560680503</v>
      </c>
      <c r="P2277">
        <v>-8.3246821308402996E-2</v>
      </c>
      <c r="Q2277">
        <v>0.37591913386013198</v>
      </c>
      <c r="R2277">
        <v>0.94566386214229503</v>
      </c>
      <c r="S2277" t="s">
        <v>7828</v>
      </c>
      <c r="T2277" t="s">
        <v>11100</v>
      </c>
      <c r="U2277" t="s">
        <v>11100</v>
      </c>
      <c r="V2277" t="s">
        <v>11100</v>
      </c>
      <c r="W2277" t="s">
        <v>13337</v>
      </c>
      <c r="X2277">
        <v>9</v>
      </c>
      <c r="Y2277" t="s">
        <v>18806</v>
      </c>
      <c r="Z2277" t="s">
        <v>24282</v>
      </c>
      <c r="AA2277">
        <v>0.72158738299311886</v>
      </c>
      <c r="AB2277" t="str">
        <f>HYPERLINK("Melting_Curves/meltCurve_P46108_2_CRK.pdf", "Melting_Curves/meltCurve_P46108_2_CRK.pdf")</f>
        <v>Melting_Curves/meltCurve_P46108_2_CRK.pdf</v>
      </c>
    </row>
    <row r="2278" spans="1:28" x14ac:dyDescent="0.25">
      <c r="A2278" t="s">
        <v>2282</v>
      </c>
      <c r="B2278">
        <v>0.99299721793515405</v>
      </c>
      <c r="C2278">
        <v>1.0335925453041299</v>
      </c>
      <c r="D2278">
        <v>0.89817790588399105</v>
      </c>
      <c r="E2278">
        <v>0.93904914539098105</v>
      </c>
      <c r="F2278">
        <v>0.78838950620940795</v>
      </c>
      <c r="G2278">
        <v>0.42138469911783299</v>
      </c>
      <c r="H2278">
        <v>0.34079285813196902</v>
      </c>
      <c r="I2278">
        <v>0.28429719782051299</v>
      </c>
      <c r="J2278">
        <v>0.237389812662331</v>
      </c>
      <c r="K2278">
        <v>0.186021273550526</v>
      </c>
      <c r="L2278">
        <v>1141.3715059500501</v>
      </c>
      <c r="M2278">
        <v>21.971062440684999</v>
      </c>
      <c r="N2278">
        <v>53.375600360933397</v>
      </c>
      <c r="O2278">
        <v>51.524245273218199</v>
      </c>
      <c r="P2278">
        <v>-8.2931669215874096E-2</v>
      </c>
      <c r="Q2278">
        <v>0.22208664802165801</v>
      </c>
      <c r="R2278">
        <v>0.98365691043824599</v>
      </c>
      <c r="S2278" t="s">
        <v>7829</v>
      </c>
      <c r="T2278" t="s">
        <v>11100</v>
      </c>
      <c r="U2278" t="s">
        <v>11100</v>
      </c>
      <c r="V2278" t="s">
        <v>11100</v>
      </c>
      <c r="W2278" t="s">
        <v>13338</v>
      </c>
      <c r="X2278">
        <v>9</v>
      </c>
      <c r="Y2278" t="s">
        <v>18807</v>
      </c>
      <c r="Z2278" t="s">
        <v>24283</v>
      </c>
      <c r="AA2278">
        <v>0.61834737434444031</v>
      </c>
      <c r="AB2278" t="str">
        <f>HYPERLINK("Melting_Curves/meltCurve_P46109_CRKL.pdf", "Melting_Curves/meltCurve_P46109_CRKL.pdf")</f>
        <v>Melting_Curves/meltCurve_P46109_CRKL.pdf</v>
      </c>
    </row>
    <row r="2279" spans="1:28" x14ac:dyDescent="0.25">
      <c r="A2279" t="s">
        <v>2283</v>
      </c>
      <c r="B2279">
        <v>0.99299721793515405</v>
      </c>
      <c r="C2279">
        <v>0.97786690183250602</v>
      </c>
      <c r="D2279">
        <v>0.89728327433816801</v>
      </c>
      <c r="E2279">
        <v>0.94704734609527896</v>
      </c>
      <c r="F2279">
        <v>0.65939219261493198</v>
      </c>
      <c r="G2279">
        <v>0.25838359604312899</v>
      </c>
      <c r="H2279">
        <v>0.20578976626373299</v>
      </c>
      <c r="I2279">
        <v>0.20020663971889699</v>
      </c>
      <c r="J2279">
        <v>0.17263862676070099</v>
      </c>
      <c r="K2279">
        <v>0.179622283474108</v>
      </c>
      <c r="L2279">
        <v>1763.1696583630001</v>
      </c>
      <c r="M2279">
        <v>34.834173295968</v>
      </c>
      <c r="N2279">
        <v>51.285376374762798</v>
      </c>
      <c r="O2279">
        <v>50.450146743093597</v>
      </c>
      <c r="P2279">
        <v>-0.14108929501905301</v>
      </c>
      <c r="Q2279">
        <v>0.18264745296196799</v>
      </c>
      <c r="R2279">
        <v>0.990772602260659</v>
      </c>
      <c r="S2279" t="s">
        <v>7830</v>
      </c>
      <c r="T2279" t="s">
        <v>11100</v>
      </c>
      <c r="U2279" t="s">
        <v>11100</v>
      </c>
      <c r="V2279" t="s">
        <v>11100</v>
      </c>
      <c r="W2279" t="s">
        <v>13339</v>
      </c>
      <c r="X2279">
        <v>10</v>
      </c>
      <c r="Y2279" t="s">
        <v>18808</v>
      </c>
      <c r="Z2279" t="s">
        <v>24284</v>
      </c>
      <c r="AA2279">
        <v>0.55738661813281243</v>
      </c>
      <c r="AB2279" t="str">
        <f>HYPERLINK("Melting_Curves/meltCurve_P46199_MTIF2.pdf", "Melting_Curves/meltCurve_P46199_MTIF2.pdf")</f>
        <v>Melting_Curves/meltCurve_P46199_MTIF2.pdf</v>
      </c>
    </row>
    <row r="2280" spans="1:28" x14ac:dyDescent="0.25">
      <c r="A2280" t="s">
        <v>2284</v>
      </c>
      <c r="B2280">
        <v>0.99299721793515405</v>
      </c>
      <c r="C2280">
        <v>1.2324745736006999</v>
      </c>
      <c r="D2280">
        <v>0.54653407840628998</v>
      </c>
      <c r="E2280">
        <v>0.70679164294728003</v>
      </c>
      <c r="F2280">
        <v>0.61715817730906897</v>
      </c>
      <c r="G2280">
        <v>0.59440535292791397</v>
      </c>
      <c r="H2280">
        <v>0.84628432420938304</v>
      </c>
      <c r="I2280">
        <v>1.21069332047231</v>
      </c>
      <c r="J2280">
        <v>0.82163592342967195</v>
      </c>
      <c r="K2280">
        <v>0.96723228189065102</v>
      </c>
      <c r="L2280">
        <v>10348.700082069599</v>
      </c>
      <c r="M2280">
        <v>250</v>
      </c>
      <c r="O2280">
        <v>41.392151363117499</v>
      </c>
      <c r="P2280">
        <v>-0.31883253100004399</v>
      </c>
      <c r="Q2280">
        <v>0.78884537026552404</v>
      </c>
      <c r="R2280">
        <v>0.26207770604293001</v>
      </c>
      <c r="S2280" t="s">
        <v>7831</v>
      </c>
      <c r="T2280" t="s">
        <v>11100</v>
      </c>
      <c r="U2280" t="s">
        <v>11100</v>
      </c>
      <c r="V2280" t="s">
        <v>11100</v>
      </c>
      <c r="W2280" t="s">
        <v>13340</v>
      </c>
      <c r="X2280">
        <v>1</v>
      </c>
      <c r="Y2280" t="s">
        <v>18809</v>
      </c>
      <c r="Z2280" t="s">
        <v>24285</v>
      </c>
      <c r="AA2280">
        <v>0.81979345793369851</v>
      </c>
      <c r="AB2280" t="str">
        <f>HYPERLINK("Melting_Curves/meltCurve_P46531_NOTCH1.pdf", "Melting_Curves/meltCurve_P46531_NOTCH1.pdf")</f>
        <v>Melting_Curves/meltCurve_P46531_NOTCH1.pdf</v>
      </c>
    </row>
    <row r="2281" spans="1:28" x14ac:dyDescent="0.25">
      <c r="A2281" t="s">
        <v>2285</v>
      </c>
      <c r="B2281">
        <v>0.99299721793515405</v>
      </c>
      <c r="C2281">
        <v>0.93972473865089801</v>
      </c>
      <c r="D2281">
        <v>1.0902312235762801</v>
      </c>
      <c r="E2281">
        <v>0.77075139937400805</v>
      </c>
      <c r="F2281">
        <v>0.72764672945896103</v>
      </c>
      <c r="G2281">
        <v>0.26005700898874101</v>
      </c>
      <c r="H2281">
        <v>0.196545270859735</v>
      </c>
      <c r="I2281">
        <v>0.153700091626367</v>
      </c>
      <c r="J2281">
        <v>0.116730471848907</v>
      </c>
      <c r="K2281">
        <v>9.8978856972384205E-2</v>
      </c>
      <c r="L2281">
        <v>1063.8563225125999</v>
      </c>
      <c r="M2281">
        <v>20.828376906010998</v>
      </c>
      <c r="N2281">
        <v>51.638917045533603</v>
      </c>
      <c r="O2281">
        <v>50.613414687136903</v>
      </c>
      <c r="P2281">
        <v>-9.2454604871104198E-2</v>
      </c>
      <c r="Q2281">
        <v>0.101358008738196</v>
      </c>
      <c r="R2281">
        <v>0.96925128527719395</v>
      </c>
      <c r="S2281" t="s">
        <v>7832</v>
      </c>
      <c r="T2281" t="s">
        <v>11100</v>
      </c>
      <c r="U2281" t="s">
        <v>11100</v>
      </c>
      <c r="V2281" t="s">
        <v>11100</v>
      </c>
      <c r="W2281" t="s">
        <v>13341</v>
      </c>
      <c r="X2281">
        <v>9</v>
      </c>
      <c r="Y2281" t="s">
        <v>18810</v>
      </c>
      <c r="Z2281" t="s">
        <v>24286</v>
      </c>
      <c r="AA2281">
        <v>0.53402053668449423</v>
      </c>
      <c r="AB2281" t="str">
        <f>HYPERLINK("Melting_Curves/meltCurve_P46734_MAP2K3.pdf", "Melting_Curves/meltCurve_P46734_MAP2K3.pdf")</f>
        <v>Melting_Curves/meltCurve_P46734_MAP2K3.pdf</v>
      </c>
    </row>
    <row r="2282" spans="1:28" x14ac:dyDescent="0.25">
      <c r="A2282" t="s">
        <v>2286</v>
      </c>
      <c r="B2282">
        <v>0.99299721793515405</v>
      </c>
      <c r="C2282">
        <v>0.98287229889508798</v>
      </c>
      <c r="D2282">
        <v>0.99103936483605504</v>
      </c>
      <c r="E2282">
        <v>0.79625608977723705</v>
      </c>
      <c r="F2282">
        <v>0.67081556029019895</v>
      </c>
      <c r="G2282">
        <v>0.82664622809433197</v>
      </c>
      <c r="H2282">
        <v>1.1791792788961599</v>
      </c>
      <c r="I2282">
        <v>1.3575225311386601</v>
      </c>
      <c r="J2282">
        <v>1.21341559731029</v>
      </c>
      <c r="K2282">
        <v>0.67210848060004402</v>
      </c>
      <c r="L2282">
        <v>15000</v>
      </c>
      <c r="M2282">
        <v>223.162774508426</v>
      </c>
      <c r="Q2282">
        <v>0</v>
      </c>
      <c r="R2282">
        <v>0.20163669060341499</v>
      </c>
      <c r="S2282" t="s">
        <v>7833</v>
      </c>
      <c r="T2282" t="s">
        <v>11100</v>
      </c>
      <c r="U2282" t="s">
        <v>11100</v>
      </c>
      <c r="V2282" t="s">
        <v>11100</v>
      </c>
      <c r="W2282" t="s">
        <v>13342</v>
      </c>
      <c r="X2282">
        <v>7</v>
      </c>
      <c r="Y2282" t="s">
        <v>18811</v>
      </c>
      <c r="Z2282" t="s">
        <v>24287</v>
      </c>
      <c r="AA2282">
        <v>0.99607517373527144</v>
      </c>
      <c r="AB2282" t="str">
        <f>HYPERLINK("Melting_Curves/meltCurve_P46736_2_BRCC3.pdf", "Melting_Curves/meltCurve_P46736_2_BRCC3.pdf")</f>
        <v>Melting_Curves/meltCurve_P46736_2_BRCC3.pdf</v>
      </c>
    </row>
    <row r="2283" spans="1:28" x14ac:dyDescent="0.25">
      <c r="A2283" t="s">
        <v>2287</v>
      </c>
      <c r="B2283">
        <v>0.99299721793515405</v>
      </c>
      <c r="C2283">
        <v>1.0437385706253699</v>
      </c>
      <c r="D2283">
        <v>1.05884075010937</v>
      </c>
      <c r="E2283">
        <v>0.99340304791781897</v>
      </c>
      <c r="F2283">
        <v>0.81765699505028699</v>
      </c>
      <c r="G2283">
        <v>0.62710608631607601</v>
      </c>
      <c r="H2283">
        <v>0.35064156407437502</v>
      </c>
      <c r="I2283">
        <v>0.26718961305858502</v>
      </c>
      <c r="J2283">
        <v>0.19857407716224901</v>
      </c>
      <c r="K2283">
        <v>0.157918210023025</v>
      </c>
      <c r="L2283">
        <v>1033.20647788984</v>
      </c>
      <c r="M2283">
        <v>19.052010190267499</v>
      </c>
      <c r="N2283">
        <v>55.2790242906567</v>
      </c>
      <c r="O2283">
        <v>53.643969118564002</v>
      </c>
      <c r="P2283">
        <v>-7.5331698040689898E-2</v>
      </c>
      <c r="Q2283">
        <v>0.15159990380338001</v>
      </c>
      <c r="R2283">
        <v>0.99236222487168302</v>
      </c>
      <c r="S2283" t="s">
        <v>7834</v>
      </c>
      <c r="T2283" t="s">
        <v>11100</v>
      </c>
      <c r="U2283" t="s">
        <v>11100</v>
      </c>
      <c r="V2283" t="s">
        <v>11100</v>
      </c>
      <c r="W2283" t="s">
        <v>13343</v>
      </c>
      <c r="X2283">
        <v>23</v>
      </c>
      <c r="Y2283" t="s">
        <v>18812</v>
      </c>
      <c r="Z2283" t="s">
        <v>24288</v>
      </c>
      <c r="AA2283">
        <v>0.64963064468587361</v>
      </c>
      <c r="AB2283" t="str">
        <f>HYPERLINK("Melting_Curves/meltCurve_P46777_RPL5.pdf", "Melting_Curves/meltCurve_P46777_RPL5.pdf")</f>
        <v>Melting_Curves/meltCurve_P46777_RPL5.pdf</v>
      </c>
    </row>
    <row r="2284" spans="1:28" x14ac:dyDescent="0.25">
      <c r="A2284" t="s">
        <v>2288</v>
      </c>
      <c r="B2284">
        <v>0.99299721793515405</v>
      </c>
      <c r="C2284">
        <v>1.1319255219561799</v>
      </c>
      <c r="D2284">
        <v>1.3765656543040901</v>
      </c>
      <c r="E2284">
        <v>1.05973030587698</v>
      </c>
      <c r="F2284">
        <v>0.76727228429169203</v>
      </c>
      <c r="G2284">
        <v>0.57705552722156706</v>
      </c>
      <c r="H2284">
        <v>0.42964104354243499</v>
      </c>
      <c r="I2284">
        <v>0.27398920668288501</v>
      </c>
      <c r="J2284">
        <v>0.21280423449005401</v>
      </c>
      <c r="K2284">
        <v>0.22339174459795499</v>
      </c>
      <c r="L2284">
        <v>1101.8138190810901</v>
      </c>
      <c r="M2284">
        <v>20.5780313333719</v>
      </c>
      <c r="N2284">
        <v>55.049782445399501</v>
      </c>
      <c r="O2284">
        <v>53.045254981494899</v>
      </c>
      <c r="P2284">
        <v>-7.6105154559883301E-2</v>
      </c>
      <c r="Q2284">
        <v>0.215299099209666</v>
      </c>
      <c r="R2284">
        <v>0.88622020895767695</v>
      </c>
      <c r="S2284" t="s">
        <v>7835</v>
      </c>
      <c r="T2284" t="s">
        <v>11100</v>
      </c>
      <c r="U2284" t="s">
        <v>11100</v>
      </c>
      <c r="V2284" t="s">
        <v>11100</v>
      </c>
      <c r="W2284" t="s">
        <v>13344</v>
      </c>
      <c r="X2284">
        <v>3</v>
      </c>
      <c r="Y2284" t="s">
        <v>18813</v>
      </c>
      <c r="Z2284" t="s">
        <v>24289</v>
      </c>
      <c r="AA2284">
        <v>0.65733052306469131</v>
      </c>
      <c r="AB2284" t="str">
        <f>HYPERLINK("Melting_Curves/meltCurve_P46778_RPL21.pdf", "Melting_Curves/meltCurve_P46778_RPL21.pdf")</f>
        <v>Melting_Curves/meltCurve_P46778_RPL21.pdf</v>
      </c>
    </row>
    <row r="2285" spans="1:28" x14ac:dyDescent="0.25">
      <c r="A2285" t="s">
        <v>2289</v>
      </c>
      <c r="B2285">
        <v>0.99299721793515405</v>
      </c>
      <c r="C2285">
        <v>1.1050320525030699</v>
      </c>
      <c r="D2285">
        <v>1.0298417845216601</v>
      </c>
      <c r="E2285">
        <v>0.98410852529376902</v>
      </c>
      <c r="F2285">
        <v>0.46950715926893899</v>
      </c>
      <c r="G2285">
        <v>0.34359214336063798</v>
      </c>
      <c r="H2285">
        <v>0.60008201882204804</v>
      </c>
      <c r="I2285">
        <v>0.356489841431959</v>
      </c>
      <c r="J2285">
        <v>0.14496395603387499</v>
      </c>
      <c r="K2285">
        <v>0.18849665460703899</v>
      </c>
      <c r="L2285">
        <v>3132.9007592374901</v>
      </c>
      <c r="M2285">
        <v>63.705673362019297</v>
      </c>
      <c r="N2285">
        <v>50.006176160589</v>
      </c>
      <c r="O2285">
        <v>49.129345390547897</v>
      </c>
      <c r="P2285">
        <v>-0.21850213497109</v>
      </c>
      <c r="Q2285">
        <v>0.32597128228019401</v>
      </c>
      <c r="R2285">
        <v>0.88858432292379996</v>
      </c>
      <c r="S2285" t="s">
        <v>7836</v>
      </c>
      <c r="T2285" t="s">
        <v>11100</v>
      </c>
      <c r="U2285" t="s">
        <v>11100</v>
      </c>
      <c r="V2285" t="s">
        <v>11100</v>
      </c>
      <c r="W2285" t="s">
        <v>13345</v>
      </c>
      <c r="X2285">
        <v>3</v>
      </c>
      <c r="Y2285" t="s">
        <v>18814</v>
      </c>
      <c r="Z2285" t="s">
        <v>24290</v>
      </c>
      <c r="AA2285">
        <v>0.60047480701946754</v>
      </c>
      <c r="AB2285" t="str">
        <f>HYPERLINK("Melting_Curves/meltCurve_P46781_RPS9.pdf", "Melting_Curves/meltCurve_P46781_RPS9.pdf")</f>
        <v>Melting_Curves/meltCurve_P46781_RPS9.pdf</v>
      </c>
    </row>
    <row r="2286" spans="1:28" x14ac:dyDescent="0.25">
      <c r="A2286" t="s">
        <v>2290</v>
      </c>
      <c r="B2286">
        <v>0.99299721793515405</v>
      </c>
      <c r="C2286">
        <v>0.99367886462458199</v>
      </c>
      <c r="D2286">
        <v>1.2032274559495799</v>
      </c>
      <c r="E2286">
        <v>0.92591526985564099</v>
      </c>
      <c r="F2286">
        <v>0.62971865391250004</v>
      </c>
      <c r="G2286">
        <v>0.31161400829674102</v>
      </c>
      <c r="H2286">
        <v>0.366426164960937</v>
      </c>
      <c r="I2286">
        <v>0.30080133309482898</v>
      </c>
      <c r="J2286">
        <v>0.22453690362265</v>
      </c>
      <c r="K2286">
        <v>0.27480494487452101</v>
      </c>
      <c r="L2286">
        <v>1793.91151930457</v>
      </c>
      <c r="M2286">
        <v>35.852622582197903</v>
      </c>
      <c r="N2286">
        <v>51.235589277485801</v>
      </c>
      <c r="O2286">
        <v>49.8807956000255</v>
      </c>
      <c r="P2286">
        <v>-0.12864811306047899</v>
      </c>
      <c r="Q2286">
        <v>0.28406333407422701</v>
      </c>
      <c r="R2286">
        <v>0.95737396560001198</v>
      </c>
      <c r="S2286" t="s">
        <v>7837</v>
      </c>
      <c r="T2286" t="s">
        <v>11100</v>
      </c>
      <c r="U2286" t="s">
        <v>11100</v>
      </c>
      <c r="V2286" t="s">
        <v>11100</v>
      </c>
      <c r="W2286" t="s">
        <v>13346</v>
      </c>
      <c r="X2286">
        <v>8</v>
      </c>
      <c r="Y2286" t="s">
        <v>18815</v>
      </c>
      <c r="Z2286" t="s">
        <v>24291</v>
      </c>
      <c r="AA2286">
        <v>0.59823728892231998</v>
      </c>
      <c r="AB2286" t="str">
        <f>HYPERLINK("Melting_Curves/meltCurve_P46783_RPS10.pdf", "Melting_Curves/meltCurve_P46783_RPS10.pdf")</f>
        <v>Melting_Curves/meltCurve_P46783_RPS10.pdf</v>
      </c>
    </row>
    <row r="2287" spans="1:28" x14ac:dyDescent="0.25">
      <c r="A2287" t="s">
        <v>2291</v>
      </c>
      <c r="B2287">
        <v>0.99299721793515405</v>
      </c>
      <c r="C2287">
        <v>1.0481494850290201</v>
      </c>
      <c r="D2287">
        <v>0.97946695679776996</v>
      </c>
      <c r="E2287">
        <v>0.84096546461364396</v>
      </c>
      <c r="F2287">
        <v>0.63406690835997104</v>
      </c>
      <c r="G2287">
        <v>0.47148933546023297</v>
      </c>
      <c r="H2287">
        <v>0.45688667913043302</v>
      </c>
      <c r="I2287">
        <v>0.45169052285561601</v>
      </c>
      <c r="J2287">
        <v>0.35919452573488803</v>
      </c>
      <c r="K2287">
        <v>0.19287989704612099</v>
      </c>
      <c r="L2287">
        <v>683.94818775501096</v>
      </c>
      <c r="M2287">
        <v>13.4826163107213</v>
      </c>
      <c r="N2287">
        <v>54.174382347400801</v>
      </c>
      <c r="O2287">
        <v>49.651184076685503</v>
      </c>
      <c r="P2287">
        <v>-4.8347661998503599E-2</v>
      </c>
      <c r="Q2287">
        <v>0.28792728078430802</v>
      </c>
      <c r="R2287">
        <v>0.95632634495783797</v>
      </c>
      <c r="S2287" t="s">
        <v>7838</v>
      </c>
      <c r="T2287" t="s">
        <v>11100</v>
      </c>
      <c r="U2287" t="s">
        <v>11100</v>
      </c>
      <c r="V2287" t="s">
        <v>11100</v>
      </c>
      <c r="W2287" t="s">
        <v>13347</v>
      </c>
      <c r="X2287">
        <v>58</v>
      </c>
      <c r="Y2287" t="s">
        <v>18816</v>
      </c>
      <c r="Z2287" t="s">
        <v>24292</v>
      </c>
      <c r="AA2287">
        <v>0.63038838916532636</v>
      </c>
      <c r="AB2287" t="str">
        <f>HYPERLINK("Melting_Curves/meltCurve_P46821_MAP1B.pdf", "Melting_Curves/meltCurve_P46821_MAP1B.pdf")</f>
        <v>Melting_Curves/meltCurve_P46821_MAP1B.pdf</v>
      </c>
    </row>
    <row r="2288" spans="1:28" x14ac:dyDescent="0.25">
      <c r="A2288" t="s">
        <v>2292</v>
      </c>
      <c r="B2288">
        <v>0.99299721793515405</v>
      </c>
      <c r="C2288">
        <v>0.97500941100101701</v>
      </c>
      <c r="D2288">
        <v>0.89454896767465797</v>
      </c>
      <c r="E2288">
        <v>0.89643927388450095</v>
      </c>
      <c r="F2288">
        <v>0.78863816254014696</v>
      </c>
      <c r="G2288">
        <v>0.60375484681707603</v>
      </c>
      <c r="H2288">
        <v>0.76541122880936296</v>
      </c>
      <c r="I2288">
        <v>0.84526814860002097</v>
      </c>
      <c r="J2288">
        <v>0.95723725925575098</v>
      </c>
      <c r="K2288">
        <v>0.74195946189174899</v>
      </c>
      <c r="L2288">
        <v>918.13468123379505</v>
      </c>
      <c r="M2288">
        <v>20.864419525475</v>
      </c>
      <c r="O2288">
        <v>43.606533041086301</v>
      </c>
      <c r="P2288">
        <v>-2.5520804892350101E-2</v>
      </c>
      <c r="Q2288">
        <v>0.78665238141692695</v>
      </c>
      <c r="R2288">
        <v>0.448696682694325</v>
      </c>
      <c r="S2288" t="s">
        <v>7839</v>
      </c>
      <c r="T2288" t="s">
        <v>11100</v>
      </c>
      <c r="U2288" t="s">
        <v>11100</v>
      </c>
      <c r="V2288" t="s">
        <v>11100</v>
      </c>
      <c r="W2288" t="s">
        <v>13348</v>
      </c>
      <c r="X2288">
        <v>9</v>
      </c>
      <c r="Y2288" t="s">
        <v>18817</v>
      </c>
      <c r="Z2288" t="s">
        <v>24293</v>
      </c>
      <c r="AA2288">
        <v>0.8390693807573596</v>
      </c>
      <c r="AB2288" t="str">
        <f>HYPERLINK("Melting_Curves/meltCurve_P46926_GNPDA1.pdf", "Melting_Curves/meltCurve_P46926_GNPDA1.pdf")</f>
        <v>Melting_Curves/meltCurve_P46926_GNPDA1.pdf</v>
      </c>
    </row>
    <row r="2289" spans="1:28" x14ac:dyDescent="0.25">
      <c r="A2289" t="s">
        <v>2293</v>
      </c>
      <c r="B2289">
        <v>0.99299721793515405</v>
      </c>
      <c r="C2289">
        <v>1.0045790518309301</v>
      </c>
      <c r="D2289">
        <v>0.74998646856775297</v>
      </c>
      <c r="E2289">
        <v>0.79696219891682096</v>
      </c>
      <c r="F2289">
        <v>0.68681016813440898</v>
      </c>
      <c r="G2289">
        <v>0.38615970288546098</v>
      </c>
      <c r="H2289">
        <v>0.19459526570421901</v>
      </c>
      <c r="I2289">
        <v>0.25692309884929498</v>
      </c>
      <c r="J2289">
        <v>0.190989168651585</v>
      </c>
      <c r="K2289">
        <v>9.2113143959298302E-2</v>
      </c>
      <c r="L2289">
        <v>517.74521719435802</v>
      </c>
      <c r="M2289">
        <v>9.9837240843468802</v>
      </c>
      <c r="N2289">
        <v>52.111027746668398</v>
      </c>
      <c r="O2289">
        <v>49.907083206567698</v>
      </c>
      <c r="P2289">
        <v>-4.8856407702614402E-2</v>
      </c>
      <c r="Q2289">
        <v>2.35755426123915E-2</v>
      </c>
      <c r="R2289">
        <v>0.95540122556533302</v>
      </c>
      <c r="S2289" t="s">
        <v>7840</v>
      </c>
      <c r="T2289" t="s">
        <v>11100</v>
      </c>
      <c r="U2289" t="s">
        <v>11100</v>
      </c>
      <c r="V2289" t="s">
        <v>11100</v>
      </c>
      <c r="W2289" t="s">
        <v>13349</v>
      </c>
      <c r="X2289">
        <v>3</v>
      </c>
      <c r="Y2289" t="s">
        <v>18818</v>
      </c>
      <c r="Z2289" t="s">
        <v>24294</v>
      </c>
      <c r="AA2289">
        <v>0.53380182542490595</v>
      </c>
      <c r="AB2289" t="str">
        <f>HYPERLINK("Melting_Curves/meltCurve_P46934_4_NEDD4.pdf", "Melting_Curves/meltCurve_P46934_4_NEDD4.pdf")</f>
        <v>Melting_Curves/meltCurve_P46934_4_NEDD4.pdf</v>
      </c>
    </row>
    <row r="2290" spans="1:28" x14ac:dyDescent="0.25">
      <c r="A2290" t="s">
        <v>2294</v>
      </c>
      <c r="B2290">
        <v>0.99299721793515405</v>
      </c>
      <c r="C2290">
        <v>0.857222113510543</v>
      </c>
      <c r="D2290">
        <v>1.2466680951924101</v>
      </c>
      <c r="E2290">
        <v>0.90165071494701399</v>
      </c>
      <c r="F2290">
        <v>0.90970534756903898</v>
      </c>
      <c r="G2290">
        <v>0.866200357009273</v>
      </c>
      <c r="H2290">
        <v>0.73230731882965305</v>
      </c>
      <c r="I2290">
        <v>0.97618425053734303</v>
      </c>
      <c r="J2290">
        <v>1.2384126494532799</v>
      </c>
      <c r="K2290">
        <v>1.4804840903441501</v>
      </c>
      <c r="L2290">
        <v>15000</v>
      </c>
      <c r="M2290">
        <v>233.994044030883</v>
      </c>
      <c r="O2290">
        <v>64.099505996648006</v>
      </c>
      <c r="P2290">
        <v>0.43851740785861298</v>
      </c>
      <c r="Q2290">
        <v>1.48050372276772</v>
      </c>
      <c r="R2290">
        <v>0.59981394939114197</v>
      </c>
      <c r="S2290" t="s">
        <v>7841</v>
      </c>
      <c r="T2290" t="s">
        <v>11100</v>
      </c>
      <c r="U2290" t="s">
        <v>11100</v>
      </c>
      <c r="V2290" t="s">
        <v>11100</v>
      </c>
      <c r="W2290" t="s">
        <v>13350</v>
      </c>
      <c r="X2290">
        <v>9</v>
      </c>
      <c r="Y2290" t="s">
        <v>18819</v>
      </c>
      <c r="Z2290" t="s">
        <v>24295</v>
      </c>
      <c r="AA2290">
        <v>1.046319979119873</v>
      </c>
      <c r="AB2290" t="str">
        <f>HYPERLINK("Melting_Curves/meltCurve_P46937_YAP1.pdf", "Melting_Curves/meltCurve_P46937_YAP1.pdf")</f>
        <v>Melting_Curves/meltCurve_P46937_YAP1.pdf</v>
      </c>
    </row>
    <row r="2291" spans="1:28" x14ac:dyDescent="0.25">
      <c r="A2291" t="s">
        <v>2295</v>
      </c>
      <c r="B2291">
        <v>0.99299721793515405</v>
      </c>
      <c r="C2291">
        <v>0.90696933523443102</v>
      </c>
      <c r="D2291">
        <v>0.99783103796056305</v>
      </c>
      <c r="E2291">
        <v>0.82263069771457697</v>
      </c>
      <c r="F2291">
        <v>0.63329497650571098</v>
      </c>
      <c r="G2291">
        <v>0.39773776851499798</v>
      </c>
      <c r="H2291">
        <v>0.24170424326838599</v>
      </c>
      <c r="I2291">
        <v>0.19750212556069599</v>
      </c>
      <c r="J2291">
        <v>0.18485572156714</v>
      </c>
      <c r="K2291">
        <v>0.16811744462457201</v>
      </c>
      <c r="L2291">
        <v>831.53025046555501</v>
      </c>
      <c r="M2291">
        <v>16.352911684484798</v>
      </c>
      <c r="N2291">
        <v>51.958721582259301</v>
      </c>
      <c r="O2291">
        <v>50.106898104289598</v>
      </c>
      <c r="P2291">
        <v>-6.9569684483981098E-2</v>
      </c>
      <c r="Q2291">
        <v>0.14738840922690499</v>
      </c>
      <c r="R2291">
        <v>0.991408202300469</v>
      </c>
      <c r="S2291" t="s">
        <v>7842</v>
      </c>
      <c r="T2291" t="s">
        <v>11100</v>
      </c>
      <c r="U2291" t="s">
        <v>11100</v>
      </c>
      <c r="V2291" t="s">
        <v>11100</v>
      </c>
      <c r="W2291" t="s">
        <v>13351</v>
      </c>
      <c r="X2291">
        <v>18</v>
      </c>
      <c r="Y2291" t="s">
        <v>18820</v>
      </c>
      <c r="Z2291" t="s">
        <v>24296</v>
      </c>
      <c r="AA2291">
        <v>0.55630665766186882</v>
      </c>
      <c r="AB2291" t="str">
        <f>HYPERLINK("Melting_Curves/meltCurve_P46939_UTRN.pdf", "Melting_Curves/meltCurve_P46939_UTRN.pdf")</f>
        <v>Melting_Curves/meltCurve_P46939_UTRN.pdf</v>
      </c>
    </row>
    <row r="2292" spans="1:28" x14ac:dyDescent="0.25">
      <c r="A2292" t="s">
        <v>2296</v>
      </c>
      <c r="B2292">
        <v>0.99299721793515405</v>
      </c>
      <c r="C2292">
        <v>1.02496671410477</v>
      </c>
      <c r="D2292">
        <v>0.92700931135571296</v>
      </c>
      <c r="E2292">
        <v>0.89337182073652199</v>
      </c>
      <c r="F2292">
        <v>0.73524236142220301</v>
      </c>
      <c r="G2292">
        <v>0.34156382368042998</v>
      </c>
      <c r="H2292">
        <v>0.21791912372153499</v>
      </c>
      <c r="I2292">
        <v>0.17407284040722901</v>
      </c>
      <c r="J2292">
        <v>0.158161909083542</v>
      </c>
      <c r="K2292">
        <v>0.12994551390007</v>
      </c>
      <c r="L2292">
        <v>1189.6396548169901</v>
      </c>
      <c r="M2292">
        <v>23.093451092234201</v>
      </c>
      <c r="N2292">
        <v>52.2512665364859</v>
      </c>
      <c r="O2292">
        <v>51.1325441146111</v>
      </c>
      <c r="P2292">
        <v>-9.7215058115299194E-2</v>
      </c>
      <c r="Q2292">
        <v>0.139017972650164</v>
      </c>
      <c r="R2292">
        <v>0.993083182071407</v>
      </c>
      <c r="S2292" t="s">
        <v>7843</v>
      </c>
      <c r="T2292" t="s">
        <v>11100</v>
      </c>
      <c r="U2292" t="s">
        <v>11100</v>
      </c>
      <c r="V2292" t="s">
        <v>11100</v>
      </c>
      <c r="W2292" t="s">
        <v>13352</v>
      </c>
      <c r="X2292">
        <v>27</v>
      </c>
      <c r="Y2292" t="s">
        <v>18821</v>
      </c>
      <c r="Z2292" t="s">
        <v>24297</v>
      </c>
      <c r="AA2292">
        <v>0.56435018645678847</v>
      </c>
      <c r="AB2292" t="str">
        <f>HYPERLINK("Melting_Curves/meltCurve_P46940_IQGAP1.pdf", "Melting_Curves/meltCurve_P46940_IQGAP1.pdf")</f>
        <v>Melting_Curves/meltCurve_P46940_IQGAP1.pdf</v>
      </c>
    </row>
    <row r="2293" spans="1:28" x14ac:dyDescent="0.25">
      <c r="A2293" t="s">
        <v>2297</v>
      </c>
      <c r="B2293">
        <v>0.99299721793515405</v>
      </c>
      <c r="C2293">
        <v>0.954039068887507</v>
      </c>
      <c r="D2293">
        <v>0.90378634541335101</v>
      </c>
      <c r="E2293">
        <v>0.89389930014834995</v>
      </c>
      <c r="F2293">
        <v>0.77664543778147499</v>
      </c>
      <c r="G2293">
        <v>0.64778226819066798</v>
      </c>
      <c r="H2293">
        <v>0.64205650699556205</v>
      </c>
      <c r="I2293">
        <v>0.64646372975507105</v>
      </c>
      <c r="J2293">
        <v>0.45177234480397499</v>
      </c>
      <c r="K2293">
        <v>0.25698789051775001</v>
      </c>
      <c r="L2293">
        <v>379.36194298764599</v>
      </c>
      <c r="M2293">
        <v>6.1670881329504601</v>
      </c>
      <c r="N2293">
        <v>61.5139486606299</v>
      </c>
      <c r="O2293">
        <v>55.9898501170481</v>
      </c>
      <c r="P2293">
        <v>-2.76174634337478E-2</v>
      </c>
      <c r="Q2293">
        <v>0</v>
      </c>
      <c r="R2293">
        <v>0.92202552248241099</v>
      </c>
      <c r="S2293" t="s">
        <v>7844</v>
      </c>
      <c r="T2293" t="s">
        <v>11100</v>
      </c>
      <c r="U2293" t="s">
        <v>11100</v>
      </c>
      <c r="V2293" t="s">
        <v>11100</v>
      </c>
      <c r="W2293" t="s">
        <v>13353</v>
      </c>
      <c r="X2293">
        <v>4</v>
      </c>
      <c r="Y2293" t="s">
        <v>18822</v>
      </c>
      <c r="Z2293" t="s">
        <v>24298</v>
      </c>
      <c r="AA2293">
        <v>0.72766750816072068</v>
      </c>
      <c r="AB2293" t="str">
        <f>HYPERLINK("Melting_Curves/meltCurve_P46976_2_GYG1.pdf", "Melting_Curves/meltCurve_P46976_2_GYG1.pdf")</f>
        <v>Melting_Curves/meltCurve_P46976_2_GYG1.pdf</v>
      </c>
    </row>
    <row r="2294" spans="1:28" x14ac:dyDescent="0.25">
      <c r="A2294" t="s">
        <v>2298</v>
      </c>
      <c r="B2294">
        <v>0.99299721793515405</v>
      </c>
      <c r="C2294">
        <v>1.2052337675771401</v>
      </c>
      <c r="D2294">
        <v>1.0646301878951201</v>
      </c>
      <c r="E2294">
        <v>0.98889586807076402</v>
      </c>
      <c r="F2294">
        <v>0.89543230432830501</v>
      </c>
      <c r="G2294">
        <v>0.96135673596533899</v>
      </c>
      <c r="H2294">
        <v>0.48985240911866301</v>
      </c>
      <c r="I2294">
        <v>0.299452040065671</v>
      </c>
      <c r="J2294">
        <v>0.32681136136079397</v>
      </c>
      <c r="K2294">
        <v>0.25139976922339402</v>
      </c>
      <c r="L2294">
        <v>3129.4395584387698</v>
      </c>
      <c r="M2294">
        <v>55.440508508847998</v>
      </c>
      <c r="N2294">
        <v>57.335419625042299</v>
      </c>
      <c r="O2294">
        <v>56.373505304509997</v>
      </c>
      <c r="P2294">
        <v>-0.174990376132311</v>
      </c>
      <c r="Q2294">
        <v>0.28825939716397397</v>
      </c>
      <c r="R2294">
        <v>0.94937706687837697</v>
      </c>
      <c r="S2294" t="s">
        <v>7845</v>
      </c>
      <c r="T2294" t="s">
        <v>11100</v>
      </c>
      <c r="U2294" t="s">
        <v>11100</v>
      </c>
      <c r="V2294" t="s">
        <v>11100</v>
      </c>
      <c r="W2294" t="s">
        <v>13354</v>
      </c>
      <c r="X2294">
        <v>10</v>
      </c>
      <c r="Y2294" t="s">
        <v>18823</v>
      </c>
      <c r="Z2294" t="s">
        <v>24299</v>
      </c>
      <c r="AA2294">
        <v>0.75106290783317431</v>
      </c>
      <c r="AB2294" t="str">
        <f>HYPERLINK("Melting_Curves/meltCurve_P46977_STT3A.pdf", "Melting_Curves/meltCurve_P46977_STT3A.pdf")</f>
        <v>Melting_Curves/meltCurve_P46977_STT3A.pdf</v>
      </c>
    </row>
    <row r="2295" spans="1:28" x14ac:dyDescent="0.25">
      <c r="A2295" t="s">
        <v>2299</v>
      </c>
      <c r="B2295">
        <v>0.99299721793515405</v>
      </c>
      <c r="C2295">
        <v>0.98742314298899803</v>
      </c>
      <c r="D2295">
        <v>0.92691100513873304</v>
      </c>
      <c r="E2295">
        <v>0.95108679862052203</v>
      </c>
      <c r="F2295">
        <v>0.81351324020730897</v>
      </c>
      <c r="G2295">
        <v>0.45116632590031303</v>
      </c>
      <c r="H2295">
        <v>0.53950191177984597</v>
      </c>
      <c r="I2295">
        <v>0.59356316784237595</v>
      </c>
      <c r="J2295">
        <v>0.43388709884001198</v>
      </c>
      <c r="K2295">
        <v>0.26598932595618102</v>
      </c>
      <c r="L2295">
        <v>12582.555277969799</v>
      </c>
      <c r="M2295">
        <v>250</v>
      </c>
      <c r="N2295">
        <v>50.828188188891403</v>
      </c>
      <c r="O2295">
        <v>50.326992275896998</v>
      </c>
      <c r="P2295">
        <v>-0.67456141997137897</v>
      </c>
      <c r="Q2295">
        <v>0.456821555730691</v>
      </c>
      <c r="R2295">
        <v>0.89225586048115801</v>
      </c>
      <c r="S2295" t="s">
        <v>7846</v>
      </c>
      <c r="T2295" t="s">
        <v>11100</v>
      </c>
      <c r="U2295" t="s">
        <v>11100</v>
      </c>
      <c r="V2295" t="s">
        <v>11100</v>
      </c>
      <c r="W2295" t="s">
        <v>13355</v>
      </c>
      <c r="X2295">
        <v>1</v>
      </c>
      <c r="Y2295" t="s">
        <v>18824</v>
      </c>
      <c r="Z2295" t="s">
        <v>24300</v>
      </c>
      <c r="AA2295">
        <v>0.69822582618348972</v>
      </c>
      <c r="AB2295" t="str">
        <f>HYPERLINK("Melting_Curves/meltCurve_P47224_RABIF.pdf", "Melting_Curves/meltCurve_P47224_RABIF.pdf")</f>
        <v>Melting_Curves/meltCurve_P47224_RABIF.pdf</v>
      </c>
    </row>
    <row r="2296" spans="1:28" x14ac:dyDescent="0.25">
      <c r="A2296" t="s">
        <v>2300</v>
      </c>
      <c r="B2296">
        <v>0.99299721793515405</v>
      </c>
      <c r="C2296">
        <v>0.93280530299778097</v>
      </c>
      <c r="D2296">
        <v>0.96536856100865198</v>
      </c>
      <c r="E2296">
        <v>0.91211890391656603</v>
      </c>
      <c r="F2296">
        <v>0.790981337664736</v>
      </c>
      <c r="G2296">
        <v>0.42943098254766798</v>
      </c>
      <c r="H2296">
        <v>0.24769784963255601</v>
      </c>
      <c r="I2296">
        <v>0.21456908293830901</v>
      </c>
      <c r="J2296">
        <v>0.174698268008706</v>
      </c>
      <c r="K2296">
        <v>0.138579675502566</v>
      </c>
      <c r="L2296">
        <v>1165.74592745482</v>
      </c>
      <c r="M2296">
        <v>22.297086219092002</v>
      </c>
      <c r="N2296">
        <v>53.157251008380001</v>
      </c>
      <c r="O2296">
        <v>51.867326067622002</v>
      </c>
      <c r="P2296">
        <v>-9.0968480022560902E-2</v>
      </c>
      <c r="Q2296">
        <v>0.153576725322042</v>
      </c>
      <c r="R2296">
        <v>0.99254129001784397</v>
      </c>
      <c r="S2296" t="s">
        <v>7847</v>
      </c>
      <c r="T2296" t="s">
        <v>11100</v>
      </c>
      <c r="U2296" t="s">
        <v>11100</v>
      </c>
      <c r="V2296" t="s">
        <v>11100</v>
      </c>
      <c r="W2296" t="s">
        <v>13356</v>
      </c>
      <c r="X2296">
        <v>5</v>
      </c>
      <c r="Y2296" t="s">
        <v>18825</v>
      </c>
      <c r="Z2296" t="s">
        <v>24301</v>
      </c>
      <c r="AA2296">
        <v>0.59388986521942422</v>
      </c>
      <c r="AB2296" t="str">
        <f>HYPERLINK("Melting_Curves/meltCurve_P47712_PLA2G4A.pdf", "Melting_Curves/meltCurve_P47712_PLA2G4A.pdf")</f>
        <v>Melting_Curves/meltCurve_P47712_PLA2G4A.pdf</v>
      </c>
    </row>
    <row r="2297" spans="1:28" x14ac:dyDescent="0.25">
      <c r="A2297" t="s">
        <v>2301</v>
      </c>
      <c r="B2297">
        <v>0.99299721793515405</v>
      </c>
      <c r="C2297">
        <v>0.88338071836898702</v>
      </c>
      <c r="D2297">
        <v>0.89095222016702402</v>
      </c>
      <c r="E2297">
        <v>0.771835253869528</v>
      </c>
      <c r="F2297">
        <v>0.71601897078496801</v>
      </c>
      <c r="G2297">
        <v>0.58312189224372901</v>
      </c>
      <c r="H2297">
        <v>0.46363132872692298</v>
      </c>
      <c r="I2297">
        <v>0.34162333126363098</v>
      </c>
      <c r="J2297">
        <v>0.25907036262387001</v>
      </c>
      <c r="K2297">
        <v>0.19625159668793701</v>
      </c>
      <c r="L2297">
        <v>404.45088842440401</v>
      </c>
      <c r="M2297">
        <v>7.2740412185523899</v>
      </c>
      <c r="N2297">
        <v>55.601953796776101</v>
      </c>
      <c r="O2297">
        <v>51.861606677607597</v>
      </c>
      <c r="P2297">
        <v>-3.5121135518042398E-2</v>
      </c>
      <c r="Q2297">
        <v>0</v>
      </c>
      <c r="R2297">
        <v>0.98878320039267997</v>
      </c>
      <c r="S2297" t="s">
        <v>7848</v>
      </c>
      <c r="T2297" t="s">
        <v>11100</v>
      </c>
      <c r="U2297" t="s">
        <v>11100</v>
      </c>
      <c r="V2297" t="s">
        <v>11100</v>
      </c>
      <c r="W2297" t="s">
        <v>13357</v>
      </c>
      <c r="X2297">
        <v>12</v>
      </c>
      <c r="Y2297" t="s">
        <v>18826</v>
      </c>
      <c r="Z2297" t="s">
        <v>24302</v>
      </c>
      <c r="AA2297">
        <v>0.61790335039149746</v>
      </c>
      <c r="AB2297" t="str">
        <f>HYPERLINK("Melting_Curves/meltCurve_P47755_CAPZA2.pdf", "Melting_Curves/meltCurve_P47755_CAPZA2.pdf")</f>
        <v>Melting_Curves/meltCurve_P47755_CAPZA2.pdf</v>
      </c>
    </row>
    <row r="2298" spans="1:28" x14ac:dyDescent="0.25">
      <c r="A2298" t="s">
        <v>2302</v>
      </c>
      <c r="B2298">
        <v>0.99299721793515405</v>
      </c>
      <c r="C2298">
        <v>1.02879146355662</v>
      </c>
      <c r="D2298">
        <v>1.0053724960869601</v>
      </c>
      <c r="E2298">
        <v>0.87707564444964103</v>
      </c>
      <c r="F2298">
        <v>0.74612199795577505</v>
      </c>
      <c r="G2298">
        <v>0.73225458550193401</v>
      </c>
      <c r="H2298">
        <v>0.58240832313193402</v>
      </c>
      <c r="I2298">
        <v>0.391276798458084</v>
      </c>
      <c r="J2298">
        <v>0.25446292832110001</v>
      </c>
      <c r="K2298">
        <v>0.176074868233872</v>
      </c>
      <c r="L2298">
        <v>578.73182876247904</v>
      </c>
      <c r="M2298">
        <v>9.9640297317750193</v>
      </c>
      <c r="N2298">
        <v>58.0821057833762</v>
      </c>
      <c r="O2298">
        <v>55.887925927511198</v>
      </c>
      <c r="P2298">
        <v>-4.4593460083043698E-2</v>
      </c>
      <c r="Q2298">
        <v>0</v>
      </c>
      <c r="R2298">
        <v>0.98009780798313895</v>
      </c>
      <c r="S2298" t="s">
        <v>7849</v>
      </c>
      <c r="T2298" t="s">
        <v>11100</v>
      </c>
      <c r="U2298" t="s">
        <v>11100</v>
      </c>
      <c r="V2298" t="s">
        <v>11100</v>
      </c>
      <c r="W2298" t="s">
        <v>13358</v>
      </c>
      <c r="X2298">
        <v>19</v>
      </c>
      <c r="Y2298" t="s">
        <v>18827</v>
      </c>
      <c r="Z2298" t="s">
        <v>24303</v>
      </c>
      <c r="AA2298">
        <v>0.69331288288527837</v>
      </c>
      <c r="AB2298" t="str">
        <f>HYPERLINK("Melting_Curves/meltCurve_P47756_2_CAPZB.pdf", "Melting_Curves/meltCurve_P47756_2_CAPZB.pdf")</f>
        <v>Melting_Curves/meltCurve_P47756_2_CAPZB.pdf</v>
      </c>
    </row>
    <row r="2299" spans="1:28" x14ac:dyDescent="0.25">
      <c r="A2299" t="s">
        <v>2303</v>
      </c>
      <c r="B2299">
        <v>0.99299721793515405</v>
      </c>
      <c r="C2299">
        <v>1.1361356094377</v>
      </c>
      <c r="D2299">
        <v>1.18017582032625</v>
      </c>
      <c r="E2299">
        <v>1.1083974209098999</v>
      </c>
      <c r="F2299">
        <v>0.83146528225810901</v>
      </c>
      <c r="G2299">
        <v>0.66808782988684301</v>
      </c>
      <c r="H2299">
        <v>0.46566065655304001</v>
      </c>
      <c r="I2299">
        <v>0.271589148958778</v>
      </c>
      <c r="J2299">
        <v>0.17538582019084201</v>
      </c>
      <c r="K2299">
        <v>0.112781338617976</v>
      </c>
      <c r="L2299">
        <v>970.23275780090898</v>
      </c>
      <c r="M2299">
        <v>17.336016433087199</v>
      </c>
      <c r="N2299">
        <v>56.540565768081997</v>
      </c>
      <c r="O2299">
        <v>55.2375543672213</v>
      </c>
      <c r="P2299">
        <v>-7.2131821251779304E-2</v>
      </c>
      <c r="Q2299">
        <v>8.0721707610625998E-2</v>
      </c>
      <c r="R2299">
        <v>0.95055668591000997</v>
      </c>
      <c r="S2299" t="s">
        <v>7850</v>
      </c>
      <c r="T2299" t="s">
        <v>11100</v>
      </c>
      <c r="U2299" t="s">
        <v>11100</v>
      </c>
      <c r="V2299" t="s">
        <v>11100</v>
      </c>
      <c r="W2299" t="s">
        <v>13359</v>
      </c>
      <c r="X2299">
        <v>9</v>
      </c>
      <c r="Y2299" t="s">
        <v>18828</v>
      </c>
      <c r="Z2299" t="s">
        <v>24304</v>
      </c>
      <c r="AA2299">
        <v>0.67227158664358266</v>
      </c>
      <c r="AB2299" t="str">
        <f>HYPERLINK("Melting_Curves/meltCurve_P47813_EIF1AX.pdf", "Melting_Curves/meltCurve_P47813_EIF1AX.pdf")</f>
        <v>Melting_Curves/meltCurve_P47813_EIF1AX.pdf</v>
      </c>
    </row>
    <row r="2300" spans="1:28" x14ac:dyDescent="0.25">
      <c r="A2300" t="s">
        <v>2304</v>
      </c>
      <c r="B2300">
        <v>0.99299721793515405</v>
      </c>
      <c r="C2300">
        <v>0.93617003520160402</v>
      </c>
      <c r="D2300">
        <v>1.0896804224233101</v>
      </c>
      <c r="E2300">
        <v>0.98326179394847602</v>
      </c>
      <c r="F2300">
        <v>0.93801151062616295</v>
      </c>
      <c r="G2300">
        <v>0.96364305547964602</v>
      </c>
      <c r="H2300">
        <v>1.1686988910768199</v>
      </c>
      <c r="I2300">
        <v>0.62002991650841399</v>
      </c>
      <c r="J2300">
        <v>0.43419189351467402</v>
      </c>
      <c r="K2300">
        <v>0.53505162827962305</v>
      </c>
      <c r="L2300">
        <v>15000</v>
      </c>
      <c r="M2300">
        <v>246.933436282938</v>
      </c>
      <c r="N2300">
        <v>61.6138403819931</v>
      </c>
      <c r="O2300">
        <v>60.7411306435827</v>
      </c>
      <c r="P2300">
        <v>-0.52379760422288901</v>
      </c>
      <c r="Q2300">
        <v>0.48462129475736898</v>
      </c>
      <c r="R2300">
        <v>0.90659241653788403</v>
      </c>
      <c r="S2300" t="s">
        <v>7851</v>
      </c>
      <c r="T2300" t="s">
        <v>11100</v>
      </c>
      <c r="U2300" t="s">
        <v>11100</v>
      </c>
      <c r="V2300" t="s">
        <v>11100</v>
      </c>
      <c r="W2300" t="s">
        <v>13360</v>
      </c>
      <c r="X2300">
        <v>5</v>
      </c>
      <c r="Y2300" t="s">
        <v>18829</v>
      </c>
      <c r="Z2300" t="s">
        <v>24305</v>
      </c>
      <c r="AA2300">
        <v>0.89260183291198925</v>
      </c>
      <c r="AB2300" t="str">
        <f>HYPERLINK("Melting_Curves/meltCurve_P47914_RPL29.pdf", "Melting_Curves/meltCurve_P47914_RPL29.pdf")</f>
        <v>Melting_Curves/meltCurve_P47914_RPL29.pdf</v>
      </c>
    </row>
    <row r="2301" spans="1:28" x14ac:dyDescent="0.25">
      <c r="A2301" t="s">
        <v>2305</v>
      </c>
      <c r="B2301">
        <v>0.99299721793515405</v>
      </c>
      <c r="C2301">
        <v>0.91203111896407896</v>
      </c>
      <c r="D2301">
        <v>0.94444253470444905</v>
      </c>
      <c r="E2301">
        <v>0.96402109936209301</v>
      </c>
      <c r="F2301">
        <v>0.78305261317444796</v>
      </c>
      <c r="G2301">
        <v>0.52902789534313999</v>
      </c>
      <c r="H2301">
        <v>0.47919658595474801</v>
      </c>
      <c r="I2301">
        <v>0.51837920662585502</v>
      </c>
      <c r="J2301">
        <v>0.49480449796357001</v>
      </c>
      <c r="K2301">
        <v>0.44391780825363097</v>
      </c>
      <c r="L2301">
        <v>1769.9682770845</v>
      </c>
      <c r="M2301">
        <v>34.975051040624301</v>
      </c>
      <c r="N2301">
        <v>55.746982231679901</v>
      </c>
      <c r="O2301">
        <v>50.442010266479798</v>
      </c>
      <c r="P2301">
        <v>-9.0117362021560496E-2</v>
      </c>
      <c r="Q2301">
        <v>0.48012257916183299</v>
      </c>
      <c r="R2301">
        <v>0.971214807119262</v>
      </c>
      <c r="S2301" t="s">
        <v>7852</v>
      </c>
      <c r="T2301" t="s">
        <v>11100</v>
      </c>
      <c r="U2301" t="s">
        <v>11100</v>
      </c>
      <c r="V2301" t="s">
        <v>11100</v>
      </c>
      <c r="W2301" t="s">
        <v>13361</v>
      </c>
      <c r="X2301">
        <v>3</v>
      </c>
      <c r="Y2301" t="s">
        <v>18830</v>
      </c>
      <c r="Z2301" t="s">
        <v>24306</v>
      </c>
      <c r="AA2301">
        <v>0.71829143813759633</v>
      </c>
      <c r="AB2301" t="str">
        <f>HYPERLINK("Melting_Curves/meltCurve_P47928_ID4.pdf", "Melting_Curves/meltCurve_P47928_ID4.pdf")</f>
        <v>Melting_Curves/meltCurve_P47928_ID4.pdf</v>
      </c>
    </row>
    <row r="2302" spans="1:28" x14ac:dyDescent="0.25">
      <c r="A2302" t="s">
        <v>2306</v>
      </c>
      <c r="B2302">
        <v>0.99299721793515405</v>
      </c>
      <c r="C2302">
        <v>0.90746538245804298</v>
      </c>
      <c r="D2302">
        <v>1.10844358034316</v>
      </c>
      <c r="E2302">
        <v>0.78092291654644896</v>
      </c>
      <c r="F2302">
        <v>0.73345129598633496</v>
      </c>
      <c r="G2302">
        <v>0.66261340645941003</v>
      </c>
      <c r="H2302">
        <v>0.65077446088641899</v>
      </c>
      <c r="I2302">
        <v>0.76427724091157401</v>
      </c>
      <c r="J2302">
        <v>0.43961668621080502</v>
      </c>
      <c r="K2302">
        <v>0.50980816178017196</v>
      </c>
      <c r="L2302">
        <v>485.94894373780397</v>
      </c>
      <c r="M2302">
        <v>9.4354831619283601</v>
      </c>
      <c r="O2302">
        <v>49.347899207726201</v>
      </c>
      <c r="P2302">
        <v>-2.4550676951392899E-2</v>
      </c>
      <c r="Q2302">
        <v>0.48670806470532102</v>
      </c>
      <c r="R2302">
        <v>0.76063426079505003</v>
      </c>
      <c r="S2302" t="s">
        <v>7853</v>
      </c>
      <c r="T2302" t="s">
        <v>11100</v>
      </c>
      <c r="U2302" t="s">
        <v>11100</v>
      </c>
      <c r="V2302" t="s">
        <v>11100</v>
      </c>
      <c r="W2302" t="s">
        <v>13362</v>
      </c>
      <c r="X2302">
        <v>10</v>
      </c>
      <c r="Y2302" t="s">
        <v>18831</v>
      </c>
      <c r="Z2302" t="s">
        <v>24307</v>
      </c>
      <c r="AA2302">
        <v>0.75002510686720036</v>
      </c>
      <c r="AB2302" t="str">
        <f>HYPERLINK("Melting_Curves/meltCurve_P47985_UQCRFS1.pdf", "Melting_Curves/meltCurve_P47985_UQCRFS1.pdf")</f>
        <v>Melting_Curves/meltCurve_P47985_UQCRFS1.pdf</v>
      </c>
    </row>
    <row r="2303" spans="1:28" x14ac:dyDescent="0.25">
      <c r="A2303" t="s">
        <v>2307</v>
      </c>
      <c r="B2303">
        <v>0.99299721793515405</v>
      </c>
      <c r="C2303">
        <v>0.99856659184134799</v>
      </c>
      <c r="D2303">
        <v>0.96125633065023197</v>
      </c>
      <c r="E2303">
        <v>0.87728566488787996</v>
      </c>
      <c r="F2303">
        <v>0.69346590376839501</v>
      </c>
      <c r="G2303">
        <v>0.525742711018375</v>
      </c>
      <c r="H2303">
        <v>0.51169523605061795</v>
      </c>
      <c r="I2303">
        <v>0.63990438636502101</v>
      </c>
      <c r="J2303">
        <v>0.66694730182555495</v>
      </c>
      <c r="K2303">
        <v>0.46347776867857798</v>
      </c>
      <c r="L2303">
        <v>1377.59895770361</v>
      </c>
      <c r="M2303">
        <v>28.5565363076796</v>
      </c>
      <c r="O2303">
        <v>48.006397743512203</v>
      </c>
      <c r="P2303">
        <v>-6.5451834122304403E-2</v>
      </c>
      <c r="Q2303">
        <v>0.55987914406267603</v>
      </c>
      <c r="R2303">
        <v>0.912363902212314</v>
      </c>
      <c r="S2303" t="s">
        <v>7854</v>
      </c>
      <c r="T2303" t="s">
        <v>11100</v>
      </c>
      <c r="U2303" t="s">
        <v>11100</v>
      </c>
      <c r="V2303" t="s">
        <v>11100</v>
      </c>
      <c r="W2303" t="s">
        <v>13363</v>
      </c>
      <c r="X2303">
        <v>1</v>
      </c>
      <c r="Y2303" t="s">
        <v>18832</v>
      </c>
      <c r="Z2303" t="s">
        <v>24308</v>
      </c>
      <c r="AA2303">
        <v>0.72768398411758872</v>
      </c>
      <c r="AB2303" t="str">
        <f>HYPERLINK("Melting_Curves/meltCurve_P48029_3_SLC6A8.pdf", "Melting_Curves/meltCurve_P48029_3_SLC6A8.pdf")</f>
        <v>Melting_Curves/meltCurve_P48029_3_SLC6A8.pdf</v>
      </c>
    </row>
    <row r="2304" spans="1:28" x14ac:dyDescent="0.25">
      <c r="A2304" t="s">
        <v>2308</v>
      </c>
      <c r="B2304">
        <v>0.99299721793515405</v>
      </c>
      <c r="C2304">
        <v>0.93044152069415997</v>
      </c>
      <c r="D2304">
        <v>0.84380904871241502</v>
      </c>
      <c r="E2304">
        <v>0.79807801709106696</v>
      </c>
      <c r="F2304">
        <v>0.67655225486128101</v>
      </c>
      <c r="G2304">
        <v>0.93653595622528196</v>
      </c>
      <c r="H2304">
        <v>1.4387571318653201</v>
      </c>
      <c r="I2304">
        <v>1.4661653712903999</v>
      </c>
      <c r="J2304">
        <v>1.2157303518742599</v>
      </c>
      <c r="K2304">
        <v>0.92121096781749201</v>
      </c>
      <c r="L2304">
        <v>13858.4019057365</v>
      </c>
      <c r="M2304">
        <v>250</v>
      </c>
      <c r="O2304">
        <v>55.430060255710501</v>
      </c>
      <c r="P2304">
        <v>0.29368298444103103</v>
      </c>
      <c r="Q2304">
        <v>1.2604618479979599</v>
      </c>
      <c r="R2304">
        <v>0.418726043750691</v>
      </c>
      <c r="S2304" t="s">
        <v>7855</v>
      </c>
      <c r="T2304" t="s">
        <v>11100</v>
      </c>
      <c r="U2304" t="s">
        <v>11100</v>
      </c>
      <c r="V2304" t="s">
        <v>11100</v>
      </c>
      <c r="W2304" t="s">
        <v>13364</v>
      </c>
      <c r="X2304">
        <v>11</v>
      </c>
      <c r="Y2304" t="s">
        <v>18833</v>
      </c>
      <c r="Z2304" t="s">
        <v>24309</v>
      </c>
      <c r="AA2304">
        <v>1.100394792044783</v>
      </c>
      <c r="AB2304" t="str">
        <f>HYPERLINK("Melting_Curves/meltCurve_P48047_ATP5O.pdf", "Melting_Curves/meltCurve_P48047_ATP5O.pdf")</f>
        <v>Melting_Curves/meltCurve_P48047_ATP5O.pdf</v>
      </c>
    </row>
    <row r="2305" spans="1:28" x14ac:dyDescent="0.25">
      <c r="A2305" t="s">
        <v>2309</v>
      </c>
      <c r="B2305">
        <v>0.99299721793515405</v>
      </c>
      <c r="C2305">
        <v>0.98422909715164797</v>
      </c>
      <c r="D2305">
        <v>0.88226740743111598</v>
      </c>
      <c r="E2305">
        <v>0.80001767745119701</v>
      </c>
      <c r="F2305">
        <v>0.65723125380690095</v>
      </c>
      <c r="G2305">
        <v>0.61402516477989999</v>
      </c>
      <c r="H2305">
        <v>0.56390181276904106</v>
      </c>
      <c r="I2305">
        <v>0.45811591085952802</v>
      </c>
      <c r="J2305">
        <v>0.30927981287811102</v>
      </c>
      <c r="K2305">
        <v>0.240163726619984</v>
      </c>
      <c r="L2305">
        <v>368.201331250865</v>
      </c>
      <c r="M2305">
        <v>6.4084312752815</v>
      </c>
      <c r="N2305">
        <v>57.455766667823603</v>
      </c>
      <c r="O2305">
        <v>52.626288856309898</v>
      </c>
      <c r="P2305">
        <v>-3.0520929658576501E-2</v>
      </c>
      <c r="Q2305">
        <v>0</v>
      </c>
      <c r="R2305">
        <v>0.97551847550144399</v>
      </c>
      <c r="S2305" t="s">
        <v>7856</v>
      </c>
      <c r="T2305" t="s">
        <v>11100</v>
      </c>
      <c r="U2305" t="s">
        <v>11100</v>
      </c>
      <c r="V2305" t="s">
        <v>11100</v>
      </c>
      <c r="W2305" t="s">
        <v>13365</v>
      </c>
      <c r="X2305">
        <v>6</v>
      </c>
      <c r="Y2305" t="s">
        <v>18834</v>
      </c>
      <c r="Z2305" t="s">
        <v>24310</v>
      </c>
      <c r="AA2305">
        <v>0.65207157904056967</v>
      </c>
      <c r="AB2305" t="str">
        <f>HYPERLINK("Melting_Curves/meltCurve_P48050_KCNJ4.pdf", "Melting_Curves/meltCurve_P48050_KCNJ4.pdf")</f>
        <v>Melting_Curves/meltCurve_P48050_KCNJ4.pdf</v>
      </c>
    </row>
    <row r="2306" spans="1:28" x14ac:dyDescent="0.25">
      <c r="A2306" t="s">
        <v>2310</v>
      </c>
      <c r="B2306">
        <v>0.99299721793515405</v>
      </c>
      <c r="C2306">
        <v>0.96514917611766504</v>
      </c>
      <c r="D2306">
        <v>0.94170320842141997</v>
      </c>
      <c r="E2306">
        <v>0.83451277010531499</v>
      </c>
      <c r="F2306">
        <v>0.74647538387133106</v>
      </c>
      <c r="G2306">
        <v>0.56066026595213603</v>
      </c>
      <c r="H2306">
        <v>0.540037802685716</v>
      </c>
      <c r="I2306">
        <v>0.59882082628201105</v>
      </c>
      <c r="J2306">
        <v>0.41621346553698801</v>
      </c>
      <c r="K2306">
        <v>0.25875509121083801</v>
      </c>
      <c r="L2306">
        <v>354.14514217321403</v>
      </c>
      <c r="M2306">
        <v>5.9545441471702496</v>
      </c>
      <c r="N2306">
        <v>59.474793131213701</v>
      </c>
      <c r="O2306">
        <v>53.804535436582</v>
      </c>
      <c r="P2306">
        <v>-2.7759541239836798E-2</v>
      </c>
      <c r="Q2306">
        <v>0</v>
      </c>
      <c r="R2306">
        <v>0.93651783690070201</v>
      </c>
      <c r="S2306" t="s">
        <v>7857</v>
      </c>
      <c r="T2306" t="s">
        <v>11100</v>
      </c>
      <c r="U2306" t="s">
        <v>11100</v>
      </c>
      <c r="V2306" t="s">
        <v>11100</v>
      </c>
      <c r="W2306" t="s">
        <v>13366</v>
      </c>
      <c r="X2306">
        <v>8</v>
      </c>
      <c r="Y2306" t="s">
        <v>18835</v>
      </c>
      <c r="Z2306" t="s">
        <v>24311</v>
      </c>
      <c r="AA2306">
        <v>0.68641794897569608</v>
      </c>
      <c r="AB2306" t="str">
        <f>HYPERLINK("Melting_Curves/meltCurve_P48059_LIMS1.pdf", "Melting_Curves/meltCurve_P48059_LIMS1.pdf")</f>
        <v>Melting_Curves/meltCurve_P48059_LIMS1.pdf</v>
      </c>
    </row>
    <row r="2307" spans="1:28" x14ac:dyDescent="0.25">
      <c r="A2307" t="s">
        <v>2311</v>
      </c>
      <c r="B2307">
        <v>0.99299721793515405</v>
      </c>
      <c r="C2307">
        <v>0.94110692087496095</v>
      </c>
      <c r="D2307">
        <v>0.82881719231842899</v>
      </c>
      <c r="E2307">
        <v>0.73346891002556802</v>
      </c>
      <c r="F2307">
        <v>0.71397697073306698</v>
      </c>
      <c r="G2307">
        <v>0.62475148775793599</v>
      </c>
      <c r="H2307">
        <v>0.56648299999339002</v>
      </c>
      <c r="I2307">
        <v>0.68329714646033002</v>
      </c>
      <c r="J2307">
        <v>0.59374755777816401</v>
      </c>
      <c r="K2307">
        <v>0.418323402299143</v>
      </c>
      <c r="L2307">
        <v>382.58394522635899</v>
      </c>
      <c r="M2307">
        <v>7.9918518417454303</v>
      </c>
      <c r="O2307">
        <v>45.153240956575402</v>
      </c>
      <c r="P2307">
        <v>-2.27270138444663E-2</v>
      </c>
      <c r="Q2307">
        <v>0.486960151285184</v>
      </c>
      <c r="R2307">
        <v>0.87239781662864302</v>
      </c>
      <c r="S2307" t="s">
        <v>7858</v>
      </c>
      <c r="T2307" t="s">
        <v>11100</v>
      </c>
      <c r="U2307" t="s">
        <v>11100</v>
      </c>
      <c r="V2307" t="s">
        <v>11100</v>
      </c>
      <c r="W2307" t="s">
        <v>13367</v>
      </c>
      <c r="X2307">
        <v>2</v>
      </c>
      <c r="Y2307" t="s">
        <v>18836</v>
      </c>
      <c r="Z2307" t="s">
        <v>24312</v>
      </c>
      <c r="AA2307">
        <v>0.69989806327377102</v>
      </c>
      <c r="AB2307" t="str">
        <f>HYPERLINK("Melting_Curves/meltCurve_P48066_SLC6A11.pdf", "Melting_Curves/meltCurve_P48066_SLC6A11.pdf")</f>
        <v>Melting_Curves/meltCurve_P48066_SLC6A11.pdf</v>
      </c>
    </row>
    <row r="2308" spans="1:28" x14ac:dyDescent="0.25">
      <c r="A2308" t="s">
        <v>2312</v>
      </c>
      <c r="B2308">
        <v>0.99299721793515405</v>
      </c>
      <c r="C2308">
        <v>0.99656178811820095</v>
      </c>
      <c r="D2308">
        <v>0.93702830086205402</v>
      </c>
      <c r="E2308">
        <v>0.89742335104270199</v>
      </c>
      <c r="F2308">
        <v>0.69823513364307299</v>
      </c>
      <c r="G2308">
        <v>0.242582663179125</v>
      </c>
      <c r="H2308">
        <v>0.16830226302478901</v>
      </c>
      <c r="I2308">
        <v>0.12807317633701801</v>
      </c>
      <c r="J2308">
        <v>0.110872427230227</v>
      </c>
      <c r="K2308">
        <v>8.1490862335243094E-2</v>
      </c>
      <c r="L2308">
        <v>1424.76682644065</v>
      </c>
      <c r="M2308">
        <v>27.870136853336401</v>
      </c>
      <c r="N2308">
        <v>51.546983320126998</v>
      </c>
      <c r="O2308">
        <v>50.860606525502199</v>
      </c>
      <c r="P2308">
        <v>-0.12292130231534699</v>
      </c>
      <c r="Q2308">
        <v>0.102724549408916</v>
      </c>
      <c r="R2308">
        <v>0.99355509654188001</v>
      </c>
      <c r="S2308" t="s">
        <v>7859</v>
      </c>
      <c r="T2308" t="s">
        <v>11100</v>
      </c>
      <c r="U2308" t="s">
        <v>11100</v>
      </c>
      <c r="V2308" t="s">
        <v>11100</v>
      </c>
      <c r="W2308" t="s">
        <v>13368</v>
      </c>
      <c r="X2308">
        <v>33</v>
      </c>
      <c r="Y2308" t="s">
        <v>17399</v>
      </c>
      <c r="Z2308" t="s">
        <v>24313</v>
      </c>
      <c r="AA2308">
        <v>0.53154627900171481</v>
      </c>
      <c r="AB2308" t="str">
        <f>HYPERLINK("Melting_Curves/meltCurve_P48147_PREP.pdf", "Melting_Curves/meltCurve_P48147_PREP.pdf")</f>
        <v>Melting_Curves/meltCurve_P48147_PREP.pdf</v>
      </c>
    </row>
    <row r="2309" spans="1:28" x14ac:dyDescent="0.25">
      <c r="A2309" t="s">
        <v>2313</v>
      </c>
      <c r="B2309">
        <v>0.99299721793515405</v>
      </c>
      <c r="C2309">
        <v>0.95193743509175499</v>
      </c>
      <c r="D2309">
        <v>0.97307061672636896</v>
      </c>
      <c r="E2309">
        <v>0.80699243800968901</v>
      </c>
      <c r="F2309">
        <v>0.79144406261084199</v>
      </c>
      <c r="G2309">
        <v>1.0431249334016399</v>
      </c>
      <c r="H2309">
        <v>1.0991395733336899</v>
      </c>
      <c r="I2309">
        <v>1.03156020818489</v>
      </c>
      <c r="J2309">
        <v>0.45734269170942898</v>
      </c>
      <c r="K2309">
        <v>0.33654843032102899</v>
      </c>
      <c r="L2309">
        <v>15000</v>
      </c>
      <c r="M2309">
        <v>235.511598748338</v>
      </c>
      <c r="N2309">
        <v>63.994929661945903</v>
      </c>
      <c r="O2309">
        <v>63.6865384610267</v>
      </c>
      <c r="P2309">
        <v>-0.61336728473817403</v>
      </c>
      <c r="Q2309">
        <v>0.33653817441046502</v>
      </c>
      <c r="R2309">
        <v>0.83950754168857</v>
      </c>
      <c r="S2309" t="s">
        <v>7860</v>
      </c>
      <c r="T2309" t="s">
        <v>11100</v>
      </c>
      <c r="U2309" t="s">
        <v>11100</v>
      </c>
      <c r="V2309" t="s">
        <v>11100</v>
      </c>
      <c r="W2309" t="s">
        <v>13369</v>
      </c>
      <c r="X2309">
        <v>10</v>
      </c>
      <c r="Y2309" t="s">
        <v>18837</v>
      </c>
      <c r="Z2309" t="s">
        <v>24314</v>
      </c>
      <c r="AA2309">
        <v>0.92690655733915617</v>
      </c>
      <c r="AB2309" t="str">
        <f>HYPERLINK("Melting_Curves/meltCurve_P48163_ME1.pdf", "Melting_Curves/meltCurve_P48163_ME1.pdf")</f>
        <v>Melting_Curves/meltCurve_P48163_ME1.pdf</v>
      </c>
    </row>
    <row r="2310" spans="1:28" x14ac:dyDescent="0.25">
      <c r="A2310" t="s">
        <v>2314</v>
      </c>
      <c r="B2310">
        <v>0.99299721793515405</v>
      </c>
      <c r="C2310">
        <v>0.97891230080453495</v>
      </c>
      <c r="D2310">
        <v>0.79616996625214598</v>
      </c>
      <c r="E2310">
        <v>0.81153456007257796</v>
      </c>
      <c r="F2310">
        <v>0.70860572719405901</v>
      </c>
      <c r="G2310">
        <v>0.24220321878398099</v>
      </c>
      <c r="H2310">
        <v>0.27843851603683301</v>
      </c>
      <c r="I2310">
        <v>0.26480521226213299</v>
      </c>
      <c r="J2310">
        <v>0.25268058369310198</v>
      </c>
      <c r="K2310">
        <v>0.14293931858907399</v>
      </c>
      <c r="L2310">
        <v>699.72638071645804</v>
      </c>
      <c r="M2310">
        <v>13.9424079194265</v>
      </c>
      <c r="N2310">
        <v>51.591853103284102</v>
      </c>
      <c r="O2310">
        <v>49.188277921749801</v>
      </c>
      <c r="P2310">
        <v>-5.9677146621596497E-2</v>
      </c>
      <c r="Q2310">
        <v>0.15795845370092801</v>
      </c>
      <c r="R2310">
        <v>0.93819616345649504</v>
      </c>
      <c r="S2310" t="s">
        <v>7861</v>
      </c>
      <c r="T2310" t="s">
        <v>11100</v>
      </c>
      <c r="U2310" t="s">
        <v>11100</v>
      </c>
      <c r="V2310" t="s">
        <v>11100</v>
      </c>
      <c r="W2310" t="s">
        <v>13370</v>
      </c>
      <c r="X2310">
        <v>4</v>
      </c>
      <c r="Y2310" t="s">
        <v>18838</v>
      </c>
      <c r="Z2310" t="s">
        <v>24315</v>
      </c>
      <c r="AA2310">
        <v>0.5474329579108661</v>
      </c>
      <c r="AB2310" t="str">
        <f>HYPERLINK("Melting_Curves/meltCurve_P48200_IREB2.pdf", "Melting_Curves/meltCurve_P48200_IREB2.pdf")</f>
        <v>Melting_Curves/meltCurve_P48200_IREB2.pdf</v>
      </c>
    </row>
    <row r="2311" spans="1:28" x14ac:dyDescent="0.25">
      <c r="A2311" t="s">
        <v>2315</v>
      </c>
      <c r="B2311">
        <v>0.99299721793515405</v>
      </c>
      <c r="C2311">
        <v>0.95346882311326797</v>
      </c>
      <c r="D2311">
        <v>0.94951188311096701</v>
      </c>
      <c r="E2311">
        <v>0.76280073917714797</v>
      </c>
      <c r="F2311">
        <v>0.60851174832244603</v>
      </c>
      <c r="G2311">
        <v>0.51157074632529398</v>
      </c>
      <c r="H2311">
        <v>0.28466569260489399</v>
      </c>
      <c r="I2311">
        <v>0.15388800229448901</v>
      </c>
      <c r="J2311">
        <v>0.127768396332994</v>
      </c>
      <c r="K2311">
        <v>0.107556502726373</v>
      </c>
      <c r="L2311">
        <v>556.88912986481796</v>
      </c>
      <c r="M2311">
        <v>10.5669401349581</v>
      </c>
      <c r="N2311">
        <v>52.701077392799803</v>
      </c>
      <c r="O2311">
        <v>50.918662090102501</v>
      </c>
      <c r="P2311">
        <v>-5.1901896773303098E-2</v>
      </c>
      <c r="Q2311">
        <v>0</v>
      </c>
      <c r="R2311">
        <v>0.99218057478172295</v>
      </c>
      <c r="S2311" t="s">
        <v>7862</v>
      </c>
      <c r="T2311" t="s">
        <v>11100</v>
      </c>
      <c r="U2311" t="s">
        <v>11100</v>
      </c>
      <c r="V2311" t="s">
        <v>11100</v>
      </c>
      <c r="W2311" t="s">
        <v>13371</v>
      </c>
      <c r="X2311">
        <v>24</v>
      </c>
      <c r="Y2311" t="s">
        <v>18839</v>
      </c>
      <c r="Z2311" t="s">
        <v>24316</v>
      </c>
      <c r="AA2311">
        <v>0.54669113247534129</v>
      </c>
      <c r="AB2311" t="str">
        <f>HYPERLINK("Melting_Curves/meltCurve_P48444_ARCN1.pdf", "Melting_Curves/meltCurve_P48444_ARCN1.pdf")</f>
        <v>Melting_Curves/meltCurve_P48444_ARCN1.pdf</v>
      </c>
    </row>
    <row r="2312" spans="1:28" x14ac:dyDescent="0.25">
      <c r="A2312" t="s">
        <v>2316</v>
      </c>
      <c r="B2312">
        <v>0.99299721793515405</v>
      </c>
      <c r="C2312">
        <v>0.99832151146904402</v>
      </c>
      <c r="D2312">
        <v>0.95280949869571396</v>
      </c>
      <c r="E2312">
        <v>0.94516541438869695</v>
      </c>
      <c r="F2312">
        <v>0.74300943528015995</v>
      </c>
      <c r="G2312">
        <v>0.50745903142179904</v>
      </c>
      <c r="H2312">
        <v>0.27611665315953798</v>
      </c>
      <c r="I2312">
        <v>0.25937978710309101</v>
      </c>
      <c r="J2312">
        <v>0.23311214530449001</v>
      </c>
      <c r="K2312">
        <v>0.193076632120252</v>
      </c>
      <c r="L2312">
        <v>1038.7133300707501</v>
      </c>
      <c r="M2312">
        <v>19.882485933977399</v>
      </c>
      <c r="N2312">
        <v>53.593002175093197</v>
      </c>
      <c r="O2312">
        <v>51.722766108023102</v>
      </c>
      <c r="P2312">
        <v>-7.7168962909393096E-2</v>
      </c>
      <c r="Q2312">
        <v>0.19703033176773499</v>
      </c>
      <c r="R2312">
        <v>0.996249816623621</v>
      </c>
      <c r="S2312" t="s">
        <v>7863</v>
      </c>
      <c r="T2312" t="s">
        <v>11100</v>
      </c>
      <c r="U2312" t="s">
        <v>11100</v>
      </c>
      <c r="V2312" t="s">
        <v>11100</v>
      </c>
      <c r="W2312" t="s">
        <v>13372</v>
      </c>
      <c r="X2312">
        <v>21</v>
      </c>
      <c r="Y2312" t="s">
        <v>18840</v>
      </c>
      <c r="Z2312" t="s">
        <v>24317</v>
      </c>
      <c r="AA2312">
        <v>0.61542238245277525</v>
      </c>
      <c r="AB2312" t="str">
        <f>HYPERLINK("Melting_Curves/meltCurve_P48449_3_LSS.pdf", "Melting_Curves/meltCurve_P48449_3_LSS.pdf")</f>
        <v>Melting_Curves/meltCurve_P48449_3_LSS.pdf</v>
      </c>
    </row>
    <row r="2313" spans="1:28" x14ac:dyDescent="0.25">
      <c r="A2313" t="s">
        <v>2317</v>
      </c>
      <c r="B2313">
        <v>0.99299721793515405</v>
      </c>
      <c r="C2313">
        <v>0.95217640407063997</v>
      </c>
      <c r="D2313">
        <v>0.92294074839167095</v>
      </c>
      <c r="E2313">
        <v>0.86117087629019595</v>
      </c>
      <c r="F2313">
        <v>0.70759776778002603</v>
      </c>
      <c r="G2313">
        <v>0.40892824969973102</v>
      </c>
      <c r="H2313">
        <v>0.19277479983238999</v>
      </c>
      <c r="I2313">
        <v>0.145491524296219</v>
      </c>
      <c r="J2313">
        <v>0.14242671360582601</v>
      </c>
      <c r="K2313">
        <v>0.10675852341645101</v>
      </c>
      <c r="L2313">
        <v>884.78522194668199</v>
      </c>
      <c r="M2313">
        <v>17.05006958193</v>
      </c>
      <c r="N2313">
        <v>52.454776650512898</v>
      </c>
      <c r="O2313">
        <v>51.195269703244698</v>
      </c>
      <c r="P2313">
        <v>-7.6320576051339198E-2</v>
      </c>
      <c r="Q2313">
        <v>8.3402276897114894E-2</v>
      </c>
      <c r="R2313">
        <v>0.99331272974152196</v>
      </c>
      <c r="S2313" t="s">
        <v>7864</v>
      </c>
      <c r="T2313" t="s">
        <v>11100</v>
      </c>
      <c r="U2313" t="s">
        <v>11100</v>
      </c>
      <c r="V2313" t="s">
        <v>11100</v>
      </c>
      <c r="W2313" t="s">
        <v>13373</v>
      </c>
      <c r="X2313">
        <v>20</v>
      </c>
      <c r="Y2313" t="s">
        <v>18841</v>
      </c>
      <c r="Z2313" t="s">
        <v>24318</v>
      </c>
      <c r="AA2313">
        <v>0.55344565652289723</v>
      </c>
      <c r="AB2313" t="str">
        <f>HYPERLINK("Melting_Curves/meltCurve_P48506_GCLC.pdf", "Melting_Curves/meltCurve_P48506_GCLC.pdf")</f>
        <v>Melting_Curves/meltCurve_P48506_GCLC.pdf</v>
      </c>
    </row>
    <row r="2314" spans="1:28" x14ac:dyDescent="0.25">
      <c r="A2314" t="s">
        <v>2318</v>
      </c>
      <c r="B2314">
        <v>0.99299721793515405</v>
      </c>
      <c r="C2314">
        <v>1.12410888712505</v>
      </c>
      <c r="D2314">
        <v>1.00492643928051</v>
      </c>
      <c r="E2314">
        <v>0.91746905269545498</v>
      </c>
      <c r="F2314">
        <v>0.83803274530349703</v>
      </c>
      <c r="G2314">
        <v>0.36384775713879902</v>
      </c>
      <c r="H2314">
        <v>0.225656484005889</v>
      </c>
      <c r="I2314">
        <v>0.16703940753836299</v>
      </c>
      <c r="J2314">
        <v>0.14093008080368699</v>
      </c>
      <c r="K2314">
        <v>0.10963464920603801</v>
      </c>
      <c r="L2314">
        <v>1612.9303774217899</v>
      </c>
      <c r="M2314">
        <v>30.8715504470672</v>
      </c>
      <c r="N2314">
        <v>52.811361539506798</v>
      </c>
      <c r="O2314">
        <v>52.028738309461197</v>
      </c>
      <c r="P2314">
        <v>-0.127481674101356</v>
      </c>
      <c r="Q2314">
        <v>0.140610431649247</v>
      </c>
      <c r="R2314">
        <v>0.98522088730082802</v>
      </c>
      <c r="S2314" t="s">
        <v>7865</v>
      </c>
      <c r="T2314" t="s">
        <v>11100</v>
      </c>
      <c r="U2314" t="s">
        <v>11100</v>
      </c>
      <c r="V2314" t="s">
        <v>11100</v>
      </c>
      <c r="W2314" t="s">
        <v>13374</v>
      </c>
      <c r="X2314">
        <v>7</v>
      </c>
      <c r="Y2314" t="s">
        <v>18842</v>
      </c>
      <c r="Z2314" t="s">
        <v>24319</v>
      </c>
      <c r="AA2314">
        <v>0.58251300300882647</v>
      </c>
      <c r="AB2314" t="str">
        <f>HYPERLINK("Melting_Curves/meltCurve_P48507_GCLM.pdf", "Melting_Curves/meltCurve_P48507_GCLM.pdf")</f>
        <v>Melting_Curves/meltCurve_P48507_GCLM.pdf</v>
      </c>
    </row>
    <row r="2315" spans="1:28" x14ac:dyDescent="0.25">
      <c r="A2315" t="s">
        <v>2319</v>
      </c>
      <c r="B2315">
        <v>0.99299721793515405</v>
      </c>
      <c r="C2315">
        <v>0.91060301367641505</v>
      </c>
      <c r="D2315">
        <v>1.0034913623510899</v>
      </c>
      <c r="E2315">
        <v>0.82866170641973602</v>
      </c>
      <c r="F2315">
        <v>0.82908045944248698</v>
      </c>
      <c r="G2315">
        <v>0.88972605337848198</v>
      </c>
      <c r="H2315">
        <v>0.55589772070792698</v>
      </c>
      <c r="I2315">
        <v>0.53228814802816804</v>
      </c>
      <c r="J2315">
        <v>0.52745011681929099</v>
      </c>
      <c r="K2315">
        <v>0.42186904776067502</v>
      </c>
      <c r="L2315">
        <v>384.17425071985502</v>
      </c>
      <c r="M2315">
        <v>6.06230582549862</v>
      </c>
      <c r="N2315">
        <v>63.582191906551202</v>
      </c>
      <c r="O2315">
        <v>57.5108666461947</v>
      </c>
      <c r="P2315">
        <v>-2.6171593181898298E-2</v>
      </c>
      <c r="Q2315">
        <v>9.9684738474120904E-3</v>
      </c>
      <c r="R2315">
        <v>0.89470903799429502</v>
      </c>
      <c r="S2315" t="s">
        <v>7866</v>
      </c>
      <c r="T2315" t="s">
        <v>11100</v>
      </c>
      <c r="U2315" t="s">
        <v>11100</v>
      </c>
      <c r="V2315" t="s">
        <v>11100</v>
      </c>
      <c r="W2315" t="s">
        <v>13375</v>
      </c>
      <c r="X2315">
        <v>37</v>
      </c>
      <c r="Y2315" t="s">
        <v>18843</v>
      </c>
      <c r="Z2315" t="s">
        <v>24320</v>
      </c>
      <c r="AA2315">
        <v>0.75992089297040688</v>
      </c>
      <c r="AB2315" t="str">
        <f>HYPERLINK("Melting_Curves/meltCurve_P48634_PRRC2A.pdf", "Melting_Curves/meltCurve_P48634_PRRC2A.pdf")</f>
        <v>Melting_Curves/meltCurve_P48634_PRRC2A.pdf</v>
      </c>
    </row>
    <row r="2316" spans="1:28" x14ac:dyDescent="0.25">
      <c r="A2316" t="s">
        <v>2320</v>
      </c>
      <c r="B2316">
        <v>0.99299721793515405</v>
      </c>
      <c r="C2316">
        <v>1.02213874865607</v>
      </c>
      <c r="D2316">
        <v>0.84289516539169695</v>
      </c>
      <c r="E2316">
        <v>0.77947378478033302</v>
      </c>
      <c r="F2316">
        <v>0.65749251378419105</v>
      </c>
      <c r="G2316">
        <v>0.49395153441434703</v>
      </c>
      <c r="H2316">
        <v>0.41812647180111701</v>
      </c>
      <c r="I2316">
        <v>0.39608228351656599</v>
      </c>
      <c r="J2316">
        <v>0.31774609465074699</v>
      </c>
      <c r="K2316">
        <v>0.18646362369755801</v>
      </c>
      <c r="L2316">
        <v>437.70462673274102</v>
      </c>
      <c r="M2316">
        <v>8.2730407352278803</v>
      </c>
      <c r="N2316">
        <v>54.648776424592</v>
      </c>
      <c r="O2316">
        <v>50.086290862857403</v>
      </c>
      <c r="P2316">
        <v>-3.6545617010444002E-2</v>
      </c>
      <c r="Q2316">
        <v>0.115870220427018</v>
      </c>
      <c r="R2316">
        <v>0.97677395605856698</v>
      </c>
      <c r="S2316" t="s">
        <v>7867</v>
      </c>
      <c r="T2316" t="s">
        <v>11100</v>
      </c>
      <c r="U2316" t="s">
        <v>11100</v>
      </c>
      <c r="V2316" t="s">
        <v>11100</v>
      </c>
      <c r="W2316" t="s">
        <v>13376</v>
      </c>
      <c r="X2316">
        <v>10</v>
      </c>
      <c r="Y2316" t="s">
        <v>18844</v>
      </c>
      <c r="Z2316" t="s">
        <v>24321</v>
      </c>
      <c r="AA2316">
        <v>0.60473411927737886</v>
      </c>
      <c r="AB2316" t="str">
        <f>HYPERLINK("Melting_Curves/meltCurve_P48637_GSS.pdf", "Melting_Curves/meltCurve_P48637_GSS.pdf")</f>
        <v>Melting_Curves/meltCurve_P48637_GSS.pdf</v>
      </c>
    </row>
    <row r="2317" spans="1:28" x14ac:dyDescent="0.25">
      <c r="A2317" t="s">
        <v>2321</v>
      </c>
      <c r="B2317">
        <v>0.99299721793515405</v>
      </c>
      <c r="C2317">
        <v>0.94949888486884604</v>
      </c>
      <c r="D2317">
        <v>0.90349781915313498</v>
      </c>
      <c r="E2317">
        <v>0.76433358404406904</v>
      </c>
      <c r="F2317">
        <v>0.63328169492705499</v>
      </c>
      <c r="G2317">
        <v>0.442787836910632</v>
      </c>
      <c r="H2317">
        <v>0.72076078304024105</v>
      </c>
      <c r="I2317">
        <v>0.70644000255959605</v>
      </c>
      <c r="J2317">
        <v>0.972148697509993</v>
      </c>
      <c r="K2317">
        <v>0.40488198335245201</v>
      </c>
      <c r="L2317">
        <v>1209.4778792305799</v>
      </c>
      <c r="M2317">
        <v>27.0699180815913</v>
      </c>
      <c r="O2317">
        <v>44.438083002035</v>
      </c>
      <c r="P2317">
        <v>-5.37689368938516E-2</v>
      </c>
      <c r="Q2317">
        <v>0.64693429804213698</v>
      </c>
      <c r="R2317">
        <v>0.453497862181582</v>
      </c>
      <c r="S2317" t="s">
        <v>7868</v>
      </c>
      <c r="T2317" t="s">
        <v>11100</v>
      </c>
      <c r="U2317" t="s">
        <v>11100</v>
      </c>
      <c r="V2317" t="s">
        <v>11100</v>
      </c>
      <c r="W2317" t="s">
        <v>13377</v>
      </c>
      <c r="X2317">
        <v>34</v>
      </c>
      <c r="Y2317" t="s">
        <v>18845</v>
      </c>
      <c r="Z2317" t="s">
        <v>24322</v>
      </c>
      <c r="AA2317">
        <v>0.73976335110288027</v>
      </c>
      <c r="AB2317" t="str">
        <f>HYPERLINK("Melting_Curves/meltCurve_P48643_CCT5.pdf", "Melting_Curves/meltCurve_P48643_CCT5.pdf")</f>
        <v>Melting_Curves/meltCurve_P48643_CCT5.pdf</v>
      </c>
    </row>
    <row r="2318" spans="1:28" x14ac:dyDescent="0.25">
      <c r="A2318" t="s">
        <v>2322</v>
      </c>
      <c r="B2318">
        <v>0.99299721793515405</v>
      </c>
      <c r="C2318">
        <v>0.90785373894972998</v>
      </c>
      <c r="D2318">
        <v>0.85116730173516697</v>
      </c>
      <c r="E2318">
        <v>0.75421024081793397</v>
      </c>
      <c r="F2318">
        <v>0.63467191629854602</v>
      </c>
      <c r="G2318">
        <v>0.30993918296245299</v>
      </c>
      <c r="H2318">
        <v>0.22583409100143501</v>
      </c>
      <c r="I2318">
        <v>0.18716691985784101</v>
      </c>
      <c r="J2318">
        <v>0.130822836396153</v>
      </c>
      <c r="K2318">
        <v>0.118540365124626</v>
      </c>
      <c r="L2318">
        <v>567.85311067062798</v>
      </c>
      <c r="M2318">
        <v>11.1827058610724</v>
      </c>
      <c r="N2318">
        <v>51.204028221365697</v>
      </c>
      <c r="O2318">
        <v>49.236920802558203</v>
      </c>
      <c r="P2318">
        <v>-5.4283856088822899E-2</v>
      </c>
      <c r="Q2318">
        <v>4.4265692348283397E-2</v>
      </c>
      <c r="R2318">
        <v>0.98536082469160802</v>
      </c>
      <c r="S2318" t="s">
        <v>7869</v>
      </c>
      <c r="T2318" t="s">
        <v>11100</v>
      </c>
      <c r="U2318" t="s">
        <v>11100</v>
      </c>
      <c r="V2318" t="s">
        <v>11100</v>
      </c>
      <c r="W2318" t="s">
        <v>13378</v>
      </c>
      <c r="X2318">
        <v>7</v>
      </c>
      <c r="Y2318" t="s">
        <v>18846</v>
      </c>
      <c r="Z2318" t="s">
        <v>24323</v>
      </c>
      <c r="AA2318">
        <v>0.51039198749260806</v>
      </c>
      <c r="AB2318" t="str">
        <f>HYPERLINK("Melting_Curves/meltCurve_P48723_HSPA13.pdf", "Melting_Curves/meltCurve_P48723_HSPA13.pdf")</f>
        <v>Melting_Curves/meltCurve_P48723_HSPA13.pdf</v>
      </c>
    </row>
    <row r="2319" spans="1:28" x14ac:dyDescent="0.25">
      <c r="A2319" t="s">
        <v>2323</v>
      </c>
      <c r="B2319">
        <v>0.99299721793515405</v>
      </c>
      <c r="C2319">
        <v>0.97962839804163804</v>
      </c>
      <c r="D2319">
        <v>1.0331465978327801</v>
      </c>
      <c r="E2319">
        <v>0.82360144179863704</v>
      </c>
      <c r="F2319">
        <v>0.64580073092399004</v>
      </c>
      <c r="G2319">
        <v>0.44453247148269298</v>
      </c>
      <c r="H2319">
        <v>0.15621936918978399</v>
      </c>
      <c r="I2319">
        <v>0.14457499963773399</v>
      </c>
      <c r="J2319">
        <v>0.15264833260010999</v>
      </c>
      <c r="K2319">
        <v>0.115590025964234</v>
      </c>
      <c r="L2319">
        <v>879.08440549754198</v>
      </c>
      <c r="M2319">
        <v>17.063709083086401</v>
      </c>
      <c r="N2319">
        <v>52.1414019855902</v>
      </c>
      <c r="O2319">
        <v>50.8258325897364</v>
      </c>
      <c r="P2319">
        <v>-7.6189869313546904E-2</v>
      </c>
      <c r="Q2319">
        <v>9.2301015093633296E-2</v>
      </c>
      <c r="R2319">
        <v>0.98869157281262599</v>
      </c>
      <c r="S2319" t="s">
        <v>7870</v>
      </c>
      <c r="T2319" t="s">
        <v>11100</v>
      </c>
      <c r="U2319" t="s">
        <v>11100</v>
      </c>
      <c r="V2319" t="s">
        <v>11100</v>
      </c>
      <c r="W2319" t="s">
        <v>13379</v>
      </c>
      <c r="X2319">
        <v>4</v>
      </c>
      <c r="Y2319" t="s">
        <v>18847</v>
      </c>
      <c r="Z2319" t="s">
        <v>24324</v>
      </c>
      <c r="AA2319">
        <v>0.54659563521174093</v>
      </c>
      <c r="AB2319" t="str">
        <f>HYPERLINK("Melting_Curves/meltCurve_P48729_CSNK1A1.pdf", "Melting_Curves/meltCurve_P48729_CSNK1A1.pdf")</f>
        <v>Melting_Curves/meltCurve_P48729_CSNK1A1.pdf</v>
      </c>
    </row>
    <row r="2320" spans="1:28" x14ac:dyDescent="0.25">
      <c r="A2320" t="s">
        <v>2324</v>
      </c>
      <c r="B2320">
        <v>0.99299721793515405</v>
      </c>
      <c r="C2320">
        <v>1.00167003525293</v>
      </c>
      <c r="D2320">
        <v>0.92757821963364295</v>
      </c>
      <c r="E2320">
        <v>0.87973444700273795</v>
      </c>
      <c r="F2320">
        <v>0.75634521979437797</v>
      </c>
      <c r="G2320">
        <v>0.63980141352201503</v>
      </c>
      <c r="H2320">
        <v>0.23736440796050201</v>
      </c>
      <c r="I2320">
        <v>0.17281287869088799</v>
      </c>
      <c r="J2320">
        <v>0.114138613812543</v>
      </c>
      <c r="K2320">
        <v>0.103207283163938</v>
      </c>
      <c r="L2320">
        <v>805.34830759582803</v>
      </c>
      <c r="M2320">
        <v>14.8445626490903</v>
      </c>
      <c r="N2320">
        <v>54.4138138990496</v>
      </c>
      <c r="O2320">
        <v>53.296080282963104</v>
      </c>
      <c r="P2320">
        <v>-6.8136858107012505E-2</v>
      </c>
      <c r="Q2320">
        <v>2.1582394858885402E-2</v>
      </c>
      <c r="R2320">
        <v>0.98295428167032906</v>
      </c>
      <c r="S2320" t="s">
        <v>7871</v>
      </c>
      <c r="T2320" t="s">
        <v>11100</v>
      </c>
      <c r="U2320" t="s">
        <v>11100</v>
      </c>
      <c r="V2320" t="s">
        <v>11100</v>
      </c>
      <c r="W2320" t="s">
        <v>13380</v>
      </c>
      <c r="X2320">
        <v>22</v>
      </c>
      <c r="Y2320" t="s">
        <v>18848</v>
      </c>
      <c r="Z2320" t="s">
        <v>24325</v>
      </c>
      <c r="AA2320">
        <v>0.59971711021408503</v>
      </c>
      <c r="AB2320" t="str">
        <f>HYPERLINK("Melting_Curves/meltCurve_P48735_IDH2.pdf", "Melting_Curves/meltCurve_P48735_IDH2.pdf")</f>
        <v>Melting_Curves/meltCurve_P48735_IDH2.pdf</v>
      </c>
    </row>
    <row r="2321" spans="1:28" x14ac:dyDescent="0.25">
      <c r="A2321" t="s">
        <v>2325</v>
      </c>
      <c r="B2321">
        <v>0.99299721793515405</v>
      </c>
      <c r="C2321">
        <v>0.97955719090225701</v>
      </c>
      <c r="D2321">
        <v>0.98570590324914997</v>
      </c>
      <c r="E2321">
        <v>0.91667493912504305</v>
      </c>
      <c r="F2321">
        <v>0.81200671696735904</v>
      </c>
      <c r="G2321">
        <v>0.59413309901012201</v>
      </c>
      <c r="H2321">
        <v>0.40648347231444798</v>
      </c>
      <c r="I2321">
        <v>0.21277715237181599</v>
      </c>
      <c r="J2321">
        <v>0.13590399934612701</v>
      </c>
      <c r="K2321">
        <v>0.10808063039740901</v>
      </c>
      <c r="L2321">
        <v>751.92310977370505</v>
      </c>
      <c r="M2321">
        <v>13.5791770254024</v>
      </c>
      <c r="N2321">
        <v>55.452618438122599</v>
      </c>
      <c r="O2321">
        <v>54.2137489030873</v>
      </c>
      <c r="P2321">
        <v>-6.2025269861755002E-2</v>
      </c>
      <c r="Q2321">
        <v>9.6244570993387606E-3</v>
      </c>
      <c r="R2321">
        <v>0.99885316758055198</v>
      </c>
      <c r="S2321" t="s">
        <v>7872</v>
      </c>
      <c r="T2321" t="s">
        <v>11100</v>
      </c>
      <c r="U2321" t="s">
        <v>11100</v>
      </c>
      <c r="V2321" t="s">
        <v>11100</v>
      </c>
      <c r="W2321" t="s">
        <v>13381</v>
      </c>
      <c r="X2321">
        <v>16</v>
      </c>
      <c r="Y2321" t="s">
        <v>18849</v>
      </c>
      <c r="Z2321" t="s">
        <v>24326</v>
      </c>
      <c r="AA2321">
        <v>0.62930196713672792</v>
      </c>
      <c r="AB2321" t="str">
        <f>HYPERLINK("Melting_Curves/meltCurve_P48739_PITPNB.pdf", "Melting_Curves/meltCurve_P48739_PITPNB.pdf")</f>
        <v>Melting_Curves/meltCurve_P48739_PITPNB.pdf</v>
      </c>
    </row>
    <row r="2322" spans="1:28" x14ac:dyDescent="0.25">
      <c r="A2322" t="s">
        <v>2326</v>
      </c>
      <c r="B2322">
        <v>0.99299721793515405</v>
      </c>
      <c r="C2322">
        <v>0.94420564068281998</v>
      </c>
      <c r="D2322">
        <v>0.93833346798196204</v>
      </c>
      <c r="E2322">
        <v>0.82564122624190595</v>
      </c>
      <c r="F2322">
        <v>0.76334466256292299</v>
      </c>
      <c r="G2322">
        <v>0.54221130559003194</v>
      </c>
      <c r="H2322">
        <v>0.55008816888232004</v>
      </c>
      <c r="I2322">
        <v>0.60490916293074604</v>
      </c>
      <c r="J2322">
        <v>0.66110379947311404</v>
      </c>
      <c r="K2322">
        <v>0.57524041311404694</v>
      </c>
      <c r="L2322">
        <v>872.92970133514802</v>
      </c>
      <c r="M2322">
        <v>18.338776493304302</v>
      </c>
      <c r="O2322">
        <v>47.045041615141201</v>
      </c>
      <c r="P2322">
        <v>-4.0736910291367799E-2</v>
      </c>
      <c r="Q2322">
        <v>0.58200443952116399</v>
      </c>
      <c r="R2322">
        <v>0.92157058527064595</v>
      </c>
      <c r="S2322" t="s">
        <v>7873</v>
      </c>
      <c r="T2322" t="s">
        <v>11100</v>
      </c>
      <c r="U2322" t="s">
        <v>11100</v>
      </c>
      <c r="V2322" t="s">
        <v>11100</v>
      </c>
      <c r="W2322" t="s">
        <v>13382</v>
      </c>
      <c r="X2322">
        <v>16</v>
      </c>
      <c r="Y2322" t="s">
        <v>18850</v>
      </c>
      <c r="Z2322" t="s">
        <v>24327</v>
      </c>
      <c r="AA2322">
        <v>0.73616271446798598</v>
      </c>
      <c r="AB2322" t="str">
        <f>HYPERLINK("Melting_Curves/meltCurve_P48745_NOV.pdf", "Melting_Curves/meltCurve_P48745_NOV.pdf")</f>
        <v>Melting_Curves/meltCurve_P48745_NOV.pdf</v>
      </c>
    </row>
    <row r="2323" spans="1:28" x14ac:dyDescent="0.25">
      <c r="A2323" t="s">
        <v>2327</v>
      </c>
      <c r="B2323">
        <v>0.99299721793515405</v>
      </c>
      <c r="C2323">
        <v>1.0397596537584599</v>
      </c>
      <c r="D2323">
        <v>0.91520175816828098</v>
      </c>
      <c r="E2323">
        <v>0.89801033123570295</v>
      </c>
      <c r="F2323">
        <v>0.78853083710600702</v>
      </c>
      <c r="G2323">
        <v>0.65269513501346099</v>
      </c>
      <c r="H2323">
        <v>0.66937627001497402</v>
      </c>
      <c r="I2323">
        <v>0.76501935813633104</v>
      </c>
      <c r="J2323">
        <v>0.82028598927718899</v>
      </c>
      <c r="K2323">
        <v>0.56402821174019102</v>
      </c>
      <c r="L2323">
        <v>996.41012754634096</v>
      </c>
      <c r="M2323">
        <v>20.9561036316003</v>
      </c>
      <c r="O2323">
        <v>47.120873451526101</v>
      </c>
      <c r="P2323">
        <v>-3.4313805262504597E-2</v>
      </c>
      <c r="Q2323">
        <v>0.69138295224088797</v>
      </c>
      <c r="R2323">
        <v>0.77212414827227505</v>
      </c>
      <c r="S2323" t="s">
        <v>7874</v>
      </c>
      <c r="T2323" t="s">
        <v>11100</v>
      </c>
      <c r="U2323" t="s">
        <v>11100</v>
      </c>
      <c r="V2323" t="s">
        <v>11100</v>
      </c>
      <c r="W2323" t="s">
        <v>13383</v>
      </c>
      <c r="X2323">
        <v>4</v>
      </c>
      <c r="Y2323" t="s">
        <v>18851</v>
      </c>
      <c r="Z2323" t="s">
        <v>24328</v>
      </c>
      <c r="AA2323">
        <v>0.80358629966279882</v>
      </c>
      <c r="AB2323" t="str">
        <f>HYPERLINK("Melting_Curves/meltCurve_P48960_2_CD97.pdf", "Melting_Curves/meltCurve_P48960_2_CD97.pdf")</f>
        <v>Melting_Curves/meltCurve_P48960_2_CD97.pdf</v>
      </c>
    </row>
    <row r="2324" spans="1:28" x14ac:dyDescent="0.25">
      <c r="A2324" t="s">
        <v>2328</v>
      </c>
      <c r="B2324">
        <v>0.99299721793515405</v>
      </c>
      <c r="C2324">
        <v>1.1057765308829901</v>
      </c>
      <c r="D2324">
        <v>1.4210422656677499</v>
      </c>
      <c r="E2324">
        <v>0.97165307346420104</v>
      </c>
      <c r="F2324">
        <v>0.97255056533262396</v>
      </c>
      <c r="G2324">
        <v>0.85393172764320402</v>
      </c>
      <c r="H2324">
        <v>0.678165358591312</v>
      </c>
      <c r="I2324">
        <v>0.87506414550189704</v>
      </c>
      <c r="J2324">
        <v>0.90102614587865104</v>
      </c>
      <c r="K2324">
        <v>0.85637834608168495</v>
      </c>
      <c r="L2324">
        <v>3048.63901017331</v>
      </c>
      <c r="M2324">
        <v>58.981684578976797</v>
      </c>
      <c r="O2324">
        <v>51.628575659664698</v>
      </c>
      <c r="P2324">
        <v>-4.8667343684844898E-2</v>
      </c>
      <c r="Q2324">
        <v>0.82959967685389702</v>
      </c>
      <c r="R2324">
        <v>0.36538777606792999</v>
      </c>
      <c r="S2324" t="s">
        <v>7875</v>
      </c>
      <c r="T2324" t="s">
        <v>11100</v>
      </c>
      <c r="U2324" t="s">
        <v>11100</v>
      </c>
      <c r="V2324" t="s">
        <v>11100</v>
      </c>
      <c r="W2324" t="s">
        <v>13384</v>
      </c>
      <c r="X2324">
        <v>12</v>
      </c>
      <c r="Y2324" t="s">
        <v>18852</v>
      </c>
      <c r="Z2324" t="s">
        <v>24329</v>
      </c>
      <c r="AA2324">
        <v>0.91330580876047385</v>
      </c>
      <c r="AB2324" t="str">
        <f>HYPERLINK("Melting_Curves/meltCurve_P49006_MARCKSL1.pdf", "Melting_Curves/meltCurve_P49006_MARCKSL1.pdf")</f>
        <v>Melting_Curves/meltCurve_P49006_MARCKSL1.pdf</v>
      </c>
    </row>
    <row r="2325" spans="1:28" x14ac:dyDescent="0.25">
      <c r="A2325" t="s">
        <v>2329</v>
      </c>
      <c r="B2325">
        <v>0.99299721793515405</v>
      </c>
      <c r="C2325">
        <v>0.98138351780590105</v>
      </c>
      <c r="D2325">
        <v>1.0610449589064801</v>
      </c>
      <c r="E2325">
        <v>0.88997937495683799</v>
      </c>
      <c r="F2325">
        <v>0.95976189654787403</v>
      </c>
      <c r="G2325">
        <v>0.61154005922285903</v>
      </c>
      <c r="H2325">
        <v>0.75149243535874499</v>
      </c>
      <c r="I2325">
        <v>0.92853434030341198</v>
      </c>
      <c r="J2325">
        <v>0.90160994903806502</v>
      </c>
      <c r="K2325">
        <v>0.65223694177991598</v>
      </c>
      <c r="L2325">
        <v>12628.0996847473</v>
      </c>
      <c r="M2325">
        <v>250</v>
      </c>
      <c r="O2325">
        <v>50.509166265368499</v>
      </c>
      <c r="P2325">
        <v>-0.28573681180308103</v>
      </c>
      <c r="Q2325">
        <v>0.76908275003346604</v>
      </c>
      <c r="R2325">
        <v>0.52216971435426596</v>
      </c>
      <c r="S2325" t="s">
        <v>7876</v>
      </c>
      <c r="T2325" t="s">
        <v>11100</v>
      </c>
      <c r="U2325" t="s">
        <v>11100</v>
      </c>
      <c r="V2325" t="s">
        <v>11100</v>
      </c>
      <c r="W2325" t="s">
        <v>13385</v>
      </c>
      <c r="X2325">
        <v>5</v>
      </c>
      <c r="Y2325" t="s">
        <v>18853</v>
      </c>
      <c r="Z2325" t="s">
        <v>24330</v>
      </c>
      <c r="AA2325">
        <v>0.87311141907050105</v>
      </c>
      <c r="AB2325" t="str">
        <f>HYPERLINK("Melting_Curves/meltCurve_P49069_CAMLG.pdf", "Melting_Curves/meltCurve_P49069_CAMLG.pdf")</f>
        <v>Melting_Curves/meltCurve_P49069_CAMLG.pdf</v>
      </c>
    </row>
    <row r="2326" spans="1:28" x14ac:dyDescent="0.25">
      <c r="A2326" t="s">
        <v>2330</v>
      </c>
      <c r="B2326">
        <v>0.99299721793515405</v>
      </c>
      <c r="C2326">
        <v>1.0992909299089999</v>
      </c>
      <c r="D2326">
        <v>1.0473501694287899</v>
      </c>
      <c r="E2326">
        <v>0.62040541779307301</v>
      </c>
      <c r="F2326">
        <v>0.66834257153361498</v>
      </c>
      <c r="G2326">
        <v>0.65277698212681401</v>
      </c>
      <c r="H2326">
        <v>0.27290448163894199</v>
      </c>
      <c r="I2326">
        <v>0</v>
      </c>
      <c r="J2326">
        <v>0.11981929039737001</v>
      </c>
      <c r="K2326">
        <v>9.7085963336410702E-2</v>
      </c>
      <c r="L2326">
        <v>647.76039017601602</v>
      </c>
      <c r="M2326">
        <v>12.1939427500024</v>
      </c>
      <c r="N2326">
        <v>53.121488939478603</v>
      </c>
      <c r="O2326">
        <v>51.753401785820103</v>
      </c>
      <c r="P2326">
        <v>-5.8917420232527301E-2</v>
      </c>
      <c r="Q2326">
        <v>0</v>
      </c>
      <c r="R2326">
        <v>0.90825004614161897</v>
      </c>
      <c r="S2326" t="s">
        <v>7877</v>
      </c>
      <c r="T2326" t="s">
        <v>11100</v>
      </c>
      <c r="U2326" t="s">
        <v>11100</v>
      </c>
      <c r="V2326" t="s">
        <v>11100</v>
      </c>
      <c r="W2326" t="s">
        <v>13386</v>
      </c>
      <c r="X2326">
        <v>2</v>
      </c>
      <c r="Y2326" t="s">
        <v>18854</v>
      </c>
      <c r="Z2326" t="s">
        <v>24331</v>
      </c>
      <c r="AA2326">
        <v>0.55793824092370281</v>
      </c>
      <c r="AB2326" t="str">
        <f>HYPERLINK("Melting_Curves/meltCurve_P49116_NR2C2.pdf", "Melting_Curves/meltCurve_P49116_NR2C2.pdf")</f>
        <v>Melting_Curves/meltCurve_P49116_NR2C2.pdf</v>
      </c>
    </row>
    <row r="2327" spans="1:28" x14ac:dyDescent="0.25">
      <c r="A2327" t="s">
        <v>2331</v>
      </c>
      <c r="B2327">
        <v>0.99299721793515405</v>
      </c>
      <c r="C2327">
        <v>1.01687152305477</v>
      </c>
      <c r="D2327">
        <v>0.97038931867375</v>
      </c>
      <c r="E2327">
        <v>0.88474979843883705</v>
      </c>
      <c r="F2327">
        <v>0.79540807148681303</v>
      </c>
      <c r="G2327">
        <v>0.464709461384889</v>
      </c>
      <c r="H2327">
        <v>0.24881189596216999</v>
      </c>
      <c r="I2327">
        <v>0.229263400356887</v>
      </c>
      <c r="J2327">
        <v>0.20534549440556399</v>
      </c>
      <c r="K2327">
        <v>0.19559056983925699</v>
      </c>
      <c r="L2327">
        <v>1153.9737469204199</v>
      </c>
      <c r="M2327">
        <v>22.098275518878101</v>
      </c>
      <c r="N2327">
        <v>53.331616144548001</v>
      </c>
      <c r="O2327">
        <v>51.798095339983</v>
      </c>
      <c r="P2327">
        <v>-8.6975708751971997E-2</v>
      </c>
      <c r="Q2327">
        <v>0.18453786184048601</v>
      </c>
      <c r="R2327">
        <v>0.99394089070142999</v>
      </c>
      <c r="S2327" t="s">
        <v>7878</v>
      </c>
      <c r="T2327" t="s">
        <v>11100</v>
      </c>
      <c r="U2327" t="s">
        <v>11100</v>
      </c>
      <c r="V2327" t="s">
        <v>11100</v>
      </c>
      <c r="W2327" t="s">
        <v>13387</v>
      </c>
      <c r="X2327">
        <v>8</v>
      </c>
      <c r="Y2327" t="s">
        <v>18855</v>
      </c>
      <c r="Z2327" t="s">
        <v>24332</v>
      </c>
      <c r="AA2327">
        <v>0.60718783116972996</v>
      </c>
      <c r="AB2327" t="str">
        <f>HYPERLINK("Melting_Curves/meltCurve_P49137_MAPKAPK2.pdf", "Melting_Curves/meltCurve_P49137_MAPKAPK2.pdf")</f>
        <v>Melting_Curves/meltCurve_P49137_MAPKAPK2.pdf</v>
      </c>
    </row>
    <row r="2328" spans="1:28" x14ac:dyDescent="0.25">
      <c r="A2328" t="s">
        <v>2332</v>
      </c>
      <c r="B2328">
        <v>0.99299721793515405</v>
      </c>
      <c r="C2328">
        <v>1.0159379570276299</v>
      </c>
      <c r="D2328">
        <v>1.0112066476574</v>
      </c>
      <c r="E2328">
        <v>0.87742299593316597</v>
      </c>
      <c r="F2328">
        <v>0.79512593211904103</v>
      </c>
      <c r="G2328">
        <v>0.76504914449620398</v>
      </c>
      <c r="H2328">
        <v>0.63623793792716699</v>
      </c>
      <c r="I2328">
        <v>0.54409186580946001</v>
      </c>
      <c r="J2328">
        <v>0.29553408947919801</v>
      </c>
      <c r="K2328">
        <v>0.18968747927903101</v>
      </c>
      <c r="L2328">
        <v>589.81836519099397</v>
      </c>
      <c r="M2328">
        <v>9.8636790605865201</v>
      </c>
      <c r="N2328">
        <v>59.797001636295001</v>
      </c>
      <c r="O2328">
        <v>57.494737149367801</v>
      </c>
      <c r="P2328">
        <v>-4.2911470956704799E-2</v>
      </c>
      <c r="Q2328">
        <v>0</v>
      </c>
      <c r="R2328">
        <v>0.96440237154025299</v>
      </c>
      <c r="S2328" t="s">
        <v>7879</v>
      </c>
      <c r="T2328" t="s">
        <v>11100</v>
      </c>
      <c r="U2328" t="s">
        <v>11100</v>
      </c>
      <c r="V2328" t="s">
        <v>11100</v>
      </c>
      <c r="W2328" t="s">
        <v>13388</v>
      </c>
      <c r="X2328">
        <v>23</v>
      </c>
      <c r="Y2328" t="s">
        <v>18856</v>
      </c>
      <c r="Z2328" t="s">
        <v>24333</v>
      </c>
      <c r="AA2328">
        <v>0.73416650155936103</v>
      </c>
      <c r="AB2328" t="str">
        <f>HYPERLINK("Melting_Curves/meltCurve_P49189_ALDH9A1.pdf", "Melting_Curves/meltCurve_P49189_ALDH9A1.pdf")</f>
        <v>Melting_Curves/meltCurve_P49189_ALDH9A1.pdf</v>
      </c>
    </row>
    <row r="2329" spans="1:28" x14ac:dyDescent="0.25">
      <c r="A2329" t="s">
        <v>2333</v>
      </c>
      <c r="B2329">
        <v>0.99299721793515405</v>
      </c>
      <c r="C2329">
        <v>2.2945245013971398</v>
      </c>
      <c r="D2329">
        <v>6.27104729237446</v>
      </c>
      <c r="E2329">
        <v>3.26905640083754</v>
      </c>
      <c r="F2329">
        <v>1.9030099139391099</v>
      </c>
      <c r="G2329">
        <v>3.5850001380337599</v>
      </c>
      <c r="H2329">
        <v>1.0189877083672301</v>
      </c>
      <c r="I2329">
        <v>0.95682297301873798</v>
      </c>
      <c r="J2329">
        <v>0.73898392219808395</v>
      </c>
      <c r="K2329">
        <v>0.94450267900777996</v>
      </c>
      <c r="L2329">
        <v>15000</v>
      </c>
      <c r="M2329">
        <v>244.921630199525</v>
      </c>
      <c r="O2329">
        <v>61.239972101620197</v>
      </c>
      <c r="P2329">
        <v>-0.158231138112092</v>
      </c>
      <c r="Q2329">
        <v>0.841744080863844</v>
      </c>
      <c r="R2329">
        <v>-0.51322416013766403</v>
      </c>
      <c r="S2329" t="s">
        <v>7880</v>
      </c>
      <c r="T2329" t="s">
        <v>11100</v>
      </c>
      <c r="U2329" t="s">
        <v>11100</v>
      </c>
      <c r="V2329" t="s">
        <v>11100</v>
      </c>
      <c r="W2329" t="s">
        <v>13389</v>
      </c>
      <c r="X2329">
        <v>1</v>
      </c>
      <c r="Y2329" t="s">
        <v>18857</v>
      </c>
      <c r="Z2329" t="s">
        <v>24334</v>
      </c>
      <c r="AA2329">
        <v>0.96965411077582486</v>
      </c>
      <c r="AB2329" t="str">
        <f>HYPERLINK("Melting_Curves/meltCurve_P49207_RPL34.pdf", "Melting_Curves/meltCurve_P49207_RPL34.pdf")</f>
        <v>Melting_Curves/meltCurve_P49207_RPL34.pdf</v>
      </c>
    </row>
    <row r="2330" spans="1:28" x14ac:dyDescent="0.25">
      <c r="A2330" t="s">
        <v>2334</v>
      </c>
      <c r="B2330">
        <v>0.99299721793515405</v>
      </c>
      <c r="C2330">
        <v>0.964820268059008</v>
      </c>
      <c r="D2330">
        <v>0.98009552864286398</v>
      </c>
      <c r="E2330">
        <v>0.70393855582887499</v>
      </c>
      <c r="F2330">
        <v>0.72879407724598499</v>
      </c>
      <c r="G2330">
        <v>0.45526054326033899</v>
      </c>
      <c r="H2330">
        <v>0.64438888073985401</v>
      </c>
      <c r="I2330">
        <v>0.884460363189151</v>
      </c>
      <c r="J2330">
        <v>0.90300230251332902</v>
      </c>
      <c r="K2330">
        <v>0.77362882637911201</v>
      </c>
      <c r="L2330">
        <v>10859.232625275899</v>
      </c>
      <c r="M2330">
        <v>250</v>
      </c>
      <c r="O2330">
        <v>43.434150836107101</v>
      </c>
      <c r="P2330">
        <v>-0.39191643849539998</v>
      </c>
      <c r="Q2330">
        <v>0.72763907710859499</v>
      </c>
      <c r="R2330">
        <v>0.48474571665034799</v>
      </c>
      <c r="S2330" t="s">
        <v>7881</v>
      </c>
      <c r="T2330" t="s">
        <v>11100</v>
      </c>
      <c r="U2330" t="s">
        <v>11100</v>
      </c>
      <c r="V2330" t="s">
        <v>11100</v>
      </c>
      <c r="W2330" t="s">
        <v>13390</v>
      </c>
      <c r="X2330">
        <v>2</v>
      </c>
      <c r="Y2330" t="s">
        <v>18858</v>
      </c>
      <c r="Z2330" t="s">
        <v>24335</v>
      </c>
      <c r="AA2330">
        <v>0.78609878388703547</v>
      </c>
      <c r="AB2330" t="str">
        <f>HYPERLINK("Melting_Curves/meltCurve_P49247_RPIA.pdf", "Melting_Curves/meltCurve_P49247_RPIA.pdf")</f>
        <v>Melting_Curves/meltCurve_P49247_RPIA.pdf</v>
      </c>
    </row>
    <row r="2331" spans="1:28" x14ac:dyDescent="0.25">
      <c r="A2331" t="s">
        <v>2335</v>
      </c>
      <c r="B2331">
        <v>0.99299721793515405</v>
      </c>
      <c r="C2331">
        <v>1.0461397006359701</v>
      </c>
      <c r="D2331">
        <v>1.1533907857824299</v>
      </c>
      <c r="E2331">
        <v>0.90251219606678101</v>
      </c>
      <c r="F2331">
        <v>0.628619403734201</v>
      </c>
      <c r="G2331">
        <v>0.41634160714785101</v>
      </c>
      <c r="H2331">
        <v>0.247147843611213</v>
      </c>
      <c r="I2331">
        <v>0.19084346387544801</v>
      </c>
      <c r="J2331">
        <v>0.17234046722666699</v>
      </c>
      <c r="K2331">
        <v>0.16030479834806899</v>
      </c>
      <c r="L2331">
        <v>1092.78017580553</v>
      </c>
      <c r="M2331">
        <v>21.3614538699136</v>
      </c>
      <c r="N2331">
        <v>52.145023299496998</v>
      </c>
      <c r="O2331">
        <v>50.714645017751501</v>
      </c>
      <c r="P2331">
        <v>-8.7774032612994504E-2</v>
      </c>
      <c r="Q2331">
        <v>0.166476709946279</v>
      </c>
      <c r="R2331">
        <v>0.97708329737015498</v>
      </c>
      <c r="S2331" t="s">
        <v>7882</v>
      </c>
      <c r="T2331" t="s">
        <v>11100</v>
      </c>
      <c r="U2331" t="s">
        <v>11100</v>
      </c>
      <c r="V2331" t="s">
        <v>11100</v>
      </c>
      <c r="W2331" t="s">
        <v>13391</v>
      </c>
      <c r="X2331">
        <v>18</v>
      </c>
      <c r="Y2331" t="s">
        <v>18859</v>
      </c>
      <c r="Z2331" t="s">
        <v>24336</v>
      </c>
      <c r="AA2331">
        <v>0.56955759632702618</v>
      </c>
      <c r="AB2331" t="str">
        <f>HYPERLINK("Melting_Curves/meltCurve_P49257_LMAN1.pdf", "Melting_Curves/meltCurve_P49257_LMAN1.pdf")</f>
        <v>Melting_Curves/meltCurve_P49257_LMAN1.pdf</v>
      </c>
    </row>
    <row r="2332" spans="1:28" x14ac:dyDescent="0.25">
      <c r="A2332" t="s">
        <v>2336</v>
      </c>
      <c r="B2332">
        <v>0.99299721793515405</v>
      </c>
      <c r="C2332">
        <v>0.99741034549464802</v>
      </c>
      <c r="D2332">
        <v>1.0196456944860499</v>
      </c>
      <c r="E2332">
        <v>0.95764958795968502</v>
      </c>
      <c r="F2332">
        <v>0.77718526440100999</v>
      </c>
      <c r="G2332">
        <v>0.55079157545200197</v>
      </c>
      <c r="H2332">
        <v>0.3234498140175</v>
      </c>
      <c r="I2332">
        <v>0.30652363833306501</v>
      </c>
      <c r="J2332">
        <v>0.32944670350960797</v>
      </c>
      <c r="K2332">
        <v>0.32604908296424401</v>
      </c>
      <c r="L2332">
        <v>1265.72179343025</v>
      </c>
      <c r="M2332">
        <v>24.349657422143299</v>
      </c>
      <c r="N2332">
        <v>54.062568751437801</v>
      </c>
      <c r="O2332">
        <v>51.634298358244301</v>
      </c>
      <c r="P2332">
        <v>-8.2033001786227397E-2</v>
      </c>
      <c r="Q2332">
        <v>0.30419501735871202</v>
      </c>
      <c r="R2332">
        <v>0.99461325861610805</v>
      </c>
      <c r="S2332" t="s">
        <v>7883</v>
      </c>
      <c r="T2332" t="s">
        <v>11100</v>
      </c>
      <c r="U2332" t="s">
        <v>11100</v>
      </c>
      <c r="V2332" t="s">
        <v>11100</v>
      </c>
      <c r="W2332" t="s">
        <v>13392</v>
      </c>
      <c r="X2332">
        <v>38</v>
      </c>
      <c r="Y2332" t="s">
        <v>18860</v>
      </c>
      <c r="Z2332" t="s">
        <v>24337</v>
      </c>
      <c r="AA2332">
        <v>0.65812048093444375</v>
      </c>
      <c r="AB2332" t="str">
        <f>HYPERLINK("Melting_Curves/meltCurve_P49321_NASP.pdf", "Melting_Curves/meltCurve_P49321_NASP.pdf")</f>
        <v>Melting_Curves/meltCurve_P49321_NASP.pdf</v>
      </c>
    </row>
    <row r="2333" spans="1:28" x14ac:dyDescent="0.25">
      <c r="A2333" t="s">
        <v>2337</v>
      </c>
      <c r="B2333">
        <v>0.99299721793515405</v>
      </c>
      <c r="C2333">
        <v>0.96269790511659503</v>
      </c>
      <c r="D2333">
        <v>0.80074982451277199</v>
      </c>
      <c r="E2333">
        <v>0.83209942314107599</v>
      </c>
      <c r="F2333">
        <v>0.80393243358932798</v>
      </c>
      <c r="G2333">
        <v>1.9832757080963599</v>
      </c>
      <c r="H2333">
        <v>0.56070366217013001</v>
      </c>
      <c r="I2333">
        <v>0.255244627067723</v>
      </c>
      <c r="J2333">
        <v>0.198004846616086</v>
      </c>
      <c r="K2333">
        <v>0.15858876255960799</v>
      </c>
      <c r="L2333">
        <v>14338.054167234901</v>
      </c>
      <c r="M2333">
        <v>250</v>
      </c>
      <c r="N2333">
        <v>57.472695412086701</v>
      </c>
      <c r="O2333">
        <v>57.348540721279598</v>
      </c>
      <c r="P2333">
        <v>-0.86756127863895305</v>
      </c>
      <c r="Q2333">
        <v>0.20394594742810501</v>
      </c>
      <c r="R2333">
        <v>0.58040786492035701</v>
      </c>
      <c r="S2333" t="s">
        <v>7884</v>
      </c>
      <c r="T2333" t="s">
        <v>11100</v>
      </c>
      <c r="U2333" t="s">
        <v>11100</v>
      </c>
      <c r="V2333" t="s">
        <v>11100</v>
      </c>
      <c r="W2333" t="s">
        <v>13393</v>
      </c>
      <c r="X2333">
        <v>45</v>
      </c>
      <c r="Y2333" t="s">
        <v>18861</v>
      </c>
      <c r="Z2333" t="s">
        <v>24338</v>
      </c>
      <c r="AA2333">
        <v>0.74407489066210608</v>
      </c>
      <c r="AB2333" t="str">
        <f>HYPERLINK("Melting_Curves/meltCurve_P49327_FASN.pdf", "Melting_Curves/meltCurve_P49327_FASN.pdf")</f>
        <v>Melting_Curves/meltCurve_P49327_FASN.pdf</v>
      </c>
    </row>
    <row r="2334" spans="1:28" x14ac:dyDescent="0.25">
      <c r="A2334" t="s">
        <v>2338</v>
      </c>
      <c r="B2334">
        <v>0.99299721793515405</v>
      </c>
      <c r="C2334">
        <v>1.0841123744230201</v>
      </c>
      <c r="D2334">
        <v>1.32189118597471</v>
      </c>
      <c r="E2334">
        <v>1.0605295136920001</v>
      </c>
      <c r="F2334">
        <v>0.93165181619839199</v>
      </c>
      <c r="G2334">
        <v>0.81635495372550904</v>
      </c>
      <c r="H2334">
        <v>0.517893878901168</v>
      </c>
      <c r="I2334">
        <v>0.447168258247651</v>
      </c>
      <c r="J2334">
        <v>0.41800539773886097</v>
      </c>
      <c r="K2334">
        <v>0.27185894479676798</v>
      </c>
      <c r="L2334">
        <v>1305.9021424201501</v>
      </c>
      <c r="M2334">
        <v>23.426797089886801</v>
      </c>
      <c r="N2334">
        <v>58.431067179890803</v>
      </c>
      <c r="O2334">
        <v>55.342531071624101</v>
      </c>
      <c r="P2334">
        <v>-7.0931227810637501E-2</v>
      </c>
      <c r="Q2334">
        <v>0.32975128045430102</v>
      </c>
      <c r="R2334">
        <v>0.88415004747131798</v>
      </c>
      <c r="S2334" t="s">
        <v>7885</v>
      </c>
      <c r="T2334" t="s">
        <v>11100</v>
      </c>
      <c r="U2334" t="s">
        <v>11100</v>
      </c>
      <c r="V2334" t="s">
        <v>11100</v>
      </c>
      <c r="W2334" t="s">
        <v>13394</v>
      </c>
      <c r="X2334">
        <v>7</v>
      </c>
      <c r="Y2334" t="s">
        <v>18862</v>
      </c>
      <c r="Z2334" t="s">
        <v>24339</v>
      </c>
      <c r="AA2334">
        <v>0.75451818495517198</v>
      </c>
      <c r="AB2334" t="str">
        <f>HYPERLINK("Melting_Curves/meltCurve_P49354_FNTA.pdf", "Melting_Curves/meltCurve_P49354_FNTA.pdf")</f>
        <v>Melting_Curves/meltCurve_P49354_FNTA.pdf</v>
      </c>
    </row>
    <row r="2335" spans="1:28" x14ac:dyDescent="0.25">
      <c r="A2335" t="s">
        <v>2339</v>
      </c>
      <c r="B2335">
        <v>0.99299721793515405</v>
      </c>
      <c r="C2335">
        <v>0.95853304503762105</v>
      </c>
      <c r="D2335">
        <v>0.942840452986352</v>
      </c>
      <c r="E2335">
        <v>0.90957437146349496</v>
      </c>
      <c r="F2335">
        <v>0.72160618467749804</v>
      </c>
      <c r="G2335">
        <v>0.49404777242583903</v>
      </c>
      <c r="H2335">
        <v>0.349980941673882</v>
      </c>
      <c r="I2335">
        <v>0.26727456883679701</v>
      </c>
      <c r="J2335">
        <v>0.22202026698129901</v>
      </c>
      <c r="K2335">
        <v>0.191099686450974</v>
      </c>
      <c r="L2335">
        <v>778.91062053075495</v>
      </c>
      <c r="M2335">
        <v>14.8470172922827</v>
      </c>
      <c r="N2335">
        <v>53.930849117036502</v>
      </c>
      <c r="O2335">
        <v>51.538265465920503</v>
      </c>
      <c r="P2335">
        <v>-6.0051493669624902E-2</v>
      </c>
      <c r="Q2335">
        <v>0.166263606042305</v>
      </c>
      <c r="R2335">
        <v>0.997377700362028</v>
      </c>
      <c r="S2335" t="s">
        <v>7886</v>
      </c>
      <c r="T2335" t="s">
        <v>11100</v>
      </c>
      <c r="U2335" t="s">
        <v>11100</v>
      </c>
      <c r="V2335" t="s">
        <v>11100</v>
      </c>
      <c r="W2335" t="s">
        <v>13395</v>
      </c>
      <c r="X2335">
        <v>2</v>
      </c>
      <c r="Y2335" t="s">
        <v>18863</v>
      </c>
      <c r="Z2335" t="s">
        <v>24340</v>
      </c>
      <c r="AA2335">
        <v>0.61164379254900647</v>
      </c>
      <c r="AB2335" t="str">
        <f>HYPERLINK("Melting_Curves/meltCurve_P49356_FNTB.pdf", "Melting_Curves/meltCurve_P49356_FNTB.pdf")</f>
        <v>Melting_Curves/meltCurve_P49356_FNTB.pdf</v>
      </c>
    </row>
    <row r="2336" spans="1:28" x14ac:dyDescent="0.25">
      <c r="A2336" t="s">
        <v>2340</v>
      </c>
      <c r="B2336">
        <v>0.99299721793515405</v>
      </c>
      <c r="C2336">
        <v>0.90321998214249999</v>
      </c>
      <c r="D2336">
        <v>0.84941640744774005</v>
      </c>
      <c r="E2336">
        <v>0.75628921265165305</v>
      </c>
      <c r="F2336">
        <v>0.81311083663602002</v>
      </c>
      <c r="G2336">
        <v>0.63133336533575601</v>
      </c>
      <c r="H2336">
        <v>0.64948694731214895</v>
      </c>
      <c r="I2336">
        <v>0.70155597066695796</v>
      </c>
      <c r="J2336">
        <v>0.57630723768901704</v>
      </c>
      <c r="K2336">
        <v>0.348612431529639</v>
      </c>
      <c r="L2336">
        <v>241.38169981083601</v>
      </c>
      <c r="M2336">
        <v>3.6638892217744998</v>
      </c>
      <c r="N2336">
        <v>65.881279891774</v>
      </c>
      <c r="O2336">
        <v>52.516443835511197</v>
      </c>
      <c r="P2336">
        <v>-1.7737523013830001E-2</v>
      </c>
      <c r="Q2336">
        <v>0</v>
      </c>
      <c r="R2336">
        <v>0.82997659411709102</v>
      </c>
      <c r="S2336" t="s">
        <v>7887</v>
      </c>
      <c r="T2336" t="s">
        <v>11100</v>
      </c>
      <c r="U2336" t="s">
        <v>11100</v>
      </c>
      <c r="V2336" t="s">
        <v>11100</v>
      </c>
      <c r="W2336" t="s">
        <v>13396</v>
      </c>
      <c r="X2336">
        <v>10</v>
      </c>
      <c r="Y2336" t="s">
        <v>18864</v>
      </c>
      <c r="Z2336" t="s">
        <v>24341</v>
      </c>
      <c r="AA2336">
        <v>0.72374955232686011</v>
      </c>
      <c r="AB2336" t="str">
        <f>HYPERLINK("Melting_Curves/meltCurve_P49366_DHPS.pdf", "Melting_Curves/meltCurve_P49366_DHPS.pdf")</f>
        <v>Melting_Curves/meltCurve_P49366_DHPS.pdf</v>
      </c>
    </row>
    <row r="2337" spans="1:28" x14ac:dyDescent="0.25">
      <c r="A2337" t="s">
        <v>2341</v>
      </c>
      <c r="B2337">
        <v>0.99299721793515405</v>
      </c>
      <c r="C2337">
        <v>0.96063233718014995</v>
      </c>
      <c r="D2337">
        <v>0.88528204457132598</v>
      </c>
      <c r="E2337">
        <v>0.76374874110234303</v>
      </c>
      <c r="F2337">
        <v>0.56213064528924594</v>
      </c>
      <c r="G2337">
        <v>0.41348055992799199</v>
      </c>
      <c r="H2337">
        <v>0.69123030367595795</v>
      </c>
      <c r="I2337">
        <v>0.491647804444729</v>
      </c>
      <c r="J2337">
        <v>0.30033782109086199</v>
      </c>
      <c r="K2337">
        <v>0.16133530722751399</v>
      </c>
      <c r="L2337">
        <v>329.91365161473499</v>
      </c>
      <c r="M2337">
        <v>5.8788482223694603</v>
      </c>
      <c r="N2337">
        <v>56.118774177236801</v>
      </c>
      <c r="O2337">
        <v>50.651252591024303</v>
      </c>
      <c r="P2337">
        <v>-2.9117344742309599E-2</v>
      </c>
      <c r="Q2337">
        <v>0</v>
      </c>
      <c r="R2337">
        <v>0.84382990966532401</v>
      </c>
      <c r="S2337" t="s">
        <v>7888</v>
      </c>
      <c r="T2337" t="s">
        <v>11100</v>
      </c>
      <c r="U2337" t="s">
        <v>11100</v>
      </c>
      <c r="V2337" t="s">
        <v>11100</v>
      </c>
      <c r="W2337" t="s">
        <v>13397</v>
      </c>
      <c r="X2337">
        <v>37</v>
      </c>
      <c r="Y2337" t="s">
        <v>18865</v>
      </c>
      <c r="Z2337" t="s">
        <v>24342</v>
      </c>
      <c r="AA2337">
        <v>0.61827789846086267</v>
      </c>
      <c r="AB2337" t="str">
        <f>HYPERLINK("Melting_Curves/meltCurve_P49368_CCT3.pdf", "Melting_Curves/meltCurve_P49368_CCT3.pdf")</f>
        <v>Melting_Curves/meltCurve_P49368_CCT3.pdf</v>
      </c>
    </row>
    <row r="2338" spans="1:28" x14ac:dyDescent="0.25">
      <c r="A2338" t="s">
        <v>2342</v>
      </c>
      <c r="B2338">
        <v>0.99299721793515405</v>
      </c>
      <c r="C2338">
        <v>0.97604179039426597</v>
      </c>
      <c r="D2338">
        <v>1.08684807347517</v>
      </c>
      <c r="E2338">
        <v>0.89445707937379604</v>
      </c>
      <c r="F2338">
        <v>0.79410726851892799</v>
      </c>
      <c r="G2338">
        <v>0.45968489201660501</v>
      </c>
      <c r="H2338">
        <v>0.15378751421458201</v>
      </c>
      <c r="I2338">
        <v>0.120062687863871</v>
      </c>
      <c r="J2338">
        <v>0.109757658603074</v>
      </c>
      <c r="K2338">
        <v>9.2473067568635603E-2</v>
      </c>
      <c r="L2338">
        <v>1255.6062727480301</v>
      </c>
      <c r="M2338">
        <v>23.804141297649601</v>
      </c>
      <c r="N2338">
        <v>53.142002210464803</v>
      </c>
      <c r="O2338">
        <v>52.3793640633777</v>
      </c>
      <c r="P2338">
        <v>-0.104411523026763</v>
      </c>
      <c r="Q2338">
        <v>8.1013851309014395E-2</v>
      </c>
      <c r="R2338">
        <v>0.98980798204315801</v>
      </c>
      <c r="S2338" t="s">
        <v>7889</v>
      </c>
      <c r="T2338" t="s">
        <v>11100</v>
      </c>
      <c r="U2338" t="s">
        <v>11100</v>
      </c>
      <c r="V2338" t="s">
        <v>11100</v>
      </c>
      <c r="W2338" t="s">
        <v>13398</v>
      </c>
      <c r="X2338">
        <v>35</v>
      </c>
      <c r="Y2338" t="s">
        <v>18866</v>
      </c>
      <c r="Z2338" t="s">
        <v>24343</v>
      </c>
      <c r="AA2338">
        <v>0.57224767023956913</v>
      </c>
      <c r="AB2338" t="str">
        <f>HYPERLINK("Melting_Curves/meltCurve_P49411_TUFM.pdf", "Melting_Curves/meltCurve_P49411_TUFM.pdf")</f>
        <v>Melting_Curves/meltCurve_P49411_TUFM.pdf</v>
      </c>
    </row>
    <row r="2339" spans="1:28" x14ac:dyDescent="0.25">
      <c r="A2339" t="s">
        <v>2343</v>
      </c>
      <c r="B2339">
        <v>0.99299721793515405</v>
      </c>
      <c r="C2339">
        <v>0.95955698533303002</v>
      </c>
      <c r="D2339">
        <v>0.92238770696297501</v>
      </c>
      <c r="E2339">
        <v>0.93822928398458505</v>
      </c>
      <c r="F2339">
        <v>0.89088377505637595</v>
      </c>
      <c r="G2339">
        <v>0.93796040284553195</v>
      </c>
      <c r="H2339">
        <v>0.60204089997798005</v>
      </c>
      <c r="I2339">
        <v>0.21201629715029399</v>
      </c>
      <c r="J2339">
        <v>0.15348828913805801</v>
      </c>
      <c r="K2339">
        <v>0.120894567522076</v>
      </c>
      <c r="L2339">
        <v>2039.03220291454</v>
      </c>
      <c r="M2339">
        <v>35.356684208336702</v>
      </c>
      <c r="N2339">
        <v>58.103907333627397</v>
      </c>
      <c r="O2339">
        <v>57.486792852466301</v>
      </c>
      <c r="P2339">
        <v>-0.13593191240248501</v>
      </c>
      <c r="Q2339">
        <v>0.11595067366333001</v>
      </c>
      <c r="R2339">
        <v>0.98132764578969101</v>
      </c>
      <c r="S2339" t="s">
        <v>7890</v>
      </c>
      <c r="T2339" t="s">
        <v>11100</v>
      </c>
      <c r="U2339" t="s">
        <v>11100</v>
      </c>
      <c r="V2339" t="s">
        <v>11100</v>
      </c>
      <c r="W2339" t="s">
        <v>13399</v>
      </c>
      <c r="X2339">
        <v>27</v>
      </c>
      <c r="Y2339" t="s">
        <v>18867</v>
      </c>
      <c r="Z2339" t="s">
        <v>24344</v>
      </c>
      <c r="AA2339">
        <v>0.72908927177080873</v>
      </c>
      <c r="AB2339" t="str">
        <f>HYPERLINK("Melting_Curves/meltCurve_P49419_2_ALDH7A1.pdf", "Melting_Curves/meltCurve_P49419_2_ALDH7A1.pdf")</f>
        <v>Melting_Curves/meltCurve_P49419_2_ALDH7A1.pdf</v>
      </c>
    </row>
    <row r="2340" spans="1:28" x14ac:dyDescent="0.25">
      <c r="A2340" t="s">
        <v>2344</v>
      </c>
      <c r="B2340">
        <v>0.99299721793515405</v>
      </c>
      <c r="C2340">
        <v>0.97243618968095302</v>
      </c>
      <c r="D2340">
        <v>0.90572449087039997</v>
      </c>
      <c r="E2340">
        <v>0.77423433028083</v>
      </c>
      <c r="F2340">
        <v>0.55291572448021498</v>
      </c>
      <c r="G2340">
        <v>0.23495157167612499</v>
      </c>
      <c r="H2340">
        <v>0.216919527641564</v>
      </c>
      <c r="I2340">
        <v>0.23654765925605201</v>
      </c>
      <c r="J2340">
        <v>0.15200806893948701</v>
      </c>
      <c r="K2340">
        <v>0.153035651176335</v>
      </c>
      <c r="L2340">
        <v>882.65530134623805</v>
      </c>
      <c r="M2340">
        <v>17.926777985723799</v>
      </c>
      <c r="N2340">
        <v>50.270148587581801</v>
      </c>
      <c r="O2340">
        <v>48.636274502496804</v>
      </c>
      <c r="P2340">
        <v>-7.79486299902198E-2</v>
      </c>
      <c r="Q2340">
        <v>0.15412775687442801</v>
      </c>
      <c r="R2340">
        <v>0.98941002640806297</v>
      </c>
      <c r="S2340" t="s">
        <v>7891</v>
      </c>
      <c r="T2340" t="s">
        <v>11100</v>
      </c>
      <c r="U2340" t="s">
        <v>11100</v>
      </c>
      <c r="V2340" t="s">
        <v>11100</v>
      </c>
      <c r="W2340" t="s">
        <v>13400</v>
      </c>
      <c r="X2340">
        <v>4</v>
      </c>
      <c r="Y2340" t="s">
        <v>18868</v>
      </c>
      <c r="Z2340" t="s">
        <v>24345</v>
      </c>
      <c r="AA2340">
        <v>0.51267046386483162</v>
      </c>
      <c r="AB2340" t="str">
        <f>HYPERLINK("Melting_Curves/meltCurve_P49427_CDC34.pdf", "Melting_Curves/meltCurve_P49427_CDC34.pdf")</f>
        <v>Melting_Curves/meltCurve_P49427_CDC34.pdf</v>
      </c>
    </row>
    <row r="2341" spans="1:28" x14ac:dyDescent="0.25">
      <c r="A2341" t="s">
        <v>2345</v>
      </c>
      <c r="B2341">
        <v>0.99299721793515405</v>
      </c>
      <c r="C2341">
        <v>0.90753099963423201</v>
      </c>
      <c r="D2341">
        <v>0.88618095535651997</v>
      </c>
      <c r="E2341">
        <v>0.78310731771583797</v>
      </c>
      <c r="F2341">
        <v>0.62934703628451405</v>
      </c>
      <c r="G2341">
        <v>0.50279007400918696</v>
      </c>
      <c r="H2341">
        <v>0.44035144939804499</v>
      </c>
      <c r="I2341">
        <v>0.42329428275054698</v>
      </c>
      <c r="J2341">
        <v>0.36230984859504001</v>
      </c>
      <c r="K2341">
        <v>0.30213537321371697</v>
      </c>
      <c r="L2341">
        <v>466.28517946960898</v>
      </c>
      <c r="M2341">
        <v>9.2538056474173391</v>
      </c>
      <c r="N2341">
        <v>54.801418831655297</v>
      </c>
      <c r="O2341">
        <v>48.203006731526699</v>
      </c>
      <c r="P2341">
        <v>-3.5410267237656397E-2</v>
      </c>
      <c r="Q2341">
        <v>0.26267438709482899</v>
      </c>
      <c r="R2341">
        <v>0.99152109189554805</v>
      </c>
      <c r="S2341" t="s">
        <v>7892</v>
      </c>
      <c r="T2341" t="s">
        <v>11100</v>
      </c>
      <c r="U2341" t="s">
        <v>11100</v>
      </c>
      <c r="V2341" t="s">
        <v>11100</v>
      </c>
      <c r="W2341" t="s">
        <v>13401</v>
      </c>
      <c r="X2341">
        <v>15</v>
      </c>
      <c r="Y2341" t="s">
        <v>18869</v>
      </c>
      <c r="Z2341" t="s">
        <v>24346</v>
      </c>
      <c r="AA2341">
        <v>0.61737448806848327</v>
      </c>
      <c r="AB2341" t="str">
        <f>HYPERLINK("Melting_Curves/meltCurve_P49454_CENPF.pdf", "Melting_Curves/meltCurve_P49454_CENPF.pdf")</f>
        <v>Melting_Curves/meltCurve_P49454_CENPF.pdf</v>
      </c>
    </row>
    <row r="2342" spans="1:28" x14ac:dyDescent="0.25">
      <c r="A2342" t="s">
        <v>2346</v>
      </c>
      <c r="B2342">
        <v>0.99299721793515405</v>
      </c>
      <c r="C2342">
        <v>1.0355515198740499</v>
      </c>
      <c r="D2342">
        <v>1.0534191536736199</v>
      </c>
      <c r="E2342">
        <v>1.09427262401811</v>
      </c>
      <c r="F2342">
        <v>0.86559184352801999</v>
      </c>
      <c r="G2342">
        <v>0.67483163875054797</v>
      </c>
      <c r="H2342">
        <v>0.66549106973382699</v>
      </c>
      <c r="I2342">
        <v>0.702969238569357</v>
      </c>
      <c r="J2342">
        <v>0.61725561835703202</v>
      </c>
      <c r="K2342">
        <v>0.44089982246991199</v>
      </c>
      <c r="L2342">
        <v>1712.84387764444</v>
      </c>
      <c r="M2342">
        <v>33.203614341222099</v>
      </c>
      <c r="O2342">
        <v>51.400027724285401</v>
      </c>
      <c r="P2342">
        <v>-6.4602873204652897E-2</v>
      </c>
      <c r="Q2342">
        <v>0.59997427153205296</v>
      </c>
      <c r="R2342">
        <v>0.87974954848015896</v>
      </c>
      <c r="S2342" t="s">
        <v>7893</v>
      </c>
      <c r="T2342" t="s">
        <v>11100</v>
      </c>
      <c r="U2342" t="s">
        <v>11100</v>
      </c>
      <c r="V2342" t="s">
        <v>11100</v>
      </c>
      <c r="W2342" t="s">
        <v>13402</v>
      </c>
      <c r="X2342">
        <v>7</v>
      </c>
      <c r="Y2342" t="s">
        <v>18870</v>
      </c>
      <c r="Z2342" t="s">
        <v>24347</v>
      </c>
      <c r="AA2342">
        <v>0.79652848315351166</v>
      </c>
      <c r="AB2342" t="str">
        <f>HYPERLINK("Melting_Curves/meltCurve_P49458_SRP9.pdf", "Melting_Curves/meltCurve_P49458_SRP9.pdf")</f>
        <v>Melting_Curves/meltCurve_P49458_SRP9.pdf</v>
      </c>
    </row>
    <row r="2343" spans="1:28" x14ac:dyDescent="0.25">
      <c r="A2343" t="s">
        <v>2347</v>
      </c>
      <c r="B2343">
        <v>0.99299721793515405</v>
      </c>
      <c r="C2343">
        <v>1.1462228477057901</v>
      </c>
      <c r="D2343">
        <v>0.83335435407667102</v>
      </c>
      <c r="E2343">
        <v>1.0850701983809301</v>
      </c>
      <c r="F2343">
        <v>0.92317771214330602</v>
      </c>
      <c r="G2343">
        <v>0.94649117908951697</v>
      </c>
      <c r="H2343">
        <v>0.70536105953171901</v>
      </c>
      <c r="I2343">
        <v>0.44278158670039602</v>
      </c>
      <c r="J2343">
        <v>0.26910233092998798</v>
      </c>
      <c r="K2343">
        <v>0.16993830300365501</v>
      </c>
      <c r="L2343">
        <v>1240.0026300658301</v>
      </c>
      <c r="M2343">
        <v>20.796845179975499</v>
      </c>
      <c r="N2343">
        <v>60.2039528359321</v>
      </c>
      <c r="O2343">
        <v>59.081476357784801</v>
      </c>
      <c r="P2343">
        <v>-8.0021716840697504E-2</v>
      </c>
      <c r="Q2343">
        <v>9.0694906448480897E-2</v>
      </c>
      <c r="R2343">
        <v>0.94229281780687502</v>
      </c>
      <c r="S2343" t="s">
        <v>7894</v>
      </c>
      <c r="T2343" t="s">
        <v>11100</v>
      </c>
      <c r="U2343" t="s">
        <v>11100</v>
      </c>
      <c r="V2343" t="s">
        <v>11100</v>
      </c>
      <c r="W2343" t="s">
        <v>13403</v>
      </c>
      <c r="X2343">
        <v>2</v>
      </c>
      <c r="Y2343" t="s">
        <v>18871</v>
      </c>
      <c r="Z2343" t="s">
        <v>24348</v>
      </c>
      <c r="AA2343">
        <v>0.77865669421582817</v>
      </c>
      <c r="AB2343" t="str">
        <f>HYPERLINK("Melting_Curves/meltCurve_P49459_UBE2A.pdf", "Melting_Curves/meltCurve_P49459_UBE2A.pdf")</f>
        <v>Melting_Curves/meltCurve_P49459_UBE2A.pdf</v>
      </c>
    </row>
    <row r="2344" spans="1:28" x14ac:dyDescent="0.25">
      <c r="A2344" t="s">
        <v>2348</v>
      </c>
      <c r="B2344">
        <v>0.99299721793515405</v>
      </c>
      <c r="C2344">
        <v>0.96116482362658695</v>
      </c>
      <c r="D2344">
        <v>0.97413635429226697</v>
      </c>
      <c r="E2344">
        <v>0.83785601730465098</v>
      </c>
      <c r="F2344">
        <v>0.74784251764051901</v>
      </c>
      <c r="G2344">
        <v>0.53067486766973604</v>
      </c>
      <c r="H2344">
        <v>0.30703298488583503</v>
      </c>
      <c r="I2344">
        <v>0.199385161048619</v>
      </c>
      <c r="J2344">
        <v>0.167956514465773</v>
      </c>
      <c r="K2344">
        <v>0.149059827628237</v>
      </c>
      <c r="L2344">
        <v>714.65915722302805</v>
      </c>
      <c r="M2344">
        <v>13.404674669228999</v>
      </c>
      <c r="N2344">
        <v>53.970647364502199</v>
      </c>
      <c r="O2344">
        <v>52.169576995638998</v>
      </c>
      <c r="P2344">
        <v>-5.94133266701901E-2</v>
      </c>
      <c r="Q2344">
        <v>7.5223502658406494E-2</v>
      </c>
      <c r="R2344">
        <v>0.99510172193214597</v>
      </c>
      <c r="S2344" t="s">
        <v>7895</v>
      </c>
      <c r="T2344" t="s">
        <v>11100</v>
      </c>
      <c r="U2344" t="s">
        <v>11100</v>
      </c>
      <c r="V2344" t="s">
        <v>11100</v>
      </c>
      <c r="W2344" t="s">
        <v>13404</v>
      </c>
      <c r="X2344">
        <v>22</v>
      </c>
      <c r="Y2344" t="s">
        <v>18872</v>
      </c>
      <c r="Z2344" t="s">
        <v>24349</v>
      </c>
      <c r="AA2344">
        <v>0.5956580266534498</v>
      </c>
      <c r="AB2344" t="str">
        <f>HYPERLINK("Melting_Curves/meltCurve_P49585_PCYT1A.pdf", "Melting_Curves/meltCurve_P49585_PCYT1A.pdf")</f>
        <v>Melting_Curves/meltCurve_P49585_PCYT1A.pdf</v>
      </c>
    </row>
    <row r="2345" spans="1:28" x14ac:dyDescent="0.25">
      <c r="A2345" t="s">
        <v>2349</v>
      </c>
      <c r="B2345">
        <v>0.99299721793515405</v>
      </c>
      <c r="C2345">
        <v>0.99004222515527296</v>
      </c>
      <c r="D2345">
        <v>0.95826603751216299</v>
      </c>
      <c r="E2345">
        <v>0.82473336674279796</v>
      </c>
      <c r="F2345">
        <v>0.67546530703187602</v>
      </c>
      <c r="G2345">
        <v>0.487174677614578</v>
      </c>
      <c r="H2345">
        <v>0.23845088552404201</v>
      </c>
      <c r="I2345">
        <v>0.203124097610521</v>
      </c>
      <c r="J2345">
        <v>0.15724363672135999</v>
      </c>
      <c r="K2345">
        <v>0.127197524855131</v>
      </c>
      <c r="L2345">
        <v>709.46521216506596</v>
      </c>
      <c r="M2345">
        <v>13.5713769894737</v>
      </c>
      <c r="N2345">
        <v>52.945952177205697</v>
      </c>
      <c r="O2345">
        <v>51.180716272962499</v>
      </c>
      <c r="P2345">
        <v>-6.1074700796563498E-2</v>
      </c>
      <c r="Q2345">
        <v>7.8831921767617705E-2</v>
      </c>
      <c r="R2345">
        <v>0.99585083466548496</v>
      </c>
      <c r="S2345" t="s">
        <v>7896</v>
      </c>
      <c r="T2345" t="s">
        <v>11100</v>
      </c>
      <c r="U2345" t="s">
        <v>11100</v>
      </c>
      <c r="V2345" t="s">
        <v>11100</v>
      </c>
      <c r="W2345" t="s">
        <v>13405</v>
      </c>
      <c r="X2345">
        <v>40</v>
      </c>
      <c r="Y2345" t="s">
        <v>18873</v>
      </c>
      <c r="Z2345" t="s">
        <v>24350</v>
      </c>
      <c r="AA2345">
        <v>0.5670965855476795</v>
      </c>
      <c r="AB2345" t="str">
        <f>HYPERLINK("Melting_Curves/meltCurve_P49588_AARS.pdf", "Melting_Curves/meltCurve_P49588_AARS.pdf")</f>
        <v>Melting_Curves/meltCurve_P49588_AARS.pdf</v>
      </c>
    </row>
    <row r="2346" spans="1:28" x14ac:dyDescent="0.25">
      <c r="A2346" t="s">
        <v>2350</v>
      </c>
      <c r="B2346">
        <v>0.99299721793515405</v>
      </c>
      <c r="C2346">
        <v>0.83699500744174005</v>
      </c>
      <c r="D2346">
        <v>0.89624203596764396</v>
      </c>
      <c r="E2346">
        <v>0.69687808227993597</v>
      </c>
      <c r="F2346">
        <v>0.74272217183453204</v>
      </c>
      <c r="G2346">
        <v>0.71056029973858603</v>
      </c>
      <c r="H2346">
        <v>0.42199418808301198</v>
      </c>
      <c r="I2346">
        <v>0.14532062206502799</v>
      </c>
      <c r="J2346">
        <v>0.15495442216356001</v>
      </c>
      <c r="K2346">
        <v>0.12611673497227299</v>
      </c>
      <c r="L2346">
        <v>518.25277997216301</v>
      </c>
      <c r="M2346">
        <v>9.4805590359556309</v>
      </c>
      <c r="N2346">
        <v>54.664791156760799</v>
      </c>
      <c r="O2346">
        <v>52.398344819418803</v>
      </c>
      <c r="P2346">
        <v>-4.5260072205801097E-2</v>
      </c>
      <c r="Q2346">
        <v>0</v>
      </c>
      <c r="R2346">
        <v>0.909394936822989</v>
      </c>
      <c r="S2346" t="s">
        <v>7897</v>
      </c>
      <c r="T2346" t="s">
        <v>11100</v>
      </c>
      <c r="U2346" t="s">
        <v>11100</v>
      </c>
      <c r="V2346" t="s">
        <v>11100</v>
      </c>
      <c r="W2346" t="s">
        <v>13406</v>
      </c>
      <c r="X2346">
        <v>11</v>
      </c>
      <c r="Y2346" t="s">
        <v>18874</v>
      </c>
      <c r="Z2346" t="s">
        <v>24351</v>
      </c>
      <c r="AA2346">
        <v>0.60207574031840727</v>
      </c>
      <c r="AB2346" t="str">
        <f>HYPERLINK("Melting_Curves/meltCurve_P49589_3_CARS.pdf", "Melting_Curves/meltCurve_P49589_3_CARS.pdf")</f>
        <v>Melting_Curves/meltCurve_P49589_3_CARS.pdf</v>
      </c>
    </row>
    <row r="2347" spans="1:28" x14ac:dyDescent="0.25">
      <c r="A2347" t="s">
        <v>2351</v>
      </c>
      <c r="B2347">
        <v>0.99299721793515405</v>
      </c>
      <c r="C2347">
        <v>0.98516286297773603</v>
      </c>
      <c r="D2347">
        <v>1.05397202333458</v>
      </c>
      <c r="E2347">
        <v>0.96037278152347805</v>
      </c>
      <c r="F2347">
        <v>0.77266702753184802</v>
      </c>
      <c r="G2347">
        <v>0.50743903324112904</v>
      </c>
      <c r="H2347">
        <v>0.229076552700203</v>
      </c>
      <c r="I2347">
        <v>0.17551570804737601</v>
      </c>
      <c r="J2347">
        <v>0.140636822442743</v>
      </c>
      <c r="K2347">
        <v>0.121472316242821</v>
      </c>
      <c r="L2347">
        <v>1145.7549790001201</v>
      </c>
      <c r="M2347">
        <v>21.637500643998901</v>
      </c>
      <c r="N2347">
        <v>53.604896962000097</v>
      </c>
      <c r="O2347">
        <v>52.506209857779702</v>
      </c>
      <c r="P2347">
        <v>-9.1096261718376495E-2</v>
      </c>
      <c r="Q2347">
        <v>0.11579337490284</v>
      </c>
      <c r="R2347">
        <v>0.99602684330148294</v>
      </c>
      <c r="S2347" t="s">
        <v>7898</v>
      </c>
      <c r="T2347" t="s">
        <v>11100</v>
      </c>
      <c r="U2347" t="s">
        <v>11100</v>
      </c>
      <c r="V2347" t="s">
        <v>11100</v>
      </c>
      <c r="W2347" t="s">
        <v>13407</v>
      </c>
      <c r="X2347">
        <v>18</v>
      </c>
      <c r="Y2347" t="s">
        <v>18875</v>
      </c>
      <c r="Z2347" t="s">
        <v>24352</v>
      </c>
      <c r="AA2347">
        <v>0.59587370957374264</v>
      </c>
      <c r="AB2347" t="str">
        <f>HYPERLINK("Melting_Curves/meltCurve_P49593_PPM1F.pdf", "Melting_Curves/meltCurve_P49593_PPM1F.pdf")</f>
        <v>Melting_Curves/meltCurve_P49593_PPM1F.pdf</v>
      </c>
    </row>
    <row r="2348" spans="1:28" x14ac:dyDescent="0.25">
      <c r="A2348" t="s">
        <v>2352</v>
      </c>
      <c r="B2348">
        <v>0.99299721793515405</v>
      </c>
      <c r="C2348">
        <v>0.91544077344785701</v>
      </c>
      <c r="D2348">
        <v>0.99423717901284803</v>
      </c>
      <c r="E2348">
        <v>0.69251583032562203</v>
      </c>
      <c r="F2348">
        <v>0.44300163220264799</v>
      </c>
      <c r="G2348">
        <v>0.27518372603151198</v>
      </c>
      <c r="H2348">
        <v>0.167622549895727</v>
      </c>
      <c r="I2348">
        <v>0.184406306877824</v>
      </c>
      <c r="J2348">
        <v>0.130588074121506</v>
      </c>
      <c r="K2348">
        <v>9.6490980166093698E-2</v>
      </c>
      <c r="L2348">
        <v>853.26725124757104</v>
      </c>
      <c r="M2348">
        <v>17.5379982630954</v>
      </c>
      <c r="N2348">
        <v>49.436733528738202</v>
      </c>
      <c r="O2348">
        <v>48.033157604364803</v>
      </c>
      <c r="P2348">
        <v>-8.0200519273583806E-2</v>
      </c>
      <c r="Q2348">
        <v>0.121433685752648</v>
      </c>
      <c r="R2348">
        <v>0.989177105642291</v>
      </c>
      <c r="S2348" t="s">
        <v>7899</v>
      </c>
      <c r="T2348" t="s">
        <v>11100</v>
      </c>
      <c r="U2348" t="s">
        <v>11100</v>
      </c>
      <c r="V2348" t="s">
        <v>11100</v>
      </c>
      <c r="W2348" t="s">
        <v>13408</v>
      </c>
      <c r="X2348">
        <v>9</v>
      </c>
      <c r="Y2348" t="s">
        <v>18876</v>
      </c>
      <c r="Z2348" t="s">
        <v>24353</v>
      </c>
      <c r="AA2348">
        <v>0.47733773505869248</v>
      </c>
      <c r="AB2348" t="str">
        <f>HYPERLINK("Melting_Curves/meltCurve_P49642_PRIM1.pdf", "Melting_Curves/meltCurve_P49642_PRIM1.pdf")</f>
        <v>Melting_Curves/meltCurve_P49642_PRIM1.pdf</v>
      </c>
    </row>
    <row r="2349" spans="1:28" x14ac:dyDescent="0.25">
      <c r="A2349" t="s">
        <v>2353</v>
      </c>
      <c r="B2349">
        <v>0.99299721793515405</v>
      </c>
      <c r="C2349">
        <v>0.87976206518552802</v>
      </c>
      <c r="D2349">
        <v>0.93913958802539399</v>
      </c>
      <c r="E2349">
        <v>0.79157527561435204</v>
      </c>
      <c r="F2349">
        <v>0.65257475658345399</v>
      </c>
      <c r="G2349">
        <v>0.39430473632494201</v>
      </c>
      <c r="H2349">
        <v>0.30479656681478101</v>
      </c>
      <c r="I2349">
        <v>0.28336338479080703</v>
      </c>
      <c r="J2349">
        <v>0.23637609644852201</v>
      </c>
      <c r="K2349">
        <v>0.21980581831510901</v>
      </c>
      <c r="L2349">
        <v>662.49204405447699</v>
      </c>
      <c r="M2349">
        <v>13.131986367602901</v>
      </c>
      <c r="N2349">
        <v>52.307201758218703</v>
      </c>
      <c r="O2349">
        <v>49.321873941746702</v>
      </c>
      <c r="P2349">
        <v>-5.4162820610149098E-2</v>
      </c>
      <c r="Q2349">
        <v>0.18642677546879399</v>
      </c>
      <c r="R2349">
        <v>0.98410775514158599</v>
      </c>
      <c r="S2349" t="s">
        <v>7900</v>
      </c>
      <c r="T2349" t="s">
        <v>11100</v>
      </c>
      <c r="U2349" t="s">
        <v>11100</v>
      </c>
      <c r="V2349" t="s">
        <v>11100</v>
      </c>
      <c r="W2349" t="s">
        <v>13409</v>
      </c>
      <c r="X2349">
        <v>5</v>
      </c>
      <c r="Y2349" t="s">
        <v>18877</v>
      </c>
      <c r="Z2349" t="s">
        <v>24354</v>
      </c>
      <c r="AA2349">
        <v>0.57104997180725126</v>
      </c>
      <c r="AB2349" t="str">
        <f>HYPERLINK("Melting_Curves/meltCurve_P49643_PRIM2.pdf", "Melting_Curves/meltCurve_P49643_PRIM2.pdf")</f>
        <v>Melting_Curves/meltCurve_P49643_PRIM2.pdf</v>
      </c>
    </row>
    <row r="2350" spans="1:28" x14ac:dyDescent="0.25">
      <c r="A2350" t="s">
        <v>2354</v>
      </c>
      <c r="B2350">
        <v>0.99299721793515405</v>
      </c>
      <c r="C2350">
        <v>0.65284413434594502</v>
      </c>
      <c r="D2350">
        <v>1.0155385280976199</v>
      </c>
      <c r="E2350">
        <v>0.57668819359930401</v>
      </c>
      <c r="F2350">
        <v>0.72712876923511804</v>
      </c>
      <c r="G2350">
        <v>0.43019837932974297</v>
      </c>
      <c r="H2350">
        <v>0.17154585965799099</v>
      </c>
      <c r="I2350">
        <v>0.28594196267998601</v>
      </c>
      <c r="J2350">
        <v>0.54564529105113502</v>
      </c>
      <c r="K2350">
        <v>0.43287251577388702</v>
      </c>
      <c r="L2350">
        <v>503.55922142286499</v>
      </c>
      <c r="M2350">
        <v>10.7689783823725</v>
      </c>
      <c r="N2350">
        <v>52.123571630925397</v>
      </c>
      <c r="O2350">
        <v>45.234324678890196</v>
      </c>
      <c r="P2350">
        <v>-3.9599267531830101E-2</v>
      </c>
      <c r="Q2350">
        <v>0.33490795485790298</v>
      </c>
      <c r="R2350">
        <v>0.62810044216208905</v>
      </c>
      <c r="S2350" t="s">
        <v>7901</v>
      </c>
      <c r="T2350" t="s">
        <v>11100</v>
      </c>
      <c r="U2350" t="s">
        <v>11100</v>
      </c>
      <c r="V2350" t="s">
        <v>11100</v>
      </c>
      <c r="W2350" t="s">
        <v>13410</v>
      </c>
      <c r="X2350">
        <v>1</v>
      </c>
      <c r="Y2350" t="s">
        <v>18878</v>
      </c>
      <c r="Z2350" t="s">
        <v>24355</v>
      </c>
      <c r="AA2350">
        <v>0.57746979986441027</v>
      </c>
      <c r="AB2350" t="str">
        <f>HYPERLINK("Melting_Curves/meltCurve_P49674_CSNK1E.pdf", "Melting_Curves/meltCurve_P49674_CSNK1E.pdf")</f>
        <v>Melting_Curves/meltCurve_P49674_CSNK1E.pdf</v>
      </c>
    </row>
    <row r="2351" spans="1:28" x14ac:dyDescent="0.25">
      <c r="A2351" t="s">
        <v>2355</v>
      </c>
      <c r="B2351">
        <v>0.99299721793515405</v>
      </c>
      <c r="C2351">
        <v>1.0372273876519</v>
      </c>
      <c r="D2351">
        <v>1.02250283340959</v>
      </c>
      <c r="E2351">
        <v>0.88582621163688402</v>
      </c>
      <c r="F2351">
        <v>0.59939370811473203</v>
      </c>
      <c r="G2351">
        <v>0.32734984349267299</v>
      </c>
      <c r="H2351">
        <v>0.54147389218763697</v>
      </c>
      <c r="I2351">
        <v>0.60289443840041401</v>
      </c>
      <c r="J2351">
        <v>0.72660658721225901</v>
      </c>
      <c r="K2351">
        <v>0.65258372754420502</v>
      </c>
      <c r="L2351">
        <v>2859.6469420092999</v>
      </c>
      <c r="M2351">
        <v>60.339776876259997</v>
      </c>
      <c r="O2351">
        <v>47.340432841482396</v>
      </c>
      <c r="P2351">
        <v>-0.13620787925804001</v>
      </c>
      <c r="Q2351">
        <v>0.57254485760704599</v>
      </c>
      <c r="R2351">
        <v>0.81461270921598194</v>
      </c>
      <c r="S2351" t="s">
        <v>7902</v>
      </c>
      <c r="T2351" t="s">
        <v>11100</v>
      </c>
      <c r="U2351" t="s">
        <v>11100</v>
      </c>
      <c r="V2351" t="s">
        <v>11100</v>
      </c>
      <c r="W2351" t="s">
        <v>13411</v>
      </c>
      <c r="X2351">
        <v>4</v>
      </c>
      <c r="Y2351" t="s">
        <v>18879</v>
      </c>
      <c r="Z2351" t="s">
        <v>24356</v>
      </c>
      <c r="AA2351">
        <v>0.72123354516789429</v>
      </c>
      <c r="AB2351" t="str">
        <f>HYPERLINK("Melting_Curves/meltCurve_P49721_PSMB2.pdf", "Melting_Curves/meltCurve_P49721_PSMB2.pdf")</f>
        <v>Melting_Curves/meltCurve_P49721_PSMB2.pdf</v>
      </c>
    </row>
    <row r="2352" spans="1:28" x14ac:dyDescent="0.25">
      <c r="A2352" t="s">
        <v>2356</v>
      </c>
      <c r="B2352">
        <v>0.99299721793515405</v>
      </c>
      <c r="C2352">
        <v>1.0278227566895299</v>
      </c>
      <c r="D2352">
        <v>0.973830075848513</v>
      </c>
      <c r="E2352">
        <v>1.0211958251937401</v>
      </c>
      <c r="F2352">
        <v>0.96667279256612604</v>
      </c>
      <c r="G2352">
        <v>0.89149203475350802</v>
      </c>
      <c r="H2352">
        <v>0.31536825765829302</v>
      </c>
      <c r="I2352">
        <v>0.247937122641022</v>
      </c>
      <c r="J2352">
        <v>0.210568746944297</v>
      </c>
      <c r="K2352">
        <v>0.164591801527113</v>
      </c>
      <c r="L2352">
        <v>3068.8543087797698</v>
      </c>
      <c r="M2352">
        <v>55.232528671847298</v>
      </c>
      <c r="N2352">
        <v>56.095732843820002</v>
      </c>
      <c r="O2352">
        <v>55.489749853453901</v>
      </c>
      <c r="P2352">
        <v>-0.198016069020678</v>
      </c>
      <c r="Q2352">
        <v>0.20424749113678101</v>
      </c>
      <c r="R2352">
        <v>0.99555799848620796</v>
      </c>
      <c r="S2352" t="s">
        <v>7903</v>
      </c>
      <c r="T2352" t="s">
        <v>11100</v>
      </c>
      <c r="U2352" t="s">
        <v>11100</v>
      </c>
      <c r="V2352" t="s">
        <v>11100</v>
      </c>
      <c r="W2352" t="s">
        <v>13412</v>
      </c>
      <c r="X2352">
        <v>22</v>
      </c>
      <c r="Y2352" t="s">
        <v>18880</v>
      </c>
      <c r="Z2352" t="s">
        <v>24357</v>
      </c>
      <c r="AA2352">
        <v>0.69821126946454337</v>
      </c>
      <c r="AB2352" t="str">
        <f>HYPERLINK("Melting_Curves/meltCurve_P49736_MCM2.pdf", "Melting_Curves/meltCurve_P49736_MCM2.pdf")</f>
        <v>Melting_Curves/meltCurve_P49736_MCM2.pdf</v>
      </c>
    </row>
    <row r="2353" spans="1:28" x14ac:dyDescent="0.25">
      <c r="A2353" t="s">
        <v>2357</v>
      </c>
      <c r="B2353">
        <v>0.99299721793515405</v>
      </c>
      <c r="C2353">
        <v>1.04591372717427</v>
      </c>
      <c r="D2353">
        <v>0.78053308570206104</v>
      </c>
      <c r="E2353">
        <v>0.70492050874135903</v>
      </c>
      <c r="F2353">
        <v>0.56830370329564805</v>
      </c>
      <c r="G2353">
        <v>0.501547802993763</v>
      </c>
      <c r="H2353">
        <v>0.419557813790775</v>
      </c>
      <c r="I2353">
        <v>0.29125836811765998</v>
      </c>
      <c r="J2353">
        <v>0.13685091812767999</v>
      </c>
      <c r="K2353">
        <v>0.116048296052505</v>
      </c>
      <c r="L2353">
        <v>417.21822742060999</v>
      </c>
      <c r="M2353">
        <v>7.8964841470508498</v>
      </c>
      <c r="N2353">
        <v>52.8359482020443</v>
      </c>
      <c r="O2353">
        <v>49.769447509561502</v>
      </c>
      <c r="P2353">
        <v>-3.9712394123480897E-2</v>
      </c>
      <c r="Q2353">
        <v>0</v>
      </c>
      <c r="R2353">
        <v>0.96211542622123303</v>
      </c>
      <c r="S2353" t="s">
        <v>7904</v>
      </c>
      <c r="T2353" t="s">
        <v>11100</v>
      </c>
      <c r="U2353" t="s">
        <v>11100</v>
      </c>
      <c r="V2353" t="s">
        <v>11100</v>
      </c>
      <c r="W2353" t="s">
        <v>13413</v>
      </c>
      <c r="X2353">
        <v>14</v>
      </c>
      <c r="Y2353" t="s">
        <v>18881</v>
      </c>
      <c r="Z2353" t="s">
        <v>24358</v>
      </c>
      <c r="AA2353">
        <v>0.55075462638329475</v>
      </c>
      <c r="AB2353" t="str">
        <f>HYPERLINK("Melting_Curves/meltCurve_P49748_2_ACADVL.pdf", "Melting_Curves/meltCurve_P49748_2_ACADVL.pdf")</f>
        <v>Melting_Curves/meltCurve_P49748_2_ACADVL.pdf</v>
      </c>
    </row>
    <row r="2354" spans="1:28" x14ac:dyDescent="0.25">
      <c r="A2354" t="s">
        <v>2358</v>
      </c>
      <c r="B2354">
        <v>0.99299721793515405</v>
      </c>
      <c r="C2354">
        <v>0.96059002172074404</v>
      </c>
      <c r="D2354">
        <v>0.92022529866639902</v>
      </c>
      <c r="E2354">
        <v>0.67739724244462995</v>
      </c>
      <c r="F2354">
        <v>0.64471091251798895</v>
      </c>
      <c r="G2354">
        <v>0.33499895795200302</v>
      </c>
      <c r="H2354">
        <v>0.33430437300339</v>
      </c>
      <c r="I2354">
        <v>0.317467764802839</v>
      </c>
      <c r="J2354">
        <v>0.29307725557495501</v>
      </c>
      <c r="K2354">
        <v>0.17962704233208501</v>
      </c>
      <c r="L2354">
        <v>612.02062312923499</v>
      </c>
      <c r="M2354">
        <v>12.4211838386552</v>
      </c>
      <c r="N2354">
        <v>51.5259175482906</v>
      </c>
      <c r="O2354">
        <v>48.0474848912772</v>
      </c>
      <c r="P2354">
        <v>-5.10956684901707E-2</v>
      </c>
      <c r="Q2354">
        <v>0.209575904763108</v>
      </c>
      <c r="R2354">
        <v>0.97086608869799995</v>
      </c>
      <c r="S2354" t="s">
        <v>7905</v>
      </c>
      <c r="T2354" t="s">
        <v>11100</v>
      </c>
      <c r="U2354" t="s">
        <v>11100</v>
      </c>
      <c r="V2354" t="s">
        <v>11100</v>
      </c>
      <c r="W2354" t="s">
        <v>13414</v>
      </c>
      <c r="X2354">
        <v>6</v>
      </c>
      <c r="Y2354" t="s">
        <v>18882</v>
      </c>
      <c r="Z2354" t="s">
        <v>24359</v>
      </c>
      <c r="AA2354">
        <v>0.55503680197154992</v>
      </c>
      <c r="AB2354" t="str">
        <f>HYPERLINK("Melting_Curves/meltCurve_P49750_3_YLPM1.pdf", "Melting_Curves/meltCurve_P49750_3_YLPM1.pdf")</f>
        <v>Melting_Curves/meltCurve_P49750_3_YLPM1.pdf</v>
      </c>
    </row>
    <row r="2355" spans="1:28" x14ac:dyDescent="0.25">
      <c r="A2355" t="s">
        <v>2359</v>
      </c>
      <c r="B2355">
        <v>0.99299721793515405</v>
      </c>
      <c r="C2355">
        <v>1.00264418572736</v>
      </c>
      <c r="D2355">
        <v>0.918412960695559</v>
      </c>
      <c r="E2355">
        <v>0.85836792997270095</v>
      </c>
      <c r="F2355">
        <v>0.76324534076143502</v>
      </c>
      <c r="G2355">
        <v>0.66004310401877897</v>
      </c>
      <c r="H2355">
        <v>0.529581202967356</v>
      </c>
      <c r="I2355">
        <v>0.37798593078354498</v>
      </c>
      <c r="J2355">
        <v>0.163682286035119</v>
      </c>
      <c r="K2355">
        <v>0.13111064207321799</v>
      </c>
      <c r="L2355">
        <v>578.96917844784002</v>
      </c>
      <c r="M2355">
        <v>10.1958037198768</v>
      </c>
      <c r="N2355">
        <v>56.785052536096401</v>
      </c>
      <c r="O2355">
        <v>54.7305765881014</v>
      </c>
      <c r="P2355">
        <v>-4.6593736263112397E-2</v>
      </c>
      <c r="Q2355">
        <v>0</v>
      </c>
      <c r="R2355">
        <v>0.98086507646160603</v>
      </c>
      <c r="S2355" t="s">
        <v>7906</v>
      </c>
      <c r="T2355" t="s">
        <v>11100</v>
      </c>
      <c r="U2355" t="s">
        <v>11100</v>
      </c>
      <c r="V2355" t="s">
        <v>11100</v>
      </c>
      <c r="W2355" t="s">
        <v>13415</v>
      </c>
      <c r="X2355">
        <v>11</v>
      </c>
      <c r="Y2355" t="s">
        <v>18883</v>
      </c>
      <c r="Z2355" t="s">
        <v>24360</v>
      </c>
      <c r="AA2355">
        <v>0.66087583713595643</v>
      </c>
      <c r="AB2355" t="str">
        <f>HYPERLINK("Melting_Curves/meltCurve_P49755_TMED10.pdf", "Melting_Curves/meltCurve_P49755_TMED10.pdf")</f>
        <v>Melting_Curves/meltCurve_P49755_TMED10.pdf</v>
      </c>
    </row>
    <row r="2356" spans="1:28" x14ac:dyDescent="0.25">
      <c r="A2356" t="s">
        <v>2360</v>
      </c>
      <c r="B2356">
        <v>0.99299721793515405</v>
      </c>
      <c r="C2356">
        <v>0.97469018717369305</v>
      </c>
      <c r="D2356">
        <v>0.85237542154555801</v>
      </c>
      <c r="E2356">
        <v>0.898229222064307</v>
      </c>
      <c r="F2356">
        <v>0.69429657730379202</v>
      </c>
      <c r="G2356">
        <v>0.44831985816572201</v>
      </c>
      <c r="H2356">
        <v>0.26761340383126098</v>
      </c>
      <c r="I2356">
        <v>0.183574132719873</v>
      </c>
      <c r="J2356">
        <v>0.14201800776570001</v>
      </c>
      <c r="K2356">
        <v>0.12770833729159001</v>
      </c>
      <c r="L2356">
        <v>723.26601769352305</v>
      </c>
      <c r="M2356">
        <v>13.7920354430975</v>
      </c>
      <c r="N2356">
        <v>53.023107365196303</v>
      </c>
      <c r="O2356">
        <v>51.375258966739302</v>
      </c>
      <c r="P2356">
        <v>-6.2406744882694098E-2</v>
      </c>
      <c r="Q2356">
        <v>7.02712568038594E-2</v>
      </c>
      <c r="R2356">
        <v>0.98841467996184196</v>
      </c>
      <c r="S2356" t="s">
        <v>7907</v>
      </c>
      <c r="T2356" t="s">
        <v>11100</v>
      </c>
      <c r="U2356" t="s">
        <v>11100</v>
      </c>
      <c r="V2356" t="s">
        <v>11100</v>
      </c>
      <c r="W2356" t="s">
        <v>13416</v>
      </c>
      <c r="X2356">
        <v>3</v>
      </c>
      <c r="Y2356" t="s">
        <v>18884</v>
      </c>
      <c r="Z2356" t="s">
        <v>24361</v>
      </c>
      <c r="AA2356">
        <v>0.56761350972459335</v>
      </c>
      <c r="AB2356" t="str">
        <f>HYPERLINK("Melting_Curves/meltCurve_P49756_RBM25.pdf", "Melting_Curves/meltCurve_P49756_RBM25.pdf")</f>
        <v>Melting_Curves/meltCurve_P49756_RBM25.pdf</v>
      </c>
    </row>
    <row r="2357" spans="1:28" x14ac:dyDescent="0.25">
      <c r="A2357" t="s">
        <v>2361</v>
      </c>
      <c r="B2357">
        <v>0.99299721793515405</v>
      </c>
      <c r="C2357">
        <v>0.99107161090989004</v>
      </c>
      <c r="D2357">
        <v>1.00410144959502</v>
      </c>
      <c r="E2357">
        <v>0.80792839973678798</v>
      </c>
      <c r="F2357">
        <v>0.69473219219932303</v>
      </c>
      <c r="G2357">
        <v>0.46931614586186998</v>
      </c>
      <c r="H2357">
        <v>0.34197989447393501</v>
      </c>
      <c r="I2357">
        <v>0.294014217317488</v>
      </c>
      <c r="J2357">
        <v>0.29707293804045698</v>
      </c>
      <c r="K2357">
        <v>0.24874356985736201</v>
      </c>
      <c r="L2357">
        <v>790.68418075665204</v>
      </c>
      <c r="M2357">
        <v>15.520220247860101</v>
      </c>
      <c r="N2357">
        <v>53.227094040955997</v>
      </c>
      <c r="O2357">
        <v>50.122115475586199</v>
      </c>
      <c r="P2357">
        <v>-5.8610685732099502E-2</v>
      </c>
      <c r="Q2357">
        <v>0.24294063781327399</v>
      </c>
      <c r="R2357">
        <v>0.99325781585689399</v>
      </c>
      <c r="S2357" t="s">
        <v>7908</v>
      </c>
      <c r="T2357" t="s">
        <v>11100</v>
      </c>
      <c r="U2357" t="s">
        <v>11100</v>
      </c>
      <c r="V2357" t="s">
        <v>11100</v>
      </c>
      <c r="W2357" t="s">
        <v>13417</v>
      </c>
      <c r="X2357">
        <v>6</v>
      </c>
      <c r="Y2357" t="s">
        <v>18885</v>
      </c>
      <c r="Z2357" t="s">
        <v>24362</v>
      </c>
      <c r="AA2357">
        <v>0.60945193304340584</v>
      </c>
      <c r="AB2357" t="str">
        <f>HYPERLINK("Melting_Curves/meltCurve_P49757_4_NUMB.pdf", "Melting_Curves/meltCurve_P49757_4_NUMB.pdf")</f>
        <v>Melting_Curves/meltCurve_P49757_4_NUMB.pdf</v>
      </c>
    </row>
    <row r="2358" spans="1:28" x14ac:dyDescent="0.25">
      <c r="A2358" t="s">
        <v>2362</v>
      </c>
      <c r="B2358">
        <v>0.99299721793515405</v>
      </c>
      <c r="C2358">
        <v>1.02472450249641</v>
      </c>
      <c r="D2358">
        <v>0.99368469384116098</v>
      </c>
      <c r="E2358">
        <v>0.84511537160156003</v>
      </c>
      <c r="F2358">
        <v>0.75521343258568896</v>
      </c>
      <c r="G2358">
        <v>0.66314337761634201</v>
      </c>
      <c r="H2358">
        <v>0.447722359760582</v>
      </c>
      <c r="I2358">
        <v>0.21406448759146601</v>
      </c>
      <c r="J2358">
        <v>0.154984628568621</v>
      </c>
      <c r="K2358">
        <v>0.1539953321409</v>
      </c>
      <c r="L2358">
        <v>647.644203081726</v>
      </c>
      <c r="M2358">
        <v>11.610990070168601</v>
      </c>
      <c r="N2358">
        <v>55.778551146394904</v>
      </c>
      <c r="O2358">
        <v>54.201015604907703</v>
      </c>
      <c r="P2358">
        <v>-5.3569875982181998E-2</v>
      </c>
      <c r="Q2358">
        <v>0</v>
      </c>
      <c r="R2358">
        <v>0.98646217105337997</v>
      </c>
      <c r="S2358" t="s">
        <v>7909</v>
      </c>
      <c r="T2358" t="s">
        <v>11100</v>
      </c>
      <c r="U2358" t="s">
        <v>11100</v>
      </c>
      <c r="V2358" t="s">
        <v>11100</v>
      </c>
      <c r="W2358" t="s">
        <v>13418</v>
      </c>
      <c r="X2358">
        <v>10</v>
      </c>
      <c r="Y2358" t="s">
        <v>18886</v>
      </c>
      <c r="Z2358" t="s">
        <v>24363</v>
      </c>
      <c r="AA2358">
        <v>0.63633818721542712</v>
      </c>
      <c r="AB2358" t="str">
        <f>HYPERLINK("Melting_Curves/meltCurve_P49770_EIF2B2.pdf", "Melting_Curves/meltCurve_P49770_EIF2B2.pdf")</f>
        <v>Melting_Curves/meltCurve_P49770_EIF2B2.pdf</v>
      </c>
    </row>
    <row r="2359" spans="1:28" x14ac:dyDescent="0.25">
      <c r="A2359" t="s">
        <v>2363</v>
      </c>
      <c r="B2359">
        <v>0.99299721793515405</v>
      </c>
      <c r="C2359">
        <v>0.91501202394435399</v>
      </c>
      <c r="D2359">
        <v>0.97703231884589203</v>
      </c>
      <c r="E2359">
        <v>0.92383286063820202</v>
      </c>
      <c r="F2359">
        <v>0.74509017320971505</v>
      </c>
      <c r="G2359">
        <v>0.55454811655726199</v>
      </c>
      <c r="H2359">
        <v>0.57147365901712899</v>
      </c>
      <c r="I2359">
        <v>0.73531128423421299</v>
      </c>
      <c r="J2359">
        <v>0.63943545695489101</v>
      </c>
      <c r="K2359">
        <v>0.44183638046279999</v>
      </c>
      <c r="L2359">
        <v>1563.3075715740499</v>
      </c>
      <c r="M2359">
        <v>31.8391449444199</v>
      </c>
      <c r="O2359">
        <v>48.907698608197201</v>
      </c>
      <c r="P2359">
        <v>-6.7425783414190005E-2</v>
      </c>
      <c r="Q2359">
        <v>0.58571463600272899</v>
      </c>
      <c r="R2359">
        <v>0.83413415210464004</v>
      </c>
      <c r="S2359" t="s">
        <v>7910</v>
      </c>
      <c r="T2359" t="s">
        <v>11100</v>
      </c>
      <c r="U2359" t="s">
        <v>11100</v>
      </c>
      <c r="V2359" t="s">
        <v>11100</v>
      </c>
      <c r="W2359" t="s">
        <v>13419</v>
      </c>
      <c r="X2359">
        <v>11</v>
      </c>
      <c r="Y2359" t="s">
        <v>18887</v>
      </c>
      <c r="Z2359" t="s">
        <v>24364</v>
      </c>
      <c r="AA2359">
        <v>0.75503512855759281</v>
      </c>
      <c r="AB2359" t="str">
        <f>HYPERLINK("Melting_Curves/meltCurve_P49773_HINT1.pdf", "Melting_Curves/meltCurve_P49773_HINT1.pdf")</f>
        <v>Melting_Curves/meltCurve_P49773_HINT1.pdf</v>
      </c>
    </row>
    <row r="2360" spans="1:28" x14ac:dyDescent="0.25">
      <c r="A2360" t="s">
        <v>2364</v>
      </c>
      <c r="B2360">
        <v>0.99299721793515405</v>
      </c>
      <c r="C2360">
        <v>0.96761818891114404</v>
      </c>
      <c r="D2360">
        <v>1.09427564495578</v>
      </c>
      <c r="E2360">
        <v>0.86883568541903999</v>
      </c>
      <c r="F2360">
        <v>0.79107979505520398</v>
      </c>
      <c r="G2360">
        <v>0.85753637250522097</v>
      </c>
      <c r="H2360">
        <v>0.55845123440885802</v>
      </c>
      <c r="I2360">
        <v>0.59509182025597496</v>
      </c>
      <c r="J2360">
        <v>0.55094710151888404</v>
      </c>
      <c r="K2360">
        <v>0.298464524886566</v>
      </c>
      <c r="L2360">
        <v>458.54272903907702</v>
      </c>
      <c r="M2360">
        <v>7.3243328956223896</v>
      </c>
      <c r="N2360">
        <v>62.605391073923599</v>
      </c>
      <c r="O2360">
        <v>58.445372732079697</v>
      </c>
      <c r="P2360">
        <v>-3.1378995847442297E-2</v>
      </c>
      <c r="Q2360">
        <v>0</v>
      </c>
      <c r="R2360">
        <v>0.89038696652761495</v>
      </c>
      <c r="S2360" t="s">
        <v>7911</v>
      </c>
      <c r="T2360" t="s">
        <v>11100</v>
      </c>
      <c r="U2360" t="s">
        <v>11100</v>
      </c>
      <c r="V2360" t="s">
        <v>11100</v>
      </c>
      <c r="W2360" t="s">
        <v>13420</v>
      </c>
      <c r="X2360">
        <v>7</v>
      </c>
      <c r="Y2360" t="s">
        <v>18888</v>
      </c>
      <c r="Z2360" t="s">
        <v>24365</v>
      </c>
      <c r="AA2360">
        <v>0.76613391269377606</v>
      </c>
      <c r="AB2360" t="str">
        <f>HYPERLINK("Melting_Curves/meltCurve_P49790_NUP153.pdf", "Melting_Curves/meltCurve_P49790_NUP153.pdf")</f>
        <v>Melting_Curves/meltCurve_P49790_NUP153.pdf</v>
      </c>
    </row>
    <row r="2361" spans="1:28" x14ac:dyDescent="0.25">
      <c r="A2361" t="s">
        <v>2365</v>
      </c>
      <c r="B2361">
        <v>0.99299721793515405</v>
      </c>
      <c r="C2361">
        <v>0.84952268111392204</v>
      </c>
      <c r="D2361">
        <v>0.91405758787909497</v>
      </c>
      <c r="E2361">
        <v>0.98639589919654802</v>
      </c>
      <c r="F2361">
        <v>0.734533307849212</v>
      </c>
      <c r="G2361">
        <v>0.45154467607270898</v>
      </c>
      <c r="H2361">
        <v>0.42476098294952302</v>
      </c>
      <c r="I2361">
        <v>0.473065293817373</v>
      </c>
      <c r="J2361">
        <v>0.49343216153073199</v>
      </c>
      <c r="K2361">
        <v>0.60367316470868004</v>
      </c>
      <c r="L2361">
        <v>12546.021145759199</v>
      </c>
      <c r="M2361">
        <v>250</v>
      </c>
      <c r="N2361">
        <v>50.9677319022448</v>
      </c>
      <c r="O2361">
        <v>50.180891029759003</v>
      </c>
      <c r="P2361">
        <v>-0.63607993902815696</v>
      </c>
      <c r="Q2361">
        <v>0.489295252004533</v>
      </c>
      <c r="R2361">
        <v>0.89695035332448203</v>
      </c>
      <c r="S2361" t="s">
        <v>7912</v>
      </c>
      <c r="T2361" t="s">
        <v>11100</v>
      </c>
      <c r="U2361" t="s">
        <v>11100</v>
      </c>
      <c r="V2361" t="s">
        <v>11100</v>
      </c>
      <c r="W2361" t="s">
        <v>13421</v>
      </c>
      <c r="X2361">
        <v>12</v>
      </c>
      <c r="Y2361" t="s">
        <v>18889</v>
      </c>
      <c r="Z2361" t="s">
        <v>24366</v>
      </c>
      <c r="AA2361">
        <v>0.71377938409090247</v>
      </c>
      <c r="AB2361" t="str">
        <f>HYPERLINK("Melting_Curves/meltCurve_P49792_RANBP2.pdf", "Melting_Curves/meltCurve_P49792_RANBP2.pdf")</f>
        <v>Melting_Curves/meltCurve_P49792_RANBP2.pdf</v>
      </c>
    </row>
    <row r="2362" spans="1:28" x14ac:dyDescent="0.25">
      <c r="A2362" t="s">
        <v>2366</v>
      </c>
      <c r="B2362">
        <v>0.99299721793515405</v>
      </c>
      <c r="C2362">
        <v>0.96479676385362001</v>
      </c>
      <c r="D2362">
        <v>0.91669134939431995</v>
      </c>
      <c r="E2362">
        <v>0.873049786279114</v>
      </c>
      <c r="F2362">
        <v>0.68747829414315498</v>
      </c>
      <c r="G2362">
        <v>0.46727917099136901</v>
      </c>
      <c r="H2362">
        <v>0.30398476628286503</v>
      </c>
      <c r="I2362">
        <v>0.21387082529766999</v>
      </c>
      <c r="J2362">
        <v>0.158441145075011</v>
      </c>
      <c r="K2362">
        <v>0.13954870299511599</v>
      </c>
      <c r="L2362">
        <v>685.22225102019001</v>
      </c>
      <c r="M2362">
        <v>13.031593157358101</v>
      </c>
      <c r="N2362">
        <v>53.303815424659199</v>
      </c>
      <c r="O2362">
        <v>51.389632051793598</v>
      </c>
      <c r="P2362">
        <v>-5.82758178063255E-2</v>
      </c>
      <c r="Q2362">
        <v>8.0926247020181905E-2</v>
      </c>
      <c r="R2362">
        <v>0.99797552185044902</v>
      </c>
      <c r="S2362" t="s">
        <v>7913</v>
      </c>
      <c r="T2362" t="s">
        <v>11100</v>
      </c>
      <c r="U2362" t="s">
        <v>11100</v>
      </c>
      <c r="V2362" t="s">
        <v>11100</v>
      </c>
      <c r="W2362" t="s">
        <v>13422</v>
      </c>
      <c r="X2362">
        <v>13</v>
      </c>
      <c r="Y2362" t="s">
        <v>18890</v>
      </c>
      <c r="Z2362" t="s">
        <v>24367</v>
      </c>
      <c r="AA2362">
        <v>0.57755863889358239</v>
      </c>
      <c r="AB2362" t="str">
        <f>HYPERLINK("Melting_Curves/meltCurve_P49840_GSK3A.pdf", "Melting_Curves/meltCurve_P49840_GSK3A.pdf")</f>
        <v>Melting_Curves/meltCurve_P49840_GSK3A.pdf</v>
      </c>
    </row>
    <row r="2363" spans="1:28" x14ac:dyDescent="0.25">
      <c r="A2363" t="s">
        <v>2367</v>
      </c>
      <c r="B2363">
        <v>0.99299721793515405</v>
      </c>
      <c r="C2363">
        <v>0.97070950445729398</v>
      </c>
      <c r="D2363">
        <v>0.93694591667551796</v>
      </c>
      <c r="E2363">
        <v>0.89250125560246796</v>
      </c>
      <c r="F2363">
        <v>0.714162109580052</v>
      </c>
      <c r="G2363">
        <v>0.426254785591133</v>
      </c>
      <c r="H2363">
        <v>0.24865057910772301</v>
      </c>
      <c r="I2363">
        <v>0.16317141131974799</v>
      </c>
      <c r="J2363">
        <v>0.122377442731624</v>
      </c>
      <c r="K2363">
        <v>0.14326511524955399</v>
      </c>
      <c r="L2363">
        <v>906.02852679904595</v>
      </c>
      <c r="M2363">
        <v>17.3833741544525</v>
      </c>
      <c r="N2363">
        <v>52.818117793165598</v>
      </c>
      <c r="O2363">
        <v>51.445329329794902</v>
      </c>
      <c r="P2363">
        <v>-7.5813392847914204E-2</v>
      </c>
      <c r="Q2363">
        <v>0.10258522502318999</v>
      </c>
      <c r="R2363">
        <v>0.99722797372940497</v>
      </c>
      <c r="S2363" t="s">
        <v>7914</v>
      </c>
      <c r="T2363" t="s">
        <v>11100</v>
      </c>
      <c r="U2363" t="s">
        <v>11100</v>
      </c>
      <c r="V2363" t="s">
        <v>11100</v>
      </c>
      <c r="W2363" t="s">
        <v>13423</v>
      </c>
      <c r="X2363">
        <v>11</v>
      </c>
      <c r="Y2363" t="s">
        <v>18891</v>
      </c>
      <c r="Z2363" t="s">
        <v>24368</v>
      </c>
      <c r="AA2363">
        <v>0.56907967642916424</v>
      </c>
      <c r="AB2363" t="str">
        <f>HYPERLINK("Melting_Curves/meltCurve_P49841_GSK3B.pdf", "Melting_Curves/meltCurve_P49841_GSK3B.pdf")</f>
        <v>Melting_Curves/meltCurve_P49841_GSK3B.pdf</v>
      </c>
    </row>
    <row r="2364" spans="1:28" x14ac:dyDescent="0.25">
      <c r="A2364" t="s">
        <v>2368</v>
      </c>
      <c r="B2364">
        <v>0.99299721793515405</v>
      </c>
      <c r="C2364">
        <v>0.96674537065597999</v>
      </c>
      <c r="D2364">
        <v>0.92217099249277501</v>
      </c>
      <c r="E2364">
        <v>0.87824341299089204</v>
      </c>
      <c r="F2364">
        <v>0.76411154145358395</v>
      </c>
      <c r="G2364">
        <v>0.60166962421191905</v>
      </c>
      <c r="H2364">
        <v>0.65569852443441601</v>
      </c>
      <c r="I2364">
        <v>0.76558681044004495</v>
      </c>
      <c r="J2364">
        <v>0.81869160878694103</v>
      </c>
      <c r="K2364">
        <v>0.69164097222430498</v>
      </c>
      <c r="L2364">
        <v>1093.4879212737201</v>
      </c>
      <c r="M2364">
        <v>23.575520266279</v>
      </c>
      <c r="O2364">
        <v>46.052493712445198</v>
      </c>
      <c r="P2364">
        <v>-3.7245043924057801E-2</v>
      </c>
      <c r="Q2364">
        <v>0.70898661872970303</v>
      </c>
      <c r="R2364">
        <v>0.77613518996839304</v>
      </c>
      <c r="S2364" t="s">
        <v>7915</v>
      </c>
      <c r="T2364" t="s">
        <v>11100</v>
      </c>
      <c r="U2364" t="s">
        <v>11100</v>
      </c>
      <c r="V2364" t="s">
        <v>11100</v>
      </c>
      <c r="W2364" t="s">
        <v>13424</v>
      </c>
      <c r="X2364">
        <v>12</v>
      </c>
      <c r="Y2364" t="s">
        <v>18892</v>
      </c>
      <c r="Z2364" t="s">
        <v>24369</v>
      </c>
      <c r="AA2364">
        <v>0.80272950038711699</v>
      </c>
      <c r="AB2364" t="str">
        <f>HYPERLINK("Melting_Curves/meltCurve_P49903_SEPHS1.pdf", "Melting_Curves/meltCurve_P49903_SEPHS1.pdf")</f>
        <v>Melting_Curves/meltCurve_P49903_SEPHS1.pdf</v>
      </c>
    </row>
    <row r="2365" spans="1:28" x14ac:dyDescent="0.25">
      <c r="A2365" t="s">
        <v>2369</v>
      </c>
      <c r="B2365">
        <v>0.99299721793515405</v>
      </c>
      <c r="C2365">
        <v>1.2153651339985101</v>
      </c>
      <c r="D2365">
        <v>0.85208552781772595</v>
      </c>
      <c r="E2365">
        <v>0.917023151432103</v>
      </c>
      <c r="F2365">
        <v>0.75536705056553999</v>
      </c>
      <c r="G2365">
        <v>0.493271384184231</v>
      </c>
      <c r="H2365">
        <v>0.189503094102765</v>
      </c>
      <c r="I2365">
        <v>0.14874026867652601</v>
      </c>
      <c r="J2365">
        <v>7.3644932059017801E-2</v>
      </c>
      <c r="K2365">
        <v>5.07303543818384E-2</v>
      </c>
      <c r="L2365">
        <v>924.90712663336797</v>
      </c>
      <c r="M2365">
        <v>17.3766282267291</v>
      </c>
      <c r="N2365">
        <v>53.3831149840046</v>
      </c>
      <c r="O2365">
        <v>52.5371419208237</v>
      </c>
      <c r="P2365">
        <v>-8.0644446115672896E-2</v>
      </c>
      <c r="Q2365">
        <v>2.4761655922336999E-2</v>
      </c>
      <c r="R2365">
        <v>0.958568221989755</v>
      </c>
      <c r="S2365" t="s">
        <v>7916</v>
      </c>
      <c r="T2365" t="s">
        <v>11100</v>
      </c>
      <c r="U2365" t="s">
        <v>11100</v>
      </c>
      <c r="V2365" t="s">
        <v>11100</v>
      </c>
      <c r="W2365" t="s">
        <v>13425</v>
      </c>
      <c r="X2365">
        <v>3</v>
      </c>
      <c r="Y2365" t="s">
        <v>18893</v>
      </c>
      <c r="Z2365" t="s">
        <v>24370</v>
      </c>
      <c r="AA2365">
        <v>0.56690374949723887</v>
      </c>
      <c r="AB2365" t="str">
        <f>HYPERLINK("Melting_Curves/meltCurve_P49914_MTHFS.pdf", "Melting_Curves/meltCurve_P49914_MTHFS.pdf")</f>
        <v>Melting_Curves/meltCurve_P49914_MTHFS.pdf</v>
      </c>
    </row>
    <row r="2366" spans="1:28" x14ac:dyDescent="0.25">
      <c r="A2366" t="s">
        <v>2370</v>
      </c>
      <c r="B2366">
        <v>0.99299721793515405</v>
      </c>
      <c r="C2366">
        <v>0.99586197155746303</v>
      </c>
      <c r="D2366">
        <v>0.98437999840657597</v>
      </c>
      <c r="E2366">
        <v>0.88276154257712003</v>
      </c>
      <c r="F2366">
        <v>0.76450876625531705</v>
      </c>
      <c r="G2366">
        <v>0.49782468483262299</v>
      </c>
      <c r="H2366">
        <v>0.17231106329813001</v>
      </c>
      <c r="I2366">
        <v>0.13764671612139101</v>
      </c>
      <c r="J2366">
        <v>0.11399708171101899</v>
      </c>
      <c r="K2366">
        <v>9.1384995420454807E-2</v>
      </c>
      <c r="L2366">
        <v>1025.46586921587</v>
      </c>
      <c r="M2366">
        <v>19.391459434474498</v>
      </c>
      <c r="N2366">
        <v>53.280214817635603</v>
      </c>
      <c r="O2366">
        <v>52.329583697258897</v>
      </c>
      <c r="P2366">
        <v>-8.6399742403062002E-2</v>
      </c>
      <c r="Q2366">
        <v>6.7404620190055498E-2</v>
      </c>
      <c r="R2366">
        <v>0.99393222023850103</v>
      </c>
      <c r="S2366" t="s">
        <v>7917</v>
      </c>
      <c r="T2366" t="s">
        <v>11100</v>
      </c>
      <c r="U2366" t="s">
        <v>11100</v>
      </c>
      <c r="V2366" t="s">
        <v>11100</v>
      </c>
      <c r="W2366" t="s">
        <v>13426</v>
      </c>
      <c r="X2366">
        <v>44</v>
      </c>
      <c r="Y2366" t="s">
        <v>18894</v>
      </c>
      <c r="Z2366" t="s">
        <v>24371</v>
      </c>
      <c r="AA2366">
        <v>0.57345659815304173</v>
      </c>
      <c r="AB2366" t="str">
        <f>HYPERLINK("Melting_Curves/meltCurve_P49915_GMPS.pdf", "Melting_Curves/meltCurve_P49915_GMPS.pdf")</f>
        <v>Melting_Curves/meltCurve_P49915_GMPS.pdf</v>
      </c>
    </row>
    <row r="2367" spans="1:28" x14ac:dyDescent="0.25">
      <c r="A2367" t="s">
        <v>2371</v>
      </c>
      <c r="B2367">
        <v>0.99299721793515405</v>
      </c>
      <c r="C2367">
        <v>0.93873681059338798</v>
      </c>
      <c r="D2367">
        <v>0.98651956328731905</v>
      </c>
      <c r="E2367">
        <v>0.85780510563279699</v>
      </c>
      <c r="F2367">
        <v>0.73354898591628703</v>
      </c>
      <c r="G2367">
        <v>0.863686820057182</v>
      </c>
      <c r="H2367">
        <v>0.87623863574145899</v>
      </c>
      <c r="I2367">
        <v>0.87803256473000202</v>
      </c>
      <c r="J2367">
        <v>0.75131276096670796</v>
      </c>
      <c r="K2367">
        <v>0.32789162173592501</v>
      </c>
      <c r="L2367">
        <v>2078.5337546759802</v>
      </c>
      <c r="M2367">
        <v>31.599261635246599</v>
      </c>
      <c r="N2367">
        <v>65.777913401030105</v>
      </c>
      <c r="O2367">
        <v>65.5161640514781</v>
      </c>
      <c r="P2367">
        <v>-0.12057875147392801</v>
      </c>
      <c r="Q2367">
        <v>0</v>
      </c>
      <c r="R2367">
        <v>0.60545286172037205</v>
      </c>
      <c r="S2367" t="s">
        <v>7918</v>
      </c>
      <c r="T2367" t="s">
        <v>11100</v>
      </c>
      <c r="U2367" t="s">
        <v>11100</v>
      </c>
      <c r="V2367" t="s">
        <v>11100</v>
      </c>
      <c r="W2367" t="s">
        <v>13427</v>
      </c>
      <c r="X2367">
        <v>27</v>
      </c>
      <c r="Y2367" t="s">
        <v>18895</v>
      </c>
      <c r="Z2367" t="s">
        <v>24372</v>
      </c>
      <c r="AA2367">
        <v>0.93190280484677879</v>
      </c>
      <c r="AB2367" t="str">
        <f>HYPERLINK("Melting_Curves/meltCurve_P49959_MRE11A.pdf", "Melting_Curves/meltCurve_P49959_MRE11A.pdf")</f>
        <v>Melting_Curves/meltCurve_P49959_MRE11A.pdf</v>
      </c>
    </row>
    <row r="2368" spans="1:28" x14ac:dyDescent="0.25">
      <c r="A2368" t="s">
        <v>2372</v>
      </c>
      <c r="B2368">
        <v>0.99299721793515405</v>
      </c>
      <c r="C2368">
        <v>1.3743927759752701</v>
      </c>
      <c r="D2368">
        <v>0.98429613987474196</v>
      </c>
      <c r="E2368">
        <v>0.30295202363681001</v>
      </c>
      <c r="F2368">
        <v>0.59015680307934204</v>
      </c>
      <c r="G2368">
        <v>0</v>
      </c>
      <c r="H2368">
        <v>0.164943344974952</v>
      </c>
      <c r="I2368">
        <v>0</v>
      </c>
      <c r="J2368">
        <v>0.26165351528495201</v>
      </c>
      <c r="K2368">
        <v>0.49435996460014198</v>
      </c>
      <c r="L2368">
        <v>3449.6110708302099</v>
      </c>
      <c r="M2368">
        <v>76.561323514599493</v>
      </c>
      <c r="N2368">
        <v>45.471576841548099</v>
      </c>
      <c r="O2368">
        <v>45.026126905543599</v>
      </c>
      <c r="P2368">
        <v>-0.31827355811140701</v>
      </c>
      <c r="Q2368">
        <v>0.25128657050248299</v>
      </c>
      <c r="R2368">
        <v>0.77098006686877896</v>
      </c>
      <c r="S2368" t="s">
        <v>7919</v>
      </c>
      <c r="T2368" t="s">
        <v>11100</v>
      </c>
      <c r="U2368" t="s">
        <v>11100</v>
      </c>
      <c r="V2368" t="s">
        <v>11100</v>
      </c>
      <c r="W2368" t="s">
        <v>13428</v>
      </c>
      <c r="X2368">
        <v>1</v>
      </c>
      <c r="Y2368" t="s">
        <v>18896</v>
      </c>
      <c r="Z2368" t="s">
        <v>24373</v>
      </c>
      <c r="AA2368">
        <v>0.45299459176079909</v>
      </c>
      <c r="AB2368" t="str">
        <f>HYPERLINK("Melting_Curves/meltCurve_P50053_KHK.pdf", "Melting_Curves/meltCurve_P50053_KHK.pdf")</f>
        <v>Melting_Curves/meltCurve_P50053_KHK.pdf</v>
      </c>
    </row>
    <row r="2369" spans="1:28" x14ac:dyDescent="0.25">
      <c r="A2369" t="s">
        <v>2373</v>
      </c>
      <c r="B2369">
        <v>0.99299721793515405</v>
      </c>
      <c r="C2369">
        <v>0.98275527760708903</v>
      </c>
      <c r="D2369">
        <v>0.97258691627599803</v>
      </c>
      <c r="E2369">
        <v>0.907446606086588</v>
      </c>
      <c r="F2369">
        <v>0.77743684964767401</v>
      </c>
      <c r="G2369">
        <v>0.619720351197525</v>
      </c>
      <c r="H2369">
        <v>0.58983936816055305</v>
      </c>
      <c r="I2369">
        <v>0.42140082092822301</v>
      </c>
      <c r="J2369">
        <v>0.33952289398775098</v>
      </c>
      <c r="K2369">
        <v>0.25671808561531001</v>
      </c>
      <c r="L2369">
        <v>471.46885086495303</v>
      </c>
      <c r="M2369">
        <v>8.0540551661349404</v>
      </c>
      <c r="N2369">
        <v>58.594491262509898</v>
      </c>
      <c r="O2369">
        <v>55.260357778822502</v>
      </c>
      <c r="P2369">
        <v>-3.6336137795059099E-2</v>
      </c>
      <c r="Q2369">
        <v>3.8628360058964701E-3</v>
      </c>
      <c r="R2369">
        <v>0.99097071711524798</v>
      </c>
      <c r="S2369" t="s">
        <v>7920</v>
      </c>
      <c r="T2369" t="s">
        <v>11100</v>
      </c>
      <c r="U2369" t="s">
        <v>11100</v>
      </c>
      <c r="V2369" t="s">
        <v>11100</v>
      </c>
      <c r="W2369" t="s">
        <v>13429</v>
      </c>
      <c r="X2369">
        <v>11</v>
      </c>
      <c r="Y2369" t="s">
        <v>18897</v>
      </c>
      <c r="Z2369" t="s">
        <v>24374</v>
      </c>
      <c r="AA2369">
        <v>0.69297334875352279</v>
      </c>
      <c r="AB2369" t="str">
        <f>HYPERLINK("Melting_Curves/meltCurve_P50148_GNAQ.pdf", "Melting_Curves/meltCurve_P50148_GNAQ.pdf")</f>
        <v>Melting_Curves/meltCurve_P50148_GNAQ.pdf</v>
      </c>
    </row>
    <row r="2370" spans="1:28" x14ac:dyDescent="0.25">
      <c r="A2370" t="s">
        <v>2374</v>
      </c>
      <c r="B2370">
        <v>0.99299721793515405</v>
      </c>
      <c r="C2370">
        <v>1.03515216347567</v>
      </c>
      <c r="D2370">
        <v>1.53863603094726</v>
      </c>
      <c r="E2370">
        <v>1.1549436029803899</v>
      </c>
      <c r="F2370">
        <v>0.94072690114875901</v>
      </c>
      <c r="G2370">
        <v>0.89070694438806797</v>
      </c>
      <c r="H2370">
        <v>0.520357717466293</v>
      </c>
      <c r="I2370">
        <v>0.60968672126393497</v>
      </c>
      <c r="J2370">
        <v>0.78974213143754302</v>
      </c>
      <c r="K2370">
        <v>0.66931189149796699</v>
      </c>
      <c r="L2370">
        <v>13493.0832392348</v>
      </c>
      <c r="M2370">
        <v>250</v>
      </c>
      <c r="O2370">
        <v>53.968887612800302</v>
      </c>
      <c r="P2370">
        <v>-0.40848239172342299</v>
      </c>
      <c r="Q2370">
        <v>0.64727461135575004</v>
      </c>
      <c r="R2370">
        <v>0.54966547266212895</v>
      </c>
      <c r="S2370" t="s">
        <v>7921</v>
      </c>
      <c r="T2370" t="s">
        <v>11100</v>
      </c>
      <c r="U2370" t="s">
        <v>11100</v>
      </c>
      <c r="V2370" t="s">
        <v>11100</v>
      </c>
      <c r="W2370" t="s">
        <v>13430</v>
      </c>
      <c r="X2370">
        <v>1</v>
      </c>
      <c r="Y2370" t="s">
        <v>18898</v>
      </c>
      <c r="Z2370" t="s">
        <v>24375</v>
      </c>
      <c r="AA2370">
        <v>0.84686044633226321</v>
      </c>
      <c r="AB2370" t="str">
        <f>HYPERLINK("Melting_Curves/meltCurve_P50150_GNG4.pdf", "Melting_Curves/meltCurve_P50150_GNG4.pdf")</f>
        <v>Melting_Curves/meltCurve_P50150_GNG4.pdf</v>
      </c>
    </row>
    <row r="2371" spans="1:28" x14ac:dyDescent="0.25">
      <c r="A2371" t="s">
        <v>2375</v>
      </c>
      <c r="B2371">
        <v>0.99299721793515405</v>
      </c>
      <c r="C2371">
        <v>0.93081263028115901</v>
      </c>
      <c r="D2371">
        <v>0.90407670583140698</v>
      </c>
      <c r="E2371">
        <v>0.89826044422076201</v>
      </c>
      <c r="F2371">
        <v>0.72106310498959802</v>
      </c>
      <c r="G2371">
        <v>0.612529357496993</v>
      </c>
      <c r="H2371">
        <v>0.57964170196220599</v>
      </c>
      <c r="I2371">
        <v>0.61207218745693504</v>
      </c>
      <c r="J2371">
        <v>0.65918616181123002</v>
      </c>
      <c r="K2371">
        <v>0.540356974440791</v>
      </c>
      <c r="L2371">
        <v>747.29419698775905</v>
      </c>
      <c r="M2371">
        <v>15.509889191558599</v>
      </c>
      <c r="O2371">
        <v>47.402135633493003</v>
      </c>
      <c r="P2371">
        <v>-3.45409203349148E-2</v>
      </c>
      <c r="Q2371">
        <v>0.57777434892988799</v>
      </c>
      <c r="R2371">
        <v>0.93380384785802695</v>
      </c>
      <c r="S2371" t="s">
        <v>7922</v>
      </c>
      <c r="T2371" t="s">
        <v>11100</v>
      </c>
      <c r="U2371" t="s">
        <v>11100</v>
      </c>
      <c r="V2371" t="s">
        <v>11100</v>
      </c>
      <c r="W2371" t="s">
        <v>13431</v>
      </c>
      <c r="X2371">
        <v>2</v>
      </c>
      <c r="Y2371" t="s">
        <v>18899</v>
      </c>
      <c r="Z2371" t="s">
        <v>24376</v>
      </c>
      <c r="AA2371">
        <v>0.74390558926415129</v>
      </c>
      <c r="AB2371" t="str">
        <f>HYPERLINK("Melting_Curves/meltCurve_P50151_GNG10.pdf", "Melting_Curves/meltCurve_P50151_GNG10.pdf")</f>
        <v>Melting_Curves/meltCurve_P50151_GNG10.pdf</v>
      </c>
    </row>
    <row r="2372" spans="1:28" x14ac:dyDescent="0.25">
      <c r="A2372" t="s">
        <v>2376</v>
      </c>
      <c r="B2372">
        <v>0.99299721793515405</v>
      </c>
      <c r="C2372">
        <v>1.06927463449716</v>
      </c>
      <c r="D2372">
        <v>0.94401954416867995</v>
      </c>
      <c r="E2372">
        <v>0.80097683308321699</v>
      </c>
      <c r="F2372">
        <v>0.41703777375544898</v>
      </c>
      <c r="G2372">
        <v>0.27097342631295301</v>
      </c>
      <c r="H2372">
        <v>0.27813887445747598</v>
      </c>
      <c r="I2372">
        <v>0.24359598487161799</v>
      </c>
      <c r="J2372">
        <v>0.206481734882904</v>
      </c>
      <c r="K2372">
        <v>0.14058209619923101</v>
      </c>
      <c r="L2372">
        <v>1245.16933658626</v>
      </c>
      <c r="M2372">
        <v>25.730785347383598</v>
      </c>
      <c r="N2372">
        <v>49.444645424593197</v>
      </c>
      <c r="O2372">
        <v>48.1027414950223</v>
      </c>
      <c r="P2372">
        <v>-0.105531852191806</v>
      </c>
      <c r="Q2372">
        <v>0.21085801626164499</v>
      </c>
      <c r="R2372">
        <v>0.98757212032873198</v>
      </c>
      <c r="S2372" t="s">
        <v>7923</v>
      </c>
      <c r="T2372" t="s">
        <v>11100</v>
      </c>
      <c r="U2372" t="s">
        <v>11100</v>
      </c>
      <c r="V2372" t="s">
        <v>11100</v>
      </c>
      <c r="W2372" t="s">
        <v>13432</v>
      </c>
      <c r="X2372">
        <v>3</v>
      </c>
      <c r="Y2372" t="s">
        <v>18900</v>
      </c>
      <c r="Z2372" t="s">
        <v>24377</v>
      </c>
      <c r="AA2372">
        <v>0.51691647662198881</v>
      </c>
      <c r="AB2372" t="str">
        <f>HYPERLINK("Melting_Curves/meltCurve_P50219_MNX1.pdf", "Melting_Curves/meltCurve_P50219_MNX1.pdf")</f>
        <v>Melting_Curves/meltCurve_P50219_MNX1.pdf</v>
      </c>
    </row>
    <row r="2373" spans="1:28" x14ac:dyDescent="0.25">
      <c r="A2373" t="s">
        <v>2377</v>
      </c>
      <c r="B2373">
        <v>0.99299721793515405</v>
      </c>
      <c r="C2373">
        <v>1.0422907849732299</v>
      </c>
      <c r="D2373">
        <v>0.957267222819704</v>
      </c>
      <c r="E2373">
        <v>0.90866124685372596</v>
      </c>
      <c r="F2373">
        <v>0.67054675194415103</v>
      </c>
      <c r="G2373">
        <v>0.20693237827262201</v>
      </c>
      <c r="H2373">
        <v>0.139533325121909</v>
      </c>
      <c r="I2373">
        <v>0.106265221836709</v>
      </c>
      <c r="J2373">
        <v>8.9404429666292695E-2</v>
      </c>
      <c r="K2373">
        <v>6.2594139995383699E-2</v>
      </c>
      <c r="L2373">
        <v>1542.9299692580601</v>
      </c>
      <c r="M2373">
        <v>30.2755714317633</v>
      </c>
      <c r="N2373">
        <v>51.277456107815297</v>
      </c>
      <c r="O2373">
        <v>50.7420755915741</v>
      </c>
      <c r="P2373">
        <v>-0.13652230280949099</v>
      </c>
      <c r="Q2373">
        <v>8.47563016055356E-2</v>
      </c>
      <c r="R2373">
        <v>0.99516365458673595</v>
      </c>
      <c r="S2373" t="s">
        <v>7924</v>
      </c>
      <c r="T2373" t="s">
        <v>11100</v>
      </c>
      <c r="U2373" t="s">
        <v>11100</v>
      </c>
      <c r="V2373" t="s">
        <v>11100</v>
      </c>
      <c r="W2373" t="s">
        <v>13433</v>
      </c>
      <c r="X2373">
        <v>14</v>
      </c>
      <c r="Y2373" t="s">
        <v>18901</v>
      </c>
      <c r="Z2373" t="s">
        <v>24378</v>
      </c>
      <c r="AA2373">
        <v>0.51633547185485884</v>
      </c>
      <c r="AB2373" t="str">
        <f>HYPERLINK("Melting_Curves/meltCurve_P50224_SULT1A3.pdf", "Melting_Curves/meltCurve_P50224_SULT1A3.pdf")</f>
        <v>Melting_Curves/meltCurve_P50224_SULT1A3.pdf</v>
      </c>
    </row>
    <row r="2374" spans="1:28" x14ac:dyDescent="0.25">
      <c r="A2374" t="s">
        <v>2378</v>
      </c>
      <c r="B2374">
        <v>0.99299721793515405</v>
      </c>
      <c r="C2374">
        <v>0.99832262560849505</v>
      </c>
      <c r="D2374">
        <v>0.98086457181626396</v>
      </c>
      <c r="E2374">
        <v>1.04140289068574</v>
      </c>
      <c r="F2374">
        <v>0.75399452071180895</v>
      </c>
      <c r="G2374">
        <v>0.43768176675077403</v>
      </c>
      <c r="H2374">
        <v>0.256650157026866</v>
      </c>
      <c r="I2374">
        <v>0.17657115217639499</v>
      </c>
      <c r="J2374">
        <v>0.16927874133977799</v>
      </c>
      <c r="K2374">
        <v>0.15077790766319299</v>
      </c>
      <c r="L2374">
        <v>1337.25119046696</v>
      </c>
      <c r="M2374">
        <v>25.587023238231701</v>
      </c>
      <c r="N2374">
        <v>53.065643916143699</v>
      </c>
      <c r="O2374">
        <v>51.9467698408045</v>
      </c>
      <c r="P2374">
        <v>-0.10338003030854</v>
      </c>
      <c r="Q2374">
        <v>0.16048182064620201</v>
      </c>
      <c r="R2374">
        <v>0.99448267102418197</v>
      </c>
      <c r="S2374" t="s">
        <v>7925</v>
      </c>
      <c r="T2374" t="s">
        <v>11100</v>
      </c>
      <c r="U2374" t="s">
        <v>11100</v>
      </c>
      <c r="V2374" t="s">
        <v>11100</v>
      </c>
      <c r="W2374" t="s">
        <v>13434</v>
      </c>
      <c r="X2374">
        <v>10</v>
      </c>
      <c r="Y2374" t="s">
        <v>18902</v>
      </c>
      <c r="Z2374" t="s">
        <v>24379</v>
      </c>
      <c r="AA2374">
        <v>0.59473268425042625</v>
      </c>
      <c r="AB2374" t="str">
        <f>HYPERLINK("Melting_Curves/meltCurve_P50225_SULT1A1.pdf", "Melting_Curves/meltCurve_P50225_SULT1A1.pdf")</f>
        <v>Melting_Curves/meltCurve_P50225_SULT1A1.pdf</v>
      </c>
    </row>
    <row r="2375" spans="1:28" x14ac:dyDescent="0.25">
      <c r="A2375" t="s">
        <v>2379</v>
      </c>
      <c r="B2375">
        <v>0.99299721793515405</v>
      </c>
      <c r="C2375">
        <v>0.95182517876970296</v>
      </c>
      <c r="D2375">
        <v>0.88395832745158498</v>
      </c>
      <c r="E2375">
        <v>0.80883342135344005</v>
      </c>
      <c r="F2375">
        <v>0.69803095042747498</v>
      </c>
      <c r="G2375">
        <v>0.39691742656727602</v>
      </c>
      <c r="H2375">
        <v>0.181135359381106</v>
      </c>
      <c r="I2375">
        <v>0.158987218656537</v>
      </c>
      <c r="J2375">
        <v>0.13688483221303199</v>
      </c>
      <c r="K2375">
        <v>0.13698025742645201</v>
      </c>
      <c r="L2375">
        <v>745.53756264467495</v>
      </c>
      <c r="M2375">
        <v>14.4656136283118</v>
      </c>
      <c r="N2375">
        <v>52.122377050836498</v>
      </c>
      <c r="O2375">
        <v>50.583697320808497</v>
      </c>
      <c r="P2375">
        <v>-6.6154510316183093E-2</v>
      </c>
      <c r="Q2375">
        <v>7.4785159133457693E-2</v>
      </c>
      <c r="R2375">
        <v>0.98593204711656901</v>
      </c>
      <c r="S2375" t="s">
        <v>7926</v>
      </c>
      <c r="T2375" t="s">
        <v>11100</v>
      </c>
      <c r="U2375" t="s">
        <v>11100</v>
      </c>
      <c r="V2375" t="s">
        <v>11100</v>
      </c>
      <c r="W2375" t="s">
        <v>13435</v>
      </c>
      <c r="X2375">
        <v>13</v>
      </c>
      <c r="Y2375" t="s">
        <v>18903</v>
      </c>
      <c r="Z2375" t="s">
        <v>24380</v>
      </c>
      <c r="AA2375">
        <v>0.54213059929020579</v>
      </c>
      <c r="AB2375" t="str">
        <f>HYPERLINK("Melting_Curves/meltCurve_P50336_PPOX.pdf", "Melting_Curves/meltCurve_P50336_PPOX.pdf")</f>
        <v>Melting_Curves/meltCurve_P50336_PPOX.pdf</v>
      </c>
    </row>
    <row r="2376" spans="1:28" x14ac:dyDescent="0.25">
      <c r="A2376" t="s">
        <v>2380</v>
      </c>
      <c r="B2376">
        <v>0.99299721793515405</v>
      </c>
      <c r="C2376">
        <v>0.958975286543717</v>
      </c>
      <c r="D2376">
        <v>0.96702437213477199</v>
      </c>
      <c r="E2376">
        <v>0.86603550747242697</v>
      </c>
      <c r="F2376">
        <v>0.72129482387642196</v>
      </c>
      <c r="G2376">
        <v>0.42951451310854899</v>
      </c>
      <c r="H2376">
        <v>0.29213157496267</v>
      </c>
      <c r="I2376">
        <v>0.26895855899468701</v>
      </c>
      <c r="J2376">
        <v>0.32122769264613399</v>
      </c>
      <c r="K2376">
        <v>0.27625545668486701</v>
      </c>
      <c r="L2376">
        <v>1075.9157524386301</v>
      </c>
      <c r="M2376">
        <v>21.167724959267701</v>
      </c>
      <c r="N2376">
        <v>52.735965148726898</v>
      </c>
      <c r="O2376">
        <v>50.381010764836603</v>
      </c>
      <c r="P2376">
        <v>-7.6940740430368498E-2</v>
      </c>
      <c r="Q2376">
        <v>0.267516634084497</v>
      </c>
      <c r="R2376">
        <v>0.99042764562520003</v>
      </c>
      <c r="S2376" t="s">
        <v>7927</v>
      </c>
      <c r="T2376" t="s">
        <v>11100</v>
      </c>
      <c r="U2376" t="s">
        <v>11100</v>
      </c>
      <c r="V2376" t="s">
        <v>11100</v>
      </c>
      <c r="W2376" t="s">
        <v>13436</v>
      </c>
      <c r="X2376">
        <v>7</v>
      </c>
      <c r="Y2376" t="s">
        <v>18904</v>
      </c>
      <c r="Z2376" t="s">
        <v>24381</v>
      </c>
      <c r="AA2376">
        <v>0.61386226092692442</v>
      </c>
      <c r="AB2376" t="str">
        <f>HYPERLINK("Melting_Curves/meltCurve_P50402_EMD.pdf", "Melting_Curves/meltCurve_P50402_EMD.pdf")</f>
        <v>Melting_Curves/meltCurve_P50402_EMD.pdf</v>
      </c>
    </row>
    <row r="2377" spans="1:28" x14ac:dyDescent="0.25">
      <c r="A2377" t="s">
        <v>2381</v>
      </c>
      <c r="B2377">
        <v>0.99299721793515405</v>
      </c>
      <c r="C2377">
        <v>0.96246677205444298</v>
      </c>
      <c r="D2377">
        <v>0.92965045166087901</v>
      </c>
      <c r="E2377">
        <v>0.825151988572422</v>
      </c>
      <c r="F2377">
        <v>0.66065218550744698</v>
      </c>
      <c r="G2377">
        <v>0.24553833278026199</v>
      </c>
      <c r="H2377">
        <v>0.21147660042834901</v>
      </c>
      <c r="I2377">
        <v>0.21381633235254799</v>
      </c>
      <c r="J2377">
        <v>0.19557773839460499</v>
      </c>
      <c r="K2377">
        <v>0.195490805412916</v>
      </c>
      <c r="L2377">
        <v>1145.57553664582</v>
      </c>
      <c r="M2377">
        <v>22.845741010556001</v>
      </c>
      <c r="N2377">
        <v>51.137722508622701</v>
      </c>
      <c r="O2377">
        <v>49.764482778223901</v>
      </c>
      <c r="P2377">
        <v>-9.4197830419543702E-2</v>
      </c>
      <c r="Q2377">
        <v>0.179257754590396</v>
      </c>
      <c r="R2377">
        <v>0.98346102279733705</v>
      </c>
      <c r="S2377" t="s">
        <v>7928</v>
      </c>
      <c r="T2377" t="s">
        <v>11100</v>
      </c>
      <c r="U2377" t="s">
        <v>11100</v>
      </c>
      <c r="V2377" t="s">
        <v>11100</v>
      </c>
      <c r="W2377" t="s">
        <v>13437</v>
      </c>
      <c r="X2377">
        <v>4</v>
      </c>
      <c r="Y2377" t="s">
        <v>18905</v>
      </c>
      <c r="Z2377" t="s">
        <v>24382</v>
      </c>
      <c r="AA2377">
        <v>0.5473606072697168</v>
      </c>
      <c r="AB2377" t="str">
        <f>HYPERLINK("Melting_Curves/meltCurve_P50416_2_CPT1A.pdf", "Melting_Curves/meltCurve_P50416_2_CPT1A.pdf")</f>
        <v>Melting_Curves/meltCurve_P50416_2_CPT1A.pdf</v>
      </c>
    </row>
    <row r="2378" spans="1:28" x14ac:dyDescent="0.25">
      <c r="A2378" t="s">
        <v>2382</v>
      </c>
      <c r="B2378">
        <v>0.99299721793515405</v>
      </c>
      <c r="C2378">
        <v>1.2547230098487401</v>
      </c>
      <c r="D2378">
        <v>1.7744483972698599</v>
      </c>
      <c r="E2378">
        <v>1.13024738098084</v>
      </c>
      <c r="F2378">
        <v>1.05766455519714</v>
      </c>
      <c r="G2378">
        <v>1.6188012365858999</v>
      </c>
      <c r="H2378">
        <v>0.79924868211939504</v>
      </c>
      <c r="I2378">
        <v>0.78838427312481696</v>
      </c>
      <c r="J2378">
        <v>1.13405420690128</v>
      </c>
      <c r="K2378">
        <v>0.59606241150948103</v>
      </c>
      <c r="L2378">
        <v>15000</v>
      </c>
      <c r="M2378">
        <v>223.49144946281999</v>
      </c>
      <c r="Q2378">
        <v>0</v>
      </c>
      <c r="R2378">
        <v>2.6343473547344801E-2</v>
      </c>
      <c r="S2378" t="s">
        <v>7929</v>
      </c>
      <c r="T2378" t="s">
        <v>11100</v>
      </c>
      <c r="U2378" t="s">
        <v>11100</v>
      </c>
      <c r="V2378" t="s">
        <v>11100</v>
      </c>
      <c r="W2378" t="s">
        <v>13438</v>
      </c>
      <c r="X2378">
        <v>2</v>
      </c>
      <c r="Y2378" t="s">
        <v>18906</v>
      </c>
      <c r="Z2378" t="s">
        <v>24383</v>
      </c>
      <c r="AA2378">
        <v>0.99489047536244568</v>
      </c>
      <c r="AB2378" t="str">
        <f>HYPERLINK("Melting_Curves/meltCurve_P50452_SERPINB8.pdf", "Melting_Curves/meltCurve_P50452_SERPINB8.pdf")</f>
        <v>Melting_Curves/meltCurve_P50452_SERPINB8.pdf</v>
      </c>
    </row>
    <row r="2379" spans="1:28" x14ac:dyDescent="0.25">
      <c r="A2379" t="s">
        <v>2383</v>
      </c>
      <c r="B2379">
        <v>0.99299721793515405</v>
      </c>
      <c r="C2379">
        <v>1.08449447179917</v>
      </c>
      <c r="D2379">
        <v>1.06425382390742</v>
      </c>
      <c r="E2379">
        <v>0.99394269200197305</v>
      </c>
      <c r="F2379">
        <v>0.81267879473847904</v>
      </c>
      <c r="G2379">
        <v>0.69290401600658003</v>
      </c>
      <c r="H2379">
        <v>0.41429419621424601</v>
      </c>
      <c r="I2379">
        <v>0.22516014919268401</v>
      </c>
      <c r="J2379">
        <v>0.18283345016274499</v>
      </c>
      <c r="K2379">
        <v>0.14706090776294101</v>
      </c>
      <c r="L2379">
        <v>965.158381065443</v>
      </c>
      <c r="M2379">
        <v>17.439534060429999</v>
      </c>
      <c r="N2379">
        <v>56.054032366812699</v>
      </c>
      <c r="O2379">
        <v>54.630821732544099</v>
      </c>
      <c r="P2379">
        <v>-7.18925824140145E-2</v>
      </c>
      <c r="Q2379">
        <v>9.9211870634554597E-2</v>
      </c>
      <c r="R2379">
        <v>0.98638418761931101</v>
      </c>
      <c r="S2379" t="s">
        <v>7930</v>
      </c>
      <c r="T2379" t="s">
        <v>11100</v>
      </c>
      <c r="U2379" t="s">
        <v>11100</v>
      </c>
      <c r="V2379" t="s">
        <v>11100</v>
      </c>
      <c r="W2379" t="s">
        <v>13439</v>
      </c>
      <c r="X2379">
        <v>15</v>
      </c>
      <c r="Y2379" t="s">
        <v>18907</v>
      </c>
      <c r="Z2379" t="s">
        <v>24384</v>
      </c>
      <c r="AA2379">
        <v>0.66112659673415308</v>
      </c>
      <c r="AB2379" t="str">
        <f>HYPERLINK("Melting_Curves/meltCurve_P50454_SERPINH1.pdf", "Melting_Curves/meltCurve_P50454_SERPINH1.pdf")</f>
        <v>Melting_Curves/meltCurve_P50454_SERPINH1.pdf</v>
      </c>
    </row>
    <row r="2380" spans="1:28" x14ac:dyDescent="0.25">
      <c r="A2380" t="s">
        <v>2384</v>
      </c>
      <c r="B2380">
        <v>0.99299721793515405</v>
      </c>
      <c r="C2380">
        <v>1.1803870413859701</v>
      </c>
      <c r="D2380">
        <v>0.71450499820608504</v>
      </c>
      <c r="E2380">
        <v>0.82830565677417101</v>
      </c>
      <c r="F2380">
        <v>0.70971566079349802</v>
      </c>
      <c r="G2380">
        <v>0.30859017130270799</v>
      </c>
      <c r="H2380">
        <v>0.39362226202443001</v>
      </c>
      <c r="I2380">
        <v>0.39799916987878298</v>
      </c>
      <c r="J2380">
        <v>0.33433821242816297</v>
      </c>
      <c r="K2380">
        <v>0.15614978182181599</v>
      </c>
      <c r="L2380">
        <v>611.84047191436696</v>
      </c>
      <c r="M2380">
        <v>12.177131742317</v>
      </c>
      <c r="N2380">
        <v>52.833249728660498</v>
      </c>
      <c r="O2380">
        <v>48.947599856519801</v>
      </c>
      <c r="P2380">
        <v>-4.8234156869941799E-2</v>
      </c>
      <c r="Q2380">
        <v>0.224642174115048</v>
      </c>
      <c r="R2380">
        <v>0.85805403890293797</v>
      </c>
      <c r="S2380" t="s">
        <v>7931</v>
      </c>
      <c r="T2380" t="s">
        <v>11100</v>
      </c>
      <c r="U2380" t="s">
        <v>11100</v>
      </c>
      <c r="V2380" t="s">
        <v>11100</v>
      </c>
      <c r="W2380" t="s">
        <v>13440</v>
      </c>
      <c r="X2380">
        <v>1</v>
      </c>
      <c r="Y2380" t="s">
        <v>18908</v>
      </c>
      <c r="Z2380" t="s">
        <v>24385</v>
      </c>
      <c r="AA2380">
        <v>0.58796169451096036</v>
      </c>
      <c r="AB2380" t="str">
        <f>HYPERLINK("Melting_Curves/meltCurve_P50479_PDLIM4.pdf", "Melting_Curves/meltCurve_P50479_PDLIM4.pdf")</f>
        <v>Melting_Curves/meltCurve_P50479_PDLIM4.pdf</v>
      </c>
    </row>
    <row r="2381" spans="1:28" x14ac:dyDescent="0.25">
      <c r="A2381" t="s">
        <v>2385</v>
      </c>
      <c r="B2381">
        <v>0.99299721793515405</v>
      </c>
      <c r="C2381">
        <v>1.0528551568753299</v>
      </c>
      <c r="D2381">
        <v>0.90250323121328901</v>
      </c>
      <c r="E2381">
        <v>0.89995155711581898</v>
      </c>
      <c r="F2381">
        <v>0.80464099535793099</v>
      </c>
      <c r="G2381">
        <v>0.82278933834335599</v>
      </c>
      <c r="H2381">
        <v>0.36623968406360702</v>
      </c>
      <c r="I2381">
        <v>0.29095095465719201</v>
      </c>
      <c r="J2381">
        <v>0.27218459066679501</v>
      </c>
      <c r="K2381">
        <v>0.226383465492415</v>
      </c>
      <c r="L2381">
        <v>949.47893079512698</v>
      </c>
      <c r="M2381">
        <v>17.181444244156001</v>
      </c>
      <c r="N2381">
        <v>56.676149657601101</v>
      </c>
      <c r="O2381">
        <v>54.529562892813502</v>
      </c>
      <c r="P2381">
        <v>-6.5042549982998799E-2</v>
      </c>
      <c r="Q2381">
        <v>0.17433446002299299</v>
      </c>
      <c r="R2381">
        <v>0.94865467772901302</v>
      </c>
      <c r="S2381" t="s">
        <v>7932</v>
      </c>
      <c r="T2381" t="s">
        <v>11100</v>
      </c>
      <c r="U2381" t="s">
        <v>11100</v>
      </c>
      <c r="V2381" t="s">
        <v>11100</v>
      </c>
      <c r="W2381" t="s">
        <v>13441</v>
      </c>
      <c r="X2381">
        <v>16</v>
      </c>
      <c r="Y2381" t="s">
        <v>18909</v>
      </c>
      <c r="Z2381" t="s">
        <v>24386</v>
      </c>
      <c r="AA2381">
        <v>0.68736511230351904</v>
      </c>
      <c r="AB2381" t="str">
        <f>HYPERLINK("Melting_Curves/meltCurve_P50502_ST13.pdf", "Melting_Curves/meltCurve_P50502_ST13.pdf")</f>
        <v>Melting_Curves/meltCurve_P50502_ST13.pdf</v>
      </c>
    </row>
    <row r="2382" spans="1:28" x14ac:dyDescent="0.25">
      <c r="A2382" t="s">
        <v>2386</v>
      </c>
      <c r="B2382">
        <v>0.99299721793515405</v>
      </c>
      <c r="C2382">
        <v>0.95120769151931195</v>
      </c>
      <c r="D2382">
        <v>0.95647717753290695</v>
      </c>
      <c r="E2382">
        <v>0.90294629190236897</v>
      </c>
      <c r="F2382">
        <v>0.66177433948059206</v>
      </c>
      <c r="G2382">
        <v>0.50490507951886499</v>
      </c>
      <c r="H2382">
        <v>0.28250533456313298</v>
      </c>
      <c r="I2382">
        <v>0.16743018968246501</v>
      </c>
      <c r="J2382">
        <v>0.12723797389666699</v>
      </c>
      <c r="K2382">
        <v>8.2972581905658399E-2</v>
      </c>
      <c r="L2382">
        <v>704.45477491246299</v>
      </c>
      <c r="M2382">
        <v>13.2374022756984</v>
      </c>
      <c r="N2382">
        <v>53.4167759686217</v>
      </c>
      <c r="O2382">
        <v>52.046480515062598</v>
      </c>
      <c r="P2382">
        <v>-6.2059085950754302E-2</v>
      </c>
      <c r="Q2382">
        <v>2.4151398511975501E-2</v>
      </c>
      <c r="R2382">
        <v>0.99629747924053602</v>
      </c>
      <c r="S2382" t="s">
        <v>7933</v>
      </c>
      <c r="T2382" t="s">
        <v>11100</v>
      </c>
      <c r="U2382" t="s">
        <v>11100</v>
      </c>
      <c r="V2382" t="s">
        <v>11100</v>
      </c>
      <c r="W2382" t="s">
        <v>13442</v>
      </c>
      <c r="X2382">
        <v>9</v>
      </c>
      <c r="Y2382" t="s">
        <v>18910</v>
      </c>
      <c r="Z2382" t="s">
        <v>24387</v>
      </c>
      <c r="AA2382">
        <v>0.57053777293884711</v>
      </c>
      <c r="AB2382" t="str">
        <f>HYPERLINK("Melting_Curves/meltCurve_P50552_VASP.pdf", "Melting_Curves/meltCurve_P50552_VASP.pdf")</f>
        <v>Melting_Curves/meltCurve_P50552_VASP.pdf</v>
      </c>
    </row>
    <row r="2383" spans="1:28" x14ac:dyDescent="0.25">
      <c r="A2383" t="s">
        <v>2387</v>
      </c>
      <c r="B2383">
        <v>0.99299721793515405</v>
      </c>
      <c r="C2383">
        <v>0.885398645899241</v>
      </c>
      <c r="D2383">
        <v>0.91449229094973505</v>
      </c>
      <c r="E2383">
        <v>0.80368036641624496</v>
      </c>
      <c r="F2383">
        <v>0.64170715398632505</v>
      </c>
      <c r="G2383">
        <v>0.41138152697882202</v>
      </c>
      <c r="H2383">
        <v>0.43669049121063802</v>
      </c>
      <c r="I2383">
        <v>0.46176106447623499</v>
      </c>
      <c r="J2383">
        <v>0.493892809872435</v>
      </c>
      <c r="K2383">
        <v>0.36276927489301303</v>
      </c>
      <c r="L2383">
        <v>776.43543457690998</v>
      </c>
      <c r="M2383">
        <v>16.160724250428501</v>
      </c>
      <c r="N2383">
        <v>53.704072974811901</v>
      </c>
      <c r="O2383">
        <v>47.327006459142702</v>
      </c>
      <c r="P2383">
        <v>-5.04612761183037E-2</v>
      </c>
      <c r="Q2383">
        <v>0.40893716927975099</v>
      </c>
      <c r="R2383">
        <v>0.94520706969739898</v>
      </c>
      <c r="S2383" t="s">
        <v>7934</v>
      </c>
      <c r="T2383" t="s">
        <v>11100</v>
      </c>
      <c r="U2383" t="s">
        <v>11100</v>
      </c>
      <c r="V2383" t="s">
        <v>11100</v>
      </c>
      <c r="W2383" t="s">
        <v>13443</v>
      </c>
      <c r="X2383">
        <v>17</v>
      </c>
      <c r="Y2383" t="s">
        <v>17259</v>
      </c>
      <c r="Z2383" t="s">
        <v>24388</v>
      </c>
      <c r="AA2383">
        <v>0.63798722070092495</v>
      </c>
      <c r="AB2383" t="str">
        <f>HYPERLINK("Melting_Curves/meltCurve_P50579_METAP2.pdf", "Melting_Curves/meltCurve_P50579_METAP2.pdf")</f>
        <v>Melting_Curves/meltCurve_P50579_METAP2.pdf</v>
      </c>
    </row>
    <row r="2384" spans="1:28" x14ac:dyDescent="0.25">
      <c r="A2384" t="s">
        <v>2388</v>
      </c>
      <c r="B2384">
        <v>0.99299721793515405</v>
      </c>
      <c r="C2384">
        <v>0.893236238465409</v>
      </c>
      <c r="D2384">
        <v>0.81256599461762102</v>
      </c>
      <c r="E2384">
        <v>0.853822131978617</v>
      </c>
      <c r="F2384">
        <v>0.67719547793148405</v>
      </c>
      <c r="G2384">
        <v>0.34919300703422801</v>
      </c>
      <c r="H2384">
        <v>0.31889309801735499</v>
      </c>
      <c r="I2384">
        <v>0.28876686862937601</v>
      </c>
      <c r="J2384">
        <v>0.22880135531361401</v>
      </c>
      <c r="K2384">
        <v>0.17101416334462999</v>
      </c>
      <c r="L2384">
        <v>535.27195330649204</v>
      </c>
      <c r="M2384">
        <v>10.423501314370601</v>
      </c>
      <c r="N2384">
        <v>52.615790115928903</v>
      </c>
      <c r="O2384">
        <v>49.5702195102619</v>
      </c>
      <c r="P2384">
        <v>-4.6768810695366002E-2</v>
      </c>
      <c r="Q2384">
        <v>0.11071009653114</v>
      </c>
      <c r="R2384">
        <v>0.96095946747876804</v>
      </c>
      <c r="S2384" t="s">
        <v>7935</v>
      </c>
      <c r="T2384" t="s">
        <v>11100</v>
      </c>
      <c r="U2384" t="s">
        <v>11100</v>
      </c>
      <c r="V2384" t="s">
        <v>11100</v>
      </c>
      <c r="W2384" t="s">
        <v>13444</v>
      </c>
      <c r="X2384">
        <v>4</v>
      </c>
      <c r="Y2384" t="s">
        <v>18911</v>
      </c>
      <c r="Z2384" t="s">
        <v>24389</v>
      </c>
      <c r="AA2384">
        <v>0.56137984364588156</v>
      </c>
      <c r="AB2384" t="str">
        <f>HYPERLINK("Melting_Curves/meltCurve_P50583_NUDT2.pdf", "Melting_Curves/meltCurve_P50583_NUDT2.pdf")</f>
        <v>Melting_Curves/meltCurve_P50583_NUDT2.pdf</v>
      </c>
    </row>
    <row r="2385" spans="1:28" x14ac:dyDescent="0.25">
      <c r="A2385" t="s">
        <v>2389</v>
      </c>
      <c r="B2385">
        <v>0.99299721793515405</v>
      </c>
      <c r="C2385">
        <v>1.0188456241936401</v>
      </c>
      <c r="D2385">
        <v>0.99110747376619901</v>
      </c>
      <c r="E2385">
        <v>0.79998701531118999</v>
      </c>
      <c r="F2385">
        <v>0.73097638409036503</v>
      </c>
      <c r="G2385">
        <v>0.48078993484188698</v>
      </c>
      <c r="H2385">
        <v>0.25429387634064499</v>
      </c>
      <c r="I2385">
        <v>0.249044271711963</v>
      </c>
      <c r="J2385">
        <v>0.18519899188452299</v>
      </c>
      <c r="K2385">
        <v>0.154123017382023</v>
      </c>
      <c r="L2385">
        <v>757.54069239141995</v>
      </c>
      <c r="M2385">
        <v>14.511609547495301</v>
      </c>
      <c r="N2385">
        <v>53.243687753715498</v>
      </c>
      <c r="O2385">
        <v>51.241116787589696</v>
      </c>
      <c r="P2385">
        <v>-6.2060812062632899E-2</v>
      </c>
      <c r="Q2385">
        <v>0.123543213160131</v>
      </c>
      <c r="R2385">
        <v>0.98911778048420496</v>
      </c>
      <c r="S2385" t="s">
        <v>7936</v>
      </c>
      <c r="T2385" t="s">
        <v>11100</v>
      </c>
      <c r="U2385" t="s">
        <v>11100</v>
      </c>
      <c r="V2385" t="s">
        <v>11100</v>
      </c>
      <c r="W2385" t="s">
        <v>13445</v>
      </c>
      <c r="X2385">
        <v>10</v>
      </c>
      <c r="Y2385" t="s">
        <v>18912</v>
      </c>
      <c r="Z2385" t="s">
        <v>24390</v>
      </c>
      <c r="AA2385">
        <v>0.58485793878392456</v>
      </c>
      <c r="AB2385" t="str">
        <f>HYPERLINK("Melting_Curves/meltCurve_P50747_HLCS.pdf", "Melting_Curves/meltCurve_P50747_HLCS.pdf")</f>
        <v>Melting_Curves/meltCurve_P50747_HLCS.pdf</v>
      </c>
    </row>
    <row r="2386" spans="1:28" x14ac:dyDescent="0.25">
      <c r="A2386" t="s">
        <v>2390</v>
      </c>
      <c r="B2386">
        <v>0.99299721793515405</v>
      </c>
      <c r="C2386">
        <v>1.17583661175562</v>
      </c>
      <c r="D2386">
        <v>1.01094470781035</v>
      </c>
      <c r="E2386">
        <v>0.965263821108024</v>
      </c>
      <c r="F2386">
        <v>0.83491880721891298</v>
      </c>
      <c r="G2386">
        <v>0.56009966839956404</v>
      </c>
      <c r="H2386">
        <v>0.348560406457188</v>
      </c>
      <c r="I2386">
        <v>0.20927012124149899</v>
      </c>
      <c r="J2386">
        <v>0.12811633600938899</v>
      </c>
      <c r="K2386">
        <v>7.7347839824155107E-2</v>
      </c>
      <c r="L2386">
        <v>948.22142016796101</v>
      </c>
      <c r="M2386">
        <v>17.3924999072979</v>
      </c>
      <c r="N2386">
        <v>54.930829413633397</v>
      </c>
      <c r="O2386">
        <v>53.813564659063097</v>
      </c>
      <c r="P2386">
        <v>-7.5864944159895004E-2</v>
      </c>
      <c r="Q2386">
        <v>6.1128074770722199E-2</v>
      </c>
      <c r="R2386">
        <v>0.97827780721159796</v>
      </c>
      <c r="S2386" t="s">
        <v>7937</v>
      </c>
      <c r="T2386" t="s">
        <v>11100</v>
      </c>
      <c r="U2386" t="s">
        <v>11100</v>
      </c>
      <c r="V2386" t="s">
        <v>11100</v>
      </c>
      <c r="W2386" t="s">
        <v>13446</v>
      </c>
      <c r="X2386">
        <v>5</v>
      </c>
      <c r="Y2386" t="s">
        <v>18913</v>
      </c>
      <c r="Z2386" t="s">
        <v>24391</v>
      </c>
      <c r="AA2386">
        <v>0.62216472042924831</v>
      </c>
      <c r="AB2386" t="str">
        <f>HYPERLINK("Melting_Curves/meltCurve_P50748_KNTC1.pdf", "Melting_Curves/meltCurve_P50748_KNTC1.pdf")</f>
        <v>Melting_Curves/meltCurve_P50748_KNTC1.pdf</v>
      </c>
    </row>
    <row r="2387" spans="1:28" x14ac:dyDescent="0.25">
      <c r="A2387" t="s">
        <v>2391</v>
      </c>
      <c r="B2387">
        <v>0.99299721793515405</v>
      </c>
      <c r="C2387">
        <v>1.0217911156038499</v>
      </c>
      <c r="D2387">
        <v>0.95410020347078395</v>
      </c>
      <c r="E2387">
        <v>0.83813861628063802</v>
      </c>
      <c r="F2387">
        <v>0.68769875016566395</v>
      </c>
      <c r="G2387">
        <v>0.42969081889043997</v>
      </c>
      <c r="H2387">
        <v>0.36277598428059099</v>
      </c>
      <c r="I2387">
        <v>0.23182490653113799</v>
      </c>
      <c r="J2387">
        <v>0.169507902848755</v>
      </c>
      <c r="K2387">
        <v>0.144673942068094</v>
      </c>
      <c r="L2387">
        <v>674.42412317214496</v>
      </c>
      <c r="M2387">
        <v>12.8845449260627</v>
      </c>
      <c r="N2387">
        <v>53.287352495518597</v>
      </c>
      <c r="O2387">
        <v>51.130860161143602</v>
      </c>
      <c r="P2387">
        <v>-5.6581831508114001E-2</v>
      </c>
      <c r="Q2387">
        <v>0.102009838579839</v>
      </c>
      <c r="R2387">
        <v>0.99496080688241895</v>
      </c>
      <c r="S2387" t="s">
        <v>7938</v>
      </c>
      <c r="T2387" t="s">
        <v>11100</v>
      </c>
      <c r="U2387" t="s">
        <v>11100</v>
      </c>
      <c r="V2387" t="s">
        <v>11100</v>
      </c>
      <c r="W2387" t="s">
        <v>13447</v>
      </c>
      <c r="X2387">
        <v>3</v>
      </c>
      <c r="Y2387" t="s">
        <v>18914</v>
      </c>
      <c r="Z2387" t="s">
        <v>24392</v>
      </c>
      <c r="AA2387">
        <v>0.58075386796218997</v>
      </c>
      <c r="AB2387" t="str">
        <f>HYPERLINK("Melting_Curves/meltCurve_P50749_RASSF2.pdf", "Melting_Curves/meltCurve_P50749_RASSF2.pdf")</f>
        <v>Melting_Curves/meltCurve_P50749_RASSF2.pdf</v>
      </c>
    </row>
    <row r="2388" spans="1:28" x14ac:dyDescent="0.25">
      <c r="A2388" t="s">
        <v>2392</v>
      </c>
      <c r="B2388">
        <v>0.99299721793515405</v>
      </c>
      <c r="C2388">
        <v>0.73470119538092404</v>
      </c>
      <c r="D2388">
        <v>0.74341245951202095</v>
      </c>
      <c r="E2388">
        <v>0.88571319692042205</v>
      </c>
      <c r="F2388">
        <v>0.52721371786348703</v>
      </c>
      <c r="G2388">
        <v>0.363521028380276</v>
      </c>
      <c r="H2388">
        <v>0.59256818131885902</v>
      </c>
      <c r="I2388">
        <v>0.45930541123615498</v>
      </c>
      <c r="J2388">
        <v>0.50878562889081502</v>
      </c>
      <c r="K2388">
        <v>0.34598977645656598</v>
      </c>
      <c r="L2388">
        <v>335.050811432854</v>
      </c>
      <c r="M2388">
        <v>7.1339081752075604</v>
      </c>
      <c r="N2388">
        <v>56.258336773604398</v>
      </c>
      <c r="O2388">
        <v>43.6952437200883</v>
      </c>
      <c r="P2388">
        <v>-2.67357467702381E-2</v>
      </c>
      <c r="Q2388">
        <v>0.34610414287767499</v>
      </c>
      <c r="R2388">
        <v>0.71939108708821797</v>
      </c>
      <c r="S2388" t="s">
        <v>7939</v>
      </c>
      <c r="T2388" t="s">
        <v>11100</v>
      </c>
      <c r="U2388" t="s">
        <v>11100</v>
      </c>
      <c r="V2388" t="s">
        <v>11100</v>
      </c>
      <c r="W2388" t="s">
        <v>13448</v>
      </c>
      <c r="X2388">
        <v>1</v>
      </c>
      <c r="Y2388" t="s">
        <v>18915</v>
      </c>
      <c r="Z2388" t="s">
        <v>24393</v>
      </c>
      <c r="AA2388">
        <v>0.60600205989725919</v>
      </c>
      <c r="AB2388" t="str">
        <f>HYPERLINK("Melting_Curves/meltCurve_P50895_BCAM.pdf", "Melting_Curves/meltCurve_P50895_BCAM.pdf")</f>
        <v>Melting_Curves/meltCurve_P50895_BCAM.pdf</v>
      </c>
    </row>
    <row r="2389" spans="1:28" x14ac:dyDescent="0.25">
      <c r="A2389" t="s">
        <v>2393</v>
      </c>
      <c r="B2389">
        <v>0.99299721793515405</v>
      </c>
      <c r="C2389">
        <v>1.00614616636915</v>
      </c>
      <c r="D2389">
        <v>1.3123655435100701</v>
      </c>
      <c r="E2389">
        <v>1.0524151790048799</v>
      </c>
      <c r="F2389">
        <v>0.87477833738153699</v>
      </c>
      <c r="G2389">
        <v>0.77985377244006204</v>
      </c>
      <c r="H2389">
        <v>0.50428974876437405</v>
      </c>
      <c r="I2389">
        <v>0.44121181865478298</v>
      </c>
      <c r="J2389">
        <v>0.22451870531111601</v>
      </c>
      <c r="K2389">
        <v>0.180718906831981</v>
      </c>
      <c r="L2389">
        <v>924.22130464164695</v>
      </c>
      <c r="M2389">
        <v>16.114364996017699</v>
      </c>
      <c r="N2389">
        <v>58.295822301739001</v>
      </c>
      <c r="O2389">
        <v>56.492431878468501</v>
      </c>
      <c r="P2389">
        <v>-6.3143189471917105E-2</v>
      </c>
      <c r="Q2389">
        <v>0.114618512246859</v>
      </c>
      <c r="R2389">
        <v>0.90961329006671399</v>
      </c>
      <c r="S2389" t="s">
        <v>7940</v>
      </c>
      <c r="T2389" t="s">
        <v>11100</v>
      </c>
      <c r="U2389" t="s">
        <v>11100</v>
      </c>
      <c r="V2389" t="s">
        <v>11100</v>
      </c>
      <c r="W2389" t="s">
        <v>13449</v>
      </c>
      <c r="X2389">
        <v>13</v>
      </c>
      <c r="Y2389" t="s">
        <v>18916</v>
      </c>
      <c r="Z2389" t="s">
        <v>24394</v>
      </c>
      <c r="AA2389">
        <v>0.72200244193622587</v>
      </c>
      <c r="AB2389" t="str">
        <f>HYPERLINK("Melting_Curves/meltCurve_P50897_PPT1.pdf", "Melting_Curves/meltCurve_P50897_PPT1.pdf")</f>
        <v>Melting_Curves/meltCurve_P50897_PPT1.pdf</v>
      </c>
    </row>
    <row r="2390" spans="1:28" x14ac:dyDescent="0.25">
      <c r="A2390" t="s">
        <v>2394</v>
      </c>
      <c r="B2390">
        <v>0.99299721793515405</v>
      </c>
      <c r="C2390">
        <v>1.00161677237804</v>
      </c>
      <c r="D2390">
        <v>0.91267272289685197</v>
      </c>
      <c r="E2390">
        <v>0.82015493599174605</v>
      </c>
      <c r="F2390">
        <v>0.68189356636090603</v>
      </c>
      <c r="G2390">
        <v>0.39564929889331202</v>
      </c>
      <c r="H2390">
        <v>0.57467221661383605</v>
      </c>
      <c r="I2390">
        <v>0.55283360735053</v>
      </c>
      <c r="J2390">
        <v>0.690817533915424</v>
      </c>
      <c r="K2390">
        <v>0.235535840194535</v>
      </c>
      <c r="L2390">
        <v>925.20674225442997</v>
      </c>
      <c r="M2390">
        <v>19.302914904256699</v>
      </c>
      <c r="N2390">
        <v>57.646489899398802</v>
      </c>
      <c r="O2390">
        <v>47.425405209228003</v>
      </c>
      <c r="P2390">
        <v>-5.2845339107738601E-2</v>
      </c>
      <c r="Q2390">
        <v>0.48067582390879698</v>
      </c>
      <c r="R2390">
        <v>0.76401824036825705</v>
      </c>
      <c r="S2390" t="s">
        <v>7941</v>
      </c>
      <c r="T2390" t="s">
        <v>11100</v>
      </c>
      <c r="U2390" t="s">
        <v>11100</v>
      </c>
      <c r="V2390" t="s">
        <v>11100</v>
      </c>
      <c r="W2390" t="s">
        <v>13450</v>
      </c>
      <c r="X2390">
        <v>40</v>
      </c>
      <c r="Y2390" t="s">
        <v>18917</v>
      </c>
      <c r="Z2390" t="s">
        <v>24395</v>
      </c>
      <c r="AA2390">
        <v>0.67719267350889112</v>
      </c>
      <c r="AB2390" t="str">
        <f>HYPERLINK("Melting_Curves/meltCurve_P50990_CCT8.pdf", "Melting_Curves/meltCurve_P50990_CCT8.pdf")</f>
        <v>Melting_Curves/meltCurve_P50990_CCT8.pdf</v>
      </c>
    </row>
    <row r="2391" spans="1:28" x14ac:dyDescent="0.25">
      <c r="A2391" t="s">
        <v>2395</v>
      </c>
      <c r="B2391">
        <v>0.99299721793515405</v>
      </c>
      <c r="C2391">
        <v>0.96250540255345096</v>
      </c>
      <c r="D2391">
        <v>0.98735031324356204</v>
      </c>
      <c r="E2391">
        <v>0.80741820986905599</v>
      </c>
      <c r="F2391">
        <v>0.55705036360640403</v>
      </c>
      <c r="G2391">
        <v>0.40729391506859203</v>
      </c>
      <c r="H2391">
        <v>0.70115500011193599</v>
      </c>
      <c r="I2391">
        <v>0.41819775339472398</v>
      </c>
      <c r="J2391">
        <v>0.235053304267688</v>
      </c>
      <c r="K2391">
        <v>0.140270577795958</v>
      </c>
      <c r="L2391">
        <v>396.68209167266502</v>
      </c>
      <c r="M2391">
        <v>7.1265528399554503</v>
      </c>
      <c r="N2391">
        <v>55.6625512451117</v>
      </c>
      <c r="O2391">
        <v>51.7791027965268</v>
      </c>
      <c r="P2391">
        <v>-3.4468172466487902E-2</v>
      </c>
      <c r="Q2391">
        <v>0</v>
      </c>
      <c r="R2391">
        <v>0.85556080294933101</v>
      </c>
      <c r="S2391" t="s">
        <v>7942</v>
      </c>
      <c r="T2391" t="s">
        <v>11100</v>
      </c>
      <c r="U2391" t="s">
        <v>11100</v>
      </c>
      <c r="V2391" t="s">
        <v>11100</v>
      </c>
      <c r="W2391" t="s">
        <v>13451</v>
      </c>
      <c r="X2391">
        <v>33</v>
      </c>
      <c r="Y2391" t="s">
        <v>18918</v>
      </c>
      <c r="Z2391" t="s">
        <v>24396</v>
      </c>
      <c r="AA2391">
        <v>0.61841268309478459</v>
      </c>
      <c r="AB2391" t="str">
        <f>HYPERLINK("Melting_Curves/meltCurve_P50991_CCT4.pdf", "Melting_Curves/meltCurve_P50991_CCT4.pdf")</f>
        <v>Melting_Curves/meltCurve_P50991_CCT4.pdf</v>
      </c>
    </row>
    <row r="2392" spans="1:28" x14ac:dyDescent="0.25">
      <c r="A2392" t="s">
        <v>2396</v>
      </c>
      <c r="B2392">
        <v>0.99299721793515405</v>
      </c>
      <c r="C2392">
        <v>1.00481583925523</v>
      </c>
      <c r="D2392">
        <v>0.95099255132541005</v>
      </c>
      <c r="E2392">
        <v>0.90008509000824499</v>
      </c>
      <c r="F2392">
        <v>0.78070783974415403</v>
      </c>
      <c r="G2392">
        <v>0.40402403228039402</v>
      </c>
      <c r="H2392">
        <v>0.13732841739037299</v>
      </c>
      <c r="I2392">
        <v>0.111583378079205</v>
      </c>
      <c r="J2392">
        <v>8.8180020303230397E-2</v>
      </c>
      <c r="K2392">
        <v>7.7369358920843498E-2</v>
      </c>
      <c r="L2392">
        <v>1247.7307250379399</v>
      </c>
      <c r="M2392">
        <v>23.799518328762701</v>
      </c>
      <c r="N2392">
        <v>52.749671442599897</v>
      </c>
      <c r="O2392">
        <v>52.0607870567245</v>
      </c>
      <c r="P2392">
        <v>-0.10654081165132701</v>
      </c>
      <c r="Q2392">
        <v>6.7794941459698096E-2</v>
      </c>
      <c r="R2392">
        <v>0.99550167853773697</v>
      </c>
      <c r="S2392" t="s">
        <v>7943</v>
      </c>
      <c r="T2392" t="s">
        <v>11100</v>
      </c>
      <c r="U2392" t="s">
        <v>11100</v>
      </c>
      <c r="V2392" t="s">
        <v>11100</v>
      </c>
      <c r="W2392" t="s">
        <v>13452</v>
      </c>
      <c r="X2392">
        <v>10</v>
      </c>
      <c r="Y2392" t="s">
        <v>18919</v>
      </c>
      <c r="Z2392" t="s">
        <v>24397</v>
      </c>
      <c r="AA2392">
        <v>0.55615449004310291</v>
      </c>
      <c r="AB2392" t="str">
        <f>HYPERLINK("Melting_Curves/meltCurve_P51003_PAPOLA.pdf", "Melting_Curves/meltCurve_P51003_PAPOLA.pdf")</f>
        <v>Melting_Curves/meltCurve_P51003_PAPOLA.pdf</v>
      </c>
    </row>
    <row r="2393" spans="1:28" x14ac:dyDescent="0.25">
      <c r="A2393" t="s">
        <v>2397</v>
      </c>
      <c r="B2393">
        <v>0.99299721793515405</v>
      </c>
      <c r="C2393">
        <v>0.93969816770218195</v>
      </c>
      <c r="D2393">
        <v>0.85962851520072703</v>
      </c>
      <c r="E2393">
        <v>0.66083381123212503</v>
      </c>
      <c r="F2393">
        <v>0.59139213362341103</v>
      </c>
      <c r="G2393">
        <v>0.38841665453525898</v>
      </c>
      <c r="H2393">
        <v>0.380357208333158</v>
      </c>
      <c r="I2393">
        <v>0.19144731015236099</v>
      </c>
      <c r="J2393">
        <v>0.34133664789844698</v>
      </c>
      <c r="K2393">
        <v>0.19427665481118001</v>
      </c>
      <c r="L2393">
        <v>512.08055160160905</v>
      </c>
      <c r="M2393">
        <v>10.423385165785501</v>
      </c>
      <c r="N2393">
        <v>51.394842904457597</v>
      </c>
      <c r="O2393">
        <v>47.4230281105473</v>
      </c>
      <c r="P2393">
        <v>-4.48420362109999E-2</v>
      </c>
      <c r="Q2393">
        <v>0.18427176099856499</v>
      </c>
      <c r="R2393">
        <v>0.96914139564600199</v>
      </c>
      <c r="S2393" t="s">
        <v>7944</v>
      </c>
      <c r="T2393" t="s">
        <v>11100</v>
      </c>
      <c r="U2393" t="s">
        <v>11100</v>
      </c>
      <c r="V2393" t="s">
        <v>11100</v>
      </c>
      <c r="W2393" t="s">
        <v>13453</v>
      </c>
      <c r="X2393">
        <v>3</v>
      </c>
      <c r="Y2393" t="s">
        <v>18920</v>
      </c>
      <c r="Z2393" t="s">
        <v>24398</v>
      </c>
      <c r="AA2393">
        <v>0.54264653222990611</v>
      </c>
      <c r="AB2393" t="str">
        <f>HYPERLINK("Melting_Curves/meltCurve_P51116_FXR2.pdf", "Melting_Curves/meltCurve_P51116_FXR2.pdf")</f>
        <v>Melting_Curves/meltCurve_P51116_FXR2.pdf</v>
      </c>
    </row>
    <row r="2394" spans="1:28" x14ac:dyDescent="0.25">
      <c r="A2394" t="s">
        <v>2398</v>
      </c>
      <c r="B2394">
        <v>0.99299721793515405</v>
      </c>
      <c r="C2394">
        <v>1.01318047845785</v>
      </c>
      <c r="D2394">
        <v>1.0140359953215801</v>
      </c>
      <c r="E2394">
        <v>0.98089592025769501</v>
      </c>
      <c r="F2394">
        <v>0.81851419461272301</v>
      </c>
      <c r="G2394">
        <v>0.67982231161390105</v>
      </c>
      <c r="H2394">
        <v>0.58274064164457295</v>
      </c>
      <c r="I2394">
        <v>0.64327320987060299</v>
      </c>
      <c r="J2394">
        <v>0.64556902455919096</v>
      </c>
      <c r="K2394">
        <v>0.42462444143473799</v>
      </c>
      <c r="L2394">
        <v>1080.22511306706</v>
      </c>
      <c r="M2394">
        <v>21.000523691090802</v>
      </c>
      <c r="O2394">
        <v>50.978405573798298</v>
      </c>
      <c r="P2394">
        <v>-4.5837469422128498E-2</v>
      </c>
      <c r="Q2394">
        <v>0.55493330912913297</v>
      </c>
      <c r="R2394">
        <v>0.92156033037284302</v>
      </c>
      <c r="S2394" t="s">
        <v>7945</v>
      </c>
      <c r="T2394" t="s">
        <v>11100</v>
      </c>
      <c r="U2394" t="s">
        <v>11100</v>
      </c>
      <c r="V2394" t="s">
        <v>11100</v>
      </c>
      <c r="W2394" t="s">
        <v>13454</v>
      </c>
      <c r="X2394">
        <v>14</v>
      </c>
      <c r="Y2394" t="s">
        <v>18921</v>
      </c>
      <c r="Z2394" t="s">
        <v>24399</v>
      </c>
      <c r="AA2394">
        <v>0.77447899643276874</v>
      </c>
      <c r="AB2394" t="str">
        <f>HYPERLINK("Melting_Curves/meltCurve_P51148_RAB5C.pdf", "Melting_Curves/meltCurve_P51148_RAB5C.pdf")</f>
        <v>Melting_Curves/meltCurve_P51148_RAB5C.pdf</v>
      </c>
    </row>
    <row r="2395" spans="1:28" x14ac:dyDescent="0.25">
      <c r="A2395" t="s">
        <v>2399</v>
      </c>
      <c r="B2395">
        <v>0.99299721793515405</v>
      </c>
      <c r="C2395">
        <v>1.0935625436015799</v>
      </c>
      <c r="D2395">
        <v>0.959706188092874</v>
      </c>
      <c r="E2395">
        <v>0.97628855654580804</v>
      </c>
      <c r="F2395">
        <v>0.79618531558168903</v>
      </c>
      <c r="G2395">
        <v>0.63896386417608197</v>
      </c>
      <c r="H2395">
        <v>0.650637658716124</v>
      </c>
      <c r="I2395">
        <v>0.69903750417173005</v>
      </c>
      <c r="J2395">
        <v>0.55304715995518705</v>
      </c>
      <c r="K2395">
        <v>0.39957053081046401</v>
      </c>
      <c r="L2395">
        <v>536.90115473496701</v>
      </c>
      <c r="M2395">
        <v>9.7677446174839506</v>
      </c>
      <c r="N2395">
        <v>66.334554389186295</v>
      </c>
      <c r="O2395">
        <v>52.811342328915302</v>
      </c>
      <c r="P2395">
        <v>-2.7469218745169301E-2</v>
      </c>
      <c r="Q2395">
        <v>0.40624351207869702</v>
      </c>
      <c r="R2395">
        <v>0.88416383065042903</v>
      </c>
      <c r="S2395" t="s">
        <v>7946</v>
      </c>
      <c r="T2395" t="s">
        <v>11100</v>
      </c>
      <c r="U2395" t="s">
        <v>11100</v>
      </c>
      <c r="V2395" t="s">
        <v>11100</v>
      </c>
      <c r="W2395" t="s">
        <v>13455</v>
      </c>
      <c r="X2395">
        <v>17</v>
      </c>
      <c r="Y2395" t="s">
        <v>18922</v>
      </c>
      <c r="Z2395" t="s">
        <v>24400</v>
      </c>
      <c r="AA2395">
        <v>0.7689371716355613</v>
      </c>
      <c r="AB2395" t="str">
        <f>HYPERLINK("Melting_Curves/meltCurve_P51149_RAB7A.pdf", "Melting_Curves/meltCurve_P51149_RAB7A.pdf")</f>
        <v>Melting_Curves/meltCurve_P51149_RAB7A.pdf</v>
      </c>
    </row>
    <row r="2396" spans="1:28" x14ac:dyDescent="0.25">
      <c r="A2396" t="s">
        <v>2400</v>
      </c>
      <c r="B2396">
        <v>0.99299721793515405</v>
      </c>
      <c r="C2396">
        <v>1.11428504776904</v>
      </c>
      <c r="D2396">
        <v>0.92560860346909801</v>
      </c>
      <c r="E2396">
        <v>0.980583229201202</v>
      </c>
      <c r="F2396">
        <v>0.77278772536281204</v>
      </c>
      <c r="G2396">
        <v>0.61171392160789095</v>
      </c>
      <c r="H2396">
        <v>0.47627682513783298</v>
      </c>
      <c r="I2396">
        <v>0.31202987225547602</v>
      </c>
      <c r="J2396">
        <v>0.21623816220102901</v>
      </c>
      <c r="K2396">
        <v>0.15454151411704101</v>
      </c>
      <c r="L2396">
        <v>670.70230767653095</v>
      </c>
      <c r="M2396">
        <v>11.996915072132801</v>
      </c>
      <c r="N2396">
        <v>56.391449035750497</v>
      </c>
      <c r="O2396">
        <v>54.420815166834799</v>
      </c>
      <c r="P2396">
        <v>-5.2421818614527597E-2</v>
      </c>
      <c r="Q2396">
        <v>4.9038864565673503E-2</v>
      </c>
      <c r="R2396">
        <v>0.97903660944550297</v>
      </c>
      <c r="S2396" t="s">
        <v>7947</v>
      </c>
      <c r="T2396" t="s">
        <v>11100</v>
      </c>
      <c r="U2396" t="s">
        <v>11100</v>
      </c>
      <c r="V2396" t="s">
        <v>11100</v>
      </c>
      <c r="W2396" t="s">
        <v>13456</v>
      </c>
      <c r="X2396">
        <v>6</v>
      </c>
      <c r="Y2396" t="s">
        <v>18923</v>
      </c>
      <c r="Z2396" t="s">
        <v>24401</v>
      </c>
      <c r="AA2396">
        <v>0.65807154717041361</v>
      </c>
      <c r="AB2396" t="str">
        <f>HYPERLINK("Melting_Curves/meltCurve_P51151_RAB9A.pdf", "Melting_Curves/meltCurve_P51151_RAB9A.pdf")</f>
        <v>Melting_Curves/meltCurve_P51151_RAB9A.pdf</v>
      </c>
    </row>
    <row r="2397" spans="1:28" x14ac:dyDescent="0.25">
      <c r="A2397" t="s">
        <v>2401</v>
      </c>
      <c r="B2397">
        <v>0.99299721793515405</v>
      </c>
      <c r="C2397">
        <v>1.07717605026535</v>
      </c>
      <c r="D2397">
        <v>1.19820241611661</v>
      </c>
      <c r="E2397">
        <v>0.94181049822743401</v>
      </c>
      <c r="F2397">
        <v>0.74465762357583098</v>
      </c>
      <c r="G2397">
        <v>0.63470992465792297</v>
      </c>
      <c r="H2397">
        <v>0.417472148790829</v>
      </c>
      <c r="I2397">
        <v>0.34638851371621499</v>
      </c>
      <c r="J2397">
        <v>0.36387074107811601</v>
      </c>
      <c r="K2397">
        <v>0.313035677309007</v>
      </c>
      <c r="L2397">
        <v>1008.58406092975</v>
      </c>
      <c r="M2397">
        <v>19.181874342075499</v>
      </c>
      <c r="N2397">
        <v>55.488800589535998</v>
      </c>
      <c r="O2397">
        <v>52.018617406232401</v>
      </c>
      <c r="P2397">
        <v>-6.2959817163884199E-2</v>
      </c>
      <c r="Q2397">
        <v>0.31707290047329301</v>
      </c>
      <c r="R2397">
        <v>0.94387307891199901</v>
      </c>
      <c r="S2397" t="s">
        <v>7948</v>
      </c>
      <c r="T2397" t="s">
        <v>11100</v>
      </c>
      <c r="U2397" t="s">
        <v>11100</v>
      </c>
      <c r="V2397" t="s">
        <v>11100</v>
      </c>
      <c r="W2397" t="s">
        <v>13457</v>
      </c>
      <c r="X2397">
        <v>12</v>
      </c>
      <c r="Y2397" t="s">
        <v>18924</v>
      </c>
      <c r="Z2397" t="s">
        <v>24402</v>
      </c>
      <c r="AA2397">
        <v>0.68099875364881701</v>
      </c>
      <c r="AB2397" t="str">
        <f>HYPERLINK("Melting_Curves/meltCurve_P51153_RAB13.pdf", "Melting_Curves/meltCurve_P51153_RAB13.pdf")</f>
        <v>Melting_Curves/meltCurve_P51153_RAB13.pdf</v>
      </c>
    </row>
    <row r="2398" spans="1:28" x14ac:dyDescent="0.25">
      <c r="A2398" t="s">
        <v>2402</v>
      </c>
      <c r="B2398">
        <v>0.99299721793515405</v>
      </c>
      <c r="C2398">
        <v>0.98196140425314504</v>
      </c>
      <c r="D2398">
        <v>0.898493152800388</v>
      </c>
      <c r="E2398">
        <v>0.82007708209184105</v>
      </c>
      <c r="F2398">
        <v>0.62342655071935504</v>
      </c>
      <c r="G2398">
        <v>0.3107948424791</v>
      </c>
      <c r="H2398">
        <v>0.21027627036155999</v>
      </c>
      <c r="I2398">
        <v>0.17940235672289001</v>
      </c>
      <c r="J2398">
        <v>0.129011123625314</v>
      </c>
      <c r="K2398">
        <v>8.1227299433281205E-2</v>
      </c>
      <c r="L2398">
        <v>771.84445259690006</v>
      </c>
      <c r="M2398">
        <v>15.187580884277599</v>
      </c>
      <c r="N2398">
        <v>51.405373164733597</v>
      </c>
      <c r="O2398">
        <v>49.964121554421197</v>
      </c>
      <c r="P2398">
        <v>-6.9971909679513306E-2</v>
      </c>
      <c r="Q2398">
        <v>7.9314021957359801E-2</v>
      </c>
      <c r="R2398">
        <v>0.99400065804466298</v>
      </c>
      <c r="S2398" t="s">
        <v>7949</v>
      </c>
      <c r="T2398" t="s">
        <v>11100</v>
      </c>
      <c r="U2398" t="s">
        <v>11100</v>
      </c>
      <c r="V2398" t="s">
        <v>11100</v>
      </c>
      <c r="W2398" t="s">
        <v>13458</v>
      </c>
      <c r="X2398">
        <v>6</v>
      </c>
      <c r="Y2398" t="s">
        <v>18925</v>
      </c>
      <c r="Z2398" t="s">
        <v>24403</v>
      </c>
      <c r="AA2398">
        <v>0.52183331518499532</v>
      </c>
      <c r="AB2398" t="str">
        <f>HYPERLINK("Melting_Curves/meltCurve_P51157_RAB28.pdf", "Melting_Curves/meltCurve_P51157_RAB28.pdf")</f>
        <v>Melting_Curves/meltCurve_P51157_RAB28.pdf</v>
      </c>
    </row>
    <row r="2399" spans="1:28" x14ac:dyDescent="0.25">
      <c r="A2399" t="s">
        <v>2403</v>
      </c>
      <c r="B2399">
        <v>0.99299721793515405</v>
      </c>
      <c r="C2399">
        <v>0.78101248434555304</v>
      </c>
      <c r="D2399">
        <v>1.52630275849826</v>
      </c>
      <c r="E2399">
        <v>0.99342981866240898</v>
      </c>
      <c r="F2399">
        <v>0.95959761617688299</v>
      </c>
      <c r="G2399">
        <v>1.27453178241829</v>
      </c>
      <c r="H2399">
        <v>0.73037749330121604</v>
      </c>
      <c r="I2399">
        <v>0.99351937413367897</v>
      </c>
      <c r="J2399">
        <v>1.3108332945399901</v>
      </c>
      <c r="K2399">
        <v>1.4289887395224501</v>
      </c>
      <c r="L2399">
        <v>15000</v>
      </c>
      <c r="M2399">
        <v>234.97655149914999</v>
      </c>
      <c r="O2399">
        <v>63.831532791137199</v>
      </c>
      <c r="P2399">
        <v>0.394804464821431</v>
      </c>
      <c r="Q2399">
        <v>1.4289955560864001</v>
      </c>
      <c r="R2399">
        <v>0.27746496981847901</v>
      </c>
      <c r="S2399" t="s">
        <v>7950</v>
      </c>
      <c r="T2399" t="s">
        <v>11100</v>
      </c>
      <c r="U2399" t="s">
        <v>11100</v>
      </c>
      <c r="V2399" t="s">
        <v>11100</v>
      </c>
      <c r="W2399" t="s">
        <v>13459</v>
      </c>
      <c r="X2399">
        <v>3</v>
      </c>
      <c r="Y2399" t="s">
        <v>18926</v>
      </c>
      <c r="Z2399" t="s">
        <v>24404</v>
      </c>
      <c r="AA2399">
        <v>1.0451881490553061</v>
      </c>
      <c r="AB2399" t="str">
        <f>HYPERLINK("Melting_Curves/meltCurve_P51397_DAP.pdf", "Melting_Curves/meltCurve_P51397_DAP.pdf")</f>
        <v>Melting_Curves/meltCurve_P51397_DAP.pdf</v>
      </c>
    </row>
    <row r="2400" spans="1:28" x14ac:dyDescent="0.25">
      <c r="A2400" t="s">
        <v>2404</v>
      </c>
      <c r="B2400">
        <v>0.99299721793515405</v>
      </c>
      <c r="C2400">
        <v>0.97342613013837898</v>
      </c>
      <c r="D2400">
        <v>0.94801505431958999</v>
      </c>
      <c r="E2400">
        <v>0.81995750165200099</v>
      </c>
      <c r="F2400">
        <v>0.90543517537093698</v>
      </c>
      <c r="G2400">
        <v>0.24939454324185401</v>
      </c>
      <c r="H2400">
        <v>0.37454993036379203</v>
      </c>
      <c r="I2400">
        <v>0.111422083961107</v>
      </c>
      <c r="J2400">
        <v>0.150739194567997</v>
      </c>
      <c r="K2400">
        <v>8.5665630436812398E-2</v>
      </c>
      <c r="L2400">
        <v>3029.0210366829301</v>
      </c>
      <c r="M2400">
        <v>58.4113589894272</v>
      </c>
      <c r="N2400">
        <v>52.245735190080303</v>
      </c>
      <c r="O2400">
        <v>51.796013278174598</v>
      </c>
      <c r="P2400">
        <v>-0.23221289570667999</v>
      </c>
      <c r="Q2400">
        <v>0.17634500596191899</v>
      </c>
      <c r="R2400">
        <v>0.938698875125481</v>
      </c>
      <c r="S2400" t="s">
        <v>7951</v>
      </c>
      <c r="T2400" t="s">
        <v>11100</v>
      </c>
      <c r="U2400" t="s">
        <v>11100</v>
      </c>
      <c r="V2400" t="s">
        <v>11100</v>
      </c>
      <c r="W2400" t="s">
        <v>13460</v>
      </c>
      <c r="X2400">
        <v>1</v>
      </c>
      <c r="Y2400" t="s">
        <v>18927</v>
      </c>
      <c r="Z2400" t="s">
        <v>24405</v>
      </c>
      <c r="AA2400">
        <v>0.58561686518209499</v>
      </c>
      <c r="AB2400" t="str">
        <f>HYPERLINK("Melting_Curves/meltCurve_P51398_2_DAP3.pdf", "Melting_Curves/meltCurve_P51398_2_DAP3.pdf")</f>
        <v>Melting_Curves/meltCurve_P51398_2_DAP3.pdf</v>
      </c>
    </row>
    <row r="2401" spans="1:28" x14ac:dyDescent="0.25">
      <c r="A2401" t="s">
        <v>2405</v>
      </c>
      <c r="B2401">
        <v>0.99299721793515405</v>
      </c>
      <c r="C2401">
        <v>1.0342372084724101</v>
      </c>
      <c r="D2401">
        <v>0.85157826811827397</v>
      </c>
      <c r="E2401">
        <v>0.85852900489325401</v>
      </c>
      <c r="F2401">
        <v>0.68982605694303101</v>
      </c>
      <c r="G2401">
        <v>0.46857436454186102</v>
      </c>
      <c r="H2401">
        <v>0.24139586370684901</v>
      </c>
      <c r="I2401">
        <v>0.21581476344713499</v>
      </c>
      <c r="J2401">
        <v>0.17431361331154899</v>
      </c>
      <c r="K2401">
        <v>0.12190273093474401</v>
      </c>
      <c r="L2401">
        <v>681.68992715466402</v>
      </c>
      <c r="M2401">
        <v>13.0303542642653</v>
      </c>
      <c r="N2401">
        <v>52.988669949750701</v>
      </c>
      <c r="O2401">
        <v>51.129361879637997</v>
      </c>
      <c r="P2401">
        <v>-5.88631216578362E-2</v>
      </c>
      <c r="Q2401">
        <v>7.6277752506037202E-2</v>
      </c>
      <c r="R2401">
        <v>0.98565481053979098</v>
      </c>
      <c r="S2401" t="s">
        <v>7952</v>
      </c>
      <c r="T2401" t="s">
        <v>11100</v>
      </c>
      <c r="U2401" t="s">
        <v>11100</v>
      </c>
      <c r="V2401" t="s">
        <v>11100</v>
      </c>
      <c r="W2401" t="s">
        <v>13461</v>
      </c>
      <c r="X2401">
        <v>10</v>
      </c>
      <c r="Y2401" t="s">
        <v>18928</v>
      </c>
      <c r="Z2401" t="s">
        <v>24406</v>
      </c>
      <c r="AA2401">
        <v>0.56773914375352674</v>
      </c>
      <c r="AB2401" t="str">
        <f>HYPERLINK("Melting_Curves/meltCurve_P51452_DUSP3.pdf", "Melting_Curves/meltCurve_P51452_DUSP3.pdf")</f>
        <v>Melting_Curves/meltCurve_P51452_DUSP3.pdf</v>
      </c>
    </row>
    <row r="2402" spans="1:28" x14ac:dyDescent="0.25">
      <c r="A2402" t="s">
        <v>2406</v>
      </c>
      <c r="B2402">
        <v>0.99299721793515405</v>
      </c>
      <c r="C2402">
        <v>0.92034623381091696</v>
      </c>
      <c r="D2402">
        <v>0.82126067836955297</v>
      </c>
      <c r="E2402">
        <v>1.0745849034297099</v>
      </c>
      <c r="F2402">
        <v>0.86540964014270505</v>
      </c>
      <c r="G2402">
        <v>0.42454344957567502</v>
      </c>
      <c r="H2402">
        <v>0.60003651627510501</v>
      </c>
      <c r="I2402">
        <v>0.81825741927018103</v>
      </c>
      <c r="J2402">
        <v>0.84008227598642005</v>
      </c>
      <c r="K2402">
        <v>0.78492081580072703</v>
      </c>
      <c r="L2402">
        <v>12562.2656706466</v>
      </c>
      <c r="M2402">
        <v>250</v>
      </c>
      <c r="O2402">
        <v>50.245847093406198</v>
      </c>
      <c r="P2402">
        <v>-0.38116570511264303</v>
      </c>
      <c r="Q2402">
        <v>0.69356810068468699</v>
      </c>
      <c r="R2402">
        <v>0.45554861544816799</v>
      </c>
      <c r="S2402" t="s">
        <v>7953</v>
      </c>
      <c r="T2402" t="s">
        <v>11100</v>
      </c>
      <c r="U2402" t="s">
        <v>11100</v>
      </c>
      <c r="V2402" t="s">
        <v>11100</v>
      </c>
      <c r="W2402" t="s">
        <v>13462</v>
      </c>
      <c r="X2402">
        <v>2</v>
      </c>
      <c r="Y2402" t="s">
        <v>18929</v>
      </c>
      <c r="Z2402" t="s">
        <v>24407</v>
      </c>
      <c r="AA2402">
        <v>0.82892630518621169</v>
      </c>
      <c r="AB2402" t="str">
        <f>HYPERLINK("Melting_Curves/meltCurve_P51511_MMP15.pdf", "Melting_Curves/meltCurve_P51511_MMP15.pdf")</f>
        <v>Melting_Curves/meltCurve_P51511_MMP15.pdf</v>
      </c>
    </row>
    <row r="2403" spans="1:28" x14ac:dyDescent="0.25">
      <c r="A2403" t="s">
        <v>2407</v>
      </c>
      <c r="B2403">
        <v>0.99299721793515405</v>
      </c>
      <c r="C2403">
        <v>1.0863146459398201</v>
      </c>
      <c r="D2403">
        <v>0.95820556401398804</v>
      </c>
      <c r="E2403">
        <v>0.944547250814328</v>
      </c>
      <c r="F2403">
        <v>0.61044683552246304</v>
      </c>
      <c r="G2403">
        <v>0.31352769264928598</v>
      </c>
      <c r="H2403">
        <v>0.24297417151270601</v>
      </c>
      <c r="I2403">
        <v>0.171722756230381</v>
      </c>
      <c r="J2403">
        <v>0.201487235675084</v>
      </c>
      <c r="K2403">
        <v>0.110724523783562</v>
      </c>
      <c r="L2403">
        <v>1282.6734696206499</v>
      </c>
      <c r="M2403">
        <v>25.348139602179899</v>
      </c>
      <c r="N2403">
        <v>51.418233028406597</v>
      </c>
      <c r="O2403">
        <v>50.290500960598798</v>
      </c>
      <c r="P2403">
        <v>-0.10514371422223601</v>
      </c>
      <c r="Q2403">
        <v>0.165593857611393</v>
      </c>
      <c r="R2403">
        <v>0.98906415197377195</v>
      </c>
      <c r="S2403" t="s">
        <v>7954</v>
      </c>
      <c r="T2403" t="s">
        <v>11100</v>
      </c>
      <c r="U2403" t="s">
        <v>11100</v>
      </c>
      <c r="V2403" t="s">
        <v>11100</v>
      </c>
      <c r="W2403" t="s">
        <v>13463</v>
      </c>
      <c r="X2403">
        <v>3</v>
      </c>
      <c r="Y2403" t="s">
        <v>18930</v>
      </c>
      <c r="Z2403" t="s">
        <v>24408</v>
      </c>
      <c r="AA2403">
        <v>0.55107197842049549</v>
      </c>
      <c r="AB2403" t="str">
        <f>HYPERLINK("Melting_Curves/meltCurve_P51513_4_NOVA1.pdf", "Melting_Curves/meltCurve_P51513_4_NOVA1.pdf")</f>
        <v>Melting_Curves/meltCurve_P51513_4_NOVA1.pdf</v>
      </c>
    </row>
    <row r="2404" spans="1:28" x14ac:dyDescent="0.25">
      <c r="A2404" t="s">
        <v>2408</v>
      </c>
      <c r="B2404">
        <v>0.99299721793515405</v>
      </c>
      <c r="C2404">
        <v>1.18303930203512</v>
      </c>
      <c r="D2404">
        <v>0.846678771412117</v>
      </c>
      <c r="E2404">
        <v>1.06186093309132</v>
      </c>
      <c r="F2404">
        <v>1.20617535347021</v>
      </c>
      <c r="G2404">
        <v>0.43664942606918999</v>
      </c>
      <c r="H2404">
        <v>0.60574330521136899</v>
      </c>
      <c r="I2404">
        <v>0.88454630330185102</v>
      </c>
      <c r="J2404">
        <v>0.756814129694659</v>
      </c>
      <c r="K2404">
        <v>0.55077735864452204</v>
      </c>
      <c r="L2404">
        <v>3242.97320245843</v>
      </c>
      <c r="M2404">
        <v>62.407457088557003</v>
      </c>
      <c r="O2404">
        <v>51.911237501527403</v>
      </c>
      <c r="P2404">
        <v>-0.105337487143387</v>
      </c>
      <c r="Q2404">
        <v>0.64951642064146997</v>
      </c>
      <c r="R2404">
        <v>0.58891893328752998</v>
      </c>
      <c r="S2404" t="s">
        <v>7955</v>
      </c>
      <c r="T2404" t="s">
        <v>11100</v>
      </c>
      <c r="U2404" t="s">
        <v>11100</v>
      </c>
      <c r="V2404" t="s">
        <v>11100</v>
      </c>
      <c r="W2404" t="s">
        <v>13464</v>
      </c>
      <c r="X2404">
        <v>1</v>
      </c>
      <c r="Y2404" t="s">
        <v>18931</v>
      </c>
      <c r="Z2404" t="s">
        <v>24409</v>
      </c>
      <c r="AA2404">
        <v>0.82485827254818489</v>
      </c>
      <c r="AB2404" t="str">
        <f>HYPERLINK("Melting_Curves/meltCurve_P51531_2_SMARCA2.pdf", "Melting_Curves/meltCurve_P51531_2_SMARCA2.pdf")</f>
        <v>Melting_Curves/meltCurve_P51531_2_SMARCA2.pdf</v>
      </c>
    </row>
    <row r="2405" spans="1:28" x14ac:dyDescent="0.25">
      <c r="A2405" t="s">
        <v>2409</v>
      </c>
      <c r="B2405">
        <v>0.99299721793515405</v>
      </c>
      <c r="C2405">
        <v>0.903806548428013</v>
      </c>
      <c r="D2405">
        <v>0.83751237906699405</v>
      </c>
      <c r="E2405">
        <v>0.72681663372629701</v>
      </c>
      <c r="F2405">
        <v>0.65255068942707195</v>
      </c>
      <c r="G2405">
        <v>0.76253515135847105</v>
      </c>
      <c r="H2405">
        <v>0.83726513847247797</v>
      </c>
      <c r="I2405">
        <v>0.46452757968601399</v>
      </c>
      <c r="J2405">
        <v>0.18571526549456399</v>
      </c>
      <c r="K2405">
        <v>0.109564635175252</v>
      </c>
      <c r="L2405">
        <v>430.78461012633198</v>
      </c>
      <c r="M2405">
        <v>7.38509626609875</v>
      </c>
      <c r="N2405">
        <v>58.331617024295397</v>
      </c>
      <c r="O2405">
        <v>54.512398106248298</v>
      </c>
      <c r="P2405">
        <v>-3.3920442034759697E-2</v>
      </c>
      <c r="Q2405">
        <v>0</v>
      </c>
      <c r="R2405">
        <v>0.74569836988688698</v>
      </c>
      <c r="S2405" t="s">
        <v>7956</v>
      </c>
      <c r="T2405" t="s">
        <v>11100</v>
      </c>
      <c r="U2405" t="s">
        <v>11100</v>
      </c>
      <c r="V2405" t="s">
        <v>11100</v>
      </c>
      <c r="W2405" t="s">
        <v>13465</v>
      </c>
      <c r="X2405">
        <v>5</v>
      </c>
      <c r="Y2405" t="s">
        <v>18932</v>
      </c>
      <c r="Z2405" t="s">
        <v>24410</v>
      </c>
      <c r="AA2405">
        <v>0.68110464316390817</v>
      </c>
      <c r="AB2405" t="str">
        <f>HYPERLINK("Melting_Curves/meltCurve_P51553_IDH3G.pdf", "Melting_Curves/meltCurve_P51553_IDH3G.pdf")</f>
        <v>Melting_Curves/meltCurve_P51553_IDH3G.pdf</v>
      </c>
    </row>
    <row r="2406" spans="1:28" x14ac:dyDescent="0.25">
      <c r="A2406" t="s">
        <v>2410</v>
      </c>
      <c r="B2406">
        <v>0.99299721793515405</v>
      </c>
      <c r="C2406">
        <v>1.01330317499682</v>
      </c>
      <c r="D2406">
        <v>1.0241511021381799</v>
      </c>
      <c r="E2406">
        <v>0.93056786370608402</v>
      </c>
      <c r="F2406">
        <v>0.797651526735636</v>
      </c>
      <c r="G2406">
        <v>0.540126538538651</v>
      </c>
      <c r="H2406">
        <v>0.22629799546273299</v>
      </c>
      <c r="I2406">
        <v>0.15417455030301599</v>
      </c>
      <c r="J2406">
        <v>0.13174493815975899</v>
      </c>
      <c r="K2406">
        <v>0.113250769216202</v>
      </c>
      <c r="L2406">
        <v>1124.7186566302701</v>
      </c>
      <c r="M2406">
        <v>21.0832791771359</v>
      </c>
      <c r="N2406">
        <v>53.8876113558009</v>
      </c>
      <c r="O2406">
        <v>52.8735035688997</v>
      </c>
      <c r="P2406">
        <v>-9.0179296792261596E-2</v>
      </c>
      <c r="Q2406">
        <v>9.5402737941355994E-2</v>
      </c>
      <c r="R2406">
        <v>0.99685185850219404</v>
      </c>
      <c r="S2406" t="s">
        <v>7957</v>
      </c>
      <c r="T2406" t="s">
        <v>11100</v>
      </c>
      <c r="U2406" t="s">
        <v>11100</v>
      </c>
      <c r="V2406" t="s">
        <v>11100</v>
      </c>
      <c r="W2406" t="s">
        <v>13466</v>
      </c>
      <c r="X2406">
        <v>27</v>
      </c>
      <c r="Y2406" t="s">
        <v>18933</v>
      </c>
      <c r="Z2406" t="s">
        <v>24411</v>
      </c>
      <c r="AA2406">
        <v>0.59874124376319116</v>
      </c>
      <c r="AB2406" t="str">
        <f>HYPERLINK("Melting_Curves/meltCurve_P51570_GALK1.pdf", "Melting_Curves/meltCurve_P51570_GALK1.pdf")</f>
        <v>Melting_Curves/meltCurve_P51570_GALK1.pdf</v>
      </c>
    </row>
    <row r="2407" spans="1:28" x14ac:dyDescent="0.25">
      <c r="A2407" t="s">
        <v>2411</v>
      </c>
      <c r="B2407">
        <v>0.99299721793515405</v>
      </c>
      <c r="C2407">
        <v>1.1813809566089499</v>
      </c>
      <c r="D2407">
        <v>1.0379197673920899</v>
      </c>
      <c r="E2407">
        <v>1.01848865137089</v>
      </c>
      <c r="F2407">
        <v>0.80153511398024302</v>
      </c>
      <c r="G2407">
        <v>0.69391523605083705</v>
      </c>
      <c r="H2407">
        <v>0.74833478680673404</v>
      </c>
      <c r="I2407">
        <v>0.63703354766168596</v>
      </c>
      <c r="J2407">
        <v>0.33687882177857298</v>
      </c>
      <c r="K2407">
        <v>0.20399966184248799</v>
      </c>
      <c r="L2407">
        <v>645.20351852768601</v>
      </c>
      <c r="M2407">
        <v>10.548616676557399</v>
      </c>
      <c r="N2407">
        <v>61.164764359769499</v>
      </c>
      <c r="O2407">
        <v>59.0892754032295</v>
      </c>
      <c r="P2407">
        <v>-4.4647674083690303E-2</v>
      </c>
      <c r="Q2407">
        <v>0</v>
      </c>
      <c r="R2407">
        <v>0.89078715588522495</v>
      </c>
      <c r="S2407" t="s">
        <v>7958</v>
      </c>
      <c r="T2407" t="s">
        <v>11100</v>
      </c>
      <c r="U2407" t="s">
        <v>11100</v>
      </c>
      <c r="V2407" t="s">
        <v>11100</v>
      </c>
      <c r="W2407" t="s">
        <v>13467</v>
      </c>
      <c r="X2407">
        <v>7</v>
      </c>
      <c r="Y2407" t="s">
        <v>18934</v>
      </c>
      <c r="Z2407" t="s">
        <v>24412</v>
      </c>
      <c r="AA2407">
        <v>0.76991772353946453</v>
      </c>
      <c r="AB2407" t="str">
        <f>HYPERLINK("Melting_Curves/meltCurve_P51571_SSR4.pdf", "Melting_Curves/meltCurve_P51571_SSR4.pdf")</f>
        <v>Melting_Curves/meltCurve_P51571_SSR4.pdf</v>
      </c>
    </row>
    <row r="2408" spans="1:28" x14ac:dyDescent="0.25">
      <c r="A2408" t="s">
        <v>2412</v>
      </c>
      <c r="B2408">
        <v>0.99299721793515405</v>
      </c>
      <c r="C2408">
        <v>1.1298634534534799</v>
      </c>
      <c r="D2408">
        <v>1.11347377275185</v>
      </c>
      <c r="E2408">
        <v>0.84312598402806804</v>
      </c>
      <c r="F2408">
        <v>0.83335373151839798</v>
      </c>
      <c r="G2408">
        <v>1.0005633407758201</v>
      </c>
      <c r="H2408">
        <v>1.0366314505571901</v>
      </c>
      <c r="I2408">
        <v>1.08667116629662</v>
      </c>
      <c r="J2408">
        <v>1.1596223025935899</v>
      </c>
      <c r="K2408">
        <v>1.1356730552829</v>
      </c>
      <c r="L2408">
        <v>2149.1652953482198</v>
      </c>
      <c r="M2408">
        <v>35.846098345407</v>
      </c>
      <c r="O2408">
        <v>59.769646023266503</v>
      </c>
      <c r="P2408">
        <v>2.2833435912948501E-2</v>
      </c>
      <c r="Q2408">
        <v>1.15228910623228</v>
      </c>
      <c r="R2408">
        <v>0.32920253030917301</v>
      </c>
      <c r="S2408" t="s">
        <v>7959</v>
      </c>
      <c r="T2408" t="s">
        <v>11100</v>
      </c>
      <c r="U2408" t="s">
        <v>11100</v>
      </c>
      <c r="V2408" t="s">
        <v>11100</v>
      </c>
      <c r="W2408" t="s">
        <v>13468</v>
      </c>
      <c r="X2408">
        <v>19</v>
      </c>
      <c r="Y2408" t="s">
        <v>18935</v>
      </c>
      <c r="Z2408" t="s">
        <v>24413</v>
      </c>
      <c r="AA2408">
        <v>1.0352316476907251</v>
      </c>
      <c r="AB2408" t="str">
        <f>HYPERLINK("Melting_Curves/meltCurve_P51572_BCAP31.pdf", "Melting_Curves/meltCurve_P51572_BCAP31.pdf")</f>
        <v>Melting_Curves/meltCurve_P51572_BCAP31.pdf</v>
      </c>
    </row>
    <row r="2409" spans="1:28" x14ac:dyDescent="0.25">
      <c r="A2409" t="s">
        <v>2413</v>
      </c>
      <c r="B2409">
        <v>0.99299721793515405</v>
      </c>
      <c r="C2409">
        <v>1.00567526895985</v>
      </c>
      <c r="D2409">
        <v>0.96226184668085701</v>
      </c>
      <c r="E2409">
        <v>0.825120398879297</v>
      </c>
      <c r="F2409">
        <v>0.77033943954069095</v>
      </c>
      <c r="G2409">
        <v>0.56769602861167301</v>
      </c>
      <c r="H2409">
        <v>0.45236238656604599</v>
      </c>
      <c r="I2409">
        <v>0.28878325780474301</v>
      </c>
      <c r="J2409">
        <v>0.16485266800161599</v>
      </c>
      <c r="K2409">
        <v>0.146233286558659</v>
      </c>
      <c r="L2409">
        <v>570.09187485026905</v>
      </c>
      <c r="M2409">
        <v>10.2696816337691</v>
      </c>
      <c r="N2409">
        <v>55.512115357655397</v>
      </c>
      <c r="O2409">
        <v>53.530822628027103</v>
      </c>
      <c r="P2409">
        <v>-4.7982603521770799E-2</v>
      </c>
      <c r="Q2409">
        <v>0</v>
      </c>
      <c r="R2409">
        <v>0.99356969695591801</v>
      </c>
      <c r="S2409" t="s">
        <v>7960</v>
      </c>
      <c r="T2409" t="s">
        <v>11100</v>
      </c>
      <c r="U2409" t="s">
        <v>11100</v>
      </c>
      <c r="V2409" t="s">
        <v>11100</v>
      </c>
      <c r="W2409" t="s">
        <v>13469</v>
      </c>
      <c r="X2409">
        <v>7</v>
      </c>
      <c r="Y2409" t="s">
        <v>18936</v>
      </c>
      <c r="Z2409" t="s">
        <v>24414</v>
      </c>
      <c r="AA2409">
        <v>0.62676233562482608</v>
      </c>
      <c r="AB2409" t="str">
        <f>HYPERLINK("Melting_Curves/meltCurve_P51580_TPMT.pdf", "Melting_Curves/meltCurve_P51580_TPMT.pdf")</f>
        <v>Melting_Curves/meltCurve_P51580_TPMT.pdf</v>
      </c>
    </row>
    <row r="2410" spans="1:28" x14ac:dyDescent="0.25">
      <c r="A2410" t="s">
        <v>2414</v>
      </c>
      <c r="B2410">
        <v>0.99299721793515405</v>
      </c>
      <c r="C2410">
        <v>0.28290839917857002</v>
      </c>
      <c r="D2410">
        <v>0.27307106284938698</v>
      </c>
      <c r="E2410">
        <v>0.46250937313702201</v>
      </c>
      <c r="F2410">
        <v>0.37920357791635201</v>
      </c>
      <c r="G2410">
        <v>0.45412565626769502</v>
      </c>
      <c r="H2410">
        <v>0.104865311071659</v>
      </c>
      <c r="I2410">
        <v>0</v>
      </c>
      <c r="J2410">
        <v>0.14401344234052099</v>
      </c>
      <c r="K2410">
        <v>0</v>
      </c>
      <c r="L2410">
        <v>254.316155178911</v>
      </c>
      <c r="M2410">
        <v>6.0487544954551504</v>
      </c>
      <c r="N2410">
        <v>42.044383960794498</v>
      </c>
      <c r="O2410">
        <v>38.141549722545797</v>
      </c>
      <c r="P2410">
        <v>-3.9771480889466797E-2</v>
      </c>
      <c r="Q2410">
        <v>0</v>
      </c>
      <c r="R2410">
        <v>0.57903124453923105</v>
      </c>
      <c r="S2410" t="s">
        <v>7961</v>
      </c>
      <c r="T2410" t="s">
        <v>11100</v>
      </c>
      <c r="U2410" t="s">
        <v>11100</v>
      </c>
      <c r="V2410" t="s">
        <v>11100</v>
      </c>
      <c r="W2410" t="s">
        <v>13470</v>
      </c>
      <c r="X2410">
        <v>31</v>
      </c>
      <c r="Y2410" t="s">
        <v>16621</v>
      </c>
      <c r="Z2410" t="s">
        <v>24415</v>
      </c>
      <c r="AA2410">
        <v>0.29362041378145393</v>
      </c>
      <c r="AB2410" t="str">
        <f>HYPERLINK("Melting_Curves/meltCurve_P51610_2_HCFC1.pdf", "Melting_Curves/meltCurve_P51610_2_HCFC1.pdf")</f>
        <v>Melting_Curves/meltCurve_P51610_2_HCFC1.pdf</v>
      </c>
    </row>
    <row r="2411" spans="1:28" x14ac:dyDescent="0.25">
      <c r="A2411" t="s">
        <v>2415</v>
      </c>
      <c r="B2411">
        <v>0.99299721793515405</v>
      </c>
      <c r="C2411">
        <v>0.98372235674117803</v>
      </c>
      <c r="D2411">
        <v>0.938733807236246</v>
      </c>
      <c r="E2411">
        <v>0.87399606001557095</v>
      </c>
      <c r="F2411">
        <v>0.76886418806562995</v>
      </c>
      <c r="G2411">
        <v>0.68472585164014399</v>
      </c>
      <c r="H2411">
        <v>0.479470549577169</v>
      </c>
      <c r="I2411">
        <v>0.27857587483778601</v>
      </c>
      <c r="J2411">
        <v>0.180447095061392</v>
      </c>
      <c r="K2411">
        <v>0.15040628313468199</v>
      </c>
      <c r="L2411">
        <v>621.37954625435202</v>
      </c>
      <c r="M2411">
        <v>11.0125545747799</v>
      </c>
      <c r="N2411">
        <v>56.424650825209298</v>
      </c>
      <c r="O2411">
        <v>54.659857237921898</v>
      </c>
      <c r="P2411">
        <v>-5.0385485359092402E-2</v>
      </c>
      <c r="Q2411">
        <v>0</v>
      </c>
      <c r="R2411">
        <v>0.99186454847197802</v>
      </c>
      <c r="S2411" t="s">
        <v>7962</v>
      </c>
      <c r="T2411" t="s">
        <v>11100</v>
      </c>
      <c r="U2411" t="s">
        <v>11100</v>
      </c>
      <c r="V2411" t="s">
        <v>11100</v>
      </c>
      <c r="W2411" t="s">
        <v>13471</v>
      </c>
      <c r="X2411">
        <v>30</v>
      </c>
      <c r="Y2411" t="s">
        <v>18937</v>
      </c>
      <c r="Z2411" t="s">
        <v>24416</v>
      </c>
      <c r="AA2411">
        <v>0.65338219800401154</v>
      </c>
      <c r="AB2411" t="str">
        <f>HYPERLINK("Melting_Curves/meltCurve_P51659_HSD17B4.pdf", "Melting_Curves/meltCurve_P51659_HSD17B4.pdf")</f>
        <v>Melting_Curves/meltCurve_P51659_HSD17B4.pdf</v>
      </c>
    </row>
    <row r="2412" spans="1:28" x14ac:dyDescent="0.25">
      <c r="A2412" t="s">
        <v>2416</v>
      </c>
      <c r="B2412">
        <v>0.99299721793515405</v>
      </c>
      <c r="C2412">
        <v>0.909435851362971</v>
      </c>
      <c r="D2412">
        <v>0.88334318001074996</v>
      </c>
      <c r="E2412">
        <v>0.87114251189978098</v>
      </c>
      <c r="F2412">
        <v>0.75983854084354396</v>
      </c>
      <c r="G2412">
        <v>0.76362671953607397</v>
      </c>
      <c r="H2412">
        <v>0.57199450039895805</v>
      </c>
      <c r="I2412">
        <v>0.43861342738248199</v>
      </c>
      <c r="J2412">
        <v>0.27430240712041298</v>
      </c>
      <c r="K2412">
        <v>0.204703372546336</v>
      </c>
      <c r="L2412">
        <v>501.67756403542302</v>
      </c>
      <c r="M2412">
        <v>8.5781626894933307</v>
      </c>
      <c r="N2412">
        <v>58.483092984879299</v>
      </c>
      <c r="O2412">
        <v>55.564985905471197</v>
      </c>
      <c r="P2412">
        <v>-3.8628780128245499E-2</v>
      </c>
      <c r="Q2412">
        <v>0</v>
      </c>
      <c r="R2412">
        <v>0.96196612038652696</v>
      </c>
      <c r="S2412" t="s">
        <v>7963</v>
      </c>
      <c r="T2412" t="s">
        <v>11100</v>
      </c>
      <c r="U2412" t="s">
        <v>11100</v>
      </c>
      <c r="V2412" t="s">
        <v>11100</v>
      </c>
      <c r="W2412" t="s">
        <v>13472</v>
      </c>
      <c r="X2412">
        <v>4</v>
      </c>
      <c r="Y2412" t="s">
        <v>18938</v>
      </c>
      <c r="Z2412" t="s">
        <v>24417</v>
      </c>
      <c r="AA2412">
        <v>0.69466790059309191</v>
      </c>
      <c r="AB2412" t="str">
        <f>HYPERLINK("Melting_Curves/meltCurve_P51665_PSMD7.pdf", "Melting_Curves/meltCurve_P51665_PSMD7.pdf")</f>
        <v>Melting_Curves/meltCurve_P51665_PSMD7.pdf</v>
      </c>
    </row>
    <row r="2413" spans="1:28" x14ac:dyDescent="0.25">
      <c r="A2413" t="s">
        <v>2417</v>
      </c>
      <c r="B2413">
        <v>0.99299721793515405</v>
      </c>
      <c r="C2413">
        <v>1.08771137493422</v>
      </c>
      <c r="D2413">
        <v>1.0459389072605501</v>
      </c>
      <c r="E2413">
        <v>0.89100788629805505</v>
      </c>
      <c r="F2413">
        <v>0.81618780367002197</v>
      </c>
      <c r="G2413">
        <v>0.41521782833945498</v>
      </c>
      <c r="H2413">
        <v>0.25159341417595199</v>
      </c>
      <c r="I2413">
        <v>0.19381498080654899</v>
      </c>
      <c r="J2413">
        <v>0.17030154258133401</v>
      </c>
      <c r="K2413">
        <v>0.213318993355396</v>
      </c>
      <c r="L2413">
        <v>1416.0594106184601</v>
      </c>
      <c r="M2413">
        <v>27.166591169703601</v>
      </c>
      <c r="N2413">
        <v>53.025414431656898</v>
      </c>
      <c r="O2413">
        <v>51.845045315557002</v>
      </c>
      <c r="P2413">
        <v>-0.106795772562016</v>
      </c>
      <c r="Q2413">
        <v>0.18476659434124099</v>
      </c>
      <c r="R2413">
        <v>0.98666820595124005</v>
      </c>
      <c r="S2413" t="s">
        <v>7964</v>
      </c>
      <c r="T2413" t="s">
        <v>11100</v>
      </c>
      <c r="U2413" t="s">
        <v>11100</v>
      </c>
      <c r="V2413" t="s">
        <v>11100</v>
      </c>
      <c r="W2413" t="s">
        <v>13473</v>
      </c>
      <c r="X2413">
        <v>3</v>
      </c>
      <c r="Y2413" t="s">
        <v>18939</v>
      </c>
      <c r="Z2413" t="s">
        <v>24418</v>
      </c>
      <c r="AA2413">
        <v>0.60198939539056562</v>
      </c>
      <c r="AB2413" t="str">
        <f>HYPERLINK("Melting_Curves/meltCurve_P51668_UBE2D1.pdf", "Melting_Curves/meltCurve_P51668_UBE2D1.pdf")</f>
        <v>Melting_Curves/meltCurve_P51668_UBE2D1.pdf</v>
      </c>
    </row>
    <row r="2414" spans="1:28" x14ac:dyDescent="0.25">
      <c r="A2414" t="s">
        <v>2418</v>
      </c>
      <c r="B2414">
        <v>0.99299721793515405</v>
      </c>
      <c r="C2414">
        <v>0.85497053353311403</v>
      </c>
      <c r="D2414">
        <v>0.81175309583805999</v>
      </c>
      <c r="E2414">
        <v>0.677063007814521</v>
      </c>
      <c r="F2414">
        <v>0.78185687796970704</v>
      </c>
      <c r="G2414">
        <v>0.48699503626585799</v>
      </c>
      <c r="H2414">
        <v>0.43276311543048801</v>
      </c>
      <c r="I2414">
        <v>0.43959927436063601</v>
      </c>
      <c r="J2414">
        <v>0.29397879609766697</v>
      </c>
      <c r="K2414">
        <v>0.23103009915701</v>
      </c>
      <c r="L2414">
        <v>314.247207309548</v>
      </c>
      <c r="M2414">
        <v>5.6760808187950698</v>
      </c>
      <c r="N2414">
        <v>55.363413126186202</v>
      </c>
      <c r="O2414">
        <v>49.6414592393878</v>
      </c>
      <c r="P2414">
        <v>-2.8698101858091699E-2</v>
      </c>
      <c r="Q2414">
        <v>0</v>
      </c>
      <c r="R2414">
        <v>0.93475804089019199</v>
      </c>
      <c r="S2414" t="s">
        <v>7965</v>
      </c>
      <c r="T2414" t="s">
        <v>11100</v>
      </c>
      <c r="U2414" t="s">
        <v>11100</v>
      </c>
      <c r="V2414" t="s">
        <v>11100</v>
      </c>
      <c r="W2414" t="s">
        <v>13474</v>
      </c>
      <c r="X2414">
        <v>6</v>
      </c>
      <c r="Y2414" t="s">
        <v>18940</v>
      </c>
      <c r="Z2414" t="s">
        <v>24419</v>
      </c>
      <c r="AA2414">
        <v>0.6004972082086486</v>
      </c>
      <c r="AB2414" t="str">
        <f>HYPERLINK("Melting_Curves/meltCurve_P51687_SUOX.pdf", "Melting_Curves/meltCurve_P51687_SUOX.pdf")</f>
        <v>Melting_Curves/meltCurve_P51687_SUOX.pdf</v>
      </c>
    </row>
    <row r="2415" spans="1:28" x14ac:dyDescent="0.25">
      <c r="A2415" t="s">
        <v>2419</v>
      </c>
      <c r="B2415">
        <v>0.99299721793515405</v>
      </c>
      <c r="C2415">
        <v>1.0677259602696001</v>
      </c>
      <c r="D2415">
        <v>0.92574512811337994</v>
      </c>
      <c r="E2415">
        <v>0.85633905375164499</v>
      </c>
      <c r="F2415">
        <v>0.68556884349601399</v>
      </c>
      <c r="G2415">
        <v>0.27120429134860602</v>
      </c>
      <c r="H2415">
        <v>0.22095068742141699</v>
      </c>
      <c r="I2415">
        <v>0.20448689589768501</v>
      </c>
      <c r="J2415">
        <v>0.186951095810893</v>
      </c>
      <c r="K2415">
        <v>0.150986628983377</v>
      </c>
      <c r="L2415">
        <v>1210.1111971622199</v>
      </c>
      <c r="M2415">
        <v>23.893216864815798</v>
      </c>
      <c r="N2415">
        <v>51.517685444635198</v>
      </c>
      <c r="O2415">
        <v>50.295844259627401</v>
      </c>
      <c r="P2415">
        <v>-9.9029687258922694E-2</v>
      </c>
      <c r="Q2415">
        <v>0.16617274513914701</v>
      </c>
      <c r="R2415">
        <v>0.985190324825298</v>
      </c>
      <c r="S2415" t="s">
        <v>7966</v>
      </c>
      <c r="T2415" t="s">
        <v>11100</v>
      </c>
      <c r="U2415" t="s">
        <v>11100</v>
      </c>
      <c r="V2415" t="s">
        <v>11100</v>
      </c>
      <c r="W2415" t="s">
        <v>13475</v>
      </c>
      <c r="X2415">
        <v>9</v>
      </c>
      <c r="Y2415" t="s">
        <v>18941</v>
      </c>
      <c r="Z2415" t="s">
        <v>24420</v>
      </c>
      <c r="AA2415">
        <v>0.55345301054404317</v>
      </c>
      <c r="AB2415" t="str">
        <f>HYPERLINK("Melting_Curves/meltCurve_P51692_STAT5B.pdf", "Melting_Curves/meltCurve_P51692_STAT5B.pdf")</f>
        <v>Melting_Curves/meltCurve_P51692_STAT5B.pdf</v>
      </c>
    </row>
    <row r="2416" spans="1:28" x14ac:dyDescent="0.25">
      <c r="A2416" t="s">
        <v>2420</v>
      </c>
      <c r="B2416">
        <v>0.99299721793515405</v>
      </c>
      <c r="C2416">
        <v>1.0319707584464299</v>
      </c>
      <c r="D2416">
        <v>0.95132847804805398</v>
      </c>
      <c r="E2416">
        <v>0.897083475023979</v>
      </c>
      <c r="F2416">
        <v>0.81520470525674604</v>
      </c>
      <c r="G2416">
        <v>0.76667923618360401</v>
      </c>
      <c r="H2416">
        <v>0.58578262167024298</v>
      </c>
      <c r="I2416">
        <v>0.41167673696406298</v>
      </c>
      <c r="J2416">
        <v>0.25519916454427699</v>
      </c>
      <c r="K2416">
        <v>0.19671440156300701</v>
      </c>
      <c r="L2416">
        <v>627.77542873247398</v>
      </c>
      <c r="M2416">
        <v>10.6952968252972</v>
      </c>
      <c r="N2416">
        <v>58.696400795305699</v>
      </c>
      <c r="O2416">
        <v>56.756017229130698</v>
      </c>
      <c r="P2416">
        <v>-4.7128560398418298E-2</v>
      </c>
      <c r="Q2416">
        <v>0</v>
      </c>
      <c r="R2416">
        <v>0.98839206185887096</v>
      </c>
      <c r="S2416" t="s">
        <v>7967</v>
      </c>
      <c r="T2416" t="s">
        <v>11100</v>
      </c>
      <c r="U2416" t="s">
        <v>11100</v>
      </c>
      <c r="V2416" t="s">
        <v>11100</v>
      </c>
      <c r="W2416" t="s">
        <v>13476</v>
      </c>
      <c r="X2416">
        <v>4</v>
      </c>
      <c r="Y2416" t="s">
        <v>18942</v>
      </c>
      <c r="Z2416" t="s">
        <v>24421</v>
      </c>
      <c r="AA2416">
        <v>0.71211886612340614</v>
      </c>
      <c r="AB2416" t="str">
        <f>HYPERLINK("Melting_Curves/meltCurve_P51790_4_CLCN3.pdf", "Melting_Curves/meltCurve_P51790_4_CLCN3.pdf")</f>
        <v>Melting_Curves/meltCurve_P51790_4_CLCN3.pdf</v>
      </c>
    </row>
    <row r="2417" spans="1:28" x14ac:dyDescent="0.25">
      <c r="A2417" t="s">
        <v>2421</v>
      </c>
      <c r="B2417">
        <v>0.99299721793515405</v>
      </c>
      <c r="C2417">
        <v>1.0568501539891999</v>
      </c>
      <c r="D2417">
        <v>0.84355092536657295</v>
      </c>
      <c r="E2417">
        <v>0.86107944317506002</v>
      </c>
      <c r="F2417">
        <v>0.77738227474589205</v>
      </c>
      <c r="G2417">
        <v>0.67501163268469899</v>
      </c>
      <c r="H2417">
        <v>0.43811019095835002</v>
      </c>
      <c r="I2417">
        <v>0.34717200681920302</v>
      </c>
      <c r="J2417">
        <v>0.25558691531502897</v>
      </c>
      <c r="K2417">
        <v>0.23755910732608801</v>
      </c>
      <c r="L2417">
        <v>495.46995745515602</v>
      </c>
      <c r="M2417">
        <v>8.7245219565096193</v>
      </c>
      <c r="N2417">
        <v>56.842517741556399</v>
      </c>
      <c r="O2417">
        <v>54.043722028093697</v>
      </c>
      <c r="P2417">
        <v>-4.0230995200220901E-2</v>
      </c>
      <c r="Q2417">
        <v>3.9763865151580197E-3</v>
      </c>
      <c r="R2417">
        <v>0.97334461380933701</v>
      </c>
      <c r="S2417" t="s">
        <v>7968</v>
      </c>
      <c r="T2417" t="s">
        <v>11100</v>
      </c>
      <c r="U2417" t="s">
        <v>11100</v>
      </c>
      <c r="V2417" t="s">
        <v>11100</v>
      </c>
      <c r="W2417" t="s">
        <v>13477</v>
      </c>
      <c r="X2417">
        <v>2</v>
      </c>
      <c r="Y2417" t="s">
        <v>18943</v>
      </c>
      <c r="Z2417" t="s">
        <v>24422</v>
      </c>
      <c r="AA2417">
        <v>0.65628467267580015</v>
      </c>
      <c r="AB2417" t="str">
        <f>HYPERLINK("Melting_Curves/meltCurve_P51795_CLCN5.pdf", "Melting_Curves/meltCurve_P51795_CLCN5.pdf")</f>
        <v>Melting_Curves/meltCurve_P51795_CLCN5.pdf</v>
      </c>
    </row>
    <row r="2418" spans="1:28" x14ac:dyDescent="0.25">
      <c r="A2418" t="s">
        <v>2422</v>
      </c>
      <c r="B2418">
        <v>0.99299721793515405</v>
      </c>
      <c r="C2418">
        <v>0.86370101602305405</v>
      </c>
      <c r="D2418">
        <v>0.82534313407294901</v>
      </c>
      <c r="E2418">
        <v>0.79099051846547797</v>
      </c>
      <c r="F2418">
        <v>0.87462872183455398</v>
      </c>
      <c r="G2418">
        <v>0.694940220039304</v>
      </c>
      <c r="H2418">
        <v>0.28824290316127199</v>
      </c>
      <c r="I2418">
        <v>0.235195885170292</v>
      </c>
      <c r="J2418">
        <v>0.20615544819954401</v>
      </c>
      <c r="K2418">
        <v>0.23281627488891701</v>
      </c>
      <c r="L2418">
        <v>539.89510346882503</v>
      </c>
      <c r="M2418">
        <v>9.7170956343544894</v>
      </c>
      <c r="N2418">
        <v>55.561361453540798</v>
      </c>
      <c r="O2418">
        <v>53.361343884206299</v>
      </c>
      <c r="P2418">
        <v>-4.5549664692409397E-2</v>
      </c>
      <c r="Q2418">
        <v>0</v>
      </c>
      <c r="R2418">
        <v>0.89920973301595597</v>
      </c>
      <c r="S2418" t="s">
        <v>7969</v>
      </c>
      <c r="T2418" t="s">
        <v>11100</v>
      </c>
      <c r="U2418" t="s">
        <v>11100</v>
      </c>
      <c r="V2418" t="s">
        <v>11100</v>
      </c>
      <c r="W2418" t="s">
        <v>13478</v>
      </c>
      <c r="X2418">
        <v>2</v>
      </c>
      <c r="Y2418" t="s">
        <v>18944</v>
      </c>
      <c r="Z2418" t="s">
        <v>24423</v>
      </c>
      <c r="AA2418">
        <v>0.62686490972165598</v>
      </c>
      <c r="AB2418" t="str">
        <f>HYPERLINK("Melting_Curves/meltCurve_P51798_2_CLCN7.pdf", "Melting_Curves/meltCurve_P51798_2_CLCN7.pdf")</f>
        <v>Melting_Curves/meltCurve_P51798_2_CLCN7.pdf</v>
      </c>
    </row>
    <row r="2419" spans="1:28" x14ac:dyDescent="0.25">
      <c r="A2419" t="s">
        <v>2423</v>
      </c>
      <c r="B2419">
        <v>0.99299721793515405</v>
      </c>
      <c r="C2419">
        <v>0.985869022326616</v>
      </c>
      <c r="D2419">
        <v>0.96535917736867904</v>
      </c>
      <c r="E2419">
        <v>0.78155952105210402</v>
      </c>
      <c r="F2419">
        <v>0.71618722387084899</v>
      </c>
      <c r="G2419">
        <v>0.490290406126762</v>
      </c>
      <c r="H2419">
        <v>0.32682877540383598</v>
      </c>
      <c r="I2419">
        <v>0.22133433237266101</v>
      </c>
      <c r="J2419">
        <v>0.197977453657535</v>
      </c>
      <c r="K2419">
        <v>0.174829766722675</v>
      </c>
      <c r="L2419">
        <v>632.12563323670702</v>
      </c>
      <c r="M2419">
        <v>12.029162463897601</v>
      </c>
      <c r="N2419">
        <v>53.534118688112798</v>
      </c>
      <c r="O2419">
        <v>51.160357061065802</v>
      </c>
      <c r="P2419">
        <v>-5.2960456250189997E-2</v>
      </c>
      <c r="Q2419">
        <v>9.9246033326853E-2</v>
      </c>
      <c r="R2419">
        <v>0.99363689809688205</v>
      </c>
      <c r="S2419" t="s">
        <v>7970</v>
      </c>
      <c r="T2419" t="s">
        <v>11100</v>
      </c>
      <c r="U2419" t="s">
        <v>11100</v>
      </c>
      <c r="V2419" t="s">
        <v>11100</v>
      </c>
      <c r="W2419" t="s">
        <v>13479</v>
      </c>
      <c r="X2419">
        <v>3</v>
      </c>
      <c r="Y2419" t="s">
        <v>18945</v>
      </c>
      <c r="Z2419" t="s">
        <v>24424</v>
      </c>
      <c r="AA2419">
        <v>0.58621053889741392</v>
      </c>
      <c r="AB2419" t="str">
        <f>HYPERLINK("Melting_Curves/meltCurve_P51809_VAMP7.pdf", "Melting_Curves/meltCurve_P51809_VAMP7.pdf")</f>
        <v>Melting_Curves/meltCurve_P51809_VAMP7.pdf</v>
      </c>
    </row>
    <row r="2420" spans="1:28" x14ac:dyDescent="0.25">
      <c r="A2420" t="s">
        <v>2424</v>
      </c>
      <c r="B2420">
        <v>0.99299721793515405</v>
      </c>
      <c r="C2420">
        <v>1.01392837418508</v>
      </c>
      <c r="D2420">
        <v>0.909923970588428</v>
      </c>
      <c r="E2420">
        <v>0.86372062769941205</v>
      </c>
      <c r="F2420">
        <v>0.73662346514767196</v>
      </c>
      <c r="G2420">
        <v>0.33585485820463401</v>
      </c>
      <c r="H2420">
        <v>0.19615194563878</v>
      </c>
      <c r="I2420">
        <v>0.183381180798732</v>
      </c>
      <c r="J2420">
        <v>0.146052413915434</v>
      </c>
      <c r="K2420">
        <v>0.104559153892782</v>
      </c>
      <c r="L2420">
        <v>1066.1700115026399</v>
      </c>
      <c r="M2420">
        <v>20.692471409168899</v>
      </c>
      <c r="N2420">
        <v>52.194856320232503</v>
      </c>
      <c r="O2420">
        <v>51.050562576276597</v>
      </c>
      <c r="P2420">
        <v>-8.9511863690838703E-2</v>
      </c>
      <c r="Q2420">
        <v>0.116683379731665</v>
      </c>
      <c r="R2420">
        <v>0.98846865535091699</v>
      </c>
      <c r="S2420" t="s">
        <v>7971</v>
      </c>
      <c r="T2420" t="s">
        <v>11100</v>
      </c>
      <c r="U2420" t="s">
        <v>11100</v>
      </c>
      <c r="V2420" t="s">
        <v>11100</v>
      </c>
      <c r="W2420" t="s">
        <v>13480</v>
      </c>
      <c r="X2420">
        <v>24</v>
      </c>
      <c r="Y2420" t="s">
        <v>18946</v>
      </c>
      <c r="Z2420" t="s">
        <v>24425</v>
      </c>
      <c r="AA2420">
        <v>0.55521555406030332</v>
      </c>
      <c r="AB2420" t="str">
        <f>HYPERLINK("Melting_Curves/meltCurve_P51812_RPS6KA3.pdf", "Melting_Curves/meltCurve_P51812_RPS6KA3.pdf")</f>
        <v>Melting_Curves/meltCurve_P51812_RPS6KA3.pdf</v>
      </c>
    </row>
    <row r="2421" spans="1:28" x14ac:dyDescent="0.25">
      <c r="A2421" t="s">
        <v>2425</v>
      </c>
      <c r="B2421">
        <v>0.99299721793515405</v>
      </c>
      <c r="C2421">
        <v>0.89155046838495999</v>
      </c>
      <c r="D2421">
        <v>0.90331668573545498</v>
      </c>
      <c r="E2421">
        <v>0.74454829918782806</v>
      </c>
      <c r="F2421">
        <v>0.63657067872249096</v>
      </c>
      <c r="G2421">
        <v>0.28073150811151698</v>
      </c>
      <c r="H2421">
        <v>0.225501397562411</v>
      </c>
      <c r="I2421">
        <v>0.19934885955132201</v>
      </c>
      <c r="J2421">
        <v>0.156344076569576</v>
      </c>
      <c r="K2421">
        <v>0.13616224606683699</v>
      </c>
      <c r="L2421">
        <v>660.03242445159503</v>
      </c>
      <c r="M2421">
        <v>13.1574921548929</v>
      </c>
      <c r="N2421">
        <v>51.015307114574703</v>
      </c>
      <c r="O2421">
        <v>49.047682853593898</v>
      </c>
      <c r="P2421">
        <v>-6.0464734412031797E-2</v>
      </c>
      <c r="Q2421">
        <v>9.8565219776563295E-2</v>
      </c>
      <c r="R2421">
        <v>0.980172290038271</v>
      </c>
      <c r="S2421" t="s">
        <v>7972</v>
      </c>
      <c r="T2421" t="s">
        <v>11100</v>
      </c>
      <c r="U2421" t="s">
        <v>11100</v>
      </c>
      <c r="V2421" t="s">
        <v>11100</v>
      </c>
      <c r="W2421" t="s">
        <v>13481</v>
      </c>
      <c r="X2421">
        <v>2</v>
      </c>
      <c r="Y2421" t="s">
        <v>18947</v>
      </c>
      <c r="Z2421" t="s">
        <v>24426</v>
      </c>
      <c r="AA2421">
        <v>0.51646157926102687</v>
      </c>
      <c r="AB2421" t="str">
        <f>HYPERLINK("Melting_Curves/meltCurve_P51817_PRKX.pdf", "Melting_Curves/meltCurve_P51817_PRKX.pdf")</f>
        <v>Melting_Curves/meltCurve_P51817_PRKX.pdf</v>
      </c>
    </row>
    <row r="2422" spans="1:28" x14ac:dyDescent="0.25">
      <c r="A2422" t="s">
        <v>2426</v>
      </c>
      <c r="B2422">
        <v>0.99299721793515405</v>
      </c>
      <c r="C2422">
        <v>1.0365238291567</v>
      </c>
      <c r="D2422">
        <v>0.919331770629637</v>
      </c>
      <c r="E2422">
        <v>0.88600217971037498</v>
      </c>
      <c r="F2422">
        <v>0.77017396890745804</v>
      </c>
      <c r="G2422">
        <v>0.50372535056911405</v>
      </c>
      <c r="H2422">
        <v>0.46469347027371199</v>
      </c>
      <c r="I2422">
        <v>0.45678425228181202</v>
      </c>
      <c r="J2422">
        <v>0.44599657784048802</v>
      </c>
      <c r="K2422">
        <v>0.370608930239542</v>
      </c>
      <c r="L2422">
        <v>919.81443111942201</v>
      </c>
      <c r="M2422">
        <v>18.171373701169699</v>
      </c>
      <c r="N2422">
        <v>55.608703166004503</v>
      </c>
      <c r="O2422">
        <v>50.017784680834403</v>
      </c>
      <c r="P2422">
        <v>-5.4307711156972999E-2</v>
      </c>
      <c r="Q2422">
        <v>0.402087703355961</v>
      </c>
      <c r="R2422">
        <v>0.97844786576892595</v>
      </c>
      <c r="S2422" t="s">
        <v>7973</v>
      </c>
      <c r="T2422" t="s">
        <v>11100</v>
      </c>
      <c r="U2422" t="s">
        <v>11100</v>
      </c>
      <c r="V2422" t="s">
        <v>11100</v>
      </c>
      <c r="W2422" t="s">
        <v>13482</v>
      </c>
      <c r="X2422">
        <v>25</v>
      </c>
      <c r="Y2422" t="s">
        <v>18948</v>
      </c>
      <c r="Z2422" t="s">
        <v>24427</v>
      </c>
      <c r="AA2422">
        <v>0.68271518551760824</v>
      </c>
      <c r="AB2422" t="str">
        <f>HYPERLINK("Melting_Curves/meltCurve_P51858_HDGF.pdf", "Melting_Curves/meltCurve_P51858_HDGF.pdf")</f>
        <v>Melting_Curves/meltCurve_P51858_HDGF.pdf</v>
      </c>
    </row>
    <row r="2423" spans="1:28" x14ac:dyDescent="0.25">
      <c r="A2423" t="s">
        <v>2427</v>
      </c>
      <c r="B2423">
        <v>0.99299721793515405</v>
      </c>
      <c r="C2423">
        <v>0.799999088006213</v>
      </c>
      <c r="D2423">
        <v>0.99075733322955495</v>
      </c>
      <c r="E2423">
        <v>0.740324568867616</v>
      </c>
      <c r="F2423">
        <v>0.66763819626904197</v>
      </c>
      <c r="G2423">
        <v>0.73437106554781595</v>
      </c>
      <c r="H2423">
        <v>0.59092651693481302</v>
      </c>
      <c r="I2423">
        <v>0.38642308486079002</v>
      </c>
      <c r="J2423">
        <v>0.22006115353781799</v>
      </c>
      <c r="K2423">
        <v>0.15857241711332401</v>
      </c>
      <c r="L2423">
        <v>431.62180463222802</v>
      </c>
      <c r="M2423">
        <v>7.5829946625329097</v>
      </c>
      <c r="N2423">
        <v>56.919703035113102</v>
      </c>
      <c r="O2423">
        <v>53.365569698366897</v>
      </c>
      <c r="P2423">
        <v>-3.5572851044068599E-2</v>
      </c>
      <c r="Q2423">
        <v>0</v>
      </c>
      <c r="R2423">
        <v>0.88661130489861995</v>
      </c>
      <c r="S2423" t="s">
        <v>7974</v>
      </c>
      <c r="T2423" t="s">
        <v>11100</v>
      </c>
      <c r="U2423" t="s">
        <v>11100</v>
      </c>
      <c r="V2423" t="s">
        <v>11100</v>
      </c>
      <c r="W2423" t="s">
        <v>13483</v>
      </c>
      <c r="X2423">
        <v>3</v>
      </c>
      <c r="Y2423" t="s">
        <v>18949</v>
      </c>
      <c r="Z2423" t="s">
        <v>24428</v>
      </c>
      <c r="AA2423">
        <v>0.65093335118979967</v>
      </c>
      <c r="AB2423" t="str">
        <f>HYPERLINK("Melting_Curves/meltCurve_P51946_CCNH.pdf", "Melting_Curves/meltCurve_P51946_CCNH.pdf")</f>
        <v>Melting_Curves/meltCurve_P51946_CCNH.pdf</v>
      </c>
    </row>
    <row r="2424" spans="1:28" x14ac:dyDescent="0.25">
      <c r="A2424" t="s">
        <v>2428</v>
      </c>
      <c r="B2424">
        <v>0.99299721793515405</v>
      </c>
      <c r="C2424">
        <v>0.82943981698050095</v>
      </c>
      <c r="D2424">
        <v>0.84698055438966202</v>
      </c>
      <c r="E2424">
        <v>0.76730855317227498</v>
      </c>
      <c r="F2424">
        <v>0.76999069874930304</v>
      </c>
      <c r="G2424">
        <v>0.697782420030301</v>
      </c>
      <c r="H2424">
        <v>0.616948735005168</v>
      </c>
      <c r="I2424">
        <v>0.566972510453842</v>
      </c>
      <c r="J2424">
        <v>0.39454096234288799</v>
      </c>
      <c r="K2424">
        <v>0.28335714045423499</v>
      </c>
      <c r="L2424">
        <v>298.26983682442398</v>
      </c>
      <c r="M2424">
        <v>4.92515872161571</v>
      </c>
      <c r="N2424">
        <v>60.5604518626605</v>
      </c>
      <c r="O2424">
        <v>52.667659591161403</v>
      </c>
      <c r="P2424">
        <v>-2.3529317464825401E-2</v>
      </c>
      <c r="Q2424">
        <v>0</v>
      </c>
      <c r="R2424">
        <v>0.91058028860145201</v>
      </c>
      <c r="S2424" t="s">
        <v>7975</v>
      </c>
      <c r="T2424" t="s">
        <v>11100</v>
      </c>
      <c r="U2424" t="s">
        <v>11100</v>
      </c>
      <c r="V2424" t="s">
        <v>11100</v>
      </c>
      <c r="W2424" t="s">
        <v>13484</v>
      </c>
      <c r="X2424">
        <v>5</v>
      </c>
      <c r="Y2424" t="s">
        <v>18950</v>
      </c>
      <c r="Z2424" t="s">
        <v>24429</v>
      </c>
      <c r="AA2424">
        <v>0.68627897107235192</v>
      </c>
      <c r="AB2424" t="str">
        <f>HYPERLINK("Melting_Curves/meltCurve_P51948_MNAT1.pdf", "Melting_Curves/meltCurve_P51948_MNAT1.pdf")</f>
        <v>Melting_Curves/meltCurve_P51948_MNAT1.pdf</v>
      </c>
    </row>
    <row r="2425" spans="1:28" x14ac:dyDescent="0.25">
      <c r="A2425" t="s">
        <v>2429</v>
      </c>
      <c r="B2425">
        <v>0.99299721793515405</v>
      </c>
      <c r="C2425">
        <v>0.90278674474329801</v>
      </c>
      <c r="D2425">
        <v>0.95726771774800701</v>
      </c>
      <c r="E2425">
        <v>0.85976663842528001</v>
      </c>
      <c r="F2425">
        <v>0.72887051253035595</v>
      </c>
      <c r="G2425">
        <v>0.53270858737345095</v>
      </c>
      <c r="H2425">
        <v>0.48546964469495701</v>
      </c>
      <c r="I2425">
        <v>0.52183522407184901</v>
      </c>
      <c r="J2425">
        <v>0.44804859735226799</v>
      </c>
      <c r="K2425">
        <v>0.3423518744297</v>
      </c>
      <c r="L2425">
        <v>591.96710668548303</v>
      </c>
      <c r="M2425">
        <v>11.618366294322801</v>
      </c>
      <c r="N2425">
        <v>57.445803190650402</v>
      </c>
      <c r="O2425">
        <v>49.511732177285801</v>
      </c>
      <c r="P2425">
        <v>-3.7228752122782302E-2</v>
      </c>
      <c r="Q2425">
        <v>0.36557118353015999</v>
      </c>
      <c r="R2425">
        <v>0.96099036847475705</v>
      </c>
      <c r="S2425" t="s">
        <v>7976</v>
      </c>
      <c r="T2425" t="s">
        <v>11100</v>
      </c>
      <c r="U2425" t="s">
        <v>11100</v>
      </c>
      <c r="V2425" t="s">
        <v>11100</v>
      </c>
      <c r="W2425" t="s">
        <v>13485</v>
      </c>
      <c r="X2425">
        <v>6</v>
      </c>
      <c r="Y2425" t="s">
        <v>18951</v>
      </c>
      <c r="Z2425" t="s">
        <v>24430</v>
      </c>
      <c r="AA2425">
        <v>0.67771571523131235</v>
      </c>
      <c r="AB2425" t="str">
        <f>HYPERLINK("Melting_Curves/meltCurve_P51970_NDUFA8.pdf", "Melting_Curves/meltCurve_P51970_NDUFA8.pdf")</f>
        <v>Melting_Curves/meltCurve_P51970_NDUFA8.pdf</v>
      </c>
    </row>
    <row r="2426" spans="1:28" x14ac:dyDescent="0.25">
      <c r="A2426" t="s">
        <v>2430</v>
      </c>
      <c r="B2426">
        <v>0.99299721793515405</v>
      </c>
      <c r="C2426">
        <v>1.0750617005932701</v>
      </c>
      <c r="D2426">
        <v>1.6167918812617299</v>
      </c>
      <c r="E2426">
        <v>1.3477972267356699</v>
      </c>
      <c r="F2426">
        <v>0.65410410796712604</v>
      </c>
      <c r="G2426">
        <v>0.87377744222430798</v>
      </c>
      <c r="H2426">
        <v>0.72152833270105998</v>
      </c>
      <c r="I2426">
        <v>0.52674503048642896</v>
      </c>
      <c r="J2426">
        <v>0.281011507054307</v>
      </c>
      <c r="K2426">
        <v>0.25106183400393201</v>
      </c>
      <c r="L2426">
        <v>868.19197860352199</v>
      </c>
      <c r="M2426">
        <v>14.346673142998</v>
      </c>
      <c r="N2426">
        <v>60.842622076669898</v>
      </c>
      <c r="O2426">
        <v>59.375898187702902</v>
      </c>
      <c r="P2426">
        <v>-5.8169096794018202E-2</v>
      </c>
      <c r="Q2426">
        <v>3.7149043647017099E-2</v>
      </c>
      <c r="R2426">
        <v>0.64846967551833601</v>
      </c>
      <c r="S2426" t="s">
        <v>7977</v>
      </c>
      <c r="T2426" t="s">
        <v>11100</v>
      </c>
      <c r="U2426" t="s">
        <v>11100</v>
      </c>
      <c r="V2426" t="s">
        <v>11100</v>
      </c>
      <c r="W2426" t="s">
        <v>13486</v>
      </c>
      <c r="X2426">
        <v>1</v>
      </c>
      <c r="Y2426" t="s">
        <v>18952</v>
      </c>
      <c r="Z2426" t="s">
        <v>24431</v>
      </c>
      <c r="AA2426">
        <v>0.78022548040256423</v>
      </c>
      <c r="AB2426" t="str">
        <f>HYPERLINK("Melting_Curves/meltCurve_P51991_HNRNPA3.pdf", "Melting_Curves/meltCurve_P51991_HNRNPA3.pdf")</f>
        <v>Melting_Curves/meltCurve_P51991_HNRNPA3.pdf</v>
      </c>
    </row>
    <row r="2427" spans="1:28" x14ac:dyDescent="0.25">
      <c r="A2427" t="s">
        <v>2431</v>
      </c>
      <c r="B2427">
        <v>0.99299721793515405</v>
      </c>
      <c r="C2427">
        <v>0.914048727657926</v>
      </c>
      <c r="D2427">
        <v>1.1167355336924201</v>
      </c>
      <c r="E2427">
        <v>0.77065302216203901</v>
      </c>
      <c r="F2427">
        <v>0.46183973124274802</v>
      </c>
      <c r="G2427">
        <v>0.26494524654839702</v>
      </c>
      <c r="H2427">
        <v>0.16698868673888001</v>
      </c>
      <c r="I2427">
        <v>0.146987204933826</v>
      </c>
      <c r="J2427">
        <v>0.137024806182966</v>
      </c>
      <c r="K2427">
        <v>0.11334089519375801</v>
      </c>
      <c r="L2427">
        <v>1141.6354566812099</v>
      </c>
      <c r="M2427">
        <v>23.2251763505399</v>
      </c>
      <c r="N2427">
        <v>49.827539866047402</v>
      </c>
      <c r="O2427">
        <v>48.7950134825047</v>
      </c>
      <c r="P2427">
        <v>-0.102986541281388</v>
      </c>
      <c r="Q2427">
        <v>0.13453588547875101</v>
      </c>
      <c r="R2427">
        <v>0.97831143263207199</v>
      </c>
      <c r="S2427" t="s">
        <v>7978</v>
      </c>
      <c r="T2427" t="s">
        <v>11100</v>
      </c>
      <c r="U2427" t="s">
        <v>11100</v>
      </c>
      <c r="V2427" t="s">
        <v>11100</v>
      </c>
      <c r="W2427" t="s">
        <v>13487</v>
      </c>
      <c r="X2427">
        <v>28</v>
      </c>
      <c r="Y2427" t="s">
        <v>17720</v>
      </c>
      <c r="Z2427" t="s">
        <v>24432</v>
      </c>
      <c r="AA2427">
        <v>0.4938289710084357</v>
      </c>
      <c r="AB2427" t="str">
        <f>HYPERLINK("Melting_Curves/meltCurve_P52272_2_HNRNPM.pdf", "Melting_Curves/meltCurve_P52272_2_HNRNPM.pdf")</f>
        <v>Melting_Curves/meltCurve_P52272_2_HNRNPM.pdf</v>
      </c>
    </row>
    <row r="2428" spans="1:28" x14ac:dyDescent="0.25">
      <c r="A2428" t="s">
        <v>2432</v>
      </c>
      <c r="B2428">
        <v>0.99299721793515405</v>
      </c>
      <c r="C2428">
        <v>1.0690624383207501</v>
      </c>
      <c r="D2428">
        <v>0.98748716993224295</v>
      </c>
      <c r="E2428">
        <v>0.89673094200936898</v>
      </c>
      <c r="F2428">
        <v>0.38219905813076199</v>
      </c>
      <c r="G2428">
        <v>0.16301071105495199</v>
      </c>
      <c r="H2428">
        <v>9.94149316627264E-2</v>
      </c>
      <c r="I2428">
        <v>8.9873859824539701E-2</v>
      </c>
      <c r="J2428">
        <v>7.7786986016441906E-2</v>
      </c>
      <c r="K2428">
        <v>6.19430562030912E-2</v>
      </c>
      <c r="L2428">
        <v>1690.5641594019301</v>
      </c>
      <c r="M2428">
        <v>34.346771847448103</v>
      </c>
      <c r="N2428">
        <v>49.491286290602503</v>
      </c>
      <c r="O2428">
        <v>49.054535457979902</v>
      </c>
      <c r="P2428">
        <v>-0.16004757949311699</v>
      </c>
      <c r="Q2428">
        <v>8.5675212950896307E-2</v>
      </c>
      <c r="R2428">
        <v>0.99615857432516297</v>
      </c>
      <c r="S2428" t="s">
        <v>7979</v>
      </c>
      <c r="T2428" t="s">
        <v>11100</v>
      </c>
      <c r="U2428" t="s">
        <v>11100</v>
      </c>
      <c r="V2428" t="s">
        <v>11100</v>
      </c>
      <c r="W2428" t="s">
        <v>13488</v>
      </c>
      <c r="X2428">
        <v>18</v>
      </c>
      <c r="Y2428" t="s">
        <v>18953</v>
      </c>
      <c r="Z2428" t="s">
        <v>24433</v>
      </c>
      <c r="AA2428">
        <v>0.46234876893642363</v>
      </c>
      <c r="AB2428" t="str">
        <f>HYPERLINK("Melting_Curves/meltCurve_P52292_KPNA2.pdf", "Melting_Curves/meltCurve_P52292_KPNA2.pdf")</f>
        <v>Melting_Curves/meltCurve_P52292_KPNA2.pdf</v>
      </c>
    </row>
    <row r="2429" spans="1:28" x14ac:dyDescent="0.25">
      <c r="A2429" t="s">
        <v>2433</v>
      </c>
      <c r="B2429">
        <v>0.99299721793515405</v>
      </c>
      <c r="C2429">
        <v>0.89677385890408301</v>
      </c>
      <c r="D2429">
        <v>1.0831088568613401</v>
      </c>
      <c r="E2429">
        <v>0.83007565551824503</v>
      </c>
      <c r="F2429">
        <v>0.67232341879778101</v>
      </c>
      <c r="G2429">
        <v>0.40068284731624798</v>
      </c>
      <c r="H2429">
        <v>0.164694784479679</v>
      </c>
      <c r="I2429">
        <v>0.137088802896008</v>
      </c>
      <c r="J2429">
        <v>0.14753783752370001</v>
      </c>
      <c r="K2429">
        <v>0.101811973757215</v>
      </c>
      <c r="L2429">
        <v>961.18564040167098</v>
      </c>
      <c r="M2429">
        <v>18.655331292829999</v>
      </c>
      <c r="N2429">
        <v>52.103376599886602</v>
      </c>
      <c r="O2429">
        <v>50.942310223736001</v>
      </c>
      <c r="P2429">
        <v>-8.2971241465982004E-2</v>
      </c>
      <c r="Q2429">
        <v>9.3757436054204099E-2</v>
      </c>
      <c r="R2429">
        <v>0.97970572608281703</v>
      </c>
      <c r="S2429" t="s">
        <v>7980</v>
      </c>
      <c r="T2429" t="s">
        <v>11100</v>
      </c>
      <c r="U2429" t="s">
        <v>11100</v>
      </c>
      <c r="V2429" t="s">
        <v>11100</v>
      </c>
      <c r="W2429" t="s">
        <v>13489</v>
      </c>
      <c r="X2429">
        <v>9</v>
      </c>
      <c r="Y2429" t="s">
        <v>18954</v>
      </c>
      <c r="Z2429" t="s">
        <v>24434</v>
      </c>
      <c r="AA2429">
        <v>0.54564060270776971</v>
      </c>
      <c r="AB2429" t="str">
        <f>HYPERLINK("Melting_Curves/meltCurve_P52294_KPNA1.pdf", "Melting_Curves/meltCurve_P52294_KPNA1.pdf")</f>
        <v>Melting_Curves/meltCurve_P52294_KPNA1.pdf</v>
      </c>
    </row>
    <row r="2430" spans="1:28" x14ac:dyDescent="0.25">
      <c r="A2430" t="s">
        <v>2434</v>
      </c>
      <c r="B2430">
        <v>0.99299721793515405</v>
      </c>
      <c r="C2430">
        <v>1.0119062069876701</v>
      </c>
      <c r="D2430">
        <v>0.95765989434500098</v>
      </c>
      <c r="E2430">
        <v>0.85052524822392095</v>
      </c>
      <c r="F2430">
        <v>0.73780307203630902</v>
      </c>
      <c r="G2430">
        <v>0.73755245178946105</v>
      </c>
      <c r="H2430">
        <v>0.54842735146534405</v>
      </c>
      <c r="I2430">
        <v>0.37396335996659302</v>
      </c>
      <c r="J2430">
        <v>0.21208931105966999</v>
      </c>
      <c r="K2430">
        <v>0.19215216116846301</v>
      </c>
      <c r="L2430">
        <v>556.18417729322005</v>
      </c>
      <c r="M2430">
        <v>9.6630920038231096</v>
      </c>
      <c r="N2430">
        <v>57.5575961815277</v>
      </c>
      <c r="O2430">
        <v>55.254677840182097</v>
      </c>
      <c r="P2430">
        <v>-4.37449468831611E-2</v>
      </c>
      <c r="Q2430">
        <v>0</v>
      </c>
      <c r="R2430">
        <v>0.97807209600634903</v>
      </c>
      <c r="S2430" t="s">
        <v>7981</v>
      </c>
      <c r="T2430" t="s">
        <v>11100</v>
      </c>
      <c r="U2430" t="s">
        <v>11100</v>
      </c>
      <c r="V2430" t="s">
        <v>11100</v>
      </c>
      <c r="W2430" t="s">
        <v>13490</v>
      </c>
      <c r="X2430">
        <v>7</v>
      </c>
      <c r="Y2430" t="s">
        <v>18955</v>
      </c>
      <c r="Z2430" t="s">
        <v>24435</v>
      </c>
      <c r="AA2430">
        <v>0.67871094843674196</v>
      </c>
      <c r="AB2430" t="str">
        <f>HYPERLINK("Melting_Curves/meltCurve_P52298_NCBP2.pdf", "Melting_Curves/meltCurve_P52298_NCBP2.pdf")</f>
        <v>Melting_Curves/meltCurve_P52298_NCBP2.pdf</v>
      </c>
    </row>
    <row r="2431" spans="1:28" x14ac:dyDescent="0.25">
      <c r="A2431" t="s">
        <v>2435</v>
      </c>
      <c r="B2431">
        <v>0.99299721793515405</v>
      </c>
      <c r="C2431">
        <v>1.0776065459763899</v>
      </c>
      <c r="D2431">
        <v>0.98283781214535104</v>
      </c>
      <c r="E2431">
        <v>0.898909860352201</v>
      </c>
      <c r="F2431">
        <v>0.80300752631581795</v>
      </c>
      <c r="G2431">
        <v>0.39525553438222499</v>
      </c>
      <c r="H2431">
        <v>0.26943460082308002</v>
      </c>
      <c r="I2431">
        <v>0.224226129400347</v>
      </c>
      <c r="J2431">
        <v>0.184367459279629</v>
      </c>
      <c r="K2431">
        <v>0.13077439015459999</v>
      </c>
      <c r="L2431">
        <v>1235.0235964108799</v>
      </c>
      <c r="M2431">
        <v>23.699730129734601</v>
      </c>
      <c r="N2431">
        <v>53.014942151070002</v>
      </c>
      <c r="O2431">
        <v>51.744527286873101</v>
      </c>
      <c r="P2431">
        <v>-9.5478486247303901E-2</v>
      </c>
      <c r="Q2431">
        <v>0.16616653876497101</v>
      </c>
      <c r="R2431">
        <v>0.98834358798349398</v>
      </c>
      <c r="S2431" t="s">
        <v>7982</v>
      </c>
      <c r="T2431" t="s">
        <v>11100</v>
      </c>
      <c r="U2431" t="s">
        <v>11100</v>
      </c>
      <c r="V2431" t="s">
        <v>11100</v>
      </c>
      <c r="W2431" t="s">
        <v>13491</v>
      </c>
      <c r="X2431">
        <v>17</v>
      </c>
      <c r="Y2431" t="s">
        <v>18956</v>
      </c>
      <c r="Z2431" t="s">
        <v>24436</v>
      </c>
      <c r="AA2431">
        <v>0.59429514392577432</v>
      </c>
      <c r="AB2431" t="str">
        <f>HYPERLINK("Melting_Curves/meltCurve_P52306_RAP1GDS1.pdf", "Melting_Curves/meltCurve_P52306_RAP1GDS1.pdf")</f>
        <v>Melting_Curves/meltCurve_P52306_RAP1GDS1.pdf</v>
      </c>
    </row>
    <row r="2432" spans="1:28" x14ac:dyDescent="0.25">
      <c r="A2432" t="s">
        <v>2436</v>
      </c>
      <c r="B2432">
        <v>0.99299721793515405</v>
      </c>
      <c r="C2432">
        <v>0.99920188440051005</v>
      </c>
      <c r="D2432">
        <v>0.96283357113627799</v>
      </c>
      <c r="E2432">
        <v>0.87008197873446302</v>
      </c>
      <c r="F2432">
        <v>0.75760622245258302</v>
      </c>
      <c r="G2432">
        <v>0.48830270477452598</v>
      </c>
      <c r="H2432">
        <v>0.26099548382832299</v>
      </c>
      <c r="I2432">
        <v>0.16210566842377799</v>
      </c>
      <c r="J2432">
        <v>0.14008746825246901</v>
      </c>
      <c r="K2432">
        <v>0.112071894320284</v>
      </c>
      <c r="L2432">
        <v>853.29305229322597</v>
      </c>
      <c r="M2432">
        <v>16.108219247222198</v>
      </c>
      <c r="N2432">
        <v>53.508683796049702</v>
      </c>
      <c r="O2432">
        <v>52.176316147107102</v>
      </c>
      <c r="P2432">
        <v>-7.1435077816406498E-2</v>
      </c>
      <c r="Q2432">
        <v>7.45264130994054E-2</v>
      </c>
      <c r="R2432">
        <v>0.99747650837478896</v>
      </c>
      <c r="S2432" t="s">
        <v>7983</v>
      </c>
      <c r="T2432" t="s">
        <v>11100</v>
      </c>
      <c r="U2432" t="s">
        <v>11100</v>
      </c>
      <c r="V2432" t="s">
        <v>11100</v>
      </c>
      <c r="W2432" t="s">
        <v>13492</v>
      </c>
      <c r="X2432">
        <v>14</v>
      </c>
      <c r="Y2432" t="s">
        <v>18957</v>
      </c>
      <c r="Z2432" t="s">
        <v>24437</v>
      </c>
      <c r="AA2432">
        <v>0.58264577746593238</v>
      </c>
      <c r="AB2432" t="str">
        <f>HYPERLINK("Melting_Curves/meltCurve_P52565_ARHGDIA.pdf", "Melting_Curves/meltCurve_P52565_ARHGDIA.pdf")</f>
        <v>Melting_Curves/meltCurve_P52565_ARHGDIA.pdf</v>
      </c>
    </row>
    <row r="2433" spans="1:28" x14ac:dyDescent="0.25">
      <c r="A2433" t="s">
        <v>2437</v>
      </c>
      <c r="B2433">
        <v>0.99299721793515405</v>
      </c>
      <c r="C2433">
        <v>0.89524999552504803</v>
      </c>
      <c r="D2433">
        <v>0.907711248143936</v>
      </c>
      <c r="E2433">
        <v>0.79073556583369897</v>
      </c>
      <c r="F2433">
        <v>0.721168837016818</v>
      </c>
      <c r="G2433">
        <v>0.497387018579726</v>
      </c>
      <c r="H2433">
        <v>0.57174520136616602</v>
      </c>
      <c r="I2433">
        <v>0.62597530595103301</v>
      </c>
      <c r="J2433">
        <v>0.56997326793973302</v>
      </c>
      <c r="K2433">
        <v>0.51127087325936904</v>
      </c>
      <c r="L2433">
        <v>611.69280495834198</v>
      </c>
      <c r="M2433">
        <v>13.046876489818199</v>
      </c>
      <c r="O2433">
        <v>45.823798464203897</v>
      </c>
      <c r="P2433">
        <v>-3.31281667474509E-2</v>
      </c>
      <c r="Q2433">
        <v>0.53466439691353096</v>
      </c>
      <c r="R2433">
        <v>0.912973461566566</v>
      </c>
      <c r="S2433" t="s">
        <v>7984</v>
      </c>
      <c r="T2433" t="s">
        <v>11100</v>
      </c>
      <c r="U2433" t="s">
        <v>11100</v>
      </c>
      <c r="V2433" t="s">
        <v>11100</v>
      </c>
      <c r="W2433" t="s">
        <v>13493</v>
      </c>
      <c r="X2433">
        <v>5</v>
      </c>
      <c r="Y2433" t="s">
        <v>18958</v>
      </c>
      <c r="Z2433" t="s">
        <v>24438</v>
      </c>
      <c r="AA2433">
        <v>0.70138013704198821</v>
      </c>
      <c r="AB2433" t="str">
        <f>HYPERLINK("Melting_Curves/meltCurve_P52569_SLC7A2.pdf", "Melting_Curves/meltCurve_P52569_SLC7A2.pdf")</f>
        <v>Melting_Curves/meltCurve_P52569_SLC7A2.pdf</v>
      </c>
    </row>
    <row r="2434" spans="1:28" x14ac:dyDescent="0.25">
      <c r="A2434" t="s">
        <v>2438</v>
      </c>
      <c r="B2434">
        <v>0.99299721793515405</v>
      </c>
      <c r="C2434">
        <v>1.00660571708525</v>
      </c>
      <c r="D2434">
        <v>1.10676323795044</v>
      </c>
      <c r="E2434">
        <v>0.94596401390843499</v>
      </c>
      <c r="F2434">
        <v>0.65457059625674296</v>
      </c>
      <c r="G2434">
        <v>0.41016828286305101</v>
      </c>
      <c r="H2434">
        <v>0.20617331760788499</v>
      </c>
      <c r="I2434">
        <v>0.17785677244175599</v>
      </c>
      <c r="J2434">
        <v>0.151968478288079</v>
      </c>
      <c r="K2434">
        <v>0.109362286175835</v>
      </c>
      <c r="L2434">
        <v>1134.86815273355</v>
      </c>
      <c r="M2434">
        <v>22.003891824602899</v>
      </c>
      <c r="N2434">
        <v>52.302948094415903</v>
      </c>
      <c r="O2434">
        <v>51.1554733166926</v>
      </c>
      <c r="P2434">
        <v>-9.3366091571330107E-2</v>
      </c>
      <c r="Q2434">
        <v>0.13177541499174</v>
      </c>
      <c r="R2434">
        <v>0.98806504298321596</v>
      </c>
      <c r="S2434" t="s">
        <v>7985</v>
      </c>
      <c r="T2434" t="s">
        <v>11100</v>
      </c>
      <c r="U2434" t="s">
        <v>11100</v>
      </c>
      <c r="V2434" t="s">
        <v>11100</v>
      </c>
      <c r="W2434" t="s">
        <v>13494</v>
      </c>
      <c r="X2434">
        <v>19</v>
      </c>
      <c r="Y2434" t="s">
        <v>18959</v>
      </c>
      <c r="Z2434" t="s">
        <v>24439</v>
      </c>
      <c r="AA2434">
        <v>0.56324391738966184</v>
      </c>
      <c r="AB2434" t="str">
        <f>HYPERLINK("Melting_Curves/meltCurve_P52597_HNRNPF.pdf", "Melting_Curves/meltCurve_P52597_HNRNPF.pdf")</f>
        <v>Melting_Curves/meltCurve_P52597_HNRNPF.pdf</v>
      </c>
    </row>
    <row r="2435" spans="1:28" x14ac:dyDescent="0.25">
      <c r="A2435" t="s">
        <v>2439</v>
      </c>
      <c r="B2435">
        <v>0.99299721793515405</v>
      </c>
      <c r="C2435">
        <v>1.1956488782307899</v>
      </c>
      <c r="D2435">
        <v>0.82443824432031299</v>
      </c>
      <c r="E2435">
        <v>0.95626694325041905</v>
      </c>
      <c r="F2435">
        <v>0.73267903534498402</v>
      </c>
      <c r="G2435">
        <v>0.35573142651641099</v>
      </c>
      <c r="H2435">
        <v>0.24399076782774901</v>
      </c>
      <c r="I2435">
        <v>0.22107062420219001</v>
      </c>
      <c r="J2435">
        <v>0.22191932099674999</v>
      </c>
      <c r="K2435">
        <v>0.204694450392092</v>
      </c>
      <c r="L2435">
        <v>1508.73022991422</v>
      </c>
      <c r="M2435">
        <v>29.444965647900698</v>
      </c>
      <c r="N2435">
        <v>52.210443913113899</v>
      </c>
      <c r="O2435">
        <v>51.004395962570598</v>
      </c>
      <c r="P2435">
        <v>-0.113886738787148</v>
      </c>
      <c r="Q2435">
        <v>0.210909812163806</v>
      </c>
      <c r="R2435">
        <v>0.94851335083211796</v>
      </c>
      <c r="S2435" t="s">
        <v>7986</v>
      </c>
      <c r="T2435" t="s">
        <v>11100</v>
      </c>
      <c r="U2435" t="s">
        <v>11100</v>
      </c>
      <c r="V2435" t="s">
        <v>11100</v>
      </c>
      <c r="W2435" t="s">
        <v>13495</v>
      </c>
      <c r="X2435">
        <v>2</v>
      </c>
      <c r="Y2435" t="s">
        <v>18960</v>
      </c>
      <c r="Z2435" t="s">
        <v>24440</v>
      </c>
      <c r="AA2435">
        <v>0.59055223509711552</v>
      </c>
      <c r="AB2435" t="str">
        <f>HYPERLINK("Melting_Curves/meltCurve_P52630_4_STAT2.pdf", "Melting_Curves/meltCurve_P52630_4_STAT2.pdf")</f>
        <v>Melting_Curves/meltCurve_P52630_4_STAT2.pdf</v>
      </c>
    </row>
    <row r="2436" spans="1:28" x14ac:dyDescent="0.25">
      <c r="A2436" t="s">
        <v>2440</v>
      </c>
      <c r="B2436">
        <v>0.99299721793515405</v>
      </c>
      <c r="C2436">
        <v>0.71303606928250296</v>
      </c>
      <c r="D2436">
        <v>0.80948477016465004</v>
      </c>
      <c r="E2436">
        <v>0.47585154622722597</v>
      </c>
      <c r="F2436">
        <v>0.61391459469527998</v>
      </c>
      <c r="G2436">
        <v>0.36321655151787602</v>
      </c>
      <c r="H2436">
        <v>0.56025185815812195</v>
      </c>
      <c r="I2436">
        <v>0.85306135421181895</v>
      </c>
      <c r="J2436">
        <v>1.07058335474704</v>
      </c>
      <c r="K2436">
        <v>1.12576466669042</v>
      </c>
      <c r="L2436">
        <v>9383.9167569860201</v>
      </c>
      <c r="M2436">
        <v>250</v>
      </c>
      <c r="O2436">
        <v>37.533265026572103</v>
      </c>
      <c r="P2436">
        <v>-0.44679538914514699</v>
      </c>
      <c r="Q2436">
        <v>0.73168496449079301</v>
      </c>
      <c r="R2436">
        <v>0.102903202011279</v>
      </c>
      <c r="S2436" t="s">
        <v>7987</v>
      </c>
      <c r="T2436" t="s">
        <v>11100</v>
      </c>
      <c r="U2436" t="s">
        <v>11100</v>
      </c>
      <c r="V2436" t="s">
        <v>11100</v>
      </c>
      <c r="W2436" t="s">
        <v>13496</v>
      </c>
      <c r="X2436">
        <v>2</v>
      </c>
      <c r="Y2436" t="s">
        <v>18961</v>
      </c>
      <c r="Z2436" t="s">
        <v>24441</v>
      </c>
      <c r="AA2436">
        <v>0.73652779371133648</v>
      </c>
      <c r="AB2436" t="str">
        <f>HYPERLINK("Melting_Curves/meltCurve_P52657_GTF2A2.pdf", "Melting_Curves/meltCurve_P52657_GTF2A2.pdf")</f>
        <v>Melting_Curves/meltCurve_P52657_GTF2A2.pdf</v>
      </c>
    </row>
    <row r="2437" spans="1:28" x14ac:dyDescent="0.25">
      <c r="A2437" t="s">
        <v>2441</v>
      </c>
      <c r="B2437">
        <v>0.99299721793515405</v>
      </c>
      <c r="C2437">
        <v>0.98809577694385697</v>
      </c>
      <c r="D2437">
        <v>0.90707630917702897</v>
      </c>
      <c r="E2437">
        <v>0.74454817573772103</v>
      </c>
      <c r="F2437">
        <v>0.471417247767217</v>
      </c>
      <c r="G2437">
        <v>0.21597510006937101</v>
      </c>
      <c r="H2437">
        <v>0.17729835940672301</v>
      </c>
      <c r="I2437">
        <v>0.17544735606446099</v>
      </c>
      <c r="J2437">
        <v>0.15469325048208199</v>
      </c>
      <c r="K2437">
        <v>0.12311743600934701</v>
      </c>
      <c r="L2437">
        <v>918.25361853081995</v>
      </c>
      <c r="M2437">
        <v>18.854123359637899</v>
      </c>
      <c r="N2437">
        <v>49.5102085915671</v>
      </c>
      <c r="O2437">
        <v>48.165097787688097</v>
      </c>
      <c r="P2437">
        <v>-8.4917250855542498E-2</v>
      </c>
      <c r="Q2437">
        <v>0.13231083716595701</v>
      </c>
      <c r="R2437">
        <v>0.99682722554479697</v>
      </c>
      <c r="S2437" t="s">
        <v>7988</v>
      </c>
      <c r="T2437" t="s">
        <v>11100</v>
      </c>
      <c r="U2437" t="s">
        <v>11100</v>
      </c>
      <c r="V2437" t="s">
        <v>11100</v>
      </c>
      <c r="W2437" t="s">
        <v>13497</v>
      </c>
      <c r="X2437">
        <v>14</v>
      </c>
      <c r="Y2437" t="s">
        <v>18962</v>
      </c>
      <c r="Z2437" t="s">
        <v>24442</v>
      </c>
      <c r="AA2437">
        <v>0.48352132545782328</v>
      </c>
      <c r="AB2437" t="str">
        <f>HYPERLINK("Melting_Curves/meltCurve_P52701_MSH6.pdf", "Melting_Curves/meltCurve_P52701_MSH6.pdf")</f>
        <v>Melting_Curves/meltCurve_P52701_MSH6.pdf</v>
      </c>
    </row>
    <row r="2438" spans="1:28" x14ac:dyDescent="0.25">
      <c r="A2438" t="s">
        <v>2442</v>
      </c>
      <c r="B2438">
        <v>0.99299721793515405</v>
      </c>
      <c r="C2438">
        <v>0.96782773464132199</v>
      </c>
      <c r="D2438">
        <v>1.00567295799682</v>
      </c>
      <c r="E2438">
        <v>0.84649828469403698</v>
      </c>
      <c r="F2438">
        <v>0.57185790364979106</v>
      </c>
      <c r="G2438">
        <v>0.25600973493482898</v>
      </c>
      <c r="H2438">
        <v>0.17295472070881199</v>
      </c>
      <c r="I2438">
        <v>0.154259962395144</v>
      </c>
      <c r="J2438">
        <v>0.131663325191575</v>
      </c>
      <c r="K2438">
        <v>0.108218064442972</v>
      </c>
      <c r="L2438">
        <v>1133.5186042257301</v>
      </c>
      <c r="M2438">
        <v>22.6095776939693</v>
      </c>
      <c r="N2438">
        <v>50.756939029559199</v>
      </c>
      <c r="O2438">
        <v>49.7472147960424</v>
      </c>
      <c r="P2438">
        <v>-9.9866776275524705E-2</v>
      </c>
      <c r="Q2438">
        <v>0.1210818526308</v>
      </c>
      <c r="R2438">
        <v>0.99767306350298302</v>
      </c>
      <c r="S2438" t="s">
        <v>7989</v>
      </c>
      <c r="T2438" t="s">
        <v>11100</v>
      </c>
      <c r="U2438" t="s">
        <v>11100</v>
      </c>
      <c r="V2438" t="s">
        <v>11100</v>
      </c>
      <c r="W2438" t="s">
        <v>13498</v>
      </c>
      <c r="X2438">
        <v>32</v>
      </c>
      <c r="Y2438" t="s">
        <v>18963</v>
      </c>
      <c r="Z2438" t="s">
        <v>24443</v>
      </c>
      <c r="AA2438">
        <v>0.51517383019807317</v>
      </c>
      <c r="AB2438" t="str">
        <f>HYPERLINK("Melting_Curves/meltCurve_P52732_KIF11.pdf", "Melting_Curves/meltCurve_P52732_KIF11.pdf")</f>
        <v>Melting_Curves/meltCurve_P52732_KIF11.pdf</v>
      </c>
    </row>
    <row r="2439" spans="1:28" x14ac:dyDescent="0.25">
      <c r="A2439" t="s">
        <v>2443</v>
      </c>
      <c r="B2439">
        <v>0.99299721793515405</v>
      </c>
      <c r="C2439">
        <v>0.88450650519619201</v>
      </c>
      <c r="D2439">
        <v>0.76238489719936398</v>
      </c>
      <c r="E2439">
        <v>0.81368759091496801</v>
      </c>
      <c r="F2439">
        <v>0.64526102898840798</v>
      </c>
      <c r="G2439">
        <v>0.25985657331279299</v>
      </c>
      <c r="H2439">
        <v>0.27409369207130102</v>
      </c>
      <c r="I2439">
        <v>0.25828774294429402</v>
      </c>
      <c r="J2439">
        <v>0.290311757568323</v>
      </c>
      <c r="K2439">
        <v>0.17994988093603601</v>
      </c>
      <c r="L2439">
        <v>543.87999927456804</v>
      </c>
      <c r="M2439">
        <v>10.977479006973301</v>
      </c>
      <c r="N2439">
        <v>51.232022766240199</v>
      </c>
      <c r="O2439">
        <v>47.986033638879398</v>
      </c>
      <c r="P2439">
        <v>-4.8533260316656501E-2</v>
      </c>
      <c r="Q2439">
        <v>0.15167133278629499</v>
      </c>
      <c r="R2439">
        <v>0.93078496232831198</v>
      </c>
      <c r="S2439" t="s">
        <v>7990</v>
      </c>
      <c r="T2439" t="s">
        <v>11100</v>
      </c>
      <c r="U2439" t="s">
        <v>11100</v>
      </c>
      <c r="V2439" t="s">
        <v>11100</v>
      </c>
      <c r="W2439" t="s">
        <v>13499</v>
      </c>
      <c r="X2439">
        <v>9</v>
      </c>
      <c r="Y2439" t="s">
        <v>18964</v>
      </c>
      <c r="Z2439" t="s">
        <v>24444</v>
      </c>
      <c r="AA2439">
        <v>0.53357785162954563</v>
      </c>
      <c r="AB2439" t="str">
        <f>HYPERLINK("Melting_Curves/meltCurve_P52735_3_VAV2.pdf", "Melting_Curves/meltCurve_P52735_3_VAV2.pdf")</f>
        <v>Melting_Curves/meltCurve_P52735_3_VAV2.pdf</v>
      </c>
    </row>
    <row r="2440" spans="1:28" x14ac:dyDescent="0.25">
      <c r="A2440" t="s">
        <v>2444</v>
      </c>
      <c r="B2440">
        <v>0.99299721793515405</v>
      </c>
      <c r="C2440">
        <v>1.0239862509490101</v>
      </c>
      <c r="D2440">
        <v>0.91715939530277601</v>
      </c>
      <c r="E2440">
        <v>0.849349790614087</v>
      </c>
      <c r="F2440">
        <v>0.736640012447764</v>
      </c>
      <c r="G2440">
        <v>0.47143634487141201</v>
      </c>
      <c r="H2440">
        <v>0.56704368894871005</v>
      </c>
      <c r="I2440">
        <v>0.71958212163214397</v>
      </c>
      <c r="J2440">
        <v>0.91542231263084195</v>
      </c>
      <c r="K2440">
        <v>0.81259010038120105</v>
      </c>
      <c r="L2440">
        <v>1380.74717844465</v>
      </c>
      <c r="M2440">
        <v>30.0421245115493</v>
      </c>
      <c r="O2440">
        <v>45.758166798899197</v>
      </c>
      <c r="P2440">
        <v>-4.8955645996826801E-2</v>
      </c>
      <c r="Q2440">
        <v>0.70173799138707604</v>
      </c>
      <c r="R2440">
        <v>0.53221458644433794</v>
      </c>
      <c r="S2440" t="s">
        <v>7991</v>
      </c>
      <c r="T2440" t="s">
        <v>11100</v>
      </c>
      <c r="U2440" t="s">
        <v>11100</v>
      </c>
      <c r="V2440" t="s">
        <v>11100</v>
      </c>
      <c r="W2440" t="s">
        <v>13500</v>
      </c>
      <c r="X2440">
        <v>6</v>
      </c>
      <c r="Y2440" t="s">
        <v>18965</v>
      </c>
      <c r="Z2440" t="s">
        <v>24445</v>
      </c>
      <c r="AA2440">
        <v>0.79251826874684472</v>
      </c>
      <c r="AB2440" t="str">
        <f>HYPERLINK("Melting_Curves/meltCurve_P52758_HRSP12.pdf", "Melting_Curves/meltCurve_P52758_HRSP12.pdf")</f>
        <v>Melting_Curves/meltCurve_P52758_HRSP12.pdf</v>
      </c>
    </row>
    <row r="2441" spans="1:28" x14ac:dyDescent="0.25">
      <c r="A2441" t="s">
        <v>2445</v>
      </c>
      <c r="B2441">
        <v>0.99299721793515405</v>
      </c>
      <c r="C2441">
        <v>0.94780347439647195</v>
      </c>
      <c r="D2441">
        <v>1.15597774043224</v>
      </c>
      <c r="E2441">
        <v>0.92564493501957101</v>
      </c>
      <c r="F2441">
        <v>0.84023067461442102</v>
      </c>
      <c r="G2441">
        <v>0.77347813377153196</v>
      </c>
      <c r="H2441">
        <v>0.54129392659298003</v>
      </c>
      <c r="I2441">
        <v>0.46827561781250399</v>
      </c>
      <c r="J2441">
        <v>0.20859787788659701</v>
      </c>
      <c r="K2441">
        <v>0.11971313210908301</v>
      </c>
      <c r="L2441">
        <v>752.91886656144095</v>
      </c>
      <c r="M2441">
        <v>12.853980101530199</v>
      </c>
      <c r="N2441">
        <v>58.574765287582899</v>
      </c>
      <c r="O2441">
        <v>57.2113865150951</v>
      </c>
      <c r="P2441">
        <v>-5.6179170684233198E-2</v>
      </c>
      <c r="Q2441">
        <v>0</v>
      </c>
      <c r="R2441">
        <v>0.95623452562022304</v>
      </c>
      <c r="S2441" t="s">
        <v>7992</v>
      </c>
      <c r="T2441" t="s">
        <v>11100</v>
      </c>
      <c r="U2441" t="s">
        <v>11100</v>
      </c>
      <c r="V2441" t="s">
        <v>11100</v>
      </c>
      <c r="W2441" t="s">
        <v>13501</v>
      </c>
      <c r="X2441">
        <v>20</v>
      </c>
      <c r="Y2441" t="s">
        <v>18966</v>
      </c>
      <c r="Z2441" t="s">
        <v>24446</v>
      </c>
      <c r="AA2441">
        <v>0.71638137600643559</v>
      </c>
      <c r="AB2441" t="str">
        <f>HYPERLINK("Melting_Curves/meltCurve_P52788_SMS.pdf", "Melting_Curves/meltCurve_P52788_SMS.pdf")</f>
        <v>Melting_Curves/meltCurve_P52788_SMS.pdf</v>
      </c>
    </row>
    <row r="2442" spans="1:28" x14ac:dyDescent="0.25">
      <c r="A2442" t="s">
        <v>2446</v>
      </c>
      <c r="B2442">
        <v>0.99299721793515405</v>
      </c>
      <c r="C2442">
        <v>0.829645559947922</v>
      </c>
      <c r="D2442">
        <v>0.80313248824128503</v>
      </c>
      <c r="E2442">
        <v>0.83892346832570497</v>
      </c>
      <c r="F2442">
        <v>0.55121030594324405</v>
      </c>
      <c r="G2442">
        <v>0.379337347786112</v>
      </c>
      <c r="H2442">
        <v>0.35192754733846798</v>
      </c>
      <c r="I2442">
        <v>0.41923703811997898</v>
      </c>
      <c r="J2442">
        <v>0.449218485302601</v>
      </c>
      <c r="K2442">
        <v>0.44412013286927099</v>
      </c>
      <c r="L2442">
        <v>596.25311364927802</v>
      </c>
      <c r="M2442">
        <v>12.748272354558299</v>
      </c>
      <c r="N2442">
        <v>52.5848209195834</v>
      </c>
      <c r="O2442">
        <v>45.6652214816975</v>
      </c>
      <c r="P2442">
        <v>-4.3429071504992901E-2</v>
      </c>
      <c r="Q2442">
        <v>0.37785444825383602</v>
      </c>
      <c r="R2442">
        <v>0.88794866429188002</v>
      </c>
      <c r="S2442" t="s">
        <v>7993</v>
      </c>
      <c r="T2442" t="s">
        <v>11100</v>
      </c>
      <c r="U2442" t="s">
        <v>11100</v>
      </c>
      <c r="V2442" t="s">
        <v>11100</v>
      </c>
      <c r="W2442" t="s">
        <v>13502</v>
      </c>
      <c r="X2442">
        <v>4</v>
      </c>
      <c r="Y2442" t="s">
        <v>18967</v>
      </c>
      <c r="Z2442" t="s">
        <v>24447</v>
      </c>
      <c r="AA2442">
        <v>0.5992022761629735</v>
      </c>
      <c r="AB2442" t="str">
        <f>HYPERLINK("Melting_Curves/meltCurve_P52799_EFNB2.pdf", "Melting_Curves/meltCurve_P52799_EFNB2.pdf")</f>
        <v>Melting_Curves/meltCurve_P52799_EFNB2.pdf</v>
      </c>
    </row>
    <row r="2443" spans="1:28" x14ac:dyDescent="0.25">
      <c r="A2443" t="s">
        <v>2447</v>
      </c>
      <c r="B2443">
        <v>0.99299721793515405</v>
      </c>
      <c r="C2443">
        <v>0.92955761538162096</v>
      </c>
      <c r="D2443">
        <v>0.96562600762802198</v>
      </c>
      <c r="E2443">
        <v>0.74736084633681199</v>
      </c>
      <c r="F2443">
        <v>0.64634396096538504</v>
      </c>
      <c r="G2443">
        <v>0.55754185152077995</v>
      </c>
      <c r="H2443">
        <v>0.52762019939150895</v>
      </c>
      <c r="I2443">
        <v>0.40799445024639702</v>
      </c>
      <c r="J2443">
        <v>0.29076809795695802</v>
      </c>
      <c r="K2443">
        <v>0.37953479025143499</v>
      </c>
      <c r="L2443">
        <v>476.62604347270002</v>
      </c>
      <c r="M2443">
        <v>9.3023861473117506</v>
      </c>
      <c r="N2443">
        <v>55.904159327884202</v>
      </c>
      <c r="O2443">
        <v>49.036236247821002</v>
      </c>
      <c r="P2443">
        <v>-3.4642309960341101E-2</v>
      </c>
      <c r="Q2443">
        <v>0.27001920136418001</v>
      </c>
      <c r="R2443">
        <v>0.96730070862161299</v>
      </c>
      <c r="S2443" t="s">
        <v>7994</v>
      </c>
      <c r="T2443" t="s">
        <v>11100</v>
      </c>
      <c r="U2443" t="s">
        <v>11100</v>
      </c>
      <c r="V2443" t="s">
        <v>11100</v>
      </c>
      <c r="W2443" t="s">
        <v>13503</v>
      </c>
      <c r="X2443">
        <v>7</v>
      </c>
      <c r="Y2443" t="s">
        <v>18968</v>
      </c>
      <c r="Z2443" t="s">
        <v>24448</v>
      </c>
      <c r="AA2443">
        <v>0.63907306948360543</v>
      </c>
      <c r="AB2443" t="str">
        <f>HYPERLINK("Melting_Curves/meltCurve_P52815_MRPL12.pdf", "Melting_Curves/meltCurve_P52815_MRPL12.pdf")</f>
        <v>Melting_Curves/meltCurve_P52815_MRPL12.pdf</v>
      </c>
    </row>
    <row r="2444" spans="1:28" x14ac:dyDescent="0.25">
      <c r="A2444" t="s">
        <v>2448</v>
      </c>
      <c r="B2444">
        <v>0.99299721793515405</v>
      </c>
      <c r="C2444">
        <v>0.94185992381834704</v>
      </c>
      <c r="D2444">
        <v>1.0260026806389799</v>
      </c>
      <c r="E2444">
        <v>0.83249835548680495</v>
      </c>
      <c r="F2444">
        <v>0.73754809243461705</v>
      </c>
      <c r="G2444">
        <v>0.59203486012100603</v>
      </c>
      <c r="H2444">
        <v>0.53357260310216004</v>
      </c>
      <c r="I2444">
        <v>0.53428284895868405</v>
      </c>
      <c r="J2444">
        <v>0.42087452789014601</v>
      </c>
      <c r="K2444">
        <v>0.18159696064432199</v>
      </c>
      <c r="L2444">
        <v>409.66580398609699</v>
      </c>
      <c r="M2444">
        <v>6.9866710317664902</v>
      </c>
      <c r="N2444">
        <v>58.635335959505603</v>
      </c>
      <c r="O2444">
        <v>54.398259509046603</v>
      </c>
      <c r="P2444">
        <v>-3.21688368760744E-2</v>
      </c>
      <c r="Q2444">
        <v>0</v>
      </c>
      <c r="R2444">
        <v>0.93694110311036705</v>
      </c>
      <c r="S2444" t="s">
        <v>7995</v>
      </c>
      <c r="T2444" t="s">
        <v>11100</v>
      </c>
      <c r="U2444" t="s">
        <v>11100</v>
      </c>
      <c r="V2444" t="s">
        <v>11100</v>
      </c>
      <c r="W2444" t="s">
        <v>13504</v>
      </c>
      <c r="X2444">
        <v>40</v>
      </c>
      <c r="Y2444" t="s">
        <v>18969</v>
      </c>
      <c r="Z2444" t="s">
        <v>24449</v>
      </c>
      <c r="AA2444">
        <v>0.68345800295069492</v>
      </c>
      <c r="AB2444" t="str">
        <f>HYPERLINK("Melting_Curves/meltCurve_P52888_THOP1.pdf", "Melting_Curves/meltCurve_P52888_THOP1.pdf")</f>
        <v>Melting_Curves/meltCurve_P52888_THOP1.pdf</v>
      </c>
    </row>
    <row r="2445" spans="1:28" x14ac:dyDescent="0.25">
      <c r="A2445" t="s">
        <v>2449</v>
      </c>
      <c r="B2445">
        <v>0.99299721793515405</v>
      </c>
      <c r="C2445">
        <v>0.99882191047115798</v>
      </c>
      <c r="D2445">
        <v>0.90674915550416502</v>
      </c>
      <c r="E2445">
        <v>0.88928529647094201</v>
      </c>
      <c r="F2445">
        <v>0.74837684412203298</v>
      </c>
      <c r="G2445">
        <v>0.68930696878081199</v>
      </c>
      <c r="H2445">
        <v>0.577382444889464</v>
      </c>
      <c r="I2445">
        <v>0.42688447237382099</v>
      </c>
      <c r="J2445">
        <v>0.32664774206061598</v>
      </c>
      <c r="K2445">
        <v>0.19987215894561</v>
      </c>
      <c r="L2445">
        <v>482.22977792143502</v>
      </c>
      <c r="M2445">
        <v>8.2625588939480803</v>
      </c>
      <c r="N2445">
        <v>58.363243744985802</v>
      </c>
      <c r="O2445">
        <v>55.244053228659297</v>
      </c>
      <c r="P2445">
        <v>-3.7428634846274601E-2</v>
      </c>
      <c r="Q2445">
        <v>0</v>
      </c>
      <c r="R2445">
        <v>0.98627349289515398</v>
      </c>
      <c r="S2445" t="s">
        <v>7996</v>
      </c>
      <c r="T2445" t="s">
        <v>11100</v>
      </c>
      <c r="U2445" t="s">
        <v>11100</v>
      </c>
      <c r="V2445" t="s">
        <v>11100</v>
      </c>
      <c r="W2445" t="s">
        <v>13505</v>
      </c>
      <c r="X2445">
        <v>16</v>
      </c>
      <c r="Y2445" t="s">
        <v>18970</v>
      </c>
      <c r="Z2445" t="s">
        <v>24450</v>
      </c>
      <c r="AA2445">
        <v>0.6895032601555724</v>
      </c>
      <c r="AB2445" t="str">
        <f>HYPERLINK("Melting_Curves/meltCurve_P52907_CAPZA1.pdf", "Melting_Curves/meltCurve_P52907_CAPZA1.pdf")</f>
        <v>Melting_Curves/meltCurve_P52907_CAPZA1.pdf</v>
      </c>
    </row>
    <row r="2446" spans="1:28" x14ac:dyDescent="0.25">
      <c r="A2446" t="s">
        <v>2450</v>
      </c>
      <c r="B2446">
        <v>0.99299721793515405</v>
      </c>
      <c r="C2446">
        <v>0.94208280274303402</v>
      </c>
      <c r="D2446">
        <v>0.93341886070553004</v>
      </c>
      <c r="E2446">
        <v>0.86418011158723196</v>
      </c>
      <c r="F2446">
        <v>0.73435851842618804</v>
      </c>
      <c r="G2446">
        <v>0.47012226159019499</v>
      </c>
      <c r="H2446">
        <v>0.59064009572188503</v>
      </c>
      <c r="I2446">
        <v>0.75049839816063701</v>
      </c>
      <c r="J2446">
        <v>0.87081310476097795</v>
      </c>
      <c r="K2446">
        <v>0.809922116165676</v>
      </c>
      <c r="L2446">
        <v>1629.8815046639199</v>
      </c>
      <c r="M2446">
        <v>35.0159502837543</v>
      </c>
      <c r="O2446">
        <v>46.3958029999079</v>
      </c>
      <c r="P2446">
        <v>-5.6337927729399898E-2</v>
      </c>
      <c r="Q2446">
        <v>0.70141218534586303</v>
      </c>
      <c r="R2446">
        <v>0.52308130856806501</v>
      </c>
      <c r="S2446" t="s">
        <v>7997</v>
      </c>
      <c r="T2446" t="s">
        <v>11100</v>
      </c>
      <c r="U2446" t="s">
        <v>11100</v>
      </c>
      <c r="V2446" t="s">
        <v>11100</v>
      </c>
      <c r="W2446" t="s">
        <v>13506</v>
      </c>
      <c r="X2446">
        <v>4</v>
      </c>
      <c r="Y2446" t="s">
        <v>18971</v>
      </c>
      <c r="Z2446" t="s">
        <v>24451</v>
      </c>
      <c r="AA2446">
        <v>0.79768879455160235</v>
      </c>
      <c r="AB2446" t="str">
        <f>HYPERLINK("Melting_Curves/meltCurve_P52943_CRIP2.pdf", "Melting_Curves/meltCurve_P52943_CRIP2.pdf")</f>
        <v>Melting_Curves/meltCurve_P52943_CRIP2.pdf</v>
      </c>
    </row>
    <row r="2447" spans="1:28" x14ac:dyDescent="0.25">
      <c r="A2447" t="s">
        <v>2451</v>
      </c>
      <c r="B2447">
        <v>0.99299721793515405</v>
      </c>
      <c r="C2447">
        <v>1.1302597600761699</v>
      </c>
      <c r="D2447">
        <v>0.98614035985986104</v>
      </c>
      <c r="E2447">
        <v>0.97083046030591802</v>
      </c>
      <c r="F2447">
        <v>0.841679113406271</v>
      </c>
      <c r="G2447">
        <v>0.66130355518575101</v>
      </c>
      <c r="H2447">
        <v>0.45261446489714502</v>
      </c>
      <c r="I2447">
        <v>0.17922631199403499</v>
      </c>
      <c r="J2447">
        <v>0.12554534325785199</v>
      </c>
      <c r="K2447">
        <v>9.3341407887880701E-2</v>
      </c>
      <c r="L2447">
        <v>888.346849777692</v>
      </c>
      <c r="M2447">
        <v>15.839911371363</v>
      </c>
      <c r="N2447">
        <v>56.127261415863003</v>
      </c>
      <c r="O2447">
        <v>55.211786117519203</v>
      </c>
      <c r="P2447">
        <v>-7.1282257023630294E-2</v>
      </c>
      <c r="Q2447">
        <v>6.2321362374537998E-3</v>
      </c>
      <c r="R2447">
        <v>0.98489159180474795</v>
      </c>
      <c r="S2447" t="s">
        <v>7998</v>
      </c>
      <c r="T2447" t="s">
        <v>11100</v>
      </c>
      <c r="U2447" t="s">
        <v>11100</v>
      </c>
      <c r="V2447" t="s">
        <v>11100</v>
      </c>
      <c r="W2447" t="s">
        <v>13507</v>
      </c>
      <c r="X2447">
        <v>10</v>
      </c>
      <c r="Y2447" t="s">
        <v>18972</v>
      </c>
      <c r="Z2447" t="s">
        <v>24452</v>
      </c>
      <c r="AA2447">
        <v>0.64955328156740089</v>
      </c>
      <c r="AB2447" t="str">
        <f>HYPERLINK("Melting_Curves/meltCurve_P53004_BLVRA.pdf", "Melting_Curves/meltCurve_P53004_BLVRA.pdf")</f>
        <v>Melting_Curves/meltCurve_P53004_BLVRA.pdf</v>
      </c>
    </row>
    <row r="2448" spans="1:28" x14ac:dyDescent="0.25">
      <c r="A2448" t="s">
        <v>2452</v>
      </c>
      <c r="B2448">
        <v>0.99299721793515405</v>
      </c>
      <c r="C2448">
        <v>0.89321252389779204</v>
      </c>
      <c r="D2448">
        <v>1.11692646264739</v>
      </c>
      <c r="E2448">
        <v>0.80785468254571802</v>
      </c>
      <c r="F2448">
        <v>0.73083514045195397</v>
      </c>
      <c r="G2448">
        <v>0.68890815669361105</v>
      </c>
      <c r="H2448">
        <v>0.47905445996770402</v>
      </c>
      <c r="I2448">
        <v>0.54419038487238403</v>
      </c>
      <c r="J2448">
        <v>0.56429746462560204</v>
      </c>
      <c r="K2448">
        <v>0.66577530551813102</v>
      </c>
      <c r="L2448">
        <v>1061.4660313720799</v>
      </c>
      <c r="M2448">
        <v>21.8990066370711</v>
      </c>
      <c r="O2448">
        <v>48.072214664204303</v>
      </c>
      <c r="P2448">
        <v>-4.8405579703210098E-2</v>
      </c>
      <c r="Q2448">
        <v>0.57497428394935601</v>
      </c>
      <c r="R2448">
        <v>0.83617589588035302</v>
      </c>
      <c r="S2448" t="s">
        <v>7999</v>
      </c>
      <c r="T2448" t="s">
        <v>11100</v>
      </c>
      <c r="U2448" t="s">
        <v>11100</v>
      </c>
      <c r="V2448" t="s">
        <v>11100</v>
      </c>
      <c r="W2448" t="s">
        <v>13508</v>
      </c>
      <c r="X2448">
        <v>13</v>
      </c>
      <c r="Y2448" t="s">
        <v>18973</v>
      </c>
      <c r="Z2448" t="s">
        <v>24453</v>
      </c>
      <c r="AA2448">
        <v>0.74220294210140147</v>
      </c>
      <c r="AB2448" t="str">
        <f>HYPERLINK("Melting_Curves/meltCurve_P53007_SLC25A1.pdf", "Melting_Curves/meltCurve_P53007_SLC25A1.pdf")</f>
        <v>Melting_Curves/meltCurve_P53007_SLC25A1.pdf</v>
      </c>
    </row>
    <row r="2449" spans="1:28" x14ac:dyDescent="0.25">
      <c r="A2449" t="s">
        <v>2453</v>
      </c>
      <c r="B2449">
        <v>0.99299721793515405</v>
      </c>
      <c r="C2449">
        <v>1.01939164374928</v>
      </c>
      <c r="D2449">
        <v>1.3373937538776699</v>
      </c>
      <c r="E2449">
        <v>0.92858266582737103</v>
      </c>
      <c r="F2449">
        <v>0.67435579195442397</v>
      </c>
      <c r="G2449">
        <v>0.60427077511988103</v>
      </c>
      <c r="H2449">
        <v>0.21467066296039</v>
      </c>
      <c r="I2449">
        <v>0.184762757461372</v>
      </c>
      <c r="J2449">
        <v>0.20799570762054001</v>
      </c>
      <c r="K2449">
        <v>0.16478663999114199</v>
      </c>
      <c r="L2449">
        <v>1057.09387697992</v>
      </c>
      <c r="M2449">
        <v>20.0448764730025</v>
      </c>
      <c r="N2449">
        <v>53.692742155782497</v>
      </c>
      <c r="O2449">
        <v>52.2198882939417</v>
      </c>
      <c r="P2449">
        <v>-8.1559774009507202E-2</v>
      </c>
      <c r="Q2449">
        <v>0.15012571022027199</v>
      </c>
      <c r="R2449">
        <v>0.90842959561283898</v>
      </c>
      <c r="S2449" t="s">
        <v>8000</v>
      </c>
      <c r="T2449" t="s">
        <v>11100</v>
      </c>
      <c r="U2449" t="s">
        <v>11100</v>
      </c>
      <c r="V2449" t="s">
        <v>11100</v>
      </c>
      <c r="W2449" t="s">
        <v>13509</v>
      </c>
      <c r="X2449">
        <v>3</v>
      </c>
      <c r="Y2449" t="s">
        <v>18974</v>
      </c>
      <c r="Z2449" t="s">
        <v>24454</v>
      </c>
      <c r="AA2449">
        <v>0.60667785476881597</v>
      </c>
      <c r="AB2449" t="str">
        <f>HYPERLINK("Melting_Curves/meltCurve_P53350_PLK1.pdf", "Melting_Curves/meltCurve_P53350_PLK1.pdf")</f>
        <v>Melting_Curves/meltCurve_P53350_PLK1.pdf</v>
      </c>
    </row>
    <row r="2450" spans="1:28" x14ac:dyDescent="0.25">
      <c r="A2450" t="s">
        <v>2454</v>
      </c>
      <c r="B2450">
        <v>0.99299721793515405</v>
      </c>
      <c r="C2450">
        <v>1.02035378677091</v>
      </c>
      <c r="D2450">
        <v>0.85780105876497503</v>
      </c>
      <c r="E2450">
        <v>0.90149881314511704</v>
      </c>
      <c r="F2450">
        <v>0.74774511516808595</v>
      </c>
      <c r="G2450">
        <v>0.397503095350766</v>
      </c>
      <c r="H2450">
        <v>0.27303956436308902</v>
      </c>
      <c r="I2450">
        <v>0.23889074603679</v>
      </c>
      <c r="J2450">
        <v>0.26507692744850597</v>
      </c>
      <c r="K2450">
        <v>0.20768354377721199</v>
      </c>
      <c r="L2450">
        <v>1134.7697456692099</v>
      </c>
      <c r="M2450">
        <v>22.105595972673001</v>
      </c>
      <c r="N2450">
        <v>52.6974925360024</v>
      </c>
      <c r="O2450">
        <v>50.919492388644201</v>
      </c>
      <c r="P2450">
        <v>-8.4897303711373301E-2</v>
      </c>
      <c r="Q2450">
        <v>0.217784930662028</v>
      </c>
      <c r="R2450">
        <v>0.978264822833258</v>
      </c>
      <c r="S2450" t="s">
        <v>8001</v>
      </c>
      <c r="T2450" t="s">
        <v>11100</v>
      </c>
      <c r="U2450" t="s">
        <v>11100</v>
      </c>
      <c r="V2450" t="s">
        <v>11100</v>
      </c>
      <c r="W2450" t="s">
        <v>13510</v>
      </c>
      <c r="X2450">
        <v>13</v>
      </c>
      <c r="Y2450" t="s">
        <v>18975</v>
      </c>
      <c r="Z2450" t="s">
        <v>24455</v>
      </c>
      <c r="AA2450">
        <v>0.60014769500568854</v>
      </c>
      <c r="AB2450" t="str">
        <f>HYPERLINK("Melting_Curves/meltCurve_P53365_ARFIP2.pdf", "Melting_Curves/meltCurve_P53365_ARFIP2.pdf")</f>
        <v>Melting_Curves/meltCurve_P53365_ARFIP2.pdf</v>
      </c>
    </row>
    <row r="2451" spans="1:28" x14ac:dyDescent="0.25">
      <c r="A2451" t="s">
        <v>2455</v>
      </c>
      <c r="B2451">
        <v>0.99299721793515405</v>
      </c>
      <c r="C2451">
        <v>0.99629006832518197</v>
      </c>
      <c r="D2451">
        <v>0.92022987516679899</v>
      </c>
      <c r="E2451">
        <v>0.96701108833568805</v>
      </c>
      <c r="F2451">
        <v>0.80703626483920499</v>
      </c>
      <c r="G2451">
        <v>0.43133786743403502</v>
      </c>
      <c r="H2451">
        <v>0.29200050450931597</v>
      </c>
      <c r="I2451">
        <v>0.24186207466396101</v>
      </c>
      <c r="J2451">
        <v>0.194151746495168</v>
      </c>
      <c r="K2451">
        <v>0.12967765621956301</v>
      </c>
      <c r="L2451">
        <v>1240.8208753861099</v>
      </c>
      <c r="M2451">
        <v>23.675916316428999</v>
      </c>
      <c r="N2451">
        <v>53.380643509532398</v>
      </c>
      <c r="O2451">
        <v>52.038974038612402</v>
      </c>
      <c r="P2451">
        <v>-9.3824745585595504E-2</v>
      </c>
      <c r="Q2451">
        <v>0.175117514036922</v>
      </c>
      <c r="R2451">
        <v>0.99022609192376898</v>
      </c>
      <c r="S2451" t="s">
        <v>8002</v>
      </c>
      <c r="T2451" t="s">
        <v>11100</v>
      </c>
      <c r="U2451" t="s">
        <v>11100</v>
      </c>
      <c r="V2451" t="s">
        <v>11100</v>
      </c>
      <c r="W2451" t="s">
        <v>13511</v>
      </c>
      <c r="X2451">
        <v>9</v>
      </c>
      <c r="Y2451" t="s">
        <v>18976</v>
      </c>
      <c r="Z2451" t="s">
        <v>24456</v>
      </c>
      <c r="AA2451">
        <v>0.6068266124268179</v>
      </c>
      <c r="AB2451" t="str">
        <f>HYPERLINK("Melting_Curves/meltCurve_P53367_ARFIP1.pdf", "Melting_Curves/meltCurve_P53367_ARFIP1.pdf")</f>
        <v>Melting_Curves/meltCurve_P53367_ARFIP1.pdf</v>
      </c>
    </row>
    <row r="2452" spans="1:28" x14ac:dyDescent="0.25">
      <c r="A2452" t="s">
        <v>2456</v>
      </c>
      <c r="B2452">
        <v>0.99299721793515405</v>
      </c>
      <c r="C2452">
        <v>1.1871237697138699</v>
      </c>
      <c r="D2452">
        <v>1.0338426853656399</v>
      </c>
      <c r="E2452">
        <v>1.1084857929441001</v>
      </c>
      <c r="F2452">
        <v>0.89316679539855504</v>
      </c>
      <c r="G2452">
        <v>0.31257941536407102</v>
      </c>
      <c r="H2452">
        <v>0.16335906510211801</v>
      </c>
      <c r="I2452">
        <v>0.16067209381335501</v>
      </c>
      <c r="J2452">
        <v>0.12783302570392599</v>
      </c>
      <c r="K2452">
        <v>0.101356581340222</v>
      </c>
      <c r="L2452">
        <v>2514.9716659455098</v>
      </c>
      <c r="M2452">
        <v>48.093890718581399</v>
      </c>
      <c r="N2452">
        <v>52.6368784876408</v>
      </c>
      <c r="O2452">
        <v>52.202781585020801</v>
      </c>
      <c r="P2452">
        <v>-0.19926869850203899</v>
      </c>
      <c r="Q2452">
        <v>0.13482814033003801</v>
      </c>
      <c r="R2452">
        <v>0.97430082341874502</v>
      </c>
      <c r="S2452" t="s">
        <v>8003</v>
      </c>
      <c r="T2452" t="s">
        <v>11100</v>
      </c>
      <c r="U2452" t="s">
        <v>11100</v>
      </c>
      <c r="V2452" t="s">
        <v>11100</v>
      </c>
      <c r="W2452" t="s">
        <v>13512</v>
      </c>
      <c r="X2452">
        <v>9</v>
      </c>
      <c r="Y2452" t="s">
        <v>18976</v>
      </c>
      <c r="Z2452" t="s">
        <v>24457</v>
      </c>
      <c r="AA2452">
        <v>0.57801917230460054</v>
      </c>
      <c r="AB2452" t="str">
        <f>HYPERLINK("Melting_Curves/meltCurve_P53367_2_ARFIP1.pdf", "Melting_Curves/meltCurve_P53367_2_ARFIP1.pdf")</f>
        <v>Melting_Curves/meltCurve_P53367_2_ARFIP1.pdf</v>
      </c>
    </row>
    <row r="2453" spans="1:28" x14ac:dyDescent="0.25">
      <c r="A2453" t="s">
        <v>2457</v>
      </c>
      <c r="B2453">
        <v>0.99299721793515405</v>
      </c>
      <c r="C2453">
        <v>1.01975055272265</v>
      </c>
      <c r="D2453">
        <v>0.91128677949328896</v>
      </c>
      <c r="E2453">
        <v>0.91218559964397805</v>
      </c>
      <c r="F2453">
        <v>0.76717909985536004</v>
      </c>
      <c r="G2453">
        <v>0.508875420594186</v>
      </c>
      <c r="H2453">
        <v>0.29267651580297499</v>
      </c>
      <c r="I2453">
        <v>0.220697676240037</v>
      </c>
      <c r="J2453">
        <v>0.18621541510612</v>
      </c>
      <c r="K2453">
        <v>0.13373136821215401</v>
      </c>
      <c r="L2453">
        <v>855.90631205362899</v>
      </c>
      <c r="M2453">
        <v>16.135811017674001</v>
      </c>
      <c r="N2453">
        <v>53.925470135422202</v>
      </c>
      <c r="O2453">
        <v>52.249263566814399</v>
      </c>
      <c r="P2453">
        <v>-6.8260504759901405E-2</v>
      </c>
      <c r="Q2453">
        <v>0.11593174775967301</v>
      </c>
      <c r="R2453">
        <v>0.99418513822240295</v>
      </c>
      <c r="S2453" t="s">
        <v>8004</v>
      </c>
      <c r="T2453" t="s">
        <v>11100</v>
      </c>
      <c r="U2453" t="s">
        <v>11100</v>
      </c>
      <c r="V2453" t="s">
        <v>11100</v>
      </c>
      <c r="W2453" t="s">
        <v>13513</v>
      </c>
      <c r="X2453">
        <v>6</v>
      </c>
      <c r="Y2453" t="s">
        <v>18977</v>
      </c>
      <c r="Z2453" t="s">
        <v>24458</v>
      </c>
      <c r="AA2453">
        <v>0.6033236749437928</v>
      </c>
      <c r="AB2453" t="str">
        <f>HYPERLINK("Melting_Curves/meltCurve_P53384_2_NUBP1.pdf", "Melting_Curves/meltCurve_P53384_2_NUBP1.pdf")</f>
        <v>Melting_Curves/meltCurve_P53384_2_NUBP1.pdf</v>
      </c>
    </row>
    <row r="2454" spans="1:28" x14ac:dyDescent="0.25">
      <c r="A2454" t="s">
        <v>2458</v>
      </c>
      <c r="B2454">
        <v>0.99299721793515405</v>
      </c>
      <c r="C2454">
        <v>0.939809509969872</v>
      </c>
      <c r="D2454">
        <v>0.86553089143081197</v>
      </c>
      <c r="E2454">
        <v>0.88124284462010705</v>
      </c>
      <c r="F2454">
        <v>0.84380778440313498</v>
      </c>
      <c r="G2454">
        <v>2.3156925128878099</v>
      </c>
      <c r="H2454">
        <v>0.52080321164752197</v>
      </c>
      <c r="I2454">
        <v>0.248547202068236</v>
      </c>
      <c r="J2454">
        <v>0.19878469797776899</v>
      </c>
      <c r="K2454">
        <v>0.162863700583462</v>
      </c>
      <c r="L2454">
        <v>14326.355187212999</v>
      </c>
      <c r="M2454">
        <v>250</v>
      </c>
      <c r="N2454">
        <v>57.4253798395902</v>
      </c>
      <c r="O2454">
        <v>57.301750706483602</v>
      </c>
      <c r="P2454">
        <v>-0.86886695666975899</v>
      </c>
      <c r="Q2454">
        <v>0.203398396955697</v>
      </c>
      <c r="R2454">
        <v>0.48951887883945</v>
      </c>
      <c r="S2454" t="s">
        <v>8005</v>
      </c>
      <c r="T2454" t="s">
        <v>11100</v>
      </c>
      <c r="U2454" t="s">
        <v>11100</v>
      </c>
      <c r="V2454" t="s">
        <v>11100</v>
      </c>
      <c r="W2454" t="s">
        <v>13514</v>
      </c>
      <c r="X2454">
        <v>30</v>
      </c>
      <c r="Y2454" t="s">
        <v>18978</v>
      </c>
      <c r="Z2454" t="s">
        <v>24459</v>
      </c>
      <c r="AA2454">
        <v>0.74265620190988935</v>
      </c>
      <c r="AB2454" t="str">
        <f>HYPERLINK("Melting_Curves/meltCurve_P53396_ACLY.pdf", "Melting_Curves/meltCurve_P53396_ACLY.pdf")</f>
        <v>Melting_Curves/meltCurve_P53396_ACLY.pdf</v>
      </c>
    </row>
    <row r="2455" spans="1:28" x14ac:dyDescent="0.25">
      <c r="A2455" t="s">
        <v>2459</v>
      </c>
      <c r="B2455">
        <v>0.99299721793515405</v>
      </c>
      <c r="C2455">
        <v>0.91319765356679705</v>
      </c>
      <c r="D2455">
        <v>0.86305959053079095</v>
      </c>
      <c r="E2455">
        <v>0.87139576175962896</v>
      </c>
      <c r="F2455">
        <v>0.57225147450517</v>
      </c>
      <c r="G2455">
        <v>0.34709285332878798</v>
      </c>
      <c r="H2455">
        <v>0.28884818185515498</v>
      </c>
      <c r="I2455">
        <v>0.21624826068637201</v>
      </c>
      <c r="J2455">
        <v>0.16657225981384299</v>
      </c>
      <c r="K2455">
        <v>0.13339484869020099</v>
      </c>
      <c r="L2455">
        <v>676.26040624923303</v>
      </c>
      <c r="M2455">
        <v>13.347435345189799</v>
      </c>
      <c r="N2455">
        <v>51.664737281724904</v>
      </c>
      <c r="O2455">
        <v>49.569206510287799</v>
      </c>
      <c r="P2455">
        <v>-5.9671669149185098E-2</v>
      </c>
      <c r="Q2455">
        <v>0.113716070710528</v>
      </c>
      <c r="R2455">
        <v>0.98332841371635205</v>
      </c>
      <c r="S2455" t="s">
        <v>8006</v>
      </c>
      <c r="T2455" t="s">
        <v>11100</v>
      </c>
      <c r="U2455" t="s">
        <v>11100</v>
      </c>
      <c r="V2455" t="s">
        <v>11100</v>
      </c>
      <c r="W2455" t="s">
        <v>13515</v>
      </c>
      <c r="X2455">
        <v>8</v>
      </c>
      <c r="Y2455" t="s">
        <v>18979</v>
      </c>
      <c r="Z2455" t="s">
        <v>24460</v>
      </c>
      <c r="AA2455">
        <v>0.53844935588986531</v>
      </c>
      <c r="AB2455" t="str">
        <f>HYPERLINK("Melting_Curves/meltCurve_P53582_METAP1.pdf", "Melting_Curves/meltCurve_P53582_METAP1.pdf")</f>
        <v>Melting_Curves/meltCurve_P53582_METAP1.pdf</v>
      </c>
    </row>
    <row r="2456" spans="1:28" x14ac:dyDescent="0.25">
      <c r="A2456" t="s">
        <v>2460</v>
      </c>
      <c r="B2456">
        <v>0.99299721793515405</v>
      </c>
      <c r="C2456">
        <v>0.95213854115185703</v>
      </c>
      <c r="D2456">
        <v>0.99838143846029204</v>
      </c>
      <c r="E2456">
        <v>0.82316153286593696</v>
      </c>
      <c r="F2456">
        <v>0.73071617087854801</v>
      </c>
      <c r="G2456">
        <v>0.47585061167903298</v>
      </c>
      <c r="H2456">
        <v>0.146502945770416</v>
      </c>
      <c r="I2456">
        <v>0.11133303910998001</v>
      </c>
      <c r="J2456">
        <v>9.7156440480273207E-2</v>
      </c>
      <c r="K2456">
        <v>8.6788946305001793E-2</v>
      </c>
      <c r="L2456">
        <v>891.03805305144704</v>
      </c>
      <c r="M2456">
        <v>16.9529403144554</v>
      </c>
      <c r="N2456">
        <v>52.801813054992998</v>
      </c>
      <c r="O2456">
        <v>51.844515196049997</v>
      </c>
      <c r="P2456">
        <v>-7.8694426047601101E-2</v>
      </c>
      <c r="Q2456">
        <v>3.7424915934995598E-2</v>
      </c>
      <c r="R2456">
        <v>0.98705872350402601</v>
      </c>
      <c r="S2456" t="s">
        <v>8007</v>
      </c>
      <c r="T2456" t="s">
        <v>11100</v>
      </c>
      <c r="U2456" t="s">
        <v>11100</v>
      </c>
      <c r="V2456" t="s">
        <v>11100</v>
      </c>
      <c r="W2456" t="s">
        <v>13516</v>
      </c>
      <c r="X2456">
        <v>10</v>
      </c>
      <c r="Y2456" t="s">
        <v>18980</v>
      </c>
      <c r="Z2456" t="s">
        <v>24461</v>
      </c>
      <c r="AA2456">
        <v>0.55209046591956834</v>
      </c>
      <c r="AB2456" t="str">
        <f>HYPERLINK("Melting_Curves/meltCurve_P53597_SUCLG1.pdf", "Melting_Curves/meltCurve_P53597_SUCLG1.pdf")</f>
        <v>Melting_Curves/meltCurve_P53597_SUCLG1.pdf</v>
      </c>
    </row>
    <row r="2457" spans="1:28" x14ac:dyDescent="0.25">
      <c r="A2457" t="s">
        <v>2461</v>
      </c>
      <c r="B2457">
        <v>0.99299721793515405</v>
      </c>
      <c r="C2457">
        <v>0.97229478271458603</v>
      </c>
      <c r="D2457">
        <v>0.91331465182559901</v>
      </c>
      <c r="E2457">
        <v>0.89646246199952995</v>
      </c>
      <c r="F2457">
        <v>0.77664433928421805</v>
      </c>
      <c r="G2457">
        <v>0.54209463272407099</v>
      </c>
      <c r="H2457">
        <v>0.251363586058169</v>
      </c>
      <c r="I2457">
        <v>0.14263535341657699</v>
      </c>
      <c r="J2457">
        <v>0.11223377755118701</v>
      </c>
      <c r="K2457">
        <v>0.10756953915471</v>
      </c>
      <c r="L2457">
        <v>879.94208816694299</v>
      </c>
      <c r="M2457">
        <v>16.426086690881601</v>
      </c>
      <c r="N2457">
        <v>53.908528515583598</v>
      </c>
      <c r="O2457">
        <v>52.794707988495503</v>
      </c>
      <c r="P2457">
        <v>-7.3974158383038793E-2</v>
      </c>
      <c r="Q2457">
        <v>4.9032694516536197E-2</v>
      </c>
      <c r="R2457">
        <v>0.992391830831583</v>
      </c>
      <c r="S2457" t="s">
        <v>8008</v>
      </c>
      <c r="T2457" t="s">
        <v>11100</v>
      </c>
      <c r="U2457" t="s">
        <v>11100</v>
      </c>
      <c r="V2457" t="s">
        <v>11100</v>
      </c>
      <c r="W2457" t="s">
        <v>13517</v>
      </c>
      <c r="X2457">
        <v>8</v>
      </c>
      <c r="Y2457" t="s">
        <v>18981</v>
      </c>
      <c r="Z2457" t="s">
        <v>24462</v>
      </c>
      <c r="AA2457">
        <v>0.58910670322708347</v>
      </c>
      <c r="AB2457" t="str">
        <f>HYPERLINK("Melting_Curves/meltCurve_P53602_MVD.pdf", "Melting_Curves/meltCurve_P53602_MVD.pdf")</f>
        <v>Melting_Curves/meltCurve_P53602_MVD.pdf</v>
      </c>
    </row>
    <row r="2458" spans="1:28" x14ac:dyDescent="0.25">
      <c r="A2458" t="s">
        <v>2462</v>
      </c>
      <c r="B2458">
        <v>0.99299721793515405</v>
      </c>
      <c r="C2458">
        <v>1.12194170363713</v>
      </c>
      <c r="D2458">
        <v>1.0992845082691101</v>
      </c>
      <c r="E2458">
        <v>0.89132940527302296</v>
      </c>
      <c r="F2458">
        <v>0.83727667309060205</v>
      </c>
      <c r="G2458">
        <v>0.74611157564721597</v>
      </c>
      <c r="H2458">
        <v>0.52141296071064802</v>
      </c>
      <c r="I2458">
        <v>0.25599104488056001</v>
      </c>
      <c r="J2458">
        <v>0.28287757946716002</v>
      </c>
      <c r="K2458">
        <v>0.155435841626687</v>
      </c>
      <c r="L2458">
        <v>796.61799225944299</v>
      </c>
      <c r="M2458">
        <v>14.0229667600927</v>
      </c>
      <c r="N2458">
        <v>57.424809388740499</v>
      </c>
      <c r="O2458">
        <v>55.690244599833903</v>
      </c>
      <c r="P2458">
        <v>-5.8557908826334902E-2</v>
      </c>
      <c r="Q2458">
        <v>6.9904215937906397E-2</v>
      </c>
      <c r="R2458">
        <v>0.96313791924346803</v>
      </c>
      <c r="S2458" t="s">
        <v>8009</v>
      </c>
      <c r="T2458" t="s">
        <v>11100</v>
      </c>
      <c r="U2458" t="s">
        <v>11100</v>
      </c>
      <c r="V2458" t="s">
        <v>11100</v>
      </c>
      <c r="W2458" t="s">
        <v>13518</v>
      </c>
      <c r="X2458">
        <v>5</v>
      </c>
      <c r="Y2458" t="s">
        <v>18982</v>
      </c>
      <c r="Z2458" t="s">
        <v>24463</v>
      </c>
      <c r="AA2458">
        <v>0.6916868188209595</v>
      </c>
      <c r="AB2458" t="str">
        <f>HYPERLINK("Melting_Curves/meltCurve_P53609_PGGT1B.pdf", "Melting_Curves/meltCurve_P53609_PGGT1B.pdf")</f>
        <v>Melting_Curves/meltCurve_P53609_PGGT1B.pdf</v>
      </c>
    </row>
    <row r="2459" spans="1:28" x14ac:dyDescent="0.25">
      <c r="A2459" t="s">
        <v>2463</v>
      </c>
      <c r="B2459">
        <v>0.99299721793515405</v>
      </c>
      <c r="C2459">
        <v>1.0880846694891499</v>
      </c>
      <c r="D2459">
        <v>0.96178258218618096</v>
      </c>
      <c r="E2459">
        <v>0.87642471363600205</v>
      </c>
      <c r="F2459">
        <v>0.70505125553953296</v>
      </c>
      <c r="G2459">
        <v>0.64331894890656305</v>
      </c>
      <c r="H2459">
        <v>0.41578220659681298</v>
      </c>
      <c r="I2459">
        <v>0.18115583048782799</v>
      </c>
      <c r="J2459">
        <v>0.14293379020745101</v>
      </c>
      <c r="K2459">
        <v>0.10534944507373301</v>
      </c>
      <c r="L2459">
        <v>671.61349457870097</v>
      </c>
      <c r="M2459">
        <v>12.1790179857712</v>
      </c>
      <c r="N2459">
        <v>55.145127114440399</v>
      </c>
      <c r="O2459">
        <v>53.721577774824603</v>
      </c>
      <c r="P2459">
        <v>-5.6689465892648103E-2</v>
      </c>
      <c r="Q2459">
        <v>0</v>
      </c>
      <c r="R2459">
        <v>0.98174347098847803</v>
      </c>
      <c r="S2459" t="s">
        <v>8010</v>
      </c>
      <c r="T2459" t="s">
        <v>11100</v>
      </c>
      <c r="U2459" t="s">
        <v>11100</v>
      </c>
      <c r="V2459" t="s">
        <v>11100</v>
      </c>
      <c r="W2459" t="s">
        <v>13224</v>
      </c>
      <c r="X2459">
        <v>18</v>
      </c>
      <c r="Y2459" t="s">
        <v>18983</v>
      </c>
      <c r="Z2459" t="s">
        <v>24464</v>
      </c>
      <c r="AA2459">
        <v>0.61852021281253333</v>
      </c>
      <c r="AB2459" t="str">
        <f>HYPERLINK("Melting_Curves/meltCurve_P53618_COPB1.pdf", "Melting_Curves/meltCurve_P53618_COPB1.pdf")</f>
        <v>Melting_Curves/meltCurve_P53618_COPB1.pdf</v>
      </c>
    </row>
    <row r="2460" spans="1:28" x14ac:dyDescent="0.25">
      <c r="A2460" t="s">
        <v>2464</v>
      </c>
      <c r="B2460">
        <v>0.99299721793515405</v>
      </c>
      <c r="C2460">
        <v>1.00521390754655</v>
      </c>
      <c r="D2460">
        <v>0.96111327727746598</v>
      </c>
      <c r="E2460">
        <v>0.83380985972337995</v>
      </c>
      <c r="F2460">
        <v>0.68520371083614695</v>
      </c>
      <c r="G2460">
        <v>0.895282394194308</v>
      </c>
      <c r="H2460">
        <v>0.52879955279983604</v>
      </c>
      <c r="I2460">
        <v>0.1988431395626</v>
      </c>
      <c r="J2460">
        <v>0.19653068955497599</v>
      </c>
      <c r="K2460">
        <v>0.13645863491334101</v>
      </c>
      <c r="L2460">
        <v>729.31202142976201</v>
      </c>
      <c r="M2460">
        <v>12.742030038198401</v>
      </c>
      <c r="N2460">
        <v>57.236721416505297</v>
      </c>
      <c r="O2460">
        <v>55.881894399586201</v>
      </c>
      <c r="P2460">
        <v>-5.7015177375826301E-2</v>
      </c>
      <c r="Q2460">
        <v>0</v>
      </c>
      <c r="R2460">
        <v>0.91220151420819895</v>
      </c>
      <c r="S2460" t="s">
        <v>8011</v>
      </c>
      <c r="T2460" t="s">
        <v>11100</v>
      </c>
      <c r="U2460" t="s">
        <v>11100</v>
      </c>
      <c r="V2460" t="s">
        <v>11100</v>
      </c>
      <c r="W2460" t="s">
        <v>13519</v>
      </c>
      <c r="X2460">
        <v>7</v>
      </c>
      <c r="Y2460" t="s">
        <v>18984</v>
      </c>
      <c r="Z2460" t="s">
        <v>24465</v>
      </c>
      <c r="AA2460">
        <v>0.67927258687491188</v>
      </c>
      <c r="AB2460" t="str">
        <f>HYPERLINK("Melting_Curves/meltCurve_P53621_COPA.pdf", "Melting_Curves/meltCurve_P53621_COPA.pdf")</f>
        <v>Melting_Curves/meltCurve_P53621_COPA.pdf</v>
      </c>
    </row>
    <row r="2461" spans="1:28" x14ac:dyDescent="0.25">
      <c r="A2461" t="s">
        <v>2465</v>
      </c>
      <c r="B2461">
        <v>0.99299721793515405</v>
      </c>
      <c r="C2461">
        <v>1.05327815984002</v>
      </c>
      <c r="D2461">
        <v>0.99942782171001099</v>
      </c>
      <c r="E2461">
        <v>1.04149655918199</v>
      </c>
      <c r="F2461">
        <v>0.77190213216711501</v>
      </c>
      <c r="G2461">
        <v>0.77722844847079298</v>
      </c>
      <c r="H2461">
        <v>0.81478419727303797</v>
      </c>
      <c r="I2461">
        <v>0.91841375213784604</v>
      </c>
      <c r="J2461">
        <v>0.73678057677790498</v>
      </c>
      <c r="K2461">
        <v>0.31016976275300401</v>
      </c>
      <c r="L2461">
        <v>2318.7350445326201</v>
      </c>
      <c r="M2461">
        <v>35.3103394272039</v>
      </c>
      <c r="N2461">
        <v>65.667313351482605</v>
      </c>
      <c r="O2461">
        <v>65.457759294656498</v>
      </c>
      <c r="P2461">
        <v>-0.13485971718217701</v>
      </c>
      <c r="Q2461">
        <v>0</v>
      </c>
      <c r="R2461">
        <v>0.68287086278656906</v>
      </c>
      <c r="S2461" t="s">
        <v>8012</v>
      </c>
      <c r="T2461" t="s">
        <v>11100</v>
      </c>
      <c r="U2461" t="s">
        <v>11100</v>
      </c>
      <c r="V2461" t="s">
        <v>11100</v>
      </c>
      <c r="W2461" t="s">
        <v>13520</v>
      </c>
      <c r="X2461">
        <v>8</v>
      </c>
      <c r="Y2461" t="s">
        <v>18985</v>
      </c>
      <c r="Z2461" t="s">
        <v>24466</v>
      </c>
      <c r="AA2461">
        <v>0.93361915763697356</v>
      </c>
      <c r="AB2461" t="str">
        <f>HYPERLINK("Melting_Curves/meltCurve_P53634_CTSC.pdf", "Melting_Curves/meltCurve_P53634_CTSC.pdf")</f>
        <v>Melting_Curves/meltCurve_P53634_CTSC.pdf</v>
      </c>
    </row>
    <row r="2462" spans="1:28" x14ac:dyDescent="0.25">
      <c r="A2462" t="s">
        <v>2466</v>
      </c>
      <c r="B2462">
        <v>0.99299721793515405</v>
      </c>
      <c r="C2462">
        <v>0.98181573565593105</v>
      </c>
      <c r="D2462">
        <v>0.92712940142655798</v>
      </c>
      <c r="E2462">
        <v>0.85504952898667796</v>
      </c>
      <c r="F2462">
        <v>0.68720935219954804</v>
      </c>
      <c r="G2462">
        <v>0.57384232622839204</v>
      </c>
      <c r="H2462">
        <v>0.53392975086180305</v>
      </c>
      <c r="I2462">
        <v>0.47144667723595601</v>
      </c>
      <c r="J2462">
        <v>0.31087155429077901</v>
      </c>
      <c r="K2462">
        <v>0.16570113042425499</v>
      </c>
      <c r="L2462">
        <v>424.73591967835102</v>
      </c>
      <c r="M2462">
        <v>7.4340291536732996</v>
      </c>
      <c r="N2462">
        <v>57.134013149656802</v>
      </c>
      <c r="O2462">
        <v>53.437169618464601</v>
      </c>
      <c r="P2462">
        <v>-3.4830966686265001E-2</v>
      </c>
      <c r="Q2462">
        <v>0</v>
      </c>
      <c r="R2462">
        <v>0.97153126380483401</v>
      </c>
      <c r="S2462" t="s">
        <v>8013</v>
      </c>
      <c r="T2462" t="s">
        <v>11100</v>
      </c>
      <c r="U2462" t="s">
        <v>11100</v>
      </c>
      <c r="V2462" t="s">
        <v>11100</v>
      </c>
      <c r="W2462" t="s">
        <v>13521</v>
      </c>
      <c r="X2462">
        <v>16</v>
      </c>
      <c r="Y2462" t="s">
        <v>18986</v>
      </c>
      <c r="Z2462" t="s">
        <v>24467</v>
      </c>
      <c r="AA2462">
        <v>0.65473020206018717</v>
      </c>
      <c r="AB2462" t="str">
        <f>HYPERLINK("Melting_Curves/meltCurve_P53701_HCCS.pdf", "Melting_Curves/meltCurve_P53701_HCCS.pdf")</f>
        <v>Melting_Curves/meltCurve_P53701_HCCS.pdf</v>
      </c>
    </row>
    <row r="2463" spans="1:28" x14ac:dyDescent="0.25">
      <c r="A2463" t="s">
        <v>2467</v>
      </c>
      <c r="B2463">
        <v>0.99299721793515405</v>
      </c>
      <c r="C2463">
        <v>1.0419471094358801</v>
      </c>
      <c r="D2463">
        <v>0.920858321002052</v>
      </c>
      <c r="E2463">
        <v>0.92298750225383297</v>
      </c>
      <c r="F2463">
        <v>0.723940229218204</v>
      </c>
      <c r="G2463">
        <v>0.50481773315323897</v>
      </c>
      <c r="H2463">
        <v>0.36197831332541502</v>
      </c>
      <c r="I2463">
        <v>0.195198135382042</v>
      </c>
      <c r="J2463">
        <v>0.16210273589902399</v>
      </c>
      <c r="K2463">
        <v>0.108415293942615</v>
      </c>
      <c r="L2463">
        <v>716.42094857862901</v>
      </c>
      <c r="M2463">
        <v>13.3353794234554</v>
      </c>
      <c r="N2463">
        <v>54.171639102970502</v>
      </c>
      <c r="O2463">
        <v>52.558349022665197</v>
      </c>
      <c r="P2463">
        <v>-6.0126986334556903E-2</v>
      </c>
      <c r="Q2463">
        <v>5.22444577187949E-2</v>
      </c>
      <c r="R2463">
        <v>0.994016291928705</v>
      </c>
      <c r="S2463" t="s">
        <v>8014</v>
      </c>
      <c r="T2463" t="s">
        <v>11100</v>
      </c>
      <c r="U2463" t="s">
        <v>11100</v>
      </c>
      <c r="V2463" t="s">
        <v>11100</v>
      </c>
      <c r="W2463" t="s">
        <v>13522</v>
      </c>
      <c r="X2463">
        <v>9</v>
      </c>
      <c r="Y2463" t="s">
        <v>18987</v>
      </c>
      <c r="Z2463" t="s">
        <v>24468</v>
      </c>
      <c r="AA2463">
        <v>0.59767401363292261</v>
      </c>
      <c r="AB2463" t="str">
        <f>HYPERLINK("Melting_Curves/meltCurve_P53778_MAPK12.pdf", "Melting_Curves/meltCurve_P53778_MAPK12.pdf")</f>
        <v>Melting_Curves/meltCurve_P53778_MAPK12.pdf</v>
      </c>
    </row>
    <row r="2464" spans="1:28" x14ac:dyDescent="0.25">
      <c r="A2464" t="s">
        <v>2468</v>
      </c>
      <c r="B2464">
        <v>0.99299721793515405</v>
      </c>
      <c r="C2464">
        <v>0.72352347619708901</v>
      </c>
      <c r="D2464">
        <v>0.79342610533180102</v>
      </c>
      <c r="E2464">
        <v>0.66197181751816003</v>
      </c>
      <c r="F2464">
        <v>0.66466514915242603</v>
      </c>
      <c r="G2464">
        <v>0.54153267022753504</v>
      </c>
      <c r="H2464">
        <v>0.69408309310009997</v>
      </c>
      <c r="I2464">
        <v>0.80917047071334203</v>
      </c>
      <c r="J2464">
        <v>0.77604901317131203</v>
      </c>
      <c r="K2464">
        <v>0.16677440348123099</v>
      </c>
      <c r="L2464">
        <v>144.236733199649</v>
      </c>
      <c r="M2464">
        <v>2.05724377812327</v>
      </c>
      <c r="O2464">
        <v>42.364086459854803</v>
      </c>
      <c r="P2464">
        <v>-1.3158806214293099E-2</v>
      </c>
      <c r="Q2464">
        <v>0</v>
      </c>
      <c r="R2464">
        <v>0.32067497441072002</v>
      </c>
      <c r="S2464" t="s">
        <v>8015</v>
      </c>
      <c r="T2464" t="s">
        <v>11100</v>
      </c>
      <c r="U2464" t="s">
        <v>11100</v>
      </c>
      <c r="V2464" t="s">
        <v>11100</v>
      </c>
      <c r="W2464" t="s">
        <v>13523</v>
      </c>
      <c r="X2464">
        <v>2</v>
      </c>
      <c r="Y2464" t="s">
        <v>18988</v>
      </c>
      <c r="Z2464" t="s">
        <v>24469</v>
      </c>
      <c r="AA2464">
        <v>0.67972124770588316</v>
      </c>
      <c r="AB2464" t="str">
        <f>HYPERLINK("Melting_Curves/meltCurve_P53794_SLC5A3.pdf", "Melting_Curves/meltCurve_P53794_SLC5A3.pdf")</f>
        <v>Melting_Curves/meltCurve_P53794_SLC5A3.pdf</v>
      </c>
    </row>
    <row r="2465" spans="1:28" x14ac:dyDescent="0.25">
      <c r="A2465" t="s">
        <v>2469</v>
      </c>
      <c r="B2465">
        <v>0.99299721793515405</v>
      </c>
      <c r="C2465">
        <v>1.00536984006216</v>
      </c>
      <c r="D2465">
        <v>0.92370158279924497</v>
      </c>
      <c r="E2465">
        <v>1.1687588823689701</v>
      </c>
      <c r="F2465">
        <v>1.02560919737178</v>
      </c>
      <c r="G2465">
        <v>1.1550090228751699</v>
      </c>
      <c r="H2465">
        <v>1.20681370478121</v>
      </c>
      <c r="I2465">
        <v>1.31986677222044</v>
      </c>
      <c r="J2465">
        <v>1.31815915692025</v>
      </c>
      <c r="K2465">
        <v>1.1830724422318699</v>
      </c>
      <c r="L2465">
        <v>786.659285861493</v>
      </c>
      <c r="M2465">
        <v>14.913360308427</v>
      </c>
      <c r="O2465">
        <v>51.827460256953501</v>
      </c>
      <c r="P2465">
        <v>2.0513998653741299E-2</v>
      </c>
      <c r="Q2465">
        <v>1.28513442073243</v>
      </c>
      <c r="R2465">
        <v>0.73315081181036801</v>
      </c>
      <c r="S2465" t="s">
        <v>8016</v>
      </c>
      <c r="T2465" t="s">
        <v>11100</v>
      </c>
      <c r="U2465" t="s">
        <v>11100</v>
      </c>
      <c r="V2465" t="s">
        <v>11100</v>
      </c>
      <c r="W2465" t="s">
        <v>13524</v>
      </c>
      <c r="X2465">
        <v>2</v>
      </c>
      <c r="Y2465" t="s">
        <v>18989</v>
      </c>
      <c r="Z2465" t="s">
        <v>24470</v>
      </c>
      <c r="AA2465">
        <v>1.1302312211363661</v>
      </c>
      <c r="AB2465" t="str">
        <f>HYPERLINK("Melting_Curves/meltCurve_P53803_POLR2K.pdf", "Melting_Curves/meltCurve_P53803_POLR2K.pdf")</f>
        <v>Melting_Curves/meltCurve_P53803_POLR2K.pdf</v>
      </c>
    </row>
    <row r="2466" spans="1:28" x14ac:dyDescent="0.25">
      <c r="A2466" t="s">
        <v>2470</v>
      </c>
      <c r="B2466">
        <v>0.99299721793515405</v>
      </c>
      <c r="C2466">
        <v>0.96363256717249501</v>
      </c>
      <c r="D2466">
        <v>0.97147551800813803</v>
      </c>
      <c r="E2466">
        <v>0.89232531312754004</v>
      </c>
      <c r="F2466">
        <v>0.69540684015228105</v>
      </c>
      <c r="G2466">
        <v>0.43013607369807</v>
      </c>
      <c r="H2466">
        <v>0.32727855143733903</v>
      </c>
      <c r="I2466">
        <v>0.28497349426111501</v>
      </c>
      <c r="J2466">
        <v>0.27456104911518597</v>
      </c>
      <c r="K2466">
        <v>0.19718780298993599</v>
      </c>
      <c r="L2466">
        <v>936.27028849218198</v>
      </c>
      <c r="M2466">
        <v>18.290301498388501</v>
      </c>
      <c r="N2466">
        <v>52.945584683946997</v>
      </c>
      <c r="O2466">
        <v>50.589297713953599</v>
      </c>
      <c r="P2466">
        <v>-6.9834004434330701E-2</v>
      </c>
      <c r="Q2466">
        <v>0.227417969698614</v>
      </c>
      <c r="R2466">
        <v>0.99535998362786404</v>
      </c>
      <c r="S2466" t="s">
        <v>8017</v>
      </c>
      <c r="T2466" t="s">
        <v>11100</v>
      </c>
      <c r="U2466" t="s">
        <v>11100</v>
      </c>
      <c r="V2466" t="s">
        <v>11100</v>
      </c>
      <c r="W2466" t="s">
        <v>13525</v>
      </c>
      <c r="X2466">
        <v>5</v>
      </c>
      <c r="Y2466" t="s">
        <v>18990</v>
      </c>
      <c r="Z2466" t="s">
        <v>24471</v>
      </c>
      <c r="AA2466">
        <v>0.60448001286973274</v>
      </c>
      <c r="AB2466" t="str">
        <f>HYPERLINK("Melting_Curves/meltCurve_P53814_5_SMTN.pdf", "Melting_Curves/meltCurve_P53814_5_SMTN.pdf")</f>
        <v>Melting_Curves/meltCurve_P53814_5_SMTN.pdf</v>
      </c>
    </row>
    <row r="2467" spans="1:28" x14ac:dyDescent="0.25">
      <c r="A2467" t="s">
        <v>2471</v>
      </c>
      <c r="B2467">
        <v>0.99299721793515405</v>
      </c>
      <c r="C2467">
        <v>0.84887552803710797</v>
      </c>
      <c r="D2467">
        <v>0.88392375578527504</v>
      </c>
      <c r="E2467">
        <v>0.82746407647739495</v>
      </c>
      <c r="F2467">
        <v>0.73446711831880096</v>
      </c>
      <c r="G2467">
        <v>0.507400277321014</v>
      </c>
      <c r="H2467">
        <v>0.66298758273925196</v>
      </c>
      <c r="I2467">
        <v>0.69607375946913197</v>
      </c>
      <c r="J2467">
        <v>0.75396563386165105</v>
      </c>
      <c r="K2467">
        <v>0.61175535455553998</v>
      </c>
      <c r="L2467">
        <v>548.54278149222603</v>
      </c>
      <c r="M2467">
        <v>12.3883422937131</v>
      </c>
      <c r="O2467">
        <v>43.172633208014602</v>
      </c>
      <c r="P2467">
        <v>-2.55239993638351E-2</v>
      </c>
      <c r="Q2467">
        <v>0.64427733748074301</v>
      </c>
      <c r="R2467">
        <v>0.69838351992904502</v>
      </c>
      <c r="S2467" t="s">
        <v>8018</v>
      </c>
      <c r="T2467" t="s">
        <v>11100</v>
      </c>
      <c r="U2467" t="s">
        <v>11100</v>
      </c>
      <c r="V2467" t="s">
        <v>11100</v>
      </c>
      <c r="W2467" t="s">
        <v>13526</v>
      </c>
      <c r="X2467">
        <v>6</v>
      </c>
      <c r="Y2467" t="s">
        <v>18991</v>
      </c>
      <c r="Z2467" t="s">
        <v>24472</v>
      </c>
      <c r="AA2467">
        <v>0.74330848413293671</v>
      </c>
      <c r="AB2467" t="str">
        <f>HYPERLINK("Melting_Curves/meltCurve_P53985_SLC16A1.pdf", "Melting_Curves/meltCurve_P53985_SLC16A1.pdf")</f>
        <v>Melting_Curves/meltCurve_P53985_SLC16A1.pdf</v>
      </c>
    </row>
    <row r="2468" spans="1:28" x14ac:dyDescent="0.25">
      <c r="A2468" t="s">
        <v>2472</v>
      </c>
      <c r="B2468">
        <v>0.99299721793515405</v>
      </c>
      <c r="C2468">
        <v>1.0043605539420799</v>
      </c>
      <c r="D2468">
        <v>0.92033660325301403</v>
      </c>
      <c r="E2468">
        <v>0.85194496691321298</v>
      </c>
      <c r="F2468">
        <v>0.69859198138671696</v>
      </c>
      <c r="G2468">
        <v>0.35025926120242101</v>
      </c>
      <c r="H2468">
        <v>0.17214973777318299</v>
      </c>
      <c r="I2468">
        <v>0.12977262960937</v>
      </c>
      <c r="J2468">
        <v>0.11736683174692</v>
      </c>
      <c r="K2468">
        <v>0.102147187626824</v>
      </c>
      <c r="L2468">
        <v>962.20921473479802</v>
      </c>
      <c r="M2468">
        <v>18.6789945132866</v>
      </c>
      <c r="N2468">
        <v>52.006139828753</v>
      </c>
      <c r="O2468">
        <v>50.933384059108597</v>
      </c>
      <c r="P2468">
        <v>-8.4244788760775194E-2</v>
      </c>
      <c r="Q2468">
        <v>8.1173533995262101E-2</v>
      </c>
      <c r="R2468">
        <v>0.99410065185781304</v>
      </c>
      <c r="S2468" t="s">
        <v>8019</v>
      </c>
      <c r="T2468" t="s">
        <v>11100</v>
      </c>
      <c r="U2468" t="s">
        <v>11100</v>
      </c>
      <c r="V2468" t="s">
        <v>11100</v>
      </c>
      <c r="W2468" t="s">
        <v>13527</v>
      </c>
      <c r="X2468">
        <v>11</v>
      </c>
      <c r="Y2468" t="s">
        <v>18992</v>
      </c>
      <c r="Z2468" t="s">
        <v>24473</v>
      </c>
      <c r="AA2468">
        <v>0.53898772343362644</v>
      </c>
      <c r="AB2468" t="str">
        <f>HYPERLINK("Melting_Curves/meltCurve_P53990_2_IST1.pdf", "Melting_Curves/meltCurve_P53990_2_IST1.pdf")</f>
        <v>Melting_Curves/meltCurve_P53990_2_IST1.pdf</v>
      </c>
    </row>
    <row r="2469" spans="1:28" x14ac:dyDescent="0.25">
      <c r="A2469" t="s">
        <v>2473</v>
      </c>
      <c r="B2469">
        <v>0.99299721793515405</v>
      </c>
      <c r="C2469">
        <v>1.0407436964060399</v>
      </c>
      <c r="D2469">
        <v>0.95164298317449003</v>
      </c>
      <c r="E2469">
        <v>0.90605971114933104</v>
      </c>
      <c r="F2469">
        <v>0.76608500880265995</v>
      </c>
      <c r="G2469">
        <v>0.32809549560182899</v>
      </c>
      <c r="H2469">
        <v>0.15532773265389599</v>
      </c>
      <c r="I2469">
        <v>0.13476599469647599</v>
      </c>
      <c r="J2469">
        <v>0.110993158039997</v>
      </c>
      <c r="K2469">
        <v>8.4002620004374695E-2</v>
      </c>
      <c r="L2469">
        <v>1402.6702789092401</v>
      </c>
      <c r="M2469">
        <v>27.049094525605799</v>
      </c>
      <c r="N2469">
        <v>52.280798811432902</v>
      </c>
      <c r="O2469">
        <v>51.575514197804701</v>
      </c>
      <c r="P2469">
        <v>-0.118192859631889</v>
      </c>
      <c r="Q2469">
        <v>9.8558002420976606E-2</v>
      </c>
      <c r="R2469">
        <v>0.99458526886494403</v>
      </c>
      <c r="S2469" t="s">
        <v>8020</v>
      </c>
      <c r="T2469" t="s">
        <v>11100</v>
      </c>
      <c r="U2469" t="s">
        <v>11100</v>
      </c>
      <c r="V2469" t="s">
        <v>11100</v>
      </c>
      <c r="W2469" t="s">
        <v>13528</v>
      </c>
      <c r="X2469">
        <v>17</v>
      </c>
      <c r="Y2469" t="s">
        <v>18993</v>
      </c>
      <c r="Z2469" t="s">
        <v>24474</v>
      </c>
      <c r="AA2469">
        <v>0.55187477088987691</v>
      </c>
      <c r="AB2469" t="str">
        <f>HYPERLINK("Melting_Curves/meltCurve_P53992_SEC24C.pdf", "Melting_Curves/meltCurve_P53992_SEC24C.pdf")</f>
        <v>Melting_Curves/meltCurve_P53992_SEC24C.pdf</v>
      </c>
    </row>
    <row r="2470" spans="1:28" x14ac:dyDescent="0.25">
      <c r="A2470" t="s">
        <v>2474</v>
      </c>
      <c r="B2470">
        <v>0.99299721793515405</v>
      </c>
      <c r="C2470">
        <v>0.98196101367602195</v>
      </c>
      <c r="D2470">
        <v>0.98493174905916203</v>
      </c>
      <c r="E2470">
        <v>0.91222334503827096</v>
      </c>
      <c r="F2470">
        <v>0.74686866727951096</v>
      </c>
      <c r="G2470">
        <v>0.41261004344533497</v>
      </c>
      <c r="H2470">
        <v>0.27919232042326098</v>
      </c>
      <c r="I2470">
        <v>0.23296116874734599</v>
      </c>
      <c r="J2470">
        <v>0.19402332139533199</v>
      </c>
      <c r="K2470">
        <v>0.18162240776462599</v>
      </c>
      <c r="L2470">
        <v>1124.89559587898</v>
      </c>
      <c r="M2470">
        <v>21.736739695578699</v>
      </c>
      <c r="N2470">
        <v>52.884415035217501</v>
      </c>
      <c r="O2470">
        <v>51.3188573245463</v>
      </c>
      <c r="P2470">
        <v>-8.6174023194117502E-2</v>
      </c>
      <c r="Q2470">
        <v>0.186216740200218</v>
      </c>
      <c r="R2470">
        <v>0.99814412573740097</v>
      </c>
      <c r="S2470" t="s">
        <v>8021</v>
      </c>
      <c r="T2470" t="s">
        <v>11100</v>
      </c>
      <c r="U2470" t="s">
        <v>11100</v>
      </c>
      <c r="V2470" t="s">
        <v>11100</v>
      </c>
      <c r="W2470" t="s">
        <v>13529</v>
      </c>
      <c r="X2470">
        <v>19</v>
      </c>
      <c r="Y2470" t="s">
        <v>18994</v>
      </c>
      <c r="Z2470" t="s">
        <v>24475</v>
      </c>
      <c r="AA2470">
        <v>0.59555865397240992</v>
      </c>
      <c r="AB2470" t="str">
        <f>HYPERLINK("Melting_Curves/meltCurve_P53999_SUB1.pdf", "Melting_Curves/meltCurve_P53999_SUB1.pdf")</f>
        <v>Melting_Curves/meltCurve_P53999_SUB1.pdf</v>
      </c>
    </row>
    <row r="2471" spans="1:28" x14ac:dyDescent="0.25">
      <c r="A2471" t="s">
        <v>2475</v>
      </c>
      <c r="B2471">
        <v>0.99299721793515405</v>
      </c>
      <c r="C2471">
        <v>0.98303983617184698</v>
      </c>
      <c r="D2471">
        <v>0.93025594963157898</v>
      </c>
      <c r="E2471">
        <v>0.84707810827184205</v>
      </c>
      <c r="F2471">
        <v>0.63620139251103902</v>
      </c>
      <c r="G2471">
        <v>0.25416250715218103</v>
      </c>
      <c r="H2471">
        <v>0.20069101559001401</v>
      </c>
      <c r="I2471">
        <v>0.162055565992129</v>
      </c>
      <c r="J2471">
        <v>0.130604397428987</v>
      </c>
      <c r="K2471">
        <v>0.11284102800771199</v>
      </c>
      <c r="L2471">
        <v>1051.18685513232</v>
      </c>
      <c r="M2471">
        <v>20.810462021811698</v>
      </c>
      <c r="N2471">
        <v>51.173478061968098</v>
      </c>
      <c r="O2471">
        <v>50.052947316576898</v>
      </c>
      <c r="P2471">
        <v>-9.1693909254170397E-2</v>
      </c>
      <c r="Q2471">
        <v>0.117862649458948</v>
      </c>
      <c r="R2471">
        <v>0.99308282648926505</v>
      </c>
      <c r="S2471" t="s">
        <v>8022</v>
      </c>
      <c r="T2471" t="s">
        <v>11100</v>
      </c>
      <c r="U2471" t="s">
        <v>11100</v>
      </c>
      <c r="V2471" t="s">
        <v>11100</v>
      </c>
      <c r="W2471" t="s">
        <v>13530</v>
      </c>
      <c r="X2471">
        <v>19</v>
      </c>
      <c r="Y2471" t="s">
        <v>18995</v>
      </c>
      <c r="Z2471" t="s">
        <v>24476</v>
      </c>
      <c r="AA2471">
        <v>0.52601288958752446</v>
      </c>
      <c r="AB2471" t="str">
        <f>HYPERLINK("Melting_Curves/meltCurve_P54136_RARS.pdf", "Melting_Curves/meltCurve_P54136_RARS.pdf")</f>
        <v>Melting_Curves/meltCurve_P54136_RARS.pdf</v>
      </c>
    </row>
    <row r="2472" spans="1:28" x14ac:dyDescent="0.25">
      <c r="A2472" t="s">
        <v>2476</v>
      </c>
      <c r="B2472">
        <v>0.99299721793515405</v>
      </c>
      <c r="C2472">
        <v>1.06820560533834</v>
      </c>
      <c r="D2472">
        <v>0.94514053649327701</v>
      </c>
      <c r="E2472">
        <v>0.93575798096885099</v>
      </c>
      <c r="F2472">
        <v>0.68440877253750099</v>
      </c>
      <c r="G2472">
        <v>0.21047736907422199</v>
      </c>
      <c r="H2472">
        <v>0.10797723246485499</v>
      </c>
      <c r="I2472">
        <v>0.109601087984597</v>
      </c>
      <c r="J2472">
        <v>9.8919197433341904E-2</v>
      </c>
      <c r="K2472">
        <v>9.7790108237139906E-2</v>
      </c>
      <c r="L2472">
        <v>1799.0369792889401</v>
      </c>
      <c r="M2472">
        <v>35.269325927079002</v>
      </c>
      <c r="N2472">
        <v>51.321058004348401</v>
      </c>
      <c r="O2472">
        <v>50.845408381154797</v>
      </c>
      <c r="P2472">
        <v>-0.15665631470007799</v>
      </c>
      <c r="Q2472">
        <v>9.6639979440400495E-2</v>
      </c>
      <c r="R2472">
        <v>0.99464392993890904</v>
      </c>
      <c r="S2472" t="s">
        <v>8023</v>
      </c>
      <c r="T2472" t="s">
        <v>11100</v>
      </c>
      <c r="U2472" t="s">
        <v>11100</v>
      </c>
      <c r="V2472" t="s">
        <v>11100</v>
      </c>
      <c r="W2472" t="s">
        <v>13531</v>
      </c>
      <c r="X2472">
        <v>18</v>
      </c>
      <c r="Y2472" t="s">
        <v>18995</v>
      </c>
      <c r="Z2472" t="s">
        <v>24477</v>
      </c>
      <c r="AA2472">
        <v>0.52255588504999717</v>
      </c>
      <c r="AB2472" t="str">
        <f>HYPERLINK("Melting_Curves/meltCurve_P54136_2_RARS.pdf", "Melting_Curves/meltCurve_P54136_2_RARS.pdf")</f>
        <v>Melting_Curves/meltCurve_P54136_2_RARS.pdf</v>
      </c>
    </row>
    <row r="2473" spans="1:28" x14ac:dyDescent="0.25">
      <c r="A2473" t="s">
        <v>2477</v>
      </c>
      <c r="B2473">
        <v>0.99299721793515405</v>
      </c>
      <c r="C2473">
        <v>0.86505947041599696</v>
      </c>
      <c r="D2473">
        <v>0.86787847628592096</v>
      </c>
      <c r="E2473">
        <v>0.846229546988569</v>
      </c>
      <c r="F2473">
        <v>0.64601756577235003</v>
      </c>
      <c r="G2473">
        <v>0.59713686139661104</v>
      </c>
      <c r="H2473">
        <v>0.54002568682104701</v>
      </c>
      <c r="I2473">
        <v>0.52275621416315698</v>
      </c>
      <c r="J2473">
        <v>0.53328387686911904</v>
      </c>
      <c r="K2473">
        <v>0.44998067250086199</v>
      </c>
      <c r="L2473">
        <v>414.81424820563302</v>
      </c>
      <c r="M2473">
        <v>8.4415517065493706</v>
      </c>
      <c r="N2473">
        <v>62.912640429928302</v>
      </c>
      <c r="O2473">
        <v>46.6143450543425</v>
      </c>
      <c r="P2473">
        <v>-2.6227164858358701E-2</v>
      </c>
      <c r="Q2473">
        <v>0.42122840353212299</v>
      </c>
      <c r="R2473">
        <v>0.95660031787636302</v>
      </c>
      <c r="S2473" t="s">
        <v>8024</v>
      </c>
      <c r="T2473" t="s">
        <v>11100</v>
      </c>
      <c r="U2473" t="s">
        <v>11100</v>
      </c>
      <c r="V2473" t="s">
        <v>11100</v>
      </c>
      <c r="W2473" t="s">
        <v>13532</v>
      </c>
      <c r="X2473">
        <v>2</v>
      </c>
      <c r="Y2473" t="s">
        <v>18996</v>
      </c>
      <c r="Z2473" t="s">
        <v>24478</v>
      </c>
      <c r="AA2473">
        <v>0.68060606830470072</v>
      </c>
      <c r="AB2473" t="str">
        <f>HYPERLINK("Melting_Curves/meltCurve_P54259_ATN1.pdf", "Melting_Curves/meltCurve_P54259_ATN1.pdf")</f>
        <v>Melting_Curves/meltCurve_P54259_ATN1.pdf</v>
      </c>
    </row>
    <row r="2474" spans="1:28" x14ac:dyDescent="0.25">
      <c r="A2474" t="s">
        <v>2478</v>
      </c>
      <c r="B2474">
        <v>0.99299721793515405</v>
      </c>
      <c r="C2474">
        <v>0.95112754304157199</v>
      </c>
      <c r="D2474">
        <v>0.87550970099541803</v>
      </c>
      <c r="E2474">
        <v>0.83620839766662602</v>
      </c>
      <c r="F2474">
        <v>0.72010580345359598</v>
      </c>
      <c r="G2474">
        <v>0.57210994332332799</v>
      </c>
      <c r="H2474">
        <v>0.67257700187844405</v>
      </c>
      <c r="I2474">
        <v>0.71259961673288397</v>
      </c>
      <c r="J2474">
        <v>0.66934674113580195</v>
      </c>
      <c r="K2474">
        <v>0.54995038234839799</v>
      </c>
      <c r="L2474">
        <v>641.41532371034896</v>
      </c>
      <c r="M2474">
        <v>13.9288292766824</v>
      </c>
      <c r="O2474">
        <v>45.131449881945301</v>
      </c>
      <c r="P2474">
        <v>-2.91261769806265E-2</v>
      </c>
      <c r="Q2474">
        <v>0.62255861202663798</v>
      </c>
      <c r="R2474">
        <v>0.876824434517258</v>
      </c>
      <c r="S2474" t="s">
        <v>8025</v>
      </c>
      <c r="T2474" t="s">
        <v>11100</v>
      </c>
      <c r="U2474" t="s">
        <v>11100</v>
      </c>
      <c r="V2474" t="s">
        <v>11100</v>
      </c>
      <c r="W2474" t="s">
        <v>13533</v>
      </c>
      <c r="X2474">
        <v>16</v>
      </c>
      <c r="Y2474" t="s">
        <v>18997</v>
      </c>
      <c r="Z2474" t="s">
        <v>24479</v>
      </c>
      <c r="AA2474">
        <v>0.74639300561708266</v>
      </c>
      <c r="AB2474" t="str">
        <f>HYPERLINK("Melting_Curves/meltCurve_P54289_4_CACNA2D1.pdf", "Melting_Curves/meltCurve_P54289_4_CACNA2D1.pdf")</f>
        <v>Melting_Curves/meltCurve_P54289_4_CACNA2D1.pdf</v>
      </c>
    </row>
    <row r="2475" spans="1:28" x14ac:dyDescent="0.25">
      <c r="A2475" t="s">
        <v>2479</v>
      </c>
      <c r="B2475">
        <v>0.99299721793515405</v>
      </c>
      <c r="C2475">
        <v>1.0457173437471601</v>
      </c>
      <c r="D2475">
        <v>1.0140710224015099</v>
      </c>
      <c r="E2475">
        <v>0.87329077966211299</v>
      </c>
      <c r="F2475">
        <v>0.72124841351874103</v>
      </c>
      <c r="G2475">
        <v>0.254058502136152</v>
      </c>
      <c r="H2475">
        <v>0.17059117799659701</v>
      </c>
      <c r="I2475">
        <v>0.13809104205376899</v>
      </c>
      <c r="J2475">
        <v>0.11829154227300701</v>
      </c>
      <c r="K2475">
        <v>0.107840717948887</v>
      </c>
      <c r="L2475">
        <v>1473.6976124361299</v>
      </c>
      <c r="M2475">
        <v>28.783562829815001</v>
      </c>
      <c r="N2475">
        <v>51.672848115615501</v>
      </c>
      <c r="O2475">
        <v>50.954056137658803</v>
      </c>
      <c r="P2475">
        <v>-0.12485138359975601</v>
      </c>
      <c r="Q2475">
        <v>0.115934945337432</v>
      </c>
      <c r="R2475">
        <v>0.992283069439996</v>
      </c>
      <c r="S2475" t="s">
        <v>8026</v>
      </c>
      <c r="T2475" t="s">
        <v>11100</v>
      </c>
      <c r="U2475" t="s">
        <v>11100</v>
      </c>
      <c r="V2475" t="s">
        <v>11100</v>
      </c>
      <c r="W2475" t="s">
        <v>13534</v>
      </c>
      <c r="X2475">
        <v>35</v>
      </c>
      <c r="Y2475" t="s">
        <v>18998</v>
      </c>
      <c r="Z2475" t="s">
        <v>24480</v>
      </c>
      <c r="AA2475">
        <v>0.54035485770802727</v>
      </c>
      <c r="AB2475" t="str">
        <f>HYPERLINK("Melting_Curves/meltCurve_P54577_YARS.pdf", "Melting_Curves/meltCurve_P54577_YARS.pdf")</f>
        <v>Melting_Curves/meltCurve_P54577_YARS.pdf</v>
      </c>
    </row>
    <row r="2476" spans="1:28" x14ac:dyDescent="0.25">
      <c r="A2476" t="s">
        <v>2480</v>
      </c>
      <c r="B2476">
        <v>0.99299721793515405</v>
      </c>
      <c r="C2476">
        <v>0.97078712043962501</v>
      </c>
      <c r="D2476">
        <v>1.00812451650876</v>
      </c>
      <c r="E2476">
        <v>0.89641293142960998</v>
      </c>
      <c r="F2476">
        <v>0.77434615158476106</v>
      </c>
      <c r="G2476">
        <v>0.458455571185725</v>
      </c>
      <c r="H2476">
        <v>0.23470349400867699</v>
      </c>
      <c r="I2476">
        <v>0.18388372322350399</v>
      </c>
      <c r="J2476">
        <v>0.168636513417072</v>
      </c>
      <c r="K2476">
        <v>0.118329734148316</v>
      </c>
      <c r="L2476">
        <v>1061.11995188318</v>
      </c>
      <c r="M2476">
        <v>20.206730692374901</v>
      </c>
      <c r="N2476">
        <v>53.264231849405803</v>
      </c>
      <c r="O2476">
        <v>52.006993002613299</v>
      </c>
      <c r="P2476">
        <v>-8.5096345483227601E-2</v>
      </c>
      <c r="Q2476">
        <v>0.123961803956156</v>
      </c>
      <c r="R2476">
        <v>0.99644302381030903</v>
      </c>
      <c r="S2476" t="s">
        <v>8027</v>
      </c>
      <c r="T2476" t="s">
        <v>11100</v>
      </c>
      <c r="U2476" t="s">
        <v>11100</v>
      </c>
      <c r="V2476" t="s">
        <v>11100</v>
      </c>
      <c r="W2476" t="s">
        <v>13535</v>
      </c>
      <c r="X2476">
        <v>18</v>
      </c>
      <c r="Y2476" t="s">
        <v>18999</v>
      </c>
      <c r="Z2476" t="s">
        <v>24481</v>
      </c>
      <c r="AA2476">
        <v>0.58798224979936675</v>
      </c>
      <c r="AB2476" t="str">
        <f>HYPERLINK("Melting_Curves/meltCurve_P54578_2_USP14.pdf", "Melting_Curves/meltCurve_P54578_2_USP14.pdf")</f>
        <v>Melting_Curves/meltCurve_P54578_2_USP14.pdf</v>
      </c>
    </row>
    <row r="2477" spans="1:28" x14ac:dyDescent="0.25">
      <c r="A2477" t="s">
        <v>2481</v>
      </c>
      <c r="B2477">
        <v>0.99299721793515405</v>
      </c>
      <c r="C2477">
        <v>1.11467096093125</v>
      </c>
      <c r="D2477">
        <v>0.95850559813062597</v>
      </c>
      <c r="E2477">
        <v>0.91622450599013705</v>
      </c>
      <c r="F2477">
        <v>0.77365539112466197</v>
      </c>
      <c r="G2477">
        <v>0.63681380969232304</v>
      </c>
      <c r="H2477">
        <v>0.37100664062463201</v>
      </c>
      <c r="I2477">
        <v>0.29338287626522302</v>
      </c>
      <c r="J2477">
        <v>0.22662560249782099</v>
      </c>
      <c r="K2477">
        <v>0.16373573627856899</v>
      </c>
      <c r="L2477">
        <v>754.25896570295004</v>
      </c>
      <c r="M2477">
        <v>13.8303567675646</v>
      </c>
      <c r="N2477">
        <v>55.562334830855796</v>
      </c>
      <c r="O2477">
        <v>53.434236848253498</v>
      </c>
      <c r="P2477">
        <v>-5.7424221180215201E-2</v>
      </c>
      <c r="Q2477">
        <v>0.112678377661274</v>
      </c>
      <c r="R2477">
        <v>0.98342538071910901</v>
      </c>
      <c r="S2477" t="s">
        <v>8028</v>
      </c>
      <c r="T2477" t="s">
        <v>11100</v>
      </c>
      <c r="U2477" t="s">
        <v>11100</v>
      </c>
      <c r="V2477" t="s">
        <v>11100</v>
      </c>
      <c r="W2477" t="s">
        <v>13536</v>
      </c>
      <c r="X2477">
        <v>5</v>
      </c>
      <c r="Y2477" t="s">
        <v>19000</v>
      </c>
      <c r="Z2477" t="s">
        <v>24482</v>
      </c>
      <c r="AA2477">
        <v>0.64528958098714539</v>
      </c>
      <c r="AB2477" t="str">
        <f>HYPERLINK("Melting_Curves/meltCurve_P54619_2_PRKAG1.pdf", "Melting_Curves/meltCurve_P54619_2_PRKAG1.pdf")</f>
        <v>Melting_Curves/meltCurve_P54619_2_PRKAG1.pdf</v>
      </c>
    </row>
    <row r="2478" spans="1:28" x14ac:dyDescent="0.25">
      <c r="A2478" t="s">
        <v>2482</v>
      </c>
      <c r="B2478">
        <v>0.99299721793515405</v>
      </c>
      <c r="C2478">
        <v>1.00005345245939</v>
      </c>
      <c r="D2478">
        <v>0.93259214288317704</v>
      </c>
      <c r="E2478">
        <v>0.82622231181120398</v>
      </c>
      <c r="F2478">
        <v>0.75518611764441201</v>
      </c>
      <c r="G2478">
        <v>0.533456053224176</v>
      </c>
      <c r="H2478">
        <v>0.247166885628019</v>
      </c>
      <c r="I2478">
        <v>0.173451779107965</v>
      </c>
      <c r="J2478">
        <v>0.12703996121342501</v>
      </c>
      <c r="K2478">
        <v>9.0198552635944507E-2</v>
      </c>
      <c r="L2478">
        <v>703.38040245908098</v>
      </c>
      <c r="M2478">
        <v>13.110975276847901</v>
      </c>
      <c r="N2478">
        <v>53.7342332928826</v>
      </c>
      <c r="O2478">
        <v>52.446188930184</v>
      </c>
      <c r="P2478">
        <v>-6.1858780474748201E-2</v>
      </c>
      <c r="Q2478">
        <v>1.0385478611194999E-2</v>
      </c>
      <c r="R2478">
        <v>0.99161097402902998</v>
      </c>
      <c r="S2478" t="s">
        <v>8029</v>
      </c>
      <c r="T2478" t="s">
        <v>11100</v>
      </c>
      <c r="U2478" t="s">
        <v>11100</v>
      </c>
      <c r="V2478" t="s">
        <v>11100</v>
      </c>
      <c r="W2478" t="s">
        <v>13537</v>
      </c>
      <c r="X2478">
        <v>5</v>
      </c>
      <c r="Y2478" t="s">
        <v>19001</v>
      </c>
      <c r="Z2478" t="s">
        <v>24483</v>
      </c>
      <c r="AA2478">
        <v>0.57777500731021536</v>
      </c>
      <c r="AB2478" t="str">
        <f>HYPERLINK("Melting_Curves/meltCurve_P54646_PRKAA2.pdf", "Melting_Curves/meltCurve_P54646_PRKAA2.pdf")</f>
        <v>Melting_Curves/meltCurve_P54646_PRKAA2.pdf</v>
      </c>
    </row>
    <row r="2479" spans="1:28" x14ac:dyDescent="0.25">
      <c r="A2479" t="s">
        <v>2483</v>
      </c>
      <c r="B2479">
        <v>0.99299721793515405</v>
      </c>
      <c r="C2479">
        <v>0.96678413808365804</v>
      </c>
      <c r="D2479">
        <v>0.84354117262837103</v>
      </c>
      <c r="E2479">
        <v>0.82201734244267899</v>
      </c>
      <c r="F2479">
        <v>0.71860093294953098</v>
      </c>
      <c r="G2479">
        <v>0.59886508501991098</v>
      </c>
      <c r="H2479">
        <v>0.51541541555277304</v>
      </c>
      <c r="I2479">
        <v>0.50835594234597803</v>
      </c>
      <c r="J2479">
        <v>0.45946855920261798</v>
      </c>
      <c r="K2479">
        <v>0.31749083168693398</v>
      </c>
      <c r="L2479">
        <v>349.82787836511801</v>
      </c>
      <c r="M2479">
        <v>6.28434631946413</v>
      </c>
      <c r="N2479">
        <v>59.1479266510188</v>
      </c>
      <c r="O2479">
        <v>50.826766665551602</v>
      </c>
      <c r="P2479">
        <v>-2.6203688476450701E-2</v>
      </c>
      <c r="Q2479">
        <v>0.15459455139109199</v>
      </c>
      <c r="R2479">
        <v>0.97468509571489803</v>
      </c>
      <c r="S2479" t="s">
        <v>8030</v>
      </c>
      <c r="T2479" t="s">
        <v>11100</v>
      </c>
      <c r="U2479" t="s">
        <v>11100</v>
      </c>
      <c r="V2479" t="s">
        <v>11100</v>
      </c>
      <c r="W2479" t="s">
        <v>13538</v>
      </c>
      <c r="X2479">
        <v>8</v>
      </c>
      <c r="Y2479" t="s">
        <v>19002</v>
      </c>
      <c r="Z2479" t="s">
        <v>24484</v>
      </c>
      <c r="AA2479">
        <v>0.67226133629266249</v>
      </c>
      <c r="AB2479" t="str">
        <f>HYPERLINK("Melting_Curves/meltCurve_P54687_BCAT1.pdf", "Melting_Curves/meltCurve_P54687_BCAT1.pdf")</f>
        <v>Melting_Curves/meltCurve_P54687_BCAT1.pdf</v>
      </c>
    </row>
    <row r="2480" spans="1:28" x14ac:dyDescent="0.25">
      <c r="A2480" t="s">
        <v>2484</v>
      </c>
      <c r="B2480">
        <v>0.99299721793515405</v>
      </c>
      <c r="C2480">
        <v>0.96814823195275901</v>
      </c>
      <c r="D2480">
        <v>2.0954717501231701</v>
      </c>
      <c r="E2480">
        <v>0.981248069088828</v>
      </c>
      <c r="F2480">
        <v>1.1687484013653699</v>
      </c>
      <c r="G2480">
        <v>1.97434600571546</v>
      </c>
      <c r="H2480">
        <v>0.83844033862548395</v>
      </c>
      <c r="I2480">
        <v>0.83692936928308503</v>
      </c>
      <c r="J2480">
        <v>7.7938303243427501E-2</v>
      </c>
      <c r="K2480">
        <v>6.2060355586889902E-2</v>
      </c>
      <c r="L2480">
        <v>6796.4023851465899</v>
      </c>
      <c r="M2480">
        <v>109.85894215672501</v>
      </c>
      <c r="N2480">
        <v>61.936846029834101</v>
      </c>
      <c r="O2480">
        <v>61.844318203366903</v>
      </c>
      <c r="P2480">
        <v>-0.41746429275251301</v>
      </c>
      <c r="Q2480">
        <v>5.9965730626068803E-2</v>
      </c>
      <c r="R2480">
        <v>0.44336335748477101</v>
      </c>
      <c r="S2480" t="s">
        <v>8031</v>
      </c>
      <c r="T2480" t="s">
        <v>11100</v>
      </c>
      <c r="U2480" t="s">
        <v>11100</v>
      </c>
      <c r="V2480" t="s">
        <v>11100</v>
      </c>
      <c r="W2480" t="s">
        <v>13539</v>
      </c>
      <c r="X2480">
        <v>5</v>
      </c>
      <c r="Y2480" t="s">
        <v>19003</v>
      </c>
      <c r="Z2480" t="s">
        <v>24485</v>
      </c>
      <c r="AA2480">
        <v>0.83961582384746136</v>
      </c>
      <c r="AB2480" t="str">
        <f>HYPERLINK("Melting_Curves/meltCurve_P54707_ATP12A.pdf", "Melting_Curves/meltCurve_P54707_ATP12A.pdf")</f>
        <v>Melting_Curves/meltCurve_P54707_ATP12A.pdf</v>
      </c>
    </row>
    <row r="2481" spans="1:28" x14ac:dyDescent="0.25">
      <c r="A2481" t="s">
        <v>2485</v>
      </c>
      <c r="B2481">
        <v>0.99299721793515405</v>
      </c>
      <c r="C2481">
        <v>1.03450674587039</v>
      </c>
      <c r="D2481">
        <v>0.88983040341715702</v>
      </c>
      <c r="E2481">
        <v>0.85963192882515105</v>
      </c>
      <c r="F2481">
        <v>0.74308946045482105</v>
      </c>
      <c r="G2481">
        <v>0.65413403125804104</v>
      </c>
      <c r="H2481">
        <v>0.71432811958754205</v>
      </c>
      <c r="I2481">
        <v>0.76082758971249298</v>
      </c>
      <c r="J2481">
        <v>0.420856062469466</v>
      </c>
      <c r="K2481">
        <v>0.29033890122065398</v>
      </c>
      <c r="L2481">
        <v>358.20126892159698</v>
      </c>
      <c r="M2481">
        <v>5.6843285754219002</v>
      </c>
      <c r="N2481">
        <v>63.015581198471601</v>
      </c>
      <c r="O2481">
        <v>56.518550805356398</v>
      </c>
      <c r="P2481">
        <v>-2.5242275076212801E-2</v>
      </c>
      <c r="Q2481">
        <v>0</v>
      </c>
      <c r="R2481">
        <v>0.823943956400639</v>
      </c>
      <c r="S2481" t="s">
        <v>8032</v>
      </c>
      <c r="T2481" t="s">
        <v>11100</v>
      </c>
      <c r="U2481" t="s">
        <v>11100</v>
      </c>
      <c r="V2481" t="s">
        <v>11100</v>
      </c>
      <c r="W2481" t="s">
        <v>13540</v>
      </c>
      <c r="X2481">
        <v>7</v>
      </c>
      <c r="Y2481" t="s">
        <v>19004</v>
      </c>
      <c r="Z2481" t="s">
        <v>24486</v>
      </c>
      <c r="AA2481">
        <v>0.74374836922483323</v>
      </c>
      <c r="AB2481" t="str">
        <f>HYPERLINK("Melting_Curves/meltCurve_P54709_ATP1B3.pdf", "Melting_Curves/meltCurve_P54709_ATP1B3.pdf")</f>
        <v>Melting_Curves/meltCurve_P54709_ATP1B3.pdf</v>
      </c>
    </row>
    <row r="2482" spans="1:28" x14ac:dyDescent="0.25">
      <c r="A2482" t="s">
        <v>2486</v>
      </c>
      <c r="B2482">
        <v>0.99299721793515405</v>
      </c>
      <c r="C2482">
        <v>1.18320320724729</v>
      </c>
      <c r="D2482">
        <v>1.1176483194911799</v>
      </c>
      <c r="E2482">
        <v>0.86090200643103598</v>
      </c>
      <c r="F2482">
        <v>0.88270527163472401</v>
      </c>
      <c r="G2482">
        <v>0.67693562674154995</v>
      </c>
      <c r="H2482">
        <v>0.699488667995527</v>
      </c>
      <c r="I2482">
        <v>0.86223326656402899</v>
      </c>
      <c r="J2482">
        <v>0.96861401701897198</v>
      </c>
      <c r="K2482">
        <v>1.03378102447369</v>
      </c>
      <c r="L2482">
        <v>11510.3152660915</v>
      </c>
      <c r="M2482">
        <v>250</v>
      </c>
      <c r="O2482">
        <v>46.038314754929097</v>
      </c>
      <c r="P2482">
        <v>-0.19825927094569601</v>
      </c>
      <c r="Q2482">
        <v>0.85395963675120201</v>
      </c>
      <c r="R2482">
        <v>0.38994874646597999</v>
      </c>
      <c r="S2482" t="s">
        <v>8033</v>
      </c>
      <c r="T2482" t="s">
        <v>11100</v>
      </c>
      <c r="U2482" t="s">
        <v>11100</v>
      </c>
      <c r="V2482" t="s">
        <v>11100</v>
      </c>
      <c r="W2482" t="s">
        <v>13541</v>
      </c>
      <c r="X2482">
        <v>11</v>
      </c>
      <c r="Y2482" t="s">
        <v>19005</v>
      </c>
      <c r="Z2482" t="s">
        <v>24487</v>
      </c>
      <c r="AA2482">
        <v>0.89798440539589985</v>
      </c>
      <c r="AB2482" t="str">
        <f>HYPERLINK("Melting_Curves/meltCurve_P54727_RAD23B.pdf", "Melting_Curves/meltCurve_P54727_RAD23B.pdf")</f>
        <v>Melting_Curves/meltCurve_P54727_RAD23B.pdf</v>
      </c>
    </row>
    <row r="2483" spans="1:28" x14ac:dyDescent="0.25">
      <c r="A2483" t="s">
        <v>2487</v>
      </c>
      <c r="B2483">
        <v>0.99299721793515405</v>
      </c>
      <c r="C2483">
        <v>0.97378242466866505</v>
      </c>
      <c r="D2483">
        <v>0.83179739362258598</v>
      </c>
      <c r="E2483">
        <v>0.76625529945363502</v>
      </c>
      <c r="F2483">
        <v>0.66821446013178698</v>
      </c>
      <c r="G2483">
        <v>0.67391059098249495</v>
      </c>
      <c r="H2483">
        <v>0.79858360786656402</v>
      </c>
      <c r="I2483">
        <v>0.88096436428949698</v>
      </c>
      <c r="J2483">
        <v>0.63267560144441604</v>
      </c>
      <c r="K2483">
        <v>0.25383114185311501</v>
      </c>
      <c r="L2483">
        <v>229.66791398994701</v>
      </c>
      <c r="M2483">
        <v>3.3010764725703998</v>
      </c>
      <c r="O2483">
        <v>53.326400452250901</v>
      </c>
      <c r="P2483">
        <v>-1.5836801706047801E-2</v>
      </c>
      <c r="Q2483">
        <v>0</v>
      </c>
      <c r="R2483">
        <v>0.51643836908751894</v>
      </c>
      <c r="S2483" t="s">
        <v>8034</v>
      </c>
      <c r="T2483" t="s">
        <v>11100</v>
      </c>
      <c r="U2483" t="s">
        <v>11100</v>
      </c>
      <c r="V2483" t="s">
        <v>11100</v>
      </c>
      <c r="W2483" t="s">
        <v>13542</v>
      </c>
      <c r="X2483">
        <v>3</v>
      </c>
      <c r="Y2483" t="s">
        <v>19006</v>
      </c>
      <c r="Z2483" t="s">
        <v>24488</v>
      </c>
      <c r="AA2483">
        <v>0.74934478180495279</v>
      </c>
      <c r="AB2483" t="str">
        <f>HYPERLINK("Melting_Curves/meltCurve_P54802_NAGLU.pdf", "Melting_Curves/meltCurve_P54802_NAGLU.pdf")</f>
        <v>Melting_Curves/meltCurve_P54802_NAGLU.pdf</v>
      </c>
    </row>
    <row r="2484" spans="1:28" x14ac:dyDescent="0.25">
      <c r="A2484" t="s">
        <v>2488</v>
      </c>
      <c r="B2484">
        <v>0.99299721793515405</v>
      </c>
      <c r="C2484">
        <v>0.93190027175454604</v>
      </c>
      <c r="D2484">
        <v>0.99128459604768204</v>
      </c>
      <c r="E2484">
        <v>0.90215560832778896</v>
      </c>
      <c r="F2484">
        <v>0.79336222822014102</v>
      </c>
      <c r="G2484">
        <v>0.59077900379746695</v>
      </c>
      <c r="H2484">
        <v>0.57370995818755399</v>
      </c>
      <c r="I2484">
        <v>0.64234585510521003</v>
      </c>
      <c r="J2484">
        <v>0.57965783746290001</v>
      </c>
      <c r="K2484">
        <v>0.25546746141337601</v>
      </c>
      <c r="L2484">
        <v>357.72227959703702</v>
      </c>
      <c r="M2484">
        <v>5.7660789161925496</v>
      </c>
      <c r="N2484">
        <v>62.039088394309303</v>
      </c>
      <c r="O2484">
        <v>55.794134700037802</v>
      </c>
      <c r="P2484">
        <v>-2.5932767723623799E-2</v>
      </c>
      <c r="Q2484">
        <v>0</v>
      </c>
      <c r="R2484">
        <v>0.86215072602518095</v>
      </c>
      <c r="S2484" t="s">
        <v>8035</v>
      </c>
      <c r="T2484" t="s">
        <v>11100</v>
      </c>
      <c r="U2484" t="s">
        <v>11100</v>
      </c>
      <c r="V2484" t="s">
        <v>11100</v>
      </c>
      <c r="W2484" t="s">
        <v>13543</v>
      </c>
      <c r="X2484">
        <v>32</v>
      </c>
      <c r="Y2484" t="s">
        <v>19007</v>
      </c>
      <c r="Z2484" t="s">
        <v>24489</v>
      </c>
      <c r="AA2484">
        <v>0.72921187816695032</v>
      </c>
      <c r="AB2484" t="str">
        <f>HYPERLINK("Melting_Curves/meltCurve_P54819_AK2.pdf", "Melting_Curves/meltCurve_P54819_AK2.pdf")</f>
        <v>Melting_Curves/meltCurve_P54819_AK2.pdf</v>
      </c>
    </row>
    <row r="2485" spans="1:28" x14ac:dyDescent="0.25">
      <c r="A2485" t="s">
        <v>2489</v>
      </c>
      <c r="B2485">
        <v>0.99299721793515405</v>
      </c>
      <c r="C2485">
        <v>0.85040898373445695</v>
      </c>
      <c r="D2485">
        <v>0.89099665738318101</v>
      </c>
      <c r="E2485">
        <v>0.82322547684756797</v>
      </c>
      <c r="F2485">
        <v>0.71980704166911402</v>
      </c>
      <c r="G2485">
        <v>0.59102829502851895</v>
      </c>
      <c r="H2485">
        <v>0.65374959761996498</v>
      </c>
      <c r="I2485">
        <v>0.76734395806779998</v>
      </c>
      <c r="J2485">
        <v>0.87455482011674501</v>
      </c>
      <c r="K2485">
        <v>0.670459544869066</v>
      </c>
      <c r="L2485">
        <v>608.81759272638999</v>
      </c>
      <c r="M2485">
        <v>14.3133677885855</v>
      </c>
      <c r="O2485">
        <v>41.730478873210402</v>
      </c>
      <c r="P2485">
        <v>-2.4691360989742599E-2</v>
      </c>
      <c r="Q2485">
        <v>0.71208529081070404</v>
      </c>
      <c r="R2485">
        <v>0.55479057415737598</v>
      </c>
      <c r="S2485" t="s">
        <v>8036</v>
      </c>
      <c r="T2485" t="s">
        <v>11100</v>
      </c>
      <c r="U2485" t="s">
        <v>11100</v>
      </c>
      <c r="V2485" t="s">
        <v>11100</v>
      </c>
      <c r="W2485" t="s">
        <v>13544</v>
      </c>
      <c r="X2485">
        <v>13</v>
      </c>
      <c r="Y2485" t="s">
        <v>19008</v>
      </c>
      <c r="Z2485" t="s">
        <v>24490</v>
      </c>
      <c r="AA2485">
        <v>0.77392623732944543</v>
      </c>
      <c r="AB2485" t="str">
        <f>HYPERLINK("Melting_Curves/meltCurve_P54826_GAS1.pdf", "Melting_Curves/meltCurve_P54826_GAS1.pdf")</f>
        <v>Melting_Curves/meltCurve_P54826_GAS1.pdf</v>
      </c>
    </row>
    <row r="2486" spans="1:28" x14ac:dyDescent="0.25">
      <c r="A2486" t="s">
        <v>2490</v>
      </c>
      <c r="B2486">
        <v>0.99299721793515405</v>
      </c>
      <c r="C2486">
        <v>0.97485977302159399</v>
      </c>
      <c r="D2486">
        <v>0.91156570288469396</v>
      </c>
      <c r="E2486">
        <v>0.81598630118872095</v>
      </c>
      <c r="F2486">
        <v>0.72958457811808597</v>
      </c>
      <c r="G2486">
        <v>0.81997407318347804</v>
      </c>
      <c r="H2486">
        <v>0.20914883023026201</v>
      </c>
      <c r="I2486">
        <v>0.15047599539495299</v>
      </c>
      <c r="J2486">
        <v>0.121308777799987</v>
      </c>
      <c r="K2486">
        <v>7.4421274891336001E-2</v>
      </c>
      <c r="L2486">
        <v>835.93447109503404</v>
      </c>
      <c r="M2486">
        <v>15.1806507712546</v>
      </c>
      <c r="N2486">
        <v>55.065786811537897</v>
      </c>
      <c r="O2486">
        <v>54.136758721390002</v>
      </c>
      <c r="P2486">
        <v>-7.0110006469966596E-2</v>
      </c>
      <c r="Q2486">
        <v>0</v>
      </c>
      <c r="R2486">
        <v>0.92368679158608902</v>
      </c>
      <c r="S2486" t="s">
        <v>8037</v>
      </c>
      <c r="T2486" t="s">
        <v>11100</v>
      </c>
      <c r="U2486" t="s">
        <v>11100</v>
      </c>
      <c r="V2486" t="s">
        <v>11100</v>
      </c>
      <c r="W2486" t="s">
        <v>13545</v>
      </c>
      <c r="X2486">
        <v>18</v>
      </c>
      <c r="Y2486" t="s">
        <v>19009</v>
      </c>
      <c r="Z2486" t="s">
        <v>24491</v>
      </c>
      <c r="AA2486">
        <v>0.61607556361758831</v>
      </c>
      <c r="AB2486" t="str">
        <f>HYPERLINK("Melting_Curves/meltCurve_P54886_2_ALDH18A1.pdf", "Melting_Curves/meltCurve_P54886_2_ALDH18A1.pdf")</f>
        <v>Melting_Curves/meltCurve_P54886_2_ALDH18A1.pdf</v>
      </c>
    </row>
    <row r="2487" spans="1:28" x14ac:dyDescent="0.25">
      <c r="A2487" t="s">
        <v>2491</v>
      </c>
      <c r="B2487">
        <v>0.99299721793515405</v>
      </c>
      <c r="C2487">
        <v>1.03396537862703</v>
      </c>
      <c r="D2487">
        <v>0.89684662554285099</v>
      </c>
      <c r="E2487">
        <v>0.87452435378709403</v>
      </c>
      <c r="F2487">
        <v>0.74897525935773801</v>
      </c>
      <c r="G2487">
        <v>0.56413746477030902</v>
      </c>
      <c r="H2487">
        <v>0.43086517603559799</v>
      </c>
      <c r="I2487">
        <v>0.278322762379897</v>
      </c>
      <c r="J2487">
        <v>0.22250647817414601</v>
      </c>
      <c r="K2487">
        <v>0.16534624912503601</v>
      </c>
      <c r="L2487">
        <v>555.72441241728802</v>
      </c>
      <c r="M2487">
        <v>10.067988573210201</v>
      </c>
      <c r="N2487">
        <v>55.452296985041997</v>
      </c>
      <c r="O2487">
        <v>53.152193286761801</v>
      </c>
      <c r="P2487">
        <v>-4.6304672496336102E-2</v>
      </c>
      <c r="Q2487">
        <v>2.2633081756185301E-2</v>
      </c>
      <c r="R2487">
        <v>0.99377357451849702</v>
      </c>
      <c r="S2487" t="s">
        <v>8038</v>
      </c>
      <c r="T2487" t="s">
        <v>11100</v>
      </c>
      <c r="U2487" t="s">
        <v>11100</v>
      </c>
      <c r="V2487" t="s">
        <v>11100</v>
      </c>
      <c r="W2487" t="s">
        <v>13546</v>
      </c>
      <c r="X2487">
        <v>17</v>
      </c>
      <c r="Y2487" t="s">
        <v>19010</v>
      </c>
      <c r="Z2487" t="s">
        <v>24492</v>
      </c>
      <c r="AA2487">
        <v>0.62637229778517878</v>
      </c>
      <c r="AB2487" t="str">
        <f>HYPERLINK("Melting_Curves/meltCurve_P54920_NAPA.pdf", "Melting_Curves/meltCurve_P54920_NAPA.pdf")</f>
        <v>Melting_Curves/meltCurve_P54920_NAPA.pdf</v>
      </c>
    </row>
    <row r="2488" spans="1:28" x14ac:dyDescent="0.25">
      <c r="A2488" t="s">
        <v>2492</v>
      </c>
      <c r="B2488">
        <v>0.99299721793515405</v>
      </c>
      <c r="C2488">
        <v>0.98845548943185901</v>
      </c>
      <c r="D2488">
        <v>1.00722967335132</v>
      </c>
      <c r="E2488">
        <v>0.89347828772968796</v>
      </c>
      <c r="F2488">
        <v>0.80149527234985996</v>
      </c>
      <c r="G2488">
        <v>0.49014500287865198</v>
      </c>
      <c r="H2488">
        <v>0.28236079230514699</v>
      </c>
      <c r="I2488">
        <v>0.26042706070056298</v>
      </c>
      <c r="J2488">
        <v>0.29801745515064298</v>
      </c>
      <c r="K2488">
        <v>0.26237066072055598</v>
      </c>
      <c r="L2488">
        <v>1274.4835439851399</v>
      </c>
      <c r="M2488">
        <v>24.521852734349402</v>
      </c>
      <c r="N2488">
        <v>53.530540314956902</v>
      </c>
      <c r="O2488">
        <v>51.631435881696198</v>
      </c>
      <c r="P2488">
        <v>-8.8459749768947396E-2</v>
      </c>
      <c r="Q2488">
        <v>0.25499306613405698</v>
      </c>
      <c r="R2488">
        <v>0.99204343486295199</v>
      </c>
      <c r="S2488" t="s">
        <v>8039</v>
      </c>
      <c r="T2488" t="s">
        <v>11100</v>
      </c>
      <c r="U2488" t="s">
        <v>11100</v>
      </c>
      <c r="V2488" t="s">
        <v>11100</v>
      </c>
      <c r="W2488" t="s">
        <v>13547</v>
      </c>
      <c r="X2488">
        <v>13</v>
      </c>
      <c r="Y2488" t="s">
        <v>19011</v>
      </c>
      <c r="Z2488" t="s">
        <v>24493</v>
      </c>
      <c r="AA2488">
        <v>0.63366765638550049</v>
      </c>
      <c r="AB2488" t="str">
        <f>HYPERLINK("Melting_Curves/meltCurve_P55010_EIF5.pdf", "Melting_Curves/meltCurve_P55010_EIF5.pdf")</f>
        <v>Melting_Curves/meltCurve_P55010_EIF5.pdf</v>
      </c>
    </row>
    <row r="2489" spans="1:28" x14ac:dyDescent="0.25">
      <c r="A2489" t="s">
        <v>2493</v>
      </c>
      <c r="B2489">
        <v>0.99299721793515405</v>
      </c>
      <c r="C2489">
        <v>1.0259733714593899</v>
      </c>
      <c r="D2489">
        <v>0.91131083393013701</v>
      </c>
      <c r="E2489">
        <v>0.87285830215845905</v>
      </c>
      <c r="F2489">
        <v>0.78080204863111802</v>
      </c>
      <c r="G2489">
        <v>0.75730858160072601</v>
      </c>
      <c r="H2489">
        <v>0.50363012253337802</v>
      </c>
      <c r="I2489">
        <v>0.27836570244837699</v>
      </c>
      <c r="J2489">
        <v>0.25179898170784898</v>
      </c>
      <c r="K2489">
        <v>0.15616715442703899</v>
      </c>
      <c r="L2489">
        <v>624.41841874769398</v>
      </c>
      <c r="M2489">
        <v>10.9120502940169</v>
      </c>
      <c r="N2489">
        <v>57.222831856578601</v>
      </c>
      <c r="O2489">
        <v>55.401681918294599</v>
      </c>
      <c r="P2489">
        <v>-4.9257743858451802E-2</v>
      </c>
      <c r="Q2489">
        <v>0</v>
      </c>
      <c r="R2489">
        <v>0.97779939098136803</v>
      </c>
      <c r="S2489" t="s">
        <v>8040</v>
      </c>
      <c r="T2489" t="s">
        <v>11100</v>
      </c>
      <c r="U2489" t="s">
        <v>11100</v>
      </c>
      <c r="V2489" t="s">
        <v>11100</v>
      </c>
      <c r="W2489" t="s">
        <v>13548</v>
      </c>
      <c r="X2489">
        <v>12</v>
      </c>
      <c r="Y2489" t="s">
        <v>19012</v>
      </c>
      <c r="Z2489" t="s">
        <v>24494</v>
      </c>
      <c r="AA2489">
        <v>0.67473441941448897</v>
      </c>
      <c r="AB2489" t="str">
        <f>HYPERLINK("Melting_Curves/meltCurve_P55011_3_SLC12A2.pdf", "Melting_Curves/meltCurve_P55011_3_SLC12A2.pdf")</f>
        <v>Melting_Curves/meltCurve_P55011_3_SLC12A2.pdf</v>
      </c>
    </row>
    <row r="2490" spans="1:28" x14ac:dyDescent="0.25">
      <c r="A2490" t="s">
        <v>2494</v>
      </c>
      <c r="B2490">
        <v>0.99299721793515405</v>
      </c>
      <c r="C2490">
        <v>0.95250186978426099</v>
      </c>
      <c r="D2490">
        <v>0.91909466656754102</v>
      </c>
      <c r="E2490">
        <v>0.78904028358529099</v>
      </c>
      <c r="F2490">
        <v>0.68044887358542006</v>
      </c>
      <c r="G2490">
        <v>0.488584264025683</v>
      </c>
      <c r="H2490">
        <v>0.63360904628718195</v>
      </c>
      <c r="I2490">
        <v>0.90782723236865503</v>
      </c>
      <c r="J2490">
        <v>0.64587996569130601</v>
      </c>
      <c r="K2490">
        <v>0.435958998095751</v>
      </c>
      <c r="L2490">
        <v>1037.7064513960599</v>
      </c>
      <c r="M2490">
        <v>22.721603451425899</v>
      </c>
      <c r="O2490">
        <v>45.321116848270897</v>
      </c>
      <c r="P2490">
        <v>-4.71457235251556E-2</v>
      </c>
      <c r="Q2490">
        <v>0.62385480488616196</v>
      </c>
      <c r="R2490">
        <v>0.60327451117129405</v>
      </c>
      <c r="S2490" t="s">
        <v>8041</v>
      </c>
      <c r="T2490" t="s">
        <v>11100</v>
      </c>
      <c r="U2490" t="s">
        <v>11100</v>
      </c>
      <c r="V2490" t="s">
        <v>11100</v>
      </c>
      <c r="W2490" t="s">
        <v>13549</v>
      </c>
      <c r="X2490">
        <v>11</v>
      </c>
      <c r="Y2490" t="s">
        <v>19013</v>
      </c>
      <c r="Z2490" t="s">
        <v>24495</v>
      </c>
      <c r="AA2490">
        <v>0.73634967311893285</v>
      </c>
      <c r="AB2490" t="str">
        <f>HYPERLINK("Melting_Curves/meltCurve_P55036_PSMD4.pdf", "Melting_Curves/meltCurve_P55036_PSMD4.pdf")</f>
        <v>Melting_Curves/meltCurve_P55036_PSMD4.pdf</v>
      </c>
    </row>
    <row r="2491" spans="1:28" x14ac:dyDescent="0.25">
      <c r="A2491" t="s">
        <v>2495</v>
      </c>
      <c r="B2491">
        <v>0.99299721793515405</v>
      </c>
      <c r="C2491">
        <v>1.0593663631166399</v>
      </c>
      <c r="D2491">
        <v>0.91795835756078703</v>
      </c>
      <c r="E2491">
        <v>0.86250710238973405</v>
      </c>
      <c r="F2491">
        <v>0.77542184053655705</v>
      </c>
      <c r="G2491">
        <v>0.46529298476557901</v>
      </c>
      <c r="H2491">
        <v>0.26547556281693802</v>
      </c>
      <c r="I2491">
        <v>0.122592770033899</v>
      </c>
      <c r="J2491">
        <v>0.11182818459627999</v>
      </c>
      <c r="K2491">
        <v>9.3411142128095606E-2</v>
      </c>
      <c r="L2491">
        <v>847.36357809610797</v>
      </c>
      <c r="M2491">
        <v>15.949236024974301</v>
      </c>
      <c r="N2491">
        <v>53.433648113267303</v>
      </c>
      <c r="O2491">
        <v>52.314632544211698</v>
      </c>
      <c r="P2491">
        <v>-7.2909037015271502E-2</v>
      </c>
      <c r="Q2491">
        <v>4.3488956182606599E-2</v>
      </c>
      <c r="R2491">
        <v>0.99062181943179295</v>
      </c>
      <c r="S2491" t="s">
        <v>8042</v>
      </c>
      <c r="T2491" t="s">
        <v>11100</v>
      </c>
      <c r="U2491" t="s">
        <v>11100</v>
      </c>
      <c r="V2491" t="s">
        <v>11100</v>
      </c>
      <c r="W2491" t="s">
        <v>13550</v>
      </c>
      <c r="X2491">
        <v>11</v>
      </c>
      <c r="Y2491" t="s">
        <v>19014</v>
      </c>
      <c r="Z2491" t="s">
        <v>24496</v>
      </c>
      <c r="AA2491">
        <v>0.57362781923292028</v>
      </c>
      <c r="AB2491" t="str">
        <f>HYPERLINK("Melting_Curves/meltCurve_P55039_DRG2.pdf", "Melting_Curves/meltCurve_P55039_DRG2.pdf")</f>
        <v>Melting_Curves/meltCurve_P55039_DRG2.pdf</v>
      </c>
    </row>
    <row r="2492" spans="1:28" x14ac:dyDescent="0.25">
      <c r="A2492" t="s">
        <v>2496</v>
      </c>
      <c r="B2492">
        <v>0.99299721793515405</v>
      </c>
      <c r="C2492">
        <v>1.05772456015954</v>
      </c>
      <c r="D2492">
        <v>0.98692164272426297</v>
      </c>
      <c r="E2492">
        <v>0.91646936549138902</v>
      </c>
      <c r="F2492">
        <v>0.77786915865960504</v>
      </c>
      <c r="G2492">
        <v>0.46743812778351901</v>
      </c>
      <c r="H2492">
        <v>0.141447528861154</v>
      </c>
      <c r="I2492">
        <v>0.112972618403887</v>
      </c>
      <c r="J2492">
        <v>9.7169789472990001E-2</v>
      </c>
      <c r="K2492">
        <v>9.6174987011951499E-2</v>
      </c>
      <c r="L2492">
        <v>1226.15196309202</v>
      </c>
      <c r="M2492">
        <v>23.246907586590702</v>
      </c>
      <c r="N2492">
        <v>53.104212901451902</v>
      </c>
      <c r="O2492">
        <v>52.359094335946899</v>
      </c>
      <c r="P2492">
        <v>-0.10291819240329</v>
      </c>
      <c r="Q2492">
        <v>7.2804749018890696E-2</v>
      </c>
      <c r="R2492">
        <v>0.99391053934979801</v>
      </c>
      <c r="S2492" t="s">
        <v>8043</v>
      </c>
      <c r="T2492" t="s">
        <v>11100</v>
      </c>
      <c r="U2492" t="s">
        <v>11100</v>
      </c>
      <c r="V2492" t="s">
        <v>11100</v>
      </c>
      <c r="W2492" t="s">
        <v>13551</v>
      </c>
      <c r="X2492">
        <v>35</v>
      </c>
      <c r="Y2492" t="s">
        <v>19015</v>
      </c>
      <c r="Z2492" t="s">
        <v>24497</v>
      </c>
      <c r="AA2492">
        <v>0.56870679369704602</v>
      </c>
      <c r="AB2492" t="str">
        <f>HYPERLINK("Melting_Curves/meltCurve_P55060_3_CSE1L.pdf", "Melting_Curves/meltCurve_P55060_3_CSE1L.pdf")</f>
        <v>Melting_Curves/meltCurve_P55060_3_CSE1L.pdf</v>
      </c>
    </row>
    <row r="2493" spans="1:28" x14ac:dyDescent="0.25">
      <c r="A2493" t="s">
        <v>2497</v>
      </c>
      <c r="B2493">
        <v>0.99299721793515405</v>
      </c>
      <c r="C2493">
        <v>0.90374024387852903</v>
      </c>
      <c r="D2493">
        <v>0.94721863715646704</v>
      </c>
      <c r="E2493">
        <v>0.86744476471010501</v>
      </c>
      <c r="F2493">
        <v>0.78010361244040105</v>
      </c>
      <c r="G2493">
        <v>1.0731833457861499</v>
      </c>
      <c r="H2493">
        <v>2.34338448459066</v>
      </c>
      <c r="I2493">
        <v>2.6405949555031598</v>
      </c>
      <c r="J2493">
        <v>2.8121357390904098</v>
      </c>
      <c r="K2493">
        <v>2.9853838091298202</v>
      </c>
      <c r="L2493">
        <v>13544.865795809799</v>
      </c>
      <c r="M2493">
        <v>250</v>
      </c>
      <c r="O2493">
        <v>54.175996124263698</v>
      </c>
      <c r="P2493">
        <v>0.57682372842342999</v>
      </c>
      <c r="Q2493">
        <v>1.5</v>
      </c>
      <c r="R2493">
        <v>0.22621400269594799</v>
      </c>
      <c r="S2493" t="s">
        <v>8044</v>
      </c>
      <c r="T2493" t="s">
        <v>11100</v>
      </c>
      <c r="U2493" t="s">
        <v>11100</v>
      </c>
      <c r="V2493" t="s">
        <v>11100</v>
      </c>
      <c r="W2493" t="s">
        <v>13552</v>
      </c>
      <c r="X2493">
        <v>45</v>
      </c>
      <c r="Y2493" t="s">
        <v>19016</v>
      </c>
      <c r="Z2493" t="s">
        <v>24498</v>
      </c>
      <c r="AA2493">
        <v>1.213628071555344</v>
      </c>
      <c r="AB2493" t="str">
        <f>HYPERLINK("Melting_Curves/meltCurve_P55072_VCP.pdf", "Melting_Curves/meltCurve_P55072_VCP.pdf")</f>
        <v>Melting_Curves/meltCurve_P55072_VCP.pdf</v>
      </c>
    </row>
    <row r="2494" spans="1:28" x14ac:dyDescent="0.25">
      <c r="A2494" t="s">
        <v>2498</v>
      </c>
      <c r="B2494">
        <v>0.99299721793515405</v>
      </c>
      <c r="C2494">
        <v>0.92406356619029795</v>
      </c>
      <c r="D2494">
        <v>0.96654711532703297</v>
      </c>
      <c r="E2494">
        <v>0.94493263903860703</v>
      </c>
      <c r="F2494">
        <v>0.95595227798069404</v>
      </c>
      <c r="G2494">
        <v>1.0416009360854701</v>
      </c>
      <c r="H2494">
        <v>1.26688758611853</v>
      </c>
      <c r="I2494">
        <v>1.5530546529892899</v>
      </c>
      <c r="J2494">
        <v>1.8569873349174599</v>
      </c>
      <c r="K2494">
        <v>1.7581251425882001</v>
      </c>
      <c r="L2494">
        <v>14342.2333558666</v>
      </c>
      <c r="M2494">
        <v>250</v>
      </c>
      <c r="O2494">
        <v>57.365279228660299</v>
      </c>
      <c r="P2494">
        <v>0.54475476620130803</v>
      </c>
      <c r="Q2494">
        <v>1.5</v>
      </c>
      <c r="R2494">
        <v>0.82288880373362505</v>
      </c>
      <c r="S2494" t="s">
        <v>8045</v>
      </c>
      <c r="T2494" t="s">
        <v>11100</v>
      </c>
      <c r="U2494" t="s">
        <v>11100</v>
      </c>
      <c r="V2494" t="s">
        <v>11100</v>
      </c>
      <c r="W2494" t="s">
        <v>13553</v>
      </c>
      <c r="X2494">
        <v>21</v>
      </c>
      <c r="Y2494" t="s">
        <v>19017</v>
      </c>
      <c r="Z2494" t="s">
        <v>24499</v>
      </c>
      <c r="AA2494">
        <v>1.160467435482911</v>
      </c>
      <c r="AB2494" t="str">
        <f>HYPERLINK("Melting_Curves/meltCurve_P55081_MFAP1.pdf", "Melting_Curves/meltCurve_P55081_MFAP1.pdf")</f>
        <v>Melting_Curves/meltCurve_P55081_MFAP1.pdf</v>
      </c>
    </row>
    <row r="2495" spans="1:28" x14ac:dyDescent="0.25">
      <c r="A2495" t="s">
        <v>2499</v>
      </c>
      <c r="B2495">
        <v>0.99299721793515405</v>
      </c>
      <c r="C2495">
        <v>0.95618433143763903</v>
      </c>
      <c r="D2495">
        <v>0.93872016260268398</v>
      </c>
      <c r="E2495">
        <v>0.97574238185100004</v>
      </c>
      <c r="F2495">
        <v>0.65054794386410797</v>
      </c>
      <c r="G2495">
        <v>0.55261951683949395</v>
      </c>
      <c r="H2495">
        <v>0.38081829320095301</v>
      </c>
      <c r="I2495">
        <v>0.48715441689342498</v>
      </c>
      <c r="J2495">
        <v>0.28585150383685398</v>
      </c>
      <c r="K2495">
        <v>9.3093238378675502E-2</v>
      </c>
      <c r="L2495">
        <v>489.40299813680002</v>
      </c>
      <c r="M2495">
        <v>8.7371841280235092</v>
      </c>
      <c r="N2495">
        <v>56.013812319581099</v>
      </c>
      <c r="O2495">
        <v>53.311824302574003</v>
      </c>
      <c r="P2495">
        <v>-4.1005365925023997E-2</v>
      </c>
      <c r="Q2495">
        <v>0</v>
      </c>
      <c r="R2495">
        <v>0.93240065886448398</v>
      </c>
      <c r="S2495" t="s">
        <v>8046</v>
      </c>
      <c r="T2495" t="s">
        <v>11100</v>
      </c>
      <c r="U2495" t="s">
        <v>11100</v>
      </c>
      <c r="V2495" t="s">
        <v>11100</v>
      </c>
      <c r="W2495" t="s">
        <v>13554</v>
      </c>
      <c r="X2495">
        <v>1</v>
      </c>
      <c r="Y2495" t="s">
        <v>19018</v>
      </c>
      <c r="Z2495" t="s">
        <v>24500</v>
      </c>
      <c r="AA2495">
        <v>0.6354534202952814</v>
      </c>
      <c r="AB2495" t="str">
        <f>HYPERLINK("Melting_Curves/meltCurve_P55082_2_MFAP3.pdf", "Melting_Curves/meltCurve_P55082_2_MFAP3.pdf")</f>
        <v>Melting_Curves/meltCurve_P55082_2_MFAP3.pdf</v>
      </c>
    </row>
    <row r="2496" spans="1:28" x14ac:dyDescent="0.25">
      <c r="A2496" t="s">
        <v>2500</v>
      </c>
      <c r="B2496">
        <v>0.99299721793515405</v>
      </c>
      <c r="C2496">
        <v>0.97447059505567202</v>
      </c>
      <c r="D2496">
        <v>0.99387034425960197</v>
      </c>
      <c r="E2496">
        <v>0.91939575299716803</v>
      </c>
      <c r="F2496">
        <v>0.77532112505080997</v>
      </c>
      <c r="G2496">
        <v>0.51760978708591798</v>
      </c>
      <c r="H2496">
        <v>0.58136798158273695</v>
      </c>
      <c r="I2496">
        <v>0.64389769047370904</v>
      </c>
      <c r="J2496">
        <v>0.74608983091800496</v>
      </c>
      <c r="K2496">
        <v>0.65037946491006104</v>
      </c>
      <c r="L2496">
        <v>1837.6492131965599</v>
      </c>
      <c r="M2496">
        <v>37.520979193950197</v>
      </c>
      <c r="O2496">
        <v>48.838079348049597</v>
      </c>
      <c r="P2496">
        <v>-7.0944618846478694E-2</v>
      </c>
      <c r="Q2496">
        <v>0.63062907910824195</v>
      </c>
      <c r="R2496">
        <v>0.87888581686739098</v>
      </c>
      <c r="S2496" t="s">
        <v>8047</v>
      </c>
      <c r="T2496" t="s">
        <v>11100</v>
      </c>
      <c r="U2496" t="s">
        <v>11100</v>
      </c>
      <c r="V2496" t="s">
        <v>11100</v>
      </c>
      <c r="W2496" t="s">
        <v>13555</v>
      </c>
      <c r="X2496">
        <v>16</v>
      </c>
      <c r="Y2496" t="s">
        <v>19019</v>
      </c>
      <c r="Z2496" t="s">
        <v>24501</v>
      </c>
      <c r="AA2496">
        <v>0.77951109381567585</v>
      </c>
      <c r="AB2496" t="str">
        <f>HYPERLINK("Melting_Curves/meltCurve_P55145_MANF.pdf", "Melting_Curves/meltCurve_P55145_MANF.pdf")</f>
        <v>Melting_Curves/meltCurve_P55145_MANF.pdf</v>
      </c>
    </row>
    <row r="2497" spans="1:28" x14ac:dyDescent="0.25">
      <c r="A2497" t="s">
        <v>2501</v>
      </c>
      <c r="B2497">
        <v>0.99299721793515405</v>
      </c>
      <c r="C2497">
        <v>0.99426800018634498</v>
      </c>
      <c r="D2497">
        <v>0.91705853142581895</v>
      </c>
      <c r="E2497">
        <v>0.91340876950537897</v>
      </c>
      <c r="F2497">
        <v>0.73691629445795603</v>
      </c>
      <c r="G2497">
        <v>0.46851690103721599</v>
      </c>
      <c r="H2497">
        <v>0.46226525867910001</v>
      </c>
      <c r="I2497">
        <v>0.45170059467141199</v>
      </c>
      <c r="J2497">
        <v>0.35540232362132601</v>
      </c>
      <c r="K2497">
        <v>0.22831622944878699</v>
      </c>
      <c r="L2497">
        <v>667.60389748482601</v>
      </c>
      <c r="M2497">
        <v>12.835168475443499</v>
      </c>
      <c r="N2497">
        <v>55.361535473954397</v>
      </c>
      <c r="O2497">
        <v>50.799567293250497</v>
      </c>
      <c r="P2497">
        <v>-4.6124560143519497E-2</v>
      </c>
      <c r="Q2497">
        <v>0.26992068198396102</v>
      </c>
      <c r="R2497">
        <v>0.96395434452315398</v>
      </c>
      <c r="S2497" t="s">
        <v>8048</v>
      </c>
      <c r="T2497" t="s">
        <v>11100</v>
      </c>
      <c r="U2497" t="s">
        <v>11100</v>
      </c>
      <c r="V2497" t="s">
        <v>11100</v>
      </c>
      <c r="W2497" t="s">
        <v>13556</v>
      </c>
      <c r="X2497">
        <v>11</v>
      </c>
      <c r="Y2497" t="s">
        <v>19020</v>
      </c>
      <c r="Z2497" t="s">
        <v>24502</v>
      </c>
      <c r="AA2497">
        <v>0.65166281848579866</v>
      </c>
      <c r="AB2497" t="str">
        <f>HYPERLINK("Melting_Curves/meltCurve_P55210_4_CASP7.pdf", "Melting_Curves/meltCurve_P55210_4_CASP7.pdf")</f>
        <v>Melting_Curves/meltCurve_P55210_4_CASP7.pdf</v>
      </c>
    </row>
    <row r="2498" spans="1:28" x14ac:dyDescent="0.25">
      <c r="A2498" t="s">
        <v>2502</v>
      </c>
      <c r="B2498">
        <v>0.99299721793515405</v>
      </c>
      <c r="C2498">
        <v>0.90720075504481301</v>
      </c>
      <c r="D2498">
        <v>0.91798830195332703</v>
      </c>
      <c r="E2498">
        <v>0.80640268388182701</v>
      </c>
      <c r="F2498">
        <v>0.63753986075164903</v>
      </c>
      <c r="G2498">
        <v>0.486739468858505</v>
      </c>
      <c r="H2498">
        <v>0.54829940973196201</v>
      </c>
      <c r="I2498">
        <v>0.65903911687306305</v>
      </c>
      <c r="J2498">
        <v>0.79196355765179804</v>
      </c>
      <c r="K2498">
        <v>0.71244883307107398</v>
      </c>
      <c r="L2498">
        <v>1187.9517192682099</v>
      </c>
      <c r="M2498">
        <v>26.1155080462866</v>
      </c>
      <c r="O2498">
        <v>45.2241439524866</v>
      </c>
      <c r="P2498">
        <v>-5.2301845783927499E-2</v>
      </c>
      <c r="Q2498">
        <v>0.63772022612378998</v>
      </c>
      <c r="R2498">
        <v>0.70815533283128596</v>
      </c>
      <c r="S2498" t="s">
        <v>8049</v>
      </c>
      <c r="T2498" t="s">
        <v>11100</v>
      </c>
      <c r="U2498" t="s">
        <v>11100</v>
      </c>
      <c r="V2498" t="s">
        <v>11100</v>
      </c>
      <c r="W2498" t="s">
        <v>13557</v>
      </c>
      <c r="X2498">
        <v>9</v>
      </c>
      <c r="Y2498" t="s">
        <v>19021</v>
      </c>
      <c r="Z2498" t="s">
        <v>24503</v>
      </c>
      <c r="AA2498">
        <v>0.74295267788146435</v>
      </c>
      <c r="AB2498" t="str">
        <f>HYPERLINK("Melting_Curves/meltCurve_P55212_CASP6.pdf", "Melting_Curves/meltCurve_P55212_CASP6.pdf")</f>
        <v>Melting_Curves/meltCurve_P55212_CASP6.pdf</v>
      </c>
    </row>
    <row r="2499" spans="1:28" x14ac:dyDescent="0.25">
      <c r="A2499" t="s">
        <v>2503</v>
      </c>
      <c r="B2499">
        <v>0.99299721793515405</v>
      </c>
      <c r="C2499">
        <v>1.00493396236472</v>
      </c>
      <c r="D2499">
        <v>1.40028309804618</v>
      </c>
      <c r="E2499">
        <v>0.96881153290091404</v>
      </c>
      <c r="F2499">
        <v>0.74220168364823402</v>
      </c>
      <c r="G2499">
        <v>0.80215681233722202</v>
      </c>
      <c r="H2499">
        <v>0.43300622856478099</v>
      </c>
      <c r="I2499">
        <v>0.23574251736872301</v>
      </c>
      <c r="J2499">
        <v>0.130615558463924</v>
      </c>
      <c r="K2499">
        <v>0.113181034215702</v>
      </c>
      <c r="L2499">
        <v>941.938085714723</v>
      </c>
      <c r="M2499">
        <v>16.6597558522447</v>
      </c>
      <c r="N2499">
        <v>56.716938359251401</v>
      </c>
      <c r="O2499">
        <v>55.7439250403486</v>
      </c>
      <c r="P2499">
        <v>-7.2825630458484197E-2</v>
      </c>
      <c r="Q2499">
        <v>2.5360248548521001E-2</v>
      </c>
      <c r="R2499">
        <v>0.88420780608015703</v>
      </c>
      <c r="S2499" t="s">
        <v>8050</v>
      </c>
      <c r="T2499" t="s">
        <v>11100</v>
      </c>
      <c r="U2499" t="s">
        <v>11100</v>
      </c>
      <c r="V2499" t="s">
        <v>11100</v>
      </c>
      <c r="W2499" t="s">
        <v>13558</v>
      </c>
      <c r="X2499">
        <v>13</v>
      </c>
      <c r="Y2499" t="s">
        <v>19022</v>
      </c>
      <c r="Z2499" t="s">
        <v>24504</v>
      </c>
      <c r="AA2499">
        <v>0.66999065638635869</v>
      </c>
      <c r="AB2499" t="str">
        <f>HYPERLINK("Melting_Curves/meltCurve_P55263_2_ADK.pdf", "Melting_Curves/meltCurve_P55263_2_ADK.pdf")</f>
        <v>Melting_Curves/meltCurve_P55263_2_ADK.pdf</v>
      </c>
    </row>
    <row r="2500" spans="1:28" x14ac:dyDescent="0.25">
      <c r="A2500" t="s">
        <v>2504</v>
      </c>
      <c r="B2500">
        <v>0.99299721793515405</v>
      </c>
      <c r="C2500">
        <v>0.84986740387409598</v>
      </c>
      <c r="D2500">
        <v>0.90374948478511197</v>
      </c>
      <c r="E2500">
        <v>0.826258862464746</v>
      </c>
      <c r="F2500">
        <v>0.65566370661740903</v>
      </c>
      <c r="G2500">
        <v>0.564190179877328</v>
      </c>
      <c r="H2500">
        <v>0.557529248297011</v>
      </c>
      <c r="I2500">
        <v>0.60302903568809496</v>
      </c>
      <c r="J2500">
        <v>0.23452343347028501</v>
      </c>
      <c r="K2500">
        <v>5.5363376624914001E-2</v>
      </c>
      <c r="L2500">
        <v>398.95760292844102</v>
      </c>
      <c r="M2500">
        <v>7.0451224176175398</v>
      </c>
      <c r="N2500">
        <v>56.628903978950397</v>
      </c>
      <c r="O2500">
        <v>52.596703271505</v>
      </c>
      <c r="P2500">
        <v>-3.3547158325889101E-2</v>
      </c>
      <c r="Q2500">
        <v>0</v>
      </c>
      <c r="R2500">
        <v>0.853643666491676</v>
      </c>
      <c r="S2500" t="s">
        <v>8051</v>
      </c>
      <c r="T2500" t="s">
        <v>11100</v>
      </c>
      <c r="U2500" t="s">
        <v>11100</v>
      </c>
      <c r="V2500" t="s">
        <v>11100</v>
      </c>
      <c r="W2500" t="s">
        <v>13559</v>
      </c>
      <c r="X2500">
        <v>2</v>
      </c>
      <c r="Y2500" t="s">
        <v>19023</v>
      </c>
      <c r="Z2500" t="s">
        <v>24505</v>
      </c>
      <c r="AA2500">
        <v>0.64009074115141085</v>
      </c>
      <c r="AB2500" t="str">
        <f>HYPERLINK("Melting_Curves/meltCurve_P55268_LAMB2.pdf", "Melting_Curves/meltCurve_P55268_LAMB2.pdf")</f>
        <v>Melting_Curves/meltCurve_P55268_LAMB2.pdf</v>
      </c>
    </row>
    <row r="2501" spans="1:28" x14ac:dyDescent="0.25">
      <c r="A2501" t="s">
        <v>2505</v>
      </c>
      <c r="B2501">
        <v>0.99299721793515405</v>
      </c>
      <c r="C2501">
        <v>1.0084806368311701</v>
      </c>
      <c r="D2501">
        <v>1.0844646733572501</v>
      </c>
      <c r="E2501">
        <v>0.94534526191548496</v>
      </c>
      <c r="F2501">
        <v>0.78532484525322799</v>
      </c>
      <c r="G2501">
        <v>0.58199114841393296</v>
      </c>
      <c r="H2501">
        <v>0.59629859987001099</v>
      </c>
      <c r="I2501">
        <v>0.69801869217249302</v>
      </c>
      <c r="J2501">
        <v>0.85446695273898199</v>
      </c>
      <c r="K2501">
        <v>0.71115910430228901</v>
      </c>
      <c r="L2501">
        <v>2198.5281105961999</v>
      </c>
      <c r="M2501">
        <v>44.967173834760501</v>
      </c>
      <c r="O2501">
        <v>48.7954455627318</v>
      </c>
      <c r="P2501">
        <v>-7.1295305611830395E-2</v>
      </c>
      <c r="Q2501">
        <v>0.69054033086170596</v>
      </c>
      <c r="R2501">
        <v>0.79893262343579696</v>
      </c>
      <c r="S2501" t="s">
        <v>8052</v>
      </c>
      <c r="T2501" t="s">
        <v>11100</v>
      </c>
      <c r="U2501" t="s">
        <v>11100</v>
      </c>
      <c r="V2501" t="s">
        <v>11100</v>
      </c>
      <c r="W2501" t="s">
        <v>13560</v>
      </c>
      <c r="X2501">
        <v>11</v>
      </c>
      <c r="Y2501" t="s">
        <v>19024</v>
      </c>
      <c r="Z2501" t="s">
        <v>24506</v>
      </c>
      <c r="AA2501">
        <v>0.81403468270327306</v>
      </c>
      <c r="AB2501" t="str">
        <f>HYPERLINK("Melting_Curves/meltCurve_P55327_2_TPD52.pdf", "Melting_Curves/meltCurve_P55327_2_TPD52.pdf")</f>
        <v>Melting_Curves/meltCurve_P55327_2_TPD52.pdf</v>
      </c>
    </row>
    <row r="2502" spans="1:28" x14ac:dyDescent="0.25">
      <c r="A2502" t="s">
        <v>2506</v>
      </c>
      <c r="B2502">
        <v>0.99299721793515405</v>
      </c>
      <c r="C2502">
        <v>1.00887652066015</v>
      </c>
      <c r="D2502">
        <v>0.95176785050525503</v>
      </c>
      <c r="E2502">
        <v>0.89131570093381396</v>
      </c>
      <c r="F2502">
        <v>0.94740157096109501</v>
      </c>
      <c r="G2502">
        <v>0.72606279692986597</v>
      </c>
      <c r="H2502">
        <v>0.65395987938425604</v>
      </c>
      <c r="I2502">
        <v>0.335709503235186</v>
      </c>
      <c r="J2502">
        <v>0.178095456923829</v>
      </c>
      <c r="K2502">
        <v>0.13024721068873901</v>
      </c>
      <c r="L2502">
        <v>869.40000975245403</v>
      </c>
      <c r="M2502">
        <v>14.860747224712799</v>
      </c>
      <c r="N2502">
        <v>58.503115403333297</v>
      </c>
      <c r="O2502">
        <v>57.4743866375522</v>
      </c>
      <c r="P2502">
        <v>-6.4647505903162303E-2</v>
      </c>
      <c r="Q2502">
        <v>0</v>
      </c>
      <c r="R2502">
        <v>0.97917747930471599</v>
      </c>
      <c r="S2502" t="s">
        <v>8053</v>
      </c>
      <c r="T2502" t="s">
        <v>11100</v>
      </c>
      <c r="U2502" t="s">
        <v>11100</v>
      </c>
      <c r="V2502" t="s">
        <v>11100</v>
      </c>
      <c r="W2502" t="s">
        <v>13561</v>
      </c>
      <c r="X2502">
        <v>4</v>
      </c>
      <c r="Y2502" t="s">
        <v>19025</v>
      </c>
      <c r="Z2502" t="s">
        <v>24507</v>
      </c>
      <c r="AA2502">
        <v>0.71835981973420215</v>
      </c>
      <c r="AB2502" t="str">
        <f>HYPERLINK("Melting_Curves/meltCurve_P55735_SEC13.pdf", "Melting_Curves/meltCurve_P55735_SEC13.pdf")</f>
        <v>Melting_Curves/meltCurve_P55735_SEC13.pdf</v>
      </c>
    </row>
    <row r="2503" spans="1:28" x14ac:dyDescent="0.25">
      <c r="A2503" t="s">
        <v>2507</v>
      </c>
      <c r="B2503">
        <v>0.99299721793515405</v>
      </c>
      <c r="C2503">
        <v>1.01169169672815</v>
      </c>
      <c r="D2503">
        <v>0.97976608387352804</v>
      </c>
      <c r="E2503">
        <v>0.82526296871644</v>
      </c>
      <c r="F2503">
        <v>0.59913376136728902</v>
      </c>
      <c r="G2503">
        <v>0.36740691714889301</v>
      </c>
      <c r="H2503">
        <v>0.26898270182395501</v>
      </c>
      <c r="I2503">
        <v>0.21820593838014499</v>
      </c>
      <c r="J2503">
        <v>0.175437340637182</v>
      </c>
      <c r="K2503">
        <v>0.15453243903538899</v>
      </c>
      <c r="L2503">
        <v>855.68638346275497</v>
      </c>
      <c r="M2503">
        <v>16.953844095898098</v>
      </c>
      <c r="N2503">
        <v>51.632295815403197</v>
      </c>
      <c r="O2503">
        <v>49.785028485923696</v>
      </c>
      <c r="P2503">
        <v>-7.1649181315443802E-2</v>
      </c>
      <c r="Q2503">
        <v>0.158460372946782</v>
      </c>
      <c r="R2503">
        <v>0.99839314078770902</v>
      </c>
      <c r="S2503" t="s">
        <v>8054</v>
      </c>
      <c r="T2503" t="s">
        <v>11100</v>
      </c>
      <c r="U2503" t="s">
        <v>11100</v>
      </c>
      <c r="V2503" t="s">
        <v>11100</v>
      </c>
      <c r="W2503" t="s">
        <v>13562</v>
      </c>
      <c r="X2503">
        <v>17</v>
      </c>
      <c r="Y2503" t="s">
        <v>19026</v>
      </c>
      <c r="Z2503" t="s">
        <v>24508</v>
      </c>
      <c r="AA2503">
        <v>0.55082574553674568</v>
      </c>
      <c r="AB2503" t="str">
        <f>HYPERLINK("Melting_Curves/meltCurve_P55884_EIF3B.pdf", "Melting_Curves/meltCurve_P55884_EIF3B.pdf")</f>
        <v>Melting_Curves/meltCurve_P55884_EIF3B.pdf</v>
      </c>
    </row>
    <row r="2504" spans="1:28" x14ac:dyDescent="0.25">
      <c r="A2504" t="s">
        <v>2508</v>
      </c>
      <c r="B2504">
        <v>0.99299721793515405</v>
      </c>
      <c r="C2504">
        <v>0.90787312677835297</v>
      </c>
      <c r="D2504">
        <v>0.921594315823001</v>
      </c>
      <c r="E2504">
        <v>0.86520461840902896</v>
      </c>
      <c r="F2504">
        <v>0.77365758385883399</v>
      </c>
      <c r="G2504">
        <v>0.45784525193417003</v>
      </c>
      <c r="H2504">
        <v>0.51084539042876997</v>
      </c>
      <c r="I2504">
        <v>0.57081284733521798</v>
      </c>
      <c r="J2504">
        <v>0.60764108027863195</v>
      </c>
      <c r="K2504">
        <v>0.50627803041382602</v>
      </c>
      <c r="L2504">
        <v>1112.5049618707201</v>
      </c>
      <c r="M2504">
        <v>22.771564225164301</v>
      </c>
      <c r="O2504">
        <v>48.4829032662267</v>
      </c>
      <c r="P2504">
        <v>-5.5512353545960402E-2</v>
      </c>
      <c r="Q2504">
        <v>0.52724396783154204</v>
      </c>
      <c r="R2504">
        <v>0.88576254391936404</v>
      </c>
      <c r="S2504" t="s">
        <v>8055</v>
      </c>
      <c r="T2504" t="s">
        <v>11100</v>
      </c>
      <c r="U2504" t="s">
        <v>11100</v>
      </c>
      <c r="V2504" t="s">
        <v>11100</v>
      </c>
      <c r="W2504" t="s">
        <v>13563</v>
      </c>
      <c r="X2504">
        <v>10</v>
      </c>
      <c r="Y2504" t="s">
        <v>19027</v>
      </c>
      <c r="Z2504" t="s">
        <v>24509</v>
      </c>
      <c r="AA2504">
        <v>0.71894415983500859</v>
      </c>
      <c r="AB2504" t="str">
        <f>HYPERLINK("Melting_Curves/meltCurve_P55957_BID.pdf", "Melting_Curves/meltCurve_P55957_BID.pdf")</f>
        <v>Melting_Curves/meltCurve_P55957_BID.pdf</v>
      </c>
    </row>
    <row r="2505" spans="1:28" x14ac:dyDescent="0.25">
      <c r="A2505" t="s">
        <v>2509</v>
      </c>
      <c r="B2505">
        <v>0.99299721793515405</v>
      </c>
      <c r="C2505">
        <v>0.89113384184979705</v>
      </c>
      <c r="D2505">
        <v>1.0133099043845999</v>
      </c>
      <c r="E2505">
        <v>0.79684103705505804</v>
      </c>
      <c r="F2505">
        <v>0.73198385781845798</v>
      </c>
      <c r="G2505">
        <v>0.70653295434979602</v>
      </c>
      <c r="H2505">
        <v>1.04708795470279</v>
      </c>
      <c r="I2505">
        <v>1.3289951377123099</v>
      </c>
      <c r="J2505">
        <v>1.5064920580646901</v>
      </c>
      <c r="K2505">
        <v>1.5027568349404701</v>
      </c>
      <c r="L2505">
        <v>3524.7070065284101</v>
      </c>
      <c r="M2505">
        <v>58.492729556300198</v>
      </c>
      <c r="O2505">
        <v>60.188578463557697</v>
      </c>
      <c r="P2505">
        <v>0.121478106122322</v>
      </c>
      <c r="Q2505">
        <v>1.5</v>
      </c>
      <c r="R2505">
        <v>0.73573345323769002</v>
      </c>
      <c r="S2505" t="s">
        <v>8056</v>
      </c>
      <c r="T2505" t="s">
        <v>11100</v>
      </c>
      <c r="U2505" t="s">
        <v>11100</v>
      </c>
      <c r="V2505" t="s">
        <v>11100</v>
      </c>
      <c r="W2505" t="s">
        <v>13564</v>
      </c>
      <c r="X2505">
        <v>15</v>
      </c>
      <c r="Y2505" t="s">
        <v>19028</v>
      </c>
      <c r="Z2505" t="s">
        <v>24510</v>
      </c>
      <c r="AA2505">
        <v>1.111443494041223</v>
      </c>
      <c r="AB2505" t="str">
        <f>HYPERLINK("Melting_Curves/meltCurve_P56181_2_NDUFV3.pdf", "Melting_Curves/meltCurve_P56181_2_NDUFV3.pdf")</f>
        <v>Melting_Curves/meltCurve_P56181_2_NDUFV3.pdf</v>
      </c>
    </row>
    <row r="2506" spans="1:28" x14ac:dyDescent="0.25">
      <c r="A2506" t="s">
        <v>2510</v>
      </c>
      <c r="B2506">
        <v>0.99299721793515405</v>
      </c>
      <c r="C2506">
        <v>1.12661920388422</v>
      </c>
      <c r="D2506">
        <v>1.42977424705179</v>
      </c>
      <c r="E2506">
        <v>0.86696328279983703</v>
      </c>
      <c r="F2506">
        <v>0.37685475059233298</v>
      </c>
      <c r="G2506">
        <v>0.32016036186587399</v>
      </c>
      <c r="H2506">
        <v>0.18132654504523499</v>
      </c>
      <c r="I2506">
        <v>0.16660986817316101</v>
      </c>
      <c r="J2506">
        <v>0.160358927074778</v>
      </c>
      <c r="K2506">
        <v>0.122185352190762</v>
      </c>
      <c r="L2506">
        <v>1885.4833623669001</v>
      </c>
      <c r="M2506">
        <v>38.622154806401603</v>
      </c>
      <c r="N2506">
        <v>49.397829181971701</v>
      </c>
      <c r="O2506">
        <v>48.688371510713303</v>
      </c>
      <c r="P2506">
        <v>-0.16220523186588701</v>
      </c>
      <c r="Q2506">
        <v>0.18207673462423499</v>
      </c>
      <c r="R2506">
        <v>0.89369569702658402</v>
      </c>
      <c r="S2506" t="s">
        <v>8057</v>
      </c>
      <c r="T2506" t="s">
        <v>11100</v>
      </c>
      <c r="U2506" t="s">
        <v>11100</v>
      </c>
      <c r="V2506" t="s">
        <v>11100</v>
      </c>
      <c r="W2506" t="s">
        <v>13565</v>
      </c>
      <c r="X2506">
        <v>7</v>
      </c>
      <c r="Y2506" t="s">
        <v>19029</v>
      </c>
      <c r="Z2506" t="s">
        <v>24511</v>
      </c>
      <c r="AA2506">
        <v>0.50726444478602761</v>
      </c>
      <c r="AB2506" t="str">
        <f>HYPERLINK("Melting_Curves/meltCurve_P56182_RRP1.pdf", "Melting_Curves/meltCurve_P56182_RRP1.pdf")</f>
        <v>Melting_Curves/meltCurve_P56182_RRP1.pdf</v>
      </c>
    </row>
    <row r="2507" spans="1:28" x14ac:dyDescent="0.25">
      <c r="A2507" t="s">
        <v>2511</v>
      </c>
      <c r="B2507">
        <v>0.99299721793515405</v>
      </c>
      <c r="C2507">
        <v>0.97898456007267798</v>
      </c>
      <c r="D2507">
        <v>0.89767752904734399</v>
      </c>
      <c r="E2507">
        <v>0.719149628206042</v>
      </c>
      <c r="F2507">
        <v>0.59519207061086798</v>
      </c>
      <c r="G2507">
        <v>0.293489192009808</v>
      </c>
      <c r="H2507">
        <v>0.19858314130142199</v>
      </c>
      <c r="I2507">
        <v>0.177779802006856</v>
      </c>
      <c r="J2507">
        <v>0.172787490316544</v>
      </c>
      <c r="K2507">
        <v>0.12358335966105199</v>
      </c>
      <c r="L2507">
        <v>699.16152959221199</v>
      </c>
      <c r="M2507">
        <v>14.0542185978044</v>
      </c>
      <c r="N2507">
        <v>50.615598873871797</v>
      </c>
      <c r="O2507">
        <v>48.7727471550415</v>
      </c>
      <c r="P2507">
        <v>-6.4332219736250904E-2</v>
      </c>
      <c r="Q2507">
        <v>0.10710080056292499</v>
      </c>
      <c r="R2507">
        <v>0.99170739321834001</v>
      </c>
      <c r="S2507" t="s">
        <v>8058</v>
      </c>
      <c r="T2507" t="s">
        <v>11100</v>
      </c>
      <c r="U2507" t="s">
        <v>11100</v>
      </c>
      <c r="V2507" t="s">
        <v>11100</v>
      </c>
      <c r="W2507" t="s">
        <v>13566</v>
      </c>
      <c r="X2507">
        <v>9</v>
      </c>
      <c r="Y2507" t="s">
        <v>19030</v>
      </c>
      <c r="Z2507" t="s">
        <v>24512</v>
      </c>
      <c r="AA2507">
        <v>0.50717015848947111</v>
      </c>
      <c r="AB2507" t="str">
        <f>HYPERLINK("Melting_Curves/meltCurve_P56192_MARS.pdf", "Melting_Curves/meltCurve_P56192_MARS.pdf")</f>
        <v>Melting_Curves/meltCurve_P56192_MARS.pdf</v>
      </c>
    </row>
    <row r="2508" spans="1:28" x14ac:dyDescent="0.25">
      <c r="A2508" t="s">
        <v>2512</v>
      </c>
      <c r="B2508">
        <v>0.99299721793515405</v>
      </c>
      <c r="C2508">
        <v>0.79466075459705898</v>
      </c>
      <c r="D2508">
        <v>0.90311731821259</v>
      </c>
      <c r="E2508">
        <v>0.689325889826232</v>
      </c>
      <c r="F2508">
        <v>0.66851887593646198</v>
      </c>
      <c r="G2508">
        <v>0.47342445562913998</v>
      </c>
      <c r="H2508">
        <v>0.33156599880987297</v>
      </c>
      <c r="I2508">
        <v>0.37428991937383099</v>
      </c>
      <c r="J2508">
        <v>0.37110636649881701</v>
      </c>
      <c r="K2508">
        <v>0.40521738683266101</v>
      </c>
      <c r="L2508">
        <v>465.76528774844797</v>
      </c>
      <c r="M2508">
        <v>9.6528585761988897</v>
      </c>
      <c r="N2508">
        <v>53.444259173302903</v>
      </c>
      <c r="O2508">
        <v>46.317144023638498</v>
      </c>
      <c r="P2508">
        <v>-3.626895261167E-2</v>
      </c>
      <c r="Q2508">
        <v>0.304272625355687</v>
      </c>
      <c r="R2508">
        <v>0.92290343002235697</v>
      </c>
      <c r="S2508" t="s">
        <v>8059</v>
      </c>
      <c r="T2508" t="s">
        <v>11100</v>
      </c>
      <c r="U2508" t="s">
        <v>11100</v>
      </c>
      <c r="V2508" t="s">
        <v>11100</v>
      </c>
      <c r="W2508" t="s">
        <v>13567</v>
      </c>
      <c r="X2508">
        <v>7</v>
      </c>
      <c r="Y2508" t="s">
        <v>19031</v>
      </c>
      <c r="Z2508" t="s">
        <v>24513</v>
      </c>
      <c r="AA2508">
        <v>0.59382415514642095</v>
      </c>
      <c r="AB2508" t="str">
        <f>HYPERLINK("Melting_Curves/meltCurve_P56270_2_MAZ.pdf", "Melting_Curves/meltCurve_P56270_2_MAZ.pdf")</f>
        <v>Melting_Curves/meltCurve_P56270_2_MAZ.pdf</v>
      </c>
    </row>
    <row r="2509" spans="1:28" x14ac:dyDescent="0.25">
      <c r="A2509" t="s">
        <v>2513</v>
      </c>
      <c r="B2509">
        <v>0.99299721793515405</v>
      </c>
      <c r="C2509">
        <v>0.90716017127814497</v>
      </c>
      <c r="D2509">
        <v>0.92288646812522401</v>
      </c>
      <c r="E2509">
        <v>0.923196092500425</v>
      </c>
      <c r="F2509">
        <v>0.822971881050378</v>
      </c>
      <c r="G2509">
        <v>0.53847124169027805</v>
      </c>
      <c r="H2509">
        <v>0.59143185230837303</v>
      </c>
      <c r="I2509">
        <v>0.75682648407987796</v>
      </c>
      <c r="J2509">
        <v>0.98198561056849498</v>
      </c>
      <c r="K2509">
        <v>0.86917615650591895</v>
      </c>
      <c r="L2509">
        <v>1769.2775864809901</v>
      </c>
      <c r="M2509">
        <v>37.207691512904702</v>
      </c>
      <c r="O2509">
        <v>47.414663694539598</v>
      </c>
      <c r="P2509">
        <v>-4.8252308495152101E-2</v>
      </c>
      <c r="Q2509">
        <v>0.75404434689877498</v>
      </c>
      <c r="R2509">
        <v>0.30093819666390698</v>
      </c>
      <c r="S2509" t="s">
        <v>8060</v>
      </c>
      <c r="T2509" t="s">
        <v>11100</v>
      </c>
      <c r="U2509" t="s">
        <v>11100</v>
      </c>
      <c r="V2509" t="s">
        <v>11100</v>
      </c>
      <c r="W2509" t="s">
        <v>13568</v>
      </c>
      <c r="X2509">
        <v>6</v>
      </c>
      <c r="Y2509" t="s">
        <v>19032</v>
      </c>
      <c r="Z2509" t="s">
        <v>24514</v>
      </c>
      <c r="AA2509">
        <v>0.84148575969559702</v>
      </c>
      <c r="AB2509" t="str">
        <f>HYPERLINK("Melting_Curves/meltCurve_P56277_CMC4.pdf", "Melting_Curves/meltCurve_P56277_CMC4.pdf")</f>
        <v>Melting_Curves/meltCurve_P56277_CMC4.pdf</v>
      </c>
    </row>
    <row r="2510" spans="1:28" x14ac:dyDescent="0.25">
      <c r="A2510" t="s">
        <v>2514</v>
      </c>
      <c r="B2510">
        <v>0.99299721793515405</v>
      </c>
      <c r="C2510">
        <v>1.2524279312818101</v>
      </c>
      <c r="D2510">
        <v>1.0409482324050601</v>
      </c>
      <c r="E2510">
        <v>0.93560170941603205</v>
      </c>
      <c r="F2510">
        <v>0.71730105081774398</v>
      </c>
      <c r="G2510">
        <v>0.46212285864118802</v>
      </c>
      <c r="H2510">
        <v>0.30629747077304498</v>
      </c>
      <c r="I2510">
        <v>0.12572796508926401</v>
      </c>
      <c r="J2510">
        <v>8.7631863360898302E-2</v>
      </c>
      <c r="K2510">
        <v>5.0217655815316398E-2</v>
      </c>
      <c r="L2510">
        <v>892.94226028836999</v>
      </c>
      <c r="M2510">
        <v>16.7490567086246</v>
      </c>
      <c r="N2510">
        <v>53.530181313251198</v>
      </c>
      <c r="O2510">
        <v>52.570407498707802</v>
      </c>
      <c r="P2510">
        <v>-7.7039134340833204E-2</v>
      </c>
      <c r="Q2510">
        <v>3.28499525854185E-2</v>
      </c>
      <c r="R2510">
        <v>0.95936968742186302</v>
      </c>
      <c r="S2510" t="s">
        <v>8061</v>
      </c>
      <c r="T2510" t="s">
        <v>11100</v>
      </c>
      <c r="U2510" t="s">
        <v>11100</v>
      </c>
      <c r="V2510" t="s">
        <v>11100</v>
      </c>
      <c r="W2510" t="s">
        <v>13569</v>
      </c>
      <c r="X2510">
        <v>1</v>
      </c>
      <c r="Y2510" t="s">
        <v>19033</v>
      </c>
      <c r="Z2510" t="s">
        <v>24515</v>
      </c>
      <c r="AA2510">
        <v>0.57380622250347535</v>
      </c>
      <c r="AB2510" t="str">
        <f>HYPERLINK("Melting_Curves/meltCurve_P56377_AP1S2.pdf", "Melting_Curves/meltCurve_P56377_AP1S2.pdf")</f>
        <v>Melting_Curves/meltCurve_P56377_AP1S2.pdf</v>
      </c>
    </row>
    <row r="2511" spans="1:28" x14ac:dyDescent="0.25">
      <c r="A2511" t="s">
        <v>2515</v>
      </c>
      <c r="B2511">
        <v>0.99299721793515405</v>
      </c>
      <c r="C2511">
        <v>0.947889693120893</v>
      </c>
      <c r="D2511">
        <v>0.93218654228182596</v>
      </c>
      <c r="E2511">
        <v>0.89968197964656804</v>
      </c>
      <c r="F2511">
        <v>0.78059422732174399</v>
      </c>
      <c r="G2511">
        <v>0.84542619547549602</v>
      </c>
      <c r="H2511">
        <v>1.0860243862693</v>
      </c>
      <c r="I2511">
        <v>1.12028963215282</v>
      </c>
      <c r="J2511">
        <v>1.0566590910672</v>
      </c>
      <c r="K2511">
        <v>1.03141248588056</v>
      </c>
      <c r="L2511">
        <v>6294.6661736591404</v>
      </c>
      <c r="M2511">
        <v>112.103024091131</v>
      </c>
      <c r="O2511">
        <v>56.132863070533098</v>
      </c>
      <c r="P2511">
        <v>3.7179708704090098E-2</v>
      </c>
      <c r="Q2511">
        <v>1.07446733725218</v>
      </c>
      <c r="R2511">
        <v>0.112168597413109</v>
      </c>
      <c r="S2511" t="s">
        <v>8062</v>
      </c>
      <c r="T2511" t="s">
        <v>11100</v>
      </c>
      <c r="U2511" t="s">
        <v>11100</v>
      </c>
      <c r="V2511" t="s">
        <v>11100</v>
      </c>
      <c r="W2511" t="s">
        <v>13570</v>
      </c>
      <c r="X2511">
        <v>6</v>
      </c>
      <c r="Y2511" t="s">
        <v>19034</v>
      </c>
      <c r="Z2511" t="s">
        <v>24516</v>
      </c>
      <c r="AA2511">
        <v>1.0268940242143969</v>
      </c>
      <c r="AB2511" t="str">
        <f>HYPERLINK("Melting_Curves/meltCurve_P56385_ATP5I.pdf", "Melting_Curves/meltCurve_P56385_ATP5I.pdf")</f>
        <v>Melting_Curves/meltCurve_P56385_ATP5I.pdf</v>
      </c>
    </row>
    <row r="2512" spans="1:28" x14ac:dyDescent="0.25">
      <c r="A2512" t="s">
        <v>2516</v>
      </c>
      <c r="B2512">
        <v>0.99299721793515405</v>
      </c>
      <c r="C2512">
        <v>0.87864384467752399</v>
      </c>
      <c r="D2512">
        <v>1.1290557022518299</v>
      </c>
      <c r="E2512">
        <v>0.73241985107253504</v>
      </c>
      <c r="F2512">
        <v>0.52346276181560003</v>
      </c>
      <c r="G2512">
        <v>0.52382223732369104</v>
      </c>
      <c r="H2512">
        <v>0.39358286176312302</v>
      </c>
      <c r="I2512">
        <v>0.27726970955332297</v>
      </c>
      <c r="J2512">
        <v>0.28686347939003398</v>
      </c>
      <c r="K2512">
        <v>0.23729819463971699</v>
      </c>
      <c r="L2512">
        <v>718.94788197957803</v>
      </c>
      <c r="M2512">
        <v>14.4574370560152</v>
      </c>
      <c r="N2512">
        <v>52.315978464296599</v>
      </c>
      <c r="O2512">
        <v>48.806201710293401</v>
      </c>
      <c r="P2512">
        <v>-5.5147338559347898E-2</v>
      </c>
      <c r="Q2512">
        <v>0.255409371119724</v>
      </c>
      <c r="R2512">
        <v>0.92299553662576295</v>
      </c>
      <c r="S2512" t="s">
        <v>8063</v>
      </c>
      <c r="T2512" t="s">
        <v>11100</v>
      </c>
      <c r="U2512" t="s">
        <v>11100</v>
      </c>
      <c r="V2512" t="s">
        <v>11100</v>
      </c>
      <c r="W2512" t="s">
        <v>13571</v>
      </c>
      <c r="X2512">
        <v>1</v>
      </c>
      <c r="Y2512" t="s">
        <v>19035</v>
      </c>
      <c r="Z2512" t="s">
        <v>24517</v>
      </c>
      <c r="AA2512">
        <v>0.58789310687934837</v>
      </c>
      <c r="AB2512" t="str">
        <f>HYPERLINK("Melting_Curves/meltCurve_P56524_HDAC4.pdf", "Melting_Curves/meltCurve_P56524_HDAC4.pdf")</f>
        <v>Melting_Curves/meltCurve_P56524_HDAC4.pdf</v>
      </c>
    </row>
    <row r="2513" spans="1:28" x14ac:dyDescent="0.25">
      <c r="A2513" t="s">
        <v>2517</v>
      </c>
      <c r="B2513">
        <v>0.99299721793515405</v>
      </c>
      <c r="C2513">
        <v>1.0064592325841499</v>
      </c>
      <c r="D2513">
        <v>0.94427628067136304</v>
      </c>
      <c r="E2513">
        <v>0.99662529930864696</v>
      </c>
      <c r="F2513">
        <v>0.88502542735269796</v>
      </c>
      <c r="G2513">
        <v>0.74182616463601803</v>
      </c>
      <c r="H2513">
        <v>0.86175929155999598</v>
      </c>
      <c r="I2513">
        <v>0.90133754119743403</v>
      </c>
      <c r="J2513">
        <v>0.55967488263029397</v>
      </c>
      <c r="K2513">
        <v>0.11803341429573901</v>
      </c>
      <c r="L2513">
        <v>2853.4620016538101</v>
      </c>
      <c r="M2513">
        <v>44.362025455699602</v>
      </c>
      <c r="N2513">
        <v>64.3221721394128</v>
      </c>
      <c r="O2513">
        <v>64.191883070351594</v>
      </c>
      <c r="P2513">
        <v>-0.17277140872517999</v>
      </c>
      <c r="Q2513">
        <v>0</v>
      </c>
      <c r="R2513">
        <v>0.85108427682449606</v>
      </c>
      <c r="S2513" t="s">
        <v>8064</v>
      </c>
      <c r="T2513" t="s">
        <v>11100</v>
      </c>
      <c r="U2513" t="s">
        <v>11100</v>
      </c>
      <c r="V2513" t="s">
        <v>11100</v>
      </c>
      <c r="W2513" t="s">
        <v>13572</v>
      </c>
      <c r="X2513">
        <v>10</v>
      </c>
      <c r="Y2513" t="s">
        <v>19036</v>
      </c>
      <c r="Z2513" t="s">
        <v>24518</v>
      </c>
      <c r="AA2513">
        <v>0.90569046039448342</v>
      </c>
      <c r="AB2513" t="str">
        <f>HYPERLINK("Melting_Curves/meltCurve_P56537_EIF6.pdf", "Melting_Curves/meltCurve_P56537_EIF6.pdf")</f>
        <v>Melting_Curves/meltCurve_P56537_EIF6.pdf</v>
      </c>
    </row>
    <row r="2514" spans="1:28" x14ac:dyDescent="0.25">
      <c r="A2514" t="s">
        <v>2518</v>
      </c>
      <c r="B2514">
        <v>0.99299721793515405</v>
      </c>
      <c r="C2514">
        <v>1.0193252612157899</v>
      </c>
      <c r="D2514">
        <v>0.98657227718253304</v>
      </c>
      <c r="E2514">
        <v>0.86750514421917502</v>
      </c>
      <c r="F2514">
        <v>0.59376751114853499</v>
      </c>
      <c r="G2514">
        <v>0.25003432353169203</v>
      </c>
      <c r="H2514">
        <v>0.18682014438828001</v>
      </c>
      <c r="I2514">
        <v>0.151319388210578</v>
      </c>
      <c r="J2514">
        <v>0.16616724063062999</v>
      </c>
      <c r="K2514">
        <v>0.11507916534934599</v>
      </c>
      <c r="L2514">
        <v>1234.1416953312801</v>
      </c>
      <c r="M2514">
        <v>24.571621173933799</v>
      </c>
      <c r="N2514">
        <v>50.889861273152903</v>
      </c>
      <c r="O2514">
        <v>49.8971788844038</v>
      </c>
      <c r="P2514">
        <v>-0.106238522799533</v>
      </c>
      <c r="Q2514">
        <v>0.13706531504543401</v>
      </c>
      <c r="R2514">
        <v>0.99749732911309097</v>
      </c>
      <c r="S2514" t="s">
        <v>8065</v>
      </c>
      <c r="T2514" t="s">
        <v>11100</v>
      </c>
      <c r="U2514" t="s">
        <v>11100</v>
      </c>
      <c r="V2514" t="s">
        <v>11100</v>
      </c>
      <c r="W2514" t="s">
        <v>13573</v>
      </c>
      <c r="X2514">
        <v>6</v>
      </c>
      <c r="Y2514" t="s">
        <v>19037</v>
      </c>
      <c r="Z2514" t="s">
        <v>24519</v>
      </c>
      <c r="AA2514">
        <v>0.52532859529758702</v>
      </c>
      <c r="AB2514" t="str">
        <f>HYPERLINK("Melting_Curves/meltCurve_P56589_PEX3.pdf", "Melting_Curves/meltCurve_P56589_PEX3.pdf")</f>
        <v>Melting_Curves/meltCurve_P56589_PEX3.pdf</v>
      </c>
    </row>
    <row r="2515" spans="1:28" x14ac:dyDescent="0.25">
      <c r="A2515" t="s">
        <v>2519</v>
      </c>
      <c r="B2515">
        <v>0.99299721793515405</v>
      </c>
      <c r="C2515">
        <v>0.98368127380381698</v>
      </c>
      <c r="D2515">
        <v>0.91270742550905304</v>
      </c>
      <c r="E2515">
        <v>0.88479686723139495</v>
      </c>
      <c r="F2515">
        <v>0.78817634658693203</v>
      </c>
      <c r="G2515">
        <v>0.39393096118344501</v>
      </c>
      <c r="H2515">
        <v>0.30744149706880902</v>
      </c>
      <c r="I2515">
        <v>0.29844854119555903</v>
      </c>
      <c r="J2515">
        <v>0.294407981695266</v>
      </c>
      <c r="K2515">
        <v>0.198630243625808</v>
      </c>
      <c r="L2515">
        <v>1243.0766465900001</v>
      </c>
      <c r="M2515">
        <v>24.171587145948699</v>
      </c>
      <c r="N2515">
        <v>52.935839304996499</v>
      </c>
      <c r="O2515">
        <v>51.079068043095504</v>
      </c>
      <c r="P2515">
        <v>-8.8856320155216606E-2</v>
      </c>
      <c r="Q2515">
        <v>0.24893169470040499</v>
      </c>
      <c r="R2515">
        <v>0.97872915712688602</v>
      </c>
      <c r="S2515" t="s">
        <v>8066</v>
      </c>
      <c r="T2515" t="s">
        <v>11100</v>
      </c>
      <c r="U2515" t="s">
        <v>11100</v>
      </c>
      <c r="V2515" t="s">
        <v>11100</v>
      </c>
      <c r="W2515" t="s">
        <v>13574</v>
      </c>
      <c r="X2515">
        <v>4</v>
      </c>
      <c r="Y2515" t="s">
        <v>19038</v>
      </c>
      <c r="Z2515" t="s">
        <v>24520</v>
      </c>
      <c r="AA2515">
        <v>0.61718798480293158</v>
      </c>
      <c r="AB2515" t="str">
        <f>HYPERLINK("Melting_Curves/meltCurve_P56937_3_HSD17B7.pdf", "Melting_Curves/meltCurve_P56937_3_HSD17B7.pdf")</f>
        <v>Melting_Curves/meltCurve_P56937_3_HSD17B7.pdf</v>
      </c>
    </row>
    <row r="2516" spans="1:28" x14ac:dyDescent="0.25">
      <c r="A2516" t="s">
        <v>2520</v>
      </c>
      <c r="B2516">
        <v>0.99299721793515405</v>
      </c>
      <c r="C2516">
        <v>0.96441567109724602</v>
      </c>
      <c r="D2516">
        <v>0.884639514329563</v>
      </c>
      <c r="E2516">
        <v>0.77030870616937897</v>
      </c>
      <c r="F2516">
        <v>0.74483126461614502</v>
      </c>
      <c r="G2516">
        <v>0.34041555426590597</v>
      </c>
      <c r="H2516">
        <v>0.25828850852766799</v>
      </c>
      <c r="I2516">
        <v>0.270548280018025</v>
      </c>
      <c r="J2516">
        <v>0.245928940632761</v>
      </c>
      <c r="K2516">
        <v>0.14955517058520501</v>
      </c>
      <c r="L2516">
        <v>681.11360444536297</v>
      </c>
      <c r="M2516">
        <v>13.3657767970442</v>
      </c>
      <c r="N2516">
        <v>52.3178799234122</v>
      </c>
      <c r="O2516">
        <v>49.859325271945998</v>
      </c>
      <c r="P2516">
        <v>-5.7201393061294001E-2</v>
      </c>
      <c r="Q2516">
        <v>0.146605349782753</v>
      </c>
      <c r="R2516">
        <v>0.96569103237501597</v>
      </c>
      <c r="S2516" t="s">
        <v>8067</v>
      </c>
      <c r="T2516" t="s">
        <v>11100</v>
      </c>
      <c r="U2516" t="s">
        <v>11100</v>
      </c>
      <c r="V2516" t="s">
        <v>11100</v>
      </c>
      <c r="W2516" t="s">
        <v>13575</v>
      </c>
      <c r="X2516">
        <v>3</v>
      </c>
      <c r="Y2516" t="s">
        <v>19039</v>
      </c>
      <c r="Z2516" t="s">
        <v>24521</v>
      </c>
      <c r="AA2516">
        <v>0.56355022336847482</v>
      </c>
      <c r="AB2516" t="str">
        <f>HYPERLINK("Melting_Curves/meltCurve_P56945_4_BCAR1.pdf", "Melting_Curves/meltCurve_P56945_4_BCAR1.pdf")</f>
        <v>Melting_Curves/meltCurve_P56945_4_BCAR1.pdf</v>
      </c>
    </row>
    <row r="2517" spans="1:28" x14ac:dyDescent="0.25">
      <c r="A2517" t="s">
        <v>2521</v>
      </c>
      <c r="B2517">
        <v>0.99299721793515405</v>
      </c>
      <c r="C2517">
        <v>0.92463128454070698</v>
      </c>
      <c r="D2517">
        <v>0.88741194019854497</v>
      </c>
      <c r="E2517">
        <v>0.78122899167209003</v>
      </c>
      <c r="F2517">
        <v>0.67897032207321295</v>
      </c>
      <c r="G2517">
        <v>0.27746815248569601</v>
      </c>
      <c r="H2517">
        <v>0.196856407464991</v>
      </c>
      <c r="I2517">
        <v>0.168792995203049</v>
      </c>
      <c r="J2517">
        <v>0.14753783991019401</v>
      </c>
      <c r="K2517">
        <v>0.150288404337141</v>
      </c>
      <c r="L2517">
        <v>787.39619324511898</v>
      </c>
      <c r="M2517">
        <v>15.5936947272066</v>
      </c>
      <c r="N2517">
        <v>51.278970592271897</v>
      </c>
      <c r="O2517">
        <v>49.685972758800403</v>
      </c>
      <c r="P2517">
        <v>-7.01415026031178E-2</v>
      </c>
      <c r="Q2517">
        <v>0.10611396201106101</v>
      </c>
      <c r="R2517">
        <v>0.97761612307458401</v>
      </c>
      <c r="S2517" t="s">
        <v>8068</v>
      </c>
      <c r="T2517" t="s">
        <v>11100</v>
      </c>
      <c r="U2517" t="s">
        <v>11100</v>
      </c>
      <c r="V2517" t="s">
        <v>11100</v>
      </c>
      <c r="W2517" t="s">
        <v>13576</v>
      </c>
      <c r="X2517">
        <v>6</v>
      </c>
      <c r="Y2517" t="s">
        <v>19040</v>
      </c>
      <c r="Z2517" t="s">
        <v>24522</v>
      </c>
      <c r="AA2517">
        <v>0.52558989769139841</v>
      </c>
      <c r="AB2517" t="str">
        <f>HYPERLINK("Melting_Curves/meltCurve_P56962_STX17.pdf", "Melting_Curves/meltCurve_P56962_STX17.pdf")</f>
        <v>Melting_Curves/meltCurve_P56962_STX17.pdf</v>
      </c>
    </row>
    <row r="2518" spans="1:28" x14ac:dyDescent="0.25">
      <c r="A2518" t="s">
        <v>2522</v>
      </c>
      <c r="B2518">
        <v>0.99299721793515405</v>
      </c>
      <c r="C2518">
        <v>0.83663099161986798</v>
      </c>
      <c r="D2518">
        <v>0.964950265736921</v>
      </c>
      <c r="E2518">
        <v>0.76262303702963896</v>
      </c>
      <c r="F2518">
        <v>0.61405894688060203</v>
      </c>
      <c r="G2518">
        <v>0.56374475698457904</v>
      </c>
      <c r="H2518">
        <v>0.45342568384908799</v>
      </c>
      <c r="I2518">
        <v>0.403159298161059</v>
      </c>
      <c r="J2518">
        <v>0.477538479221288</v>
      </c>
      <c r="K2518">
        <v>0.270959411846523</v>
      </c>
      <c r="L2518">
        <v>424.23015203713197</v>
      </c>
      <c r="M2518">
        <v>8.3194128319190597</v>
      </c>
      <c r="N2518">
        <v>55.902674400642098</v>
      </c>
      <c r="O2518">
        <v>48.301467940711902</v>
      </c>
      <c r="P2518">
        <v>-3.1929439247644097E-2</v>
      </c>
      <c r="Q2518">
        <v>0.25921029783934102</v>
      </c>
      <c r="R2518">
        <v>0.93038457310702705</v>
      </c>
      <c r="S2518" t="s">
        <v>8069</v>
      </c>
      <c r="T2518" t="s">
        <v>11100</v>
      </c>
      <c r="U2518" t="s">
        <v>11100</v>
      </c>
      <c r="V2518" t="s">
        <v>11100</v>
      </c>
      <c r="W2518" t="s">
        <v>13577</v>
      </c>
      <c r="X2518">
        <v>1</v>
      </c>
      <c r="Y2518" t="s">
        <v>19041</v>
      </c>
      <c r="Z2518" t="s">
        <v>24523</v>
      </c>
      <c r="AA2518">
        <v>0.63007773495577168</v>
      </c>
      <c r="AB2518" t="str">
        <f>HYPERLINK("Melting_Curves/meltCurve_P57054_3_PIGP.pdf", "Melting_Curves/meltCurve_P57054_3_PIGP.pdf")</f>
        <v>Melting_Curves/meltCurve_P57054_3_PIGP.pdf</v>
      </c>
    </row>
    <row r="2519" spans="1:28" x14ac:dyDescent="0.25">
      <c r="A2519" t="s">
        <v>2523</v>
      </c>
      <c r="B2519">
        <v>0.99299721793515405</v>
      </c>
      <c r="C2519">
        <v>1.263518381593</v>
      </c>
      <c r="D2519">
        <v>1.0699676821959001</v>
      </c>
      <c r="E2519">
        <v>1.00272140534051</v>
      </c>
      <c r="F2519">
        <v>0.81768552073283596</v>
      </c>
      <c r="G2519">
        <v>0.27295168840618</v>
      </c>
      <c r="H2519">
        <v>0.58260357788786699</v>
      </c>
      <c r="I2519">
        <v>0.44346620431836897</v>
      </c>
      <c r="J2519">
        <v>0.500279264989963</v>
      </c>
      <c r="K2519">
        <v>0.38622466038734299</v>
      </c>
      <c r="L2519">
        <v>12586.945385688799</v>
      </c>
      <c r="M2519">
        <v>250</v>
      </c>
      <c r="N2519">
        <v>50.7687975268245</v>
      </c>
      <c r="O2519">
        <v>50.344566532615403</v>
      </c>
      <c r="P2519">
        <v>-0.69880306976508699</v>
      </c>
      <c r="Q2519">
        <v>0.43710507557420802</v>
      </c>
      <c r="R2519">
        <v>0.875239047230845</v>
      </c>
      <c r="S2519" t="s">
        <v>8070</v>
      </c>
      <c r="T2519" t="s">
        <v>11100</v>
      </c>
      <c r="U2519" t="s">
        <v>11100</v>
      </c>
      <c r="V2519" t="s">
        <v>11100</v>
      </c>
      <c r="W2519" t="s">
        <v>13578</v>
      </c>
      <c r="X2519">
        <v>2</v>
      </c>
      <c r="Y2519" t="s">
        <v>19042</v>
      </c>
      <c r="Z2519" t="s">
        <v>24524</v>
      </c>
      <c r="AA2519">
        <v>0.68760142882142594</v>
      </c>
      <c r="AB2519" t="str">
        <f>HYPERLINK("Melting_Curves/meltCurve_P57060_RWDD2B.pdf", "Melting_Curves/meltCurve_P57060_RWDD2B.pdf")</f>
        <v>Melting_Curves/meltCurve_P57060_RWDD2B.pdf</v>
      </c>
    </row>
    <row r="2520" spans="1:28" x14ac:dyDescent="0.25">
      <c r="A2520" t="s">
        <v>2524</v>
      </c>
      <c r="B2520">
        <v>0.99299721793515405</v>
      </c>
      <c r="C2520">
        <v>1.0059700923744199</v>
      </c>
      <c r="D2520">
        <v>1.2024987898161299</v>
      </c>
      <c r="E2520">
        <v>0.86554286267490899</v>
      </c>
      <c r="F2520">
        <v>0.48135455482169098</v>
      </c>
      <c r="G2520">
        <v>0.23723314808341101</v>
      </c>
      <c r="H2520">
        <v>0.19774403913433999</v>
      </c>
      <c r="I2520">
        <v>0.1761034692656</v>
      </c>
      <c r="J2520">
        <v>0.16804238515853201</v>
      </c>
      <c r="K2520">
        <v>0.122659549729656</v>
      </c>
      <c r="L2520">
        <v>1555.33309403825</v>
      </c>
      <c r="M2520">
        <v>31.4762149518737</v>
      </c>
      <c r="N2520">
        <v>50.0508696470175</v>
      </c>
      <c r="O2520">
        <v>49.214803518523702</v>
      </c>
      <c r="P2520">
        <v>-0.13347355433251601</v>
      </c>
      <c r="Q2520">
        <v>0.165231407380621</v>
      </c>
      <c r="R2520">
        <v>0.97078742686103903</v>
      </c>
      <c r="S2520" t="s">
        <v>8071</v>
      </c>
      <c r="T2520" t="s">
        <v>11100</v>
      </c>
      <c r="U2520" t="s">
        <v>11100</v>
      </c>
      <c r="V2520" t="s">
        <v>11100</v>
      </c>
      <c r="W2520" t="s">
        <v>13579</v>
      </c>
      <c r="X2520">
        <v>10</v>
      </c>
      <c r="Y2520" t="s">
        <v>19043</v>
      </c>
      <c r="Z2520" t="s">
        <v>24525</v>
      </c>
      <c r="AA2520">
        <v>0.51523907751958997</v>
      </c>
      <c r="AB2520" t="str">
        <f>HYPERLINK("Melting_Curves/meltCurve_P57076_C21orf59.pdf", "Melting_Curves/meltCurve_P57076_C21orf59.pdf")</f>
        <v>Melting_Curves/meltCurve_P57076_C21orf59.pdf</v>
      </c>
    </row>
    <row r="2521" spans="1:28" x14ac:dyDescent="0.25">
      <c r="A2521" t="s">
        <v>2525</v>
      </c>
      <c r="B2521">
        <v>0.99299721793515405</v>
      </c>
      <c r="C2521">
        <v>0.97302024675106402</v>
      </c>
      <c r="D2521">
        <v>0.95736054253963698</v>
      </c>
      <c r="E2521">
        <v>0.94265610540993505</v>
      </c>
      <c r="F2521">
        <v>0.79166259514465998</v>
      </c>
      <c r="G2521">
        <v>0.78774064831141799</v>
      </c>
      <c r="H2521">
        <v>0.76562323796534404</v>
      </c>
      <c r="I2521">
        <v>0.280484441494531</v>
      </c>
      <c r="J2521">
        <v>0.14047221290452</v>
      </c>
      <c r="K2521">
        <v>0.11602726727002</v>
      </c>
      <c r="L2521">
        <v>1033.8932889002001</v>
      </c>
      <c r="M2521">
        <v>17.568774457061998</v>
      </c>
      <c r="N2521">
        <v>58.848346606532701</v>
      </c>
      <c r="O2521">
        <v>58.101791327917901</v>
      </c>
      <c r="P2521">
        <v>-7.5598909470942097E-2</v>
      </c>
      <c r="Q2521">
        <v>0</v>
      </c>
      <c r="R2521">
        <v>0.94188786599238605</v>
      </c>
      <c r="S2521" t="s">
        <v>8072</v>
      </c>
      <c r="T2521" t="s">
        <v>11100</v>
      </c>
      <c r="U2521" t="s">
        <v>11100</v>
      </c>
      <c r="V2521" t="s">
        <v>11100</v>
      </c>
      <c r="W2521" t="s">
        <v>13580</v>
      </c>
      <c r="X2521">
        <v>7</v>
      </c>
      <c r="Y2521" t="s">
        <v>19044</v>
      </c>
      <c r="Z2521" t="s">
        <v>24526</v>
      </c>
      <c r="AA2521">
        <v>0.73135785061111203</v>
      </c>
      <c r="AB2521" t="str">
        <f>HYPERLINK("Melting_Curves/meltCurve_P57081_2_WDR4.pdf", "Melting_Curves/meltCurve_P57081_2_WDR4.pdf")</f>
        <v>Melting_Curves/meltCurve_P57081_2_WDR4.pdf</v>
      </c>
    </row>
    <row r="2522" spans="1:28" x14ac:dyDescent="0.25">
      <c r="A2522" t="s">
        <v>2526</v>
      </c>
      <c r="B2522">
        <v>0.99299721793515405</v>
      </c>
      <c r="C2522">
        <v>1.1291274245248799</v>
      </c>
      <c r="D2522">
        <v>1.05507618649502</v>
      </c>
      <c r="E2522">
        <v>0.90258112405340196</v>
      </c>
      <c r="F2522">
        <v>0.77033916527207902</v>
      </c>
      <c r="G2522">
        <v>0.72204494862137103</v>
      </c>
      <c r="H2522">
        <v>0.60408214807863303</v>
      </c>
      <c r="I2522">
        <v>0.55474664466257495</v>
      </c>
      <c r="J2522">
        <v>0.45371707398798899</v>
      </c>
      <c r="K2522">
        <v>0.210587522843175</v>
      </c>
      <c r="L2522">
        <v>505.45577862677601</v>
      </c>
      <c r="M2522">
        <v>8.3481832422903093</v>
      </c>
      <c r="N2522">
        <v>60.546792882655403</v>
      </c>
      <c r="O2522">
        <v>57.371348126850698</v>
      </c>
      <c r="P2522">
        <v>-3.6412923893401603E-2</v>
      </c>
      <c r="Q2522">
        <v>0</v>
      </c>
      <c r="R2522">
        <v>0.92876479193030104</v>
      </c>
      <c r="S2522" t="s">
        <v>8073</v>
      </c>
      <c r="T2522" t="s">
        <v>11100</v>
      </c>
      <c r="U2522" t="s">
        <v>11100</v>
      </c>
      <c r="V2522" t="s">
        <v>11100</v>
      </c>
      <c r="W2522" t="s">
        <v>13581</v>
      </c>
      <c r="X2522">
        <v>3</v>
      </c>
      <c r="Y2522" t="s">
        <v>19045</v>
      </c>
      <c r="Z2522" t="s">
        <v>24527</v>
      </c>
      <c r="AA2522">
        <v>0.73837425404434476</v>
      </c>
      <c r="AB2522" t="str">
        <f>HYPERLINK("Melting_Curves/meltCurve_P57088_TMEM33.pdf", "Melting_Curves/meltCurve_P57088_TMEM33.pdf")</f>
        <v>Melting_Curves/meltCurve_P57088_TMEM33.pdf</v>
      </c>
    </row>
    <row r="2523" spans="1:28" x14ac:dyDescent="0.25">
      <c r="A2523" t="s">
        <v>2527</v>
      </c>
      <c r="B2523">
        <v>0.99299721793515405</v>
      </c>
      <c r="C2523">
        <v>0.93358814201844098</v>
      </c>
      <c r="D2523">
        <v>0.96644192520558103</v>
      </c>
      <c r="E2523">
        <v>0.82584979838329198</v>
      </c>
      <c r="F2523">
        <v>0.70905288427576196</v>
      </c>
      <c r="G2523">
        <v>0.366108754754431</v>
      </c>
      <c r="H2523">
        <v>0.232925495104254</v>
      </c>
      <c r="I2523">
        <v>0.21310317621768399</v>
      </c>
      <c r="J2523">
        <v>0.18952189470764699</v>
      </c>
      <c r="K2523">
        <v>0.194234847553694</v>
      </c>
      <c r="L2523">
        <v>948.28268196382305</v>
      </c>
      <c r="M2523">
        <v>18.589255161811799</v>
      </c>
      <c r="N2523">
        <v>52.154937299126203</v>
      </c>
      <c r="O2523">
        <v>50.433064284756902</v>
      </c>
      <c r="P2523">
        <v>-7.6739525433805106E-2</v>
      </c>
      <c r="Q2523">
        <v>0.167252003393557</v>
      </c>
      <c r="R2523">
        <v>0.98863840570237604</v>
      </c>
      <c r="S2523" t="s">
        <v>8074</v>
      </c>
      <c r="T2523" t="s">
        <v>11100</v>
      </c>
      <c r="U2523" t="s">
        <v>11100</v>
      </c>
      <c r="V2523" t="s">
        <v>11100</v>
      </c>
      <c r="W2523" t="s">
        <v>13582</v>
      </c>
      <c r="X2523">
        <v>4</v>
      </c>
      <c r="Y2523" t="s">
        <v>19046</v>
      </c>
      <c r="Z2523" t="s">
        <v>24528</v>
      </c>
      <c r="AA2523">
        <v>0.56848956452740607</v>
      </c>
      <c r="AB2523" t="str">
        <f>HYPERLINK("Melting_Curves/meltCurve_P57105_SYNJ2BP.pdf", "Melting_Curves/meltCurve_P57105_SYNJ2BP.pdf")</f>
        <v>Melting_Curves/meltCurve_P57105_SYNJ2BP.pdf</v>
      </c>
    </row>
    <row r="2524" spans="1:28" x14ac:dyDescent="0.25">
      <c r="A2524" t="s">
        <v>2528</v>
      </c>
      <c r="B2524">
        <v>0.99299721793515405</v>
      </c>
      <c r="C2524">
        <v>0.96800387720058401</v>
      </c>
      <c r="D2524">
        <v>0.94963296909358297</v>
      </c>
      <c r="E2524">
        <v>0.81969969146709298</v>
      </c>
      <c r="F2524">
        <v>0.52891928649959397</v>
      </c>
      <c r="G2524">
        <v>0.30997217188966297</v>
      </c>
      <c r="H2524">
        <v>0.249545877557978</v>
      </c>
      <c r="I2524">
        <v>0.227552258202112</v>
      </c>
      <c r="J2524">
        <v>0.22359806233750301</v>
      </c>
      <c r="K2524">
        <v>0.18969352376741</v>
      </c>
      <c r="L2524">
        <v>1015.15176648198</v>
      </c>
      <c r="M2524">
        <v>20.608141627296</v>
      </c>
      <c r="N2524">
        <v>50.545553034405899</v>
      </c>
      <c r="O2524">
        <v>48.802958351361902</v>
      </c>
      <c r="P2524">
        <v>-8.4034738040456594E-2</v>
      </c>
      <c r="Q2524">
        <v>0.203999261000404</v>
      </c>
      <c r="R2524">
        <v>0.998472011577753</v>
      </c>
      <c r="S2524" t="s">
        <v>8075</v>
      </c>
      <c r="T2524" t="s">
        <v>11100</v>
      </c>
      <c r="U2524" t="s">
        <v>11100</v>
      </c>
      <c r="V2524" t="s">
        <v>11100</v>
      </c>
      <c r="W2524" t="s">
        <v>13583</v>
      </c>
      <c r="X2524">
        <v>39</v>
      </c>
      <c r="Y2524" t="s">
        <v>19047</v>
      </c>
      <c r="Z2524" t="s">
        <v>24529</v>
      </c>
      <c r="AA2524">
        <v>0.5392259255934102</v>
      </c>
      <c r="AB2524" t="str">
        <f>HYPERLINK("Melting_Curves/meltCurve_P57737_3_CORO7.pdf", "Melting_Curves/meltCurve_P57737_3_CORO7.pdf")</f>
        <v>Melting_Curves/meltCurve_P57737_3_CORO7.pdf</v>
      </c>
    </row>
    <row r="2525" spans="1:28" x14ac:dyDescent="0.25">
      <c r="A2525" t="s">
        <v>2529</v>
      </c>
      <c r="B2525">
        <v>0.99299721793515405</v>
      </c>
      <c r="C2525">
        <v>0.94791971064066005</v>
      </c>
      <c r="D2525">
        <v>0.85204399523686802</v>
      </c>
      <c r="E2525">
        <v>0.67885469438942003</v>
      </c>
      <c r="F2525">
        <v>0.52529080960951002</v>
      </c>
      <c r="G2525">
        <v>0.409456703160339</v>
      </c>
      <c r="H2525">
        <v>0.25830092765250001</v>
      </c>
      <c r="I2525">
        <v>0.29142980636431598</v>
      </c>
      <c r="J2525">
        <v>0.21786481190305201</v>
      </c>
      <c r="K2525">
        <v>0.18664791256199001</v>
      </c>
      <c r="L2525">
        <v>544.86384095055803</v>
      </c>
      <c r="M2525">
        <v>11.140852597702199</v>
      </c>
      <c r="N2525">
        <v>50.725126904467402</v>
      </c>
      <c r="O2525">
        <v>47.410427120530599</v>
      </c>
      <c r="P2525">
        <v>-4.9091521716365501E-2</v>
      </c>
      <c r="Q2525">
        <v>0.16462281963793299</v>
      </c>
      <c r="R2525">
        <v>0.99423583277810001</v>
      </c>
      <c r="S2525" t="s">
        <v>8076</v>
      </c>
      <c r="T2525" t="s">
        <v>11100</v>
      </c>
      <c r="U2525" t="s">
        <v>11100</v>
      </c>
      <c r="V2525" t="s">
        <v>11100</v>
      </c>
      <c r="W2525" t="s">
        <v>13584</v>
      </c>
      <c r="X2525">
        <v>3</v>
      </c>
      <c r="Y2525" t="s">
        <v>19048</v>
      </c>
      <c r="Z2525" t="s">
        <v>24530</v>
      </c>
      <c r="AA2525">
        <v>0.52365525274627911</v>
      </c>
      <c r="AB2525" t="str">
        <f>HYPERLINK("Melting_Curves/meltCurve_P57740_NUP107.pdf", "Melting_Curves/meltCurve_P57740_NUP107.pdf")</f>
        <v>Melting_Curves/meltCurve_P57740_NUP107.pdf</v>
      </c>
    </row>
    <row r="2526" spans="1:28" x14ac:dyDescent="0.25">
      <c r="A2526" t="s">
        <v>2530</v>
      </c>
      <c r="B2526">
        <v>0.99299721793515405</v>
      </c>
      <c r="C2526">
        <v>0.92464686581879596</v>
      </c>
      <c r="D2526">
        <v>0.98404499357372799</v>
      </c>
      <c r="E2526">
        <v>0.758238302676983</v>
      </c>
      <c r="F2526">
        <v>0.59474313043709504</v>
      </c>
      <c r="G2526">
        <v>0.20359189955460499</v>
      </c>
      <c r="H2526">
        <v>0.13387625211173401</v>
      </c>
      <c r="I2526">
        <v>0.128686335023772</v>
      </c>
      <c r="J2526">
        <v>0.143433386279429</v>
      </c>
      <c r="K2526">
        <v>0.113063633198804</v>
      </c>
      <c r="L2526">
        <v>992.88441754533596</v>
      </c>
      <c r="M2526">
        <v>19.937572723409801</v>
      </c>
      <c r="N2526">
        <v>50.366532690381199</v>
      </c>
      <c r="O2526">
        <v>49.306788334107701</v>
      </c>
      <c r="P2526">
        <v>-9.0932905728163593E-2</v>
      </c>
      <c r="Q2526">
        <v>0.10049996645001</v>
      </c>
      <c r="R2526">
        <v>0.98463550998465799</v>
      </c>
      <c r="S2526" t="s">
        <v>8077</v>
      </c>
      <c r="T2526" t="s">
        <v>11100</v>
      </c>
      <c r="U2526" t="s">
        <v>11100</v>
      </c>
      <c r="V2526" t="s">
        <v>11100</v>
      </c>
      <c r="W2526" t="s">
        <v>13585</v>
      </c>
      <c r="X2526">
        <v>3</v>
      </c>
      <c r="Y2526" t="s">
        <v>19049</v>
      </c>
      <c r="Z2526" t="s">
        <v>24531</v>
      </c>
      <c r="AA2526">
        <v>0.49619290858050691</v>
      </c>
      <c r="AB2526" t="str">
        <f>HYPERLINK("Melting_Curves/meltCurve_P57772_EEFSEC.pdf", "Melting_Curves/meltCurve_P57772_EEFSEC.pdf")</f>
        <v>Melting_Curves/meltCurve_P57772_EEFSEC.pdf</v>
      </c>
    </row>
    <row r="2527" spans="1:28" x14ac:dyDescent="0.25">
      <c r="A2527" t="s">
        <v>2531</v>
      </c>
      <c r="B2527">
        <v>0.99299721793515405</v>
      </c>
      <c r="C2527">
        <v>1.0574199201491701</v>
      </c>
      <c r="D2527">
        <v>0.98136716705623095</v>
      </c>
      <c r="E2527">
        <v>0.84985811027605795</v>
      </c>
      <c r="F2527">
        <v>0.48418333586024598</v>
      </c>
      <c r="G2527">
        <v>0.161085193373426</v>
      </c>
      <c r="H2527">
        <v>0.16786283156658899</v>
      </c>
      <c r="I2527">
        <v>0.16184244396912101</v>
      </c>
      <c r="J2527">
        <v>0.12239275857059501</v>
      </c>
      <c r="K2527">
        <v>0.104961201629512</v>
      </c>
      <c r="L2527">
        <v>1406.1316427505001</v>
      </c>
      <c r="M2527">
        <v>28.4744913699496</v>
      </c>
      <c r="N2527">
        <v>49.893660705530699</v>
      </c>
      <c r="O2527">
        <v>49.140525476123202</v>
      </c>
      <c r="P2527">
        <v>-0.12652605102273401</v>
      </c>
      <c r="Q2527">
        <v>0.12658595281772</v>
      </c>
      <c r="R2527">
        <v>0.99477005451088096</v>
      </c>
      <c r="S2527" t="s">
        <v>8078</v>
      </c>
      <c r="T2527" t="s">
        <v>11100</v>
      </c>
      <c r="U2527" t="s">
        <v>11100</v>
      </c>
      <c r="V2527" t="s">
        <v>11100</v>
      </c>
      <c r="W2527" t="s">
        <v>13586</v>
      </c>
      <c r="X2527">
        <v>6</v>
      </c>
      <c r="Y2527" t="s">
        <v>19050</v>
      </c>
      <c r="Z2527" t="s">
        <v>24532</v>
      </c>
      <c r="AA2527">
        <v>0.49295864973120718</v>
      </c>
      <c r="AB2527" t="str">
        <f>HYPERLINK("Melting_Curves/meltCurve_P58004_SESN2.pdf", "Melting_Curves/meltCurve_P58004_SESN2.pdf")</f>
        <v>Melting_Curves/meltCurve_P58004_SESN2.pdf</v>
      </c>
    </row>
    <row r="2528" spans="1:28" x14ac:dyDescent="0.25">
      <c r="A2528" t="s">
        <v>2532</v>
      </c>
      <c r="B2528">
        <v>0.99299721793515405</v>
      </c>
      <c r="C2528">
        <v>0.99740885216597897</v>
      </c>
      <c r="D2528">
        <v>0.85794987494016695</v>
      </c>
      <c r="E2528">
        <v>0.896385397172063</v>
      </c>
      <c r="F2528">
        <v>0.53332777769026496</v>
      </c>
      <c r="G2528">
        <v>0.40742679149813399</v>
      </c>
      <c r="H2528">
        <v>0.28051280351144298</v>
      </c>
      <c r="I2528">
        <v>0.29330509934876198</v>
      </c>
      <c r="J2528">
        <v>0.22636364731271599</v>
      </c>
      <c r="K2528">
        <v>0.185756386451738</v>
      </c>
      <c r="L2528">
        <v>812.67591455018498</v>
      </c>
      <c r="M2528">
        <v>16.274874299687301</v>
      </c>
      <c r="N2528">
        <v>51.618898678292197</v>
      </c>
      <c r="O2528">
        <v>49.198743729637101</v>
      </c>
      <c r="P2528">
        <v>-6.5666414199171394E-2</v>
      </c>
      <c r="Q2528">
        <v>0.20602321125637901</v>
      </c>
      <c r="R2528">
        <v>0.97847874315024597</v>
      </c>
      <c r="S2528" t="s">
        <v>8079</v>
      </c>
      <c r="T2528" t="s">
        <v>11100</v>
      </c>
      <c r="U2528" t="s">
        <v>11100</v>
      </c>
      <c r="V2528" t="s">
        <v>11100</v>
      </c>
      <c r="W2528" t="s">
        <v>13587</v>
      </c>
      <c r="X2528">
        <v>2</v>
      </c>
      <c r="Y2528" t="s">
        <v>19051</v>
      </c>
      <c r="Z2528" t="s">
        <v>24533</v>
      </c>
      <c r="AA2528">
        <v>0.56305684812104451</v>
      </c>
      <c r="AB2528" t="str">
        <f>HYPERLINK("Melting_Curves/meltCurve_P58005_SESN3.pdf", "Melting_Curves/meltCurve_P58005_SESN3.pdf")</f>
        <v>Melting_Curves/meltCurve_P58005_SESN3.pdf</v>
      </c>
    </row>
    <row r="2529" spans="1:28" x14ac:dyDescent="0.25">
      <c r="A2529" t="s">
        <v>2533</v>
      </c>
      <c r="B2529">
        <v>0.99299721793515405</v>
      </c>
      <c r="C2529">
        <v>0.92830771625817299</v>
      </c>
      <c r="D2529">
        <v>0.765104152263542</v>
      </c>
      <c r="E2529">
        <v>0.688505346827885</v>
      </c>
      <c r="F2529">
        <v>0.21302600912641501</v>
      </c>
      <c r="G2529">
        <v>0.14667114411533699</v>
      </c>
      <c r="H2529">
        <v>0.12979867239366399</v>
      </c>
      <c r="I2529">
        <v>0.11286944619903801</v>
      </c>
      <c r="J2529">
        <v>0.112614344935594</v>
      </c>
      <c r="K2529">
        <v>9.5836784793412594E-2</v>
      </c>
      <c r="L2529">
        <v>844.81791160136095</v>
      </c>
      <c r="M2529">
        <v>18.0159852038602</v>
      </c>
      <c r="N2529">
        <v>47.393251351355403</v>
      </c>
      <c r="O2529">
        <v>46.326384756952102</v>
      </c>
      <c r="P2529">
        <v>-8.8804299164313302E-2</v>
      </c>
      <c r="Q2529">
        <v>8.6637814199514898E-2</v>
      </c>
      <c r="R2529">
        <v>0.97529845842848795</v>
      </c>
      <c r="S2529" t="s">
        <v>8080</v>
      </c>
      <c r="T2529" t="s">
        <v>11100</v>
      </c>
      <c r="U2529" t="s">
        <v>11100</v>
      </c>
      <c r="V2529" t="s">
        <v>11100</v>
      </c>
      <c r="W2529" t="s">
        <v>11645</v>
      </c>
      <c r="X2529">
        <v>12</v>
      </c>
      <c r="Y2529" t="s">
        <v>17142</v>
      </c>
      <c r="Z2529" t="s">
        <v>24534</v>
      </c>
      <c r="AA2529">
        <v>0.40246994712499512</v>
      </c>
      <c r="AB2529" t="str">
        <f>HYPERLINK("Melting_Curves/meltCurve_P58107_EPPK1.pdf", "Melting_Curves/meltCurve_P58107_EPPK1.pdf")</f>
        <v>Melting_Curves/meltCurve_P58107_EPPK1.pdf</v>
      </c>
    </row>
    <row r="2530" spans="1:28" x14ac:dyDescent="0.25">
      <c r="A2530" t="s">
        <v>2534</v>
      </c>
      <c r="B2530">
        <v>0.99299721793515405</v>
      </c>
      <c r="C2530">
        <v>1.03930108092699</v>
      </c>
      <c r="D2530">
        <v>1.06265187773199</v>
      </c>
      <c r="E2530">
        <v>0.98439582543136905</v>
      </c>
      <c r="F2530">
        <v>0.81219132332294297</v>
      </c>
      <c r="G2530">
        <v>0.52929301110805305</v>
      </c>
      <c r="H2530">
        <v>0.351027865589017</v>
      </c>
      <c r="I2530">
        <v>0.39836609543454499</v>
      </c>
      <c r="J2530">
        <v>0.30197096205186602</v>
      </c>
      <c r="K2530">
        <v>0.27087175874868502</v>
      </c>
      <c r="L2530">
        <v>1361.51948906797</v>
      </c>
      <c r="M2530">
        <v>26.089668744816699</v>
      </c>
      <c r="N2530">
        <v>54.1996061473235</v>
      </c>
      <c r="O2530">
        <v>51.882449960038798</v>
      </c>
      <c r="P2530">
        <v>-8.6706157883816401E-2</v>
      </c>
      <c r="Q2530">
        <v>0.31030525780248402</v>
      </c>
      <c r="R2530">
        <v>0.98644454486750399</v>
      </c>
      <c r="S2530" t="s">
        <v>8081</v>
      </c>
      <c r="T2530" t="s">
        <v>11100</v>
      </c>
      <c r="U2530" t="s">
        <v>11100</v>
      </c>
      <c r="V2530" t="s">
        <v>11100</v>
      </c>
      <c r="W2530" t="s">
        <v>13588</v>
      </c>
      <c r="X2530">
        <v>2</v>
      </c>
      <c r="Y2530" t="s">
        <v>19052</v>
      </c>
      <c r="Z2530" t="s">
        <v>24535</v>
      </c>
      <c r="AA2530">
        <v>0.66509102594269032</v>
      </c>
      <c r="AB2530" t="str">
        <f>HYPERLINK("Melting_Curves/meltCurve_P58397_3_ADAMTS12.pdf", "Melting_Curves/meltCurve_P58397_3_ADAMTS12.pdf")</f>
        <v>Melting_Curves/meltCurve_P58397_3_ADAMTS12.pdf</v>
      </c>
    </row>
    <row r="2531" spans="1:28" x14ac:dyDescent="0.25">
      <c r="A2531" t="s">
        <v>2535</v>
      </c>
      <c r="B2531">
        <v>0.99299721793515405</v>
      </c>
      <c r="C2531">
        <v>1.1983153040894099</v>
      </c>
      <c r="D2531">
        <v>0.898819363163471</v>
      </c>
      <c r="E2531">
        <v>0.99273981664253697</v>
      </c>
      <c r="F2531">
        <v>0.789376311678891</v>
      </c>
      <c r="G2531">
        <v>0.49402581901411902</v>
      </c>
      <c r="H2531">
        <v>0.312742989448764</v>
      </c>
      <c r="I2531">
        <v>0.24308576942466201</v>
      </c>
      <c r="J2531">
        <v>0.20754652600252499</v>
      </c>
      <c r="K2531">
        <v>0.18654663364879401</v>
      </c>
      <c r="L2531">
        <v>1167.4409307122401</v>
      </c>
      <c r="M2531">
        <v>22.181779569695099</v>
      </c>
      <c r="N2531">
        <v>53.8200589552144</v>
      </c>
      <c r="O2531">
        <v>52.208471016204001</v>
      </c>
      <c r="P2531">
        <v>-8.5639087402674993E-2</v>
      </c>
      <c r="Q2531">
        <v>0.19375466339826</v>
      </c>
      <c r="R2531">
        <v>0.96189257297257202</v>
      </c>
      <c r="S2531" t="s">
        <v>8082</v>
      </c>
      <c r="T2531" t="s">
        <v>11100</v>
      </c>
      <c r="U2531" t="s">
        <v>11100</v>
      </c>
      <c r="V2531" t="s">
        <v>11100</v>
      </c>
      <c r="W2531" t="s">
        <v>13589</v>
      </c>
      <c r="X2531">
        <v>7</v>
      </c>
      <c r="Y2531" t="s">
        <v>19053</v>
      </c>
      <c r="Z2531" t="s">
        <v>24536</v>
      </c>
      <c r="AA2531">
        <v>0.62256122456758656</v>
      </c>
      <c r="AB2531" t="str">
        <f>HYPERLINK("Melting_Curves/meltCurve_P58546_MTPN.pdf", "Melting_Curves/meltCurve_P58546_MTPN.pdf")</f>
        <v>Melting_Curves/meltCurve_P58546_MTPN.pdf</v>
      </c>
    </row>
    <row r="2532" spans="1:28" x14ac:dyDescent="0.25">
      <c r="A2532" t="s">
        <v>2536</v>
      </c>
      <c r="B2532">
        <v>0.99299721793515405</v>
      </c>
      <c r="C2532">
        <v>0.95664441997773897</v>
      </c>
      <c r="D2532">
        <v>0.95877711792272002</v>
      </c>
      <c r="E2532">
        <v>0.84459881905223899</v>
      </c>
      <c r="F2532">
        <v>0.53997012226611796</v>
      </c>
      <c r="G2532">
        <v>0.26599698710297698</v>
      </c>
      <c r="H2532">
        <v>9.6700541748463695E-2</v>
      </c>
      <c r="I2532">
        <v>8.2094027756226498E-2</v>
      </c>
      <c r="J2532">
        <v>6.5510110443292899E-2</v>
      </c>
      <c r="K2532">
        <v>8.4382932625141197E-2</v>
      </c>
      <c r="L2532">
        <v>1026.70449605672</v>
      </c>
      <c r="M2532">
        <v>20.412989569211302</v>
      </c>
      <c r="N2532">
        <v>50.596650719053699</v>
      </c>
      <c r="O2532">
        <v>49.8213905348181</v>
      </c>
      <c r="P2532">
        <v>-9.65949469860998E-2</v>
      </c>
      <c r="Q2532">
        <v>5.7002393425068798E-2</v>
      </c>
      <c r="R2532">
        <v>0.99789812407135403</v>
      </c>
      <c r="S2532" t="s">
        <v>8083</v>
      </c>
      <c r="T2532" t="s">
        <v>11100</v>
      </c>
      <c r="U2532" t="s">
        <v>11100</v>
      </c>
      <c r="V2532" t="s">
        <v>11100</v>
      </c>
      <c r="W2532" t="s">
        <v>13590</v>
      </c>
      <c r="X2532">
        <v>5</v>
      </c>
      <c r="Y2532" t="s">
        <v>19054</v>
      </c>
      <c r="Z2532" t="s">
        <v>24537</v>
      </c>
      <c r="AA2532">
        <v>0.4869314218023148</v>
      </c>
      <c r="AB2532" t="str">
        <f>HYPERLINK("Melting_Curves/meltCurve_P58557_YBEY.pdf", "Melting_Curves/meltCurve_P58557_YBEY.pdf")</f>
        <v>Melting_Curves/meltCurve_P58557_YBEY.pdf</v>
      </c>
    </row>
    <row r="2533" spans="1:28" x14ac:dyDescent="0.25">
      <c r="A2533" t="s">
        <v>2537</v>
      </c>
      <c r="B2533">
        <v>0.99299721793515405</v>
      </c>
      <c r="C2533">
        <v>1.0617212328864001</v>
      </c>
      <c r="D2533">
        <v>0.96201632660456404</v>
      </c>
      <c r="E2533">
        <v>0.915874504495926</v>
      </c>
      <c r="F2533">
        <v>0.86603529202714602</v>
      </c>
      <c r="G2533">
        <v>1.11029466950308</v>
      </c>
      <c r="H2533">
        <v>1.2958337214444899</v>
      </c>
      <c r="I2533">
        <v>1.2474831596381</v>
      </c>
      <c r="J2533">
        <v>1.16828500697153</v>
      </c>
      <c r="K2533">
        <v>0.58038274024523495</v>
      </c>
      <c r="L2533">
        <v>15000</v>
      </c>
      <c r="M2533">
        <v>223.55617035546399</v>
      </c>
      <c r="Q2533">
        <v>0</v>
      </c>
      <c r="R2533">
        <v>0.43928627000259901</v>
      </c>
      <c r="S2533" t="s">
        <v>8084</v>
      </c>
      <c r="T2533" t="s">
        <v>11100</v>
      </c>
      <c r="U2533" t="s">
        <v>11100</v>
      </c>
      <c r="V2533" t="s">
        <v>11100</v>
      </c>
      <c r="W2533" t="s">
        <v>13591</v>
      </c>
      <c r="X2533">
        <v>9</v>
      </c>
      <c r="Y2533" t="s">
        <v>19055</v>
      </c>
      <c r="Z2533" t="s">
        <v>24538</v>
      </c>
      <c r="AA2533">
        <v>0.99462765626389438</v>
      </c>
      <c r="AB2533" t="str">
        <f>HYPERLINK("Melting_Curves/meltCurve_P59998_ARPC4.pdf", "Melting_Curves/meltCurve_P59998_ARPC4.pdf")</f>
        <v>Melting_Curves/meltCurve_P59998_ARPC4.pdf</v>
      </c>
    </row>
    <row r="2534" spans="1:28" x14ac:dyDescent="0.25">
      <c r="A2534" t="s">
        <v>2538</v>
      </c>
      <c r="B2534">
        <v>0.99299721793515405</v>
      </c>
      <c r="C2534">
        <v>0.80961056732813197</v>
      </c>
      <c r="D2534">
        <v>0.85832770556124405</v>
      </c>
      <c r="E2534">
        <v>0.65783883348956096</v>
      </c>
      <c r="F2534">
        <v>0.708256685504975</v>
      </c>
      <c r="G2534">
        <v>0.38547046716723299</v>
      </c>
      <c r="H2534">
        <v>0.46498536535628898</v>
      </c>
      <c r="I2534">
        <v>0.82154098599348102</v>
      </c>
      <c r="J2534">
        <v>0.991100945251562</v>
      </c>
      <c r="K2534">
        <v>2.12105233891692</v>
      </c>
      <c r="L2534">
        <v>15000</v>
      </c>
      <c r="M2534">
        <v>230.58826625720201</v>
      </c>
      <c r="O2534">
        <v>65.0461193185415</v>
      </c>
      <c r="P2534">
        <v>0.44312457029258201</v>
      </c>
      <c r="Q2534">
        <v>1.5</v>
      </c>
      <c r="R2534">
        <v>0.35193414967824499</v>
      </c>
      <c r="S2534" t="s">
        <v>8085</v>
      </c>
      <c r="T2534" t="s">
        <v>11100</v>
      </c>
      <c r="U2534" t="s">
        <v>11100</v>
      </c>
      <c r="V2534" t="s">
        <v>11100</v>
      </c>
      <c r="W2534" t="s">
        <v>13592</v>
      </c>
      <c r="X2534">
        <v>1</v>
      </c>
      <c r="Y2534" t="s">
        <v>19056</v>
      </c>
      <c r="Z2534" t="s">
        <v>24539</v>
      </c>
      <c r="AA2534">
        <v>1.0324221832454059</v>
      </c>
      <c r="AB2534" t="str">
        <f>HYPERLINK("Melting_Curves/meltCurve_P60059_SEC61G.pdf", "Melting_Curves/meltCurve_P60059_SEC61G.pdf")</f>
        <v>Melting_Curves/meltCurve_P60059_SEC61G.pdf</v>
      </c>
    </row>
    <row r="2535" spans="1:28" x14ac:dyDescent="0.25">
      <c r="A2535" t="s">
        <v>2539</v>
      </c>
      <c r="B2535">
        <v>0.99299721793515405</v>
      </c>
      <c r="C2535">
        <v>0.95444607168587503</v>
      </c>
      <c r="D2535">
        <v>0.88380938843273504</v>
      </c>
      <c r="E2535">
        <v>0.77641953711591405</v>
      </c>
      <c r="F2535">
        <v>0.68024288491191698</v>
      </c>
      <c r="G2535">
        <v>0.553818452523265</v>
      </c>
      <c r="H2535">
        <v>0.425657515812774</v>
      </c>
      <c r="I2535">
        <v>0.47849257360784297</v>
      </c>
      <c r="J2535">
        <v>0.41557751270618898</v>
      </c>
      <c r="K2535">
        <v>0.25549934928106</v>
      </c>
      <c r="L2535">
        <v>417.93652876571099</v>
      </c>
      <c r="M2535">
        <v>7.9704405752795902</v>
      </c>
      <c r="N2535">
        <v>56.295503323064402</v>
      </c>
      <c r="O2535">
        <v>49.443562610259796</v>
      </c>
      <c r="P2535">
        <v>-3.1853749223744003E-2</v>
      </c>
      <c r="Q2535">
        <v>0.21050313029336801</v>
      </c>
      <c r="R2535">
        <v>0.97046434448198704</v>
      </c>
      <c r="S2535" t="s">
        <v>8086</v>
      </c>
      <c r="T2535" t="s">
        <v>11100</v>
      </c>
      <c r="U2535" t="s">
        <v>11100</v>
      </c>
      <c r="V2535" t="s">
        <v>11100</v>
      </c>
      <c r="W2535" t="s">
        <v>13593</v>
      </c>
      <c r="X2535">
        <v>27</v>
      </c>
      <c r="Y2535" t="s">
        <v>19057</v>
      </c>
      <c r="Z2535" t="s">
        <v>24540</v>
      </c>
      <c r="AA2535">
        <v>0.63699574284434002</v>
      </c>
      <c r="AB2535" t="str">
        <f>HYPERLINK("Melting_Curves/meltCurve_P60174_1_TPI1.pdf", "Melting_Curves/meltCurve_P60174_1_TPI1.pdf")</f>
        <v>Melting_Curves/meltCurve_P60174_1_TPI1.pdf</v>
      </c>
    </row>
    <row r="2536" spans="1:28" x14ac:dyDescent="0.25">
      <c r="A2536" t="s">
        <v>2540</v>
      </c>
      <c r="B2536">
        <v>0.99299721793515405</v>
      </c>
      <c r="C2536">
        <v>0.99583644344092603</v>
      </c>
      <c r="D2536">
        <v>0.92273799308566096</v>
      </c>
      <c r="E2536">
        <v>0.78926404815301199</v>
      </c>
      <c r="F2536">
        <v>0.48470873346376198</v>
      </c>
      <c r="G2536">
        <v>0.35417664466245602</v>
      </c>
      <c r="H2536">
        <v>0.237581252478684</v>
      </c>
      <c r="I2536">
        <v>0.18246358140275301</v>
      </c>
      <c r="J2536">
        <v>0.16467219353983001</v>
      </c>
      <c r="K2536">
        <v>0.13874045546972699</v>
      </c>
      <c r="L2536">
        <v>785.15701631660602</v>
      </c>
      <c r="M2536">
        <v>15.8635472760417</v>
      </c>
      <c r="N2536">
        <v>50.548194486848502</v>
      </c>
      <c r="O2536">
        <v>48.727931330839802</v>
      </c>
      <c r="P2536">
        <v>-6.9935351765420595E-2</v>
      </c>
      <c r="Q2536">
        <v>0.140790272756395</v>
      </c>
      <c r="R2536">
        <v>0.99730914456756203</v>
      </c>
      <c r="S2536" t="s">
        <v>8087</v>
      </c>
      <c r="T2536" t="s">
        <v>11100</v>
      </c>
      <c r="U2536" t="s">
        <v>11100</v>
      </c>
      <c r="V2536" t="s">
        <v>11100</v>
      </c>
      <c r="W2536" t="s">
        <v>13594</v>
      </c>
      <c r="X2536">
        <v>5</v>
      </c>
      <c r="Y2536" t="s">
        <v>19058</v>
      </c>
      <c r="Z2536" t="s">
        <v>24541</v>
      </c>
      <c r="AA2536">
        <v>0.51536636127018087</v>
      </c>
      <c r="AB2536" t="str">
        <f>HYPERLINK("Melting_Curves/meltCurve_P60228_EIF3E.pdf", "Melting_Curves/meltCurve_P60228_EIF3E.pdf")</f>
        <v>Melting_Curves/meltCurve_P60228_EIF3E.pdf</v>
      </c>
    </row>
    <row r="2537" spans="1:28" x14ac:dyDescent="0.25">
      <c r="A2537" t="s">
        <v>2541</v>
      </c>
      <c r="B2537">
        <v>0.99299721793515405</v>
      </c>
      <c r="C2537">
        <v>0.87712008793687701</v>
      </c>
      <c r="D2537">
        <v>1.0562445613681499</v>
      </c>
      <c r="E2537">
        <v>0.87965101952159397</v>
      </c>
      <c r="F2537">
        <v>0.97428845056088698</v>
      </c>
      <c r="G2537">
        <v>0.74850838961916399</v>
      </c>
      <c r="H2537">
        <v>0.72405069750624895</v>
      </c>
      <c r="I2537">
        <v>0.94180383142541402</v>
      </c>
      <c r="J2537">
        <v>1.1416232539918101</v>
      </c>
      <c r="K2537">
        <v>0.893307461798303</v>
      </c>
      <c r="L2537">
        <v>538.00219279074997</v>
      </c>
      <c r="M2537">
        <v>13.1498516886112</v>
      </c>
      <c r="O2537">
        <v>40.001702321854303</v>
      </c>
      <c r="P2537">
        <v>-7.9100265880479893E-3</v>
      </c>
      <c r="Q2537">
        <v>0.90376740980426395</v>
      </c>
      <c r="R2537">
        <v>3.69606018571325E-2</v>
      </c>
      <c r="S2537" t="s">
        <v>8088</v>
      </c>
      <c r="T2537" t="s">
        <v>11100</v>
      </c>
      <c r="U2537" t="s">
        <v>11100</v>
      </c>
      <c r="V2537" t="s">
        <v>11100</v>
      </c>
      <c r="W2537" t="s">
        <v>13595</v>
      </c>
      <c r="X2537">
        <v>7</v>
      </c>
      <c r="Y2537" t="s">
        <v>19059</v>
      </c>
      <c r="Z2537" t="s">
        <v>24542</v>
      </c>
      <c r="AA2537">
        <v>0.92043635223484266</v>
      </c>
      <c r="AB2537" t="str">
        <f>HYPERLINK("Melting_Curves/meltCurve_P60468_SEC61B.pdf", "Melting_Curves/meltCurve_P60468_SEC61B.pdf")</f>
        <v>Melting_Curves/meltCurve_P60468_SEC61B.pdf</v>
      </c>
    </row>
    <row r="2538" spans="1:28" x14ac:dyDescent="0.25">
      <c r="A2538" t="s">
        <v>2542</v>
      </c>
      <c r="B2538">
        <v>0.99299721793515405</v>
      </c>
      <c r="C2538">
        <v>0.93941333521610604</v>
      </c>
      <c r="D2538">
        <v>0.88081417932150496</v>
      </c>
      <c r="E2538">
        <v>0.84012057826449804</v>
      </c>
      <c r="F2538">
        <v>0.795424958533681</v>
      </c>
      <c r="G2538">
        <v>0.62749819473852497</v>
      </c>
      <c r="H2538">
        <v>0.71031020121723099</v>
      </c>
      <c r="I2538">
        <v>0.76888525999514301</v>
      </c>
      <c r="J2538">
        <v>0.63228141333183197</v>
      </c>
      <c r="K2538">
        <v>0.33592495536619099</v>
      </c>
      <c r="L2538">
        <v>265.54256070099802</v>
      </c>
      <c r="M2538">
        <v>3.92313265120612</v>
      </c>
      <c r="O2538">
        <v>55.222108853616099</v>
      </c>
      <c r="P2538">
        <v>-1.80036079981718E-2</v>
      </c>
      <c r="Q2538">
        <v>0</v>
      </c>
      <c r="R2538">
        <v>0.76083175179343199</v>
      </c>
      <c r="S2538" t="s">
        <v>8089</v>
      </c>
      <c r="T2538" t="s">
        <v>11100</v>
      </c>
      <c r="U2538" t="s">
        <v>11100</v>
      </c>
      <c r="V2538" t="s">
        <v>11100</v>
      </c>
      <c r="W2538" t="s">
        <v>13596</v>
      </c>
      <c r="X2538">
        <v>18</v>
      </c>
      <c r="Y2538" t="s">
        <v>19060</v>
      </c>
      <c r="Z2538" t="s">
        <v>24543</v>
      </c>
      <c r="AA2538">
        <v>0.75600667524760601</v>
      </c>
      <c r="AB2538" t="str">
        <f>HYPERLINK("Melting_Curves/meltCurve_P60510_PPP4C.pdf", "Melting_Curves/meltCurve_P60510_PPP4C.pdf")</f>
        <v>Melting_Curves/meltCurve_P60510_PPP4C.pdf</v>
      </c>
    </row>
    <row r="2539" spans="1:28" x14ac:dyDescent="0.25">
      <c r="A2539" t="s">
        <v>2543</v>
      </c>
      <c r="B2539">
        <v>0.99299721793515405</v>
      </c>
      <c r="C2539">
        <v>0.97370611509833704</v>
      </c>
      <c r="D2539">
        <v>0.91716884573563395</v>
      </c>
      <c r="E2539">
        <v>0.75255286033383395</v>
      </c>
      <c r="F2539">
        <v>0.69791196246904497</v>
      </c>
      <c r="G2539">
        <v>0.55104474268910397</v>
      </c>
      <c r="H2539">
        <v>0.55849818906527904</v>
      </c>
      <c r="I2539">
        <v>0.62823668313246495</v>
      </c>
      <c r="J2539">
        <v>0.71906697021973798</v>
      </c>
      <c r="K2539">
        <v>0.67780487922869004</v>
      </c>
      <c r="L2539">
        <v>1099.6201079836801</v>
      </c>
      <c r="M2539">
        <v>24.3172113107426</v>
      </c>
      <c r="O2539">
        <v>44.917345007684098</v>
      </c>
      <c r="P2539">
        <v>-4.98471231237166E-2</v>
      </c>
      <c r="Q2539">
        <v>0.63170664710688795</v>
      </c>
      <c r="R2539">
        <v>0.89605830961229305</v>
      </c>
      <c r="S2539" t="s">
        <v>8090</v>
      </c>
      <c r="T2539" t="s">
        <v>11100</v>
      </c>
      <c r="U2539" t="s">
        <v>11100</v>
      </c>
      <c r="V2539" t="s">
        <v>11100</v>
      </c>
      <c r="W2539" t="s">
        <v>13597</v>
      </c>
      <c r="X2539">
        <v>4</v>
      </c>
      <c r="Y2539" t="s">
        <v>19061</v>
      </c>
      <c r="Z2539" t="s">
        <v>24544</v>
      </c>
      <c r="AA2539">
        <v>0.73582506841432582</v>
      </c>
      <c r="AB2539" t="str">
        <f>HYPERLINK("Melting_Curves/meltCurve_P60602_ROMO1.pdf", "Melting_Curves/meltCurve_P60602_ROMO1.pdf")</f>
        <v>Melting_Curves/meltCurve_P60602_ROMO1.pdf</v>
      </c>
    </row>
    <row r="2540" spans="1:28" x14ac:dyDescent="0.25">
      <c r="A2540" t="s">
        <v>2544</v>
      </c>
      <c r="B2540">
        <v>0.99299721793515405</v>
      </c>
      <c r="C2540">
        <v>0.93205124433178599</v>
      </c>
      <c r="D2540">
        <v>1.0910355766187501</v>
      </c>
      <c r="E2540">
        <v>0.73875360757318498</v>
      </c>
      <c r="F2540">
        <v>0.58797427216850895</v>
      </c>
      <c r="G2540">
        <v>0.39239752228118202</v>
      </c>
      <c r="H2540">
        <v>0.182783940573193</v>
      </c>
      <c r="I2540">
        <v>0.16614407212209401</v>
      </c>
      <c r="J2540">
        <v>0.15524311944032801</v>
      </c>
      <c r="K2540">
        <v>0.12978573780046099</v>
      </c>
      <c r="L2540">
        <v>821.21274425056595</v>
      </c>
      <c r="M2540">
        <v>16.269288147158299</v>
      </c>
      <c r="N2540">
        <v>51.303724206039099</v>
      </c>
      <c r="O2540">
        <v>49.732128923022202</v>
      </c>
      <c r="P2540">
        <v>-7.2351964343062306E-2</v>
      </c>
      <c r="Q2540">
        <v>0.11540004591511099</v>
      </c>
      <c r="R2540">
        <v>0.97492705677243396</v>
      </c>
      <c r="S2540" t="s">
        <v>8091</v>
      </c>
      <c r="T2540" t="s">
        <v>11100</v>
      </c>
      <c r="U2540" t="s">
        <v>11100</v>
      </c>
      <c r="V2540" t="s">
        <v>11100</v>
      </c>
      <c r="W2540" t="s">
        <v>13598</v>
      </c>
      <c r="X2540">
        <v>3</v>
      </c>
      <c r="Y2540" t="s">
        <v>19062</v>
      </c>
      <c r="Z2540" t="s">
        <v>24545</v>
      </c>
      <c r="AA2540">
        <v>0.52895656437977301</v>
      </c>
      <c r="AB2540" t="str">
        <f>HYPERLINK("Melting_Curves/meltCurve_P60604_2_UBE2G2.pdf", "Melting_Curves/meltCurve_P60604_2_UBE2G2.pdf")</f>
        <v>Melting_Curves/meltCurve_P60604_2_UBE2G2.pdf</v>
      </c>
    </row>
    <row r="2541" spans="1:28" x14ac:dyDescent="0.25">
      <c r="A2541" t="s">
        <v>2545</v>
      </c>
      <c r="B2541">
        <v>0.99299721793515405</v>
      </c>
      <c r="C2541">
        <v>0.97278277195535001</v>
      </c>
      <c r="D2541">
        <v>0.94339373358530298</v>
      </c>
      <c r="E2541">
        <v>0.85605959779056395</v>
      </c>
      <c r="F2541">
        <v>0.73794002901063305</v>
      </c>
      <c r="G2541">
        <v>0.57900899319592702</v>
      </c>
      <c r="H2541">
        <v>0.44516378022104303</v>
      </c>
      <c r="I2541">
        <v>0.40692121935692399</v>
      </c>
      <c r="J2541">
        <v>0.384098043390668</v>
      </c>
      <c r="K2541">
        <v>0.30993618284854502</v>
      </c>
      <c r="L2541">
        <v>607.54201231025604</v>
      </c>
      <c r="M2541">
        <v>11.6247243512945</v>
      </c>
      <c r="N2541">
        <v>56.249470133812601</v>
      </c>
      <c r="O2541">
        <v>50.788150113921397</v>
      </c>
      <c r="P2541">
        <v>-4.1174361615640399E-2</v>
      </c>
      <c r="Q2541">
        <v>0.280636738941761</v>
      </c>
      <c r="R2541">
        <v>0.99654046645640004</v>
      </c>
      <c r="S2541" t="s">
        <v>8092</v>
      </c>
      <c r="T2541" t="s">
        <v>11100</v>
      </c>
      <c r="U2541" t="s">
        <v>11100</v>
      </c>
      <c r="V2541" t="s">
        <v>11100</v>
      </c>
      <c r="W2541" t="s">
        <v>13599</v>
      </c>
      <c r="X2541">
        <v>41</v>
      </c>
      <c r="Y2541" t="s">
        <v>19063</v>
      </c>
      <c r="Z2541" t="s">
        <v>24546</v>
      </c>
      <c r="AA2541">
        <v>0.66360630816338917</v>
      </c>
      <c r="AB2541" t="str">
        <f>HYPERLINK("Melting_Curves/meltCurve_P60709_ACTB.pdf", "Melting_Curves/meltCurve_P60709_ACTB.pdf")</f>
        <v>Melting_Curves/meltCurve_P60709_ACTB.pdf</v>
      </c>
    </row>
    <row r="2542" spans="1:28" x14ac:dyDescent="0.25">
      <c r="A2542" t="s">
        <v>2546</v>
      </c>
      <c r="B2542">
        <v>0.99299721793515405</v>
      </c>
      <c r="C2542">
        <v>1.0473137778256401</v>
      </c>
      <c r="D2542">
        <v>0.91106557406291599</v>
      </c>
      <c r="E2542">
        <v>0.88630117254907104</v>
      </c>
      <c r="F2542">
        <v>0.75288339724456799</v>
      </c>
      <c r="G2542">
        <v>0.57462598717703295</v>
      </c>
      <c r="H2542">
        <v>0.53893765909333602</v>
      </c>
      <c r="I2542">
        <v>0.47860419689823103</v>
      </c>
      <c r="J2542">
        <v>0.32813508746997999</v>
      </c>
      <c r="K2542">
        <v>0.18204361162132199</v>
      </c>
      <c r="L2542">
        <v>454.913991312311</v>
      </c>
      <c r="M2542">
        <v>7.8729019378294396</v>
      </c>
      <c r="N2542">
        <v>57.782249318242698</v>
      </c>
      <c r="O2542">
        <v>54.410477656619904</v>
      </c>
      <c r="P2542">
        <v>-3.6217075662989998E-2</v>
      </c>
      <c r="Q2542">
        <v>0</v>
      </c>
      <c r="R2542">
        <v>0.96924393723084201</v>
      </c>
      <c r="S2542" t="s">
        <v>8093</v>
      </c>
      <c r="T2542" t="s">
        <v>11100</v>
      </c>
      <c r="U2542" t="s">
        <v>11100</v>
      </c>
      <c r="V2542" t="s">
        <v>11100</v>
      </c>
      <c r="W2542" t="s">
        <v>13600</v>
      </c>
      <c r="X2542">
        <v>12</v>
      </c>
      <c r="Y2542" t="s">
        <v>19064</v>
      </c>
      <c r="Z2542" t="s">
        <v>24547</v>
      </c>
      <c r="AA2542">
        <v>0.67308809335770048</v>
      </c>
      <c r="AB2542" t="str">
        <f>HYPERLINK("Melting_Curves/meltCurve_P60763_RAC3.pdf", "Melting_Curves/meltCurve_P60763_RAC3.pdf")</f>
        <v>Melting_Curves/meltCurve_P60763_RAC3.pdf</v>
      </c>
    </row>
    <row r="2543" spans="1:28" x14ac:dyDescent="0.25">
      <c r="A2543" t="s">
        <v>2547</v>
      </c>
      <c r="B2543">
        <v>0.99299721793515405</v>
      </c>
      <c r="C2543">
        <v>1.0369828597417701</v>
      </c>
      <c r="D2543">
        <v>0.99277408038957204</v>
      </c>
      <c r="E2543">
        <v>0.92290528892429202</v>
      </c>
      <c r="F2543">
        <v>0.71494823777950001</v>
      </c>
      <c r="G2543">
        <v>0.403777207584747</v>
      </c>
      <c r="H2543">
        <v>0.17091137780861199</v>
      </c>
      <c r="I2543">
        <v>0.13129878110764701</v>
      </c>
      <c r="J2543">
        <v>9.9257848797685094E-2</v>
      </c>
      <c r="K2543">
        <v>7.9333647324256906E-2</v>
      </c>
      <c r="L2543">
        <v>1101.2344487267301</v>
      </c>
      <c r="M2543">
        <v>21.122861161192599</v>
      </c>
      <c r="N2543">
        <v>52.548014378403202</v>
      </c>
      <c r="O2543">
        <v>51.6741962040511</v>
      </c>
      <c r="P2543">
        <v>-9.4373871342299201E-2</v>
      </c>
      <c r="Q2543">
        <v>7.6533102214042303E-2</v>
      </c>
      <c r="R2543">
        <v>0.99843218771082998</v>
      </c>
      <c r="S2543" t="s">
        <v>8094</v>
      </c>
      <c r="T2543" t="s">
        <v>11100</v>
      </c>
      <c r="U2543" t="s">
        <v>11100</v>
      </c>
      <c r="V2543" t="s">
        <v>11100</v>
      </c>
      <c r="W2543" t="s">
        <v>13601</v>
      </c>
      <c r="X2543">
        <v>34</v>
      </c>
      <c r="Y2543" t="s">
        <v>19065</v>
      </c>
      <c r="Z2543" t="s">
        <v>24548</v>
      </c>
      <c r="AA2543">
        <v>0.55332234196572228</v>
      </c>
      <c r="AB2543" t="str">
        <f>HYPERLINK("Melting_Curves/meltCurve_P60842_EIF4A1.pdf", "Melting_Curves/meltCurve_P60842_EIF4A1.pdf")</f>
        <v>Melting_Curves/meltCurve_P60842_EIF4A1.pdf</v>
      </c>
    </row>
    <row r="2544" spans="1:28" x14ac:dyDescent="0.25">
      <c r="A2544" t="s">
        <v>2548</v>
      </c>
      <c r="B2544">
        <v>0.99299721793515405</v>
      </c>
      <c r="C2544">
        <v>0.96621179861425699</v>
      </c>
      <c r="D2544">
        <v>0.98803653109839895</v>
      </c>
      <c r="E2544">
        <v>0.88207477071179397</v>
      </c>
      <c r="F2544">
        <v>0.89922259357508305</v>
      </c>
      <c r="G2544">
        <v>0.54857297972025598</v>
      </c>
      <c r="H2544">
        <v>0.50843426795152202</v>
      </c>
      <c r="I2544">
        <v>0.48045999126797101</v>
      </c>
      <c r="J2544">
        <v>0.33682443551188501</v>
      </c>
      <c r="K2544">
        <v>0.28987134570287598</v>
      </c>
      <c r="L2544">
        <v>691.87363943282503</v>
      </c>
      <c r="M2544">
        <v>12.7657566532127</v>
      </c>
      <c r="N2544">
        <v>57.508588396837098</v>
      </c>
      <c r="O2544">
        <v>52.919308216113102</v>
      </c>
      <c r="P2544">
        <v>-4.4621655326541103E-2</v>
      </c>
      <c r="Q2544">
        <v>0.26023987815168598</v>
      </c>
      <c r="R2544">
        <v>0.96089713541024402</v>
      </c>
      <c r="S2544" t="s">
        <v>8095</v>
      </c>
      <c r="T2544" t="s">
        <v>11100</v>
      </c>
      <c r="U2544" t="s">
        <v>11100</v>
      </c>
      <c r="V2544" t="s">
        <v>11100</v>
      </c>
      <c r="W2544" t="s">
        <v>13602</v>
      </c>
      <c r="X2544">
        <v>6</v>
      </c>
      <c r="Y2544" t="s">
        <v>19066</v>
      </c>
      <c r="Z2544" t="s">
        <v>24549</v>
      </c>
      <c r="AA2544">
        <v>0.69692260595844857</v>
      </c>
      <c r="AB2544" t="str">
        <f>HYPERLINK("Melting_Curves/meltCurve_P60866_RPS20.pdf", "Melting_Curves/meltCurve_P60866_RPS20.pdf")</f>
        <v>Melting_Curves/meltCurve_P60866_RPS20.pdf</v>
      </c>
    </row>
    <row r="2545" spans="1:28" x14ac:dyDescent="0.25">
      <c r="A2545" t="s">
        <v>2549</v>
      </c>
      <c r="B2545">
        <v>0.99299721793515405</v>
      </c>
      <c r="C2545">
        <v>1.1270191273894301</v>
      </c>
      <c r="D2545">
        <v>1.09566893289608</v>
      </c>
      <c r="E2545">
        <v>0.94650159929664601</v>
      </c>
      <c r="F2545">
        <v>0.93007686417934599</v>
      </c>
      <c r="G2545">
        <v>1.04349318791646</v>
      </c>
      <c r="H2545">
        <v>1.4650636893765401</v>
      </c>
      <c r="I2545">
        <v>1.7455907256734899</v>
      </c>
      <c r="J2545">
        <v>1.22627634295257</v>
      </c>
      <c r="K2545">
        <v>0.41266805294588799</v>
      </c>
      <c r="L2545">
        <v>15000</v>
      </c>
      <c r="M2545">
        <v>224.23332485609501</v>
      </c>
      <c r="N2545">
        <v>66.894606340880401</v>
      </c>
      <c r="O2545">
        <v>66.889282584308106</v>
      </c>
      <c r="P2545">
        <v>-0.83807639781441701</v>
      </c>
      <c r="Q2545">
        <v>0</v>
      </c>
      <c r="R2545">
        <v>0.22403958060287801</v>
      </c>
      <c r="S2545" t="s">
        <v>8096</v>
      </c>
      <c r="T2545" t="s">
        <v>11100</v>
      </c>
      <c r="U2545" t="s">
        <v>11100</v>
      </c>
      <c r="V2545" t="s">
        <v>11100</v>
      </c>
      <c r="W2545" t="s">
        <v>13603</v>
      </c>
      <c r="X2545">
        <v>7</v>
      </c>
      <c r="Y2545" t="s">
        <v>19067</v>
      </c>
      <c r="Z2545" t="s">
        <v>24550</v>
      </c>
      <c r="AA2545">
        <v>0.99126836521022776</v>
      </c>
      <c r="AB2545" t="str">
        <f>HYPERLINK("Melting_Curves/meltCurve_P60891_PRPS1.pdf", "Melting_Curves/meltCurve_P60891_PRPS1.pdf")</f>
        <v>Melting_Curves/meltCurve_P60891_PRPS1.pdf</v>
      </c>
    </row>
    <row r="2546" spans="1:28" x14ac:dyDescent="0.25">
      <c r="A2546" t="s">
        <v>2550</v>
      </c>
      <c r="B2546">
        <v>0.99299721793515405</v>
      </c>
      <c r="C2546">
        <v>0.92707689676342397</v>
      </c>
      <c r="D2546">
        <v>1.0152586064173501</v>
      </c>
      <c r="E2546">
        <v>0.84175097161470103</v>
      </c>
      <c r="F2546">
        <v>0.61954882528808997</v>
      </c>
      <c r="G2546">
        <v>0.52666117130922996</v>
      </c>
      <c r="H2546">
        <v>0.70316784985404801</v>
      </c>
      <c r="I2546">
        <v>1.0347079241386601</v>
      </c>
      <c r="J2546">
        <v>1.7391972765400301</v>
      </c>
      <c r="K2546">
        <v>1.49865155591605</v>
      </c>
      <c r="L2546">
        <v>15000</v>
      </c>
      <c r="M2546">
        <v>243.316212657824</v>
      </c>
      <c r="O2546">
        <v>61.644018576887099</v>
      </c>
      <c r="P2546">
        <v>0.49338982690010402</v>
      </c>
      <c r="Q2546">
        <v>1.5</v>
      </c>
      <c r="R2546">
        <v>0.57531538397734405</v>
      </c>
      <c r="S2546" t="s">
        <v>8097</v>
      </c>
      <c r="T2546" t="s">
        <v>11100</v>
      </c>
      <c r="U2546" t="s">
        <v>11100</v>
      </c>
      <c r="V2546" t="s">
        <v>11100</v>
      </c>
      <c r="W2546" t="s">
        <v>13604</v>
      </c>
      <c r="X2546">
        <v>1</v>
      </c>
      <c r="Y2546" t="s">
        <v>19068</v>
      </c>
      <c r="Z2546" t="s">
        <v>24551</v>
      </c>
      <c r="AA2546">
        <v>1.089140005452258</v>
      </c>
      <c r="AB2546" t="str">
        <f>HYPERLINK("Melting_Curves/meltCurve_P60896_SHFM1.pdf", "Melting_Curves/meltCurve_P60896_SHFM1.pdf")</f>
        <v>Melting_Curves/meltCurve_P60896_SHFM1.pdf</v>
      </c>
    </row>
    <row r="2547" spans="1:28" x14ac:dyDescent="0.25">
      <c r="A2547" t="s">
        <v>2551</v>
      </c>
      <c r="B2547">
        <v>0.99299721793515405</v>
      </c>
      <c r="C2547">
        <v>1.1765049220725401</v>
      </c>
      <c r="D2547">
        <v>1.0644044784561</v>
      </c>
      <c r="E2547">
        <v>0.91071534186484004</v>
      </c>
      <c r="F2547">
        <v>0.78159228151439597</v>
      </c>
      <c r="G2547">
        <v>0.64861024196710004</v>
      </c>
      <c r="H2547">
        <v>0.38522696202302797</v>
      </c>
      <c r="I2547">
        <v>0.30634864563056402</v>
      </c>
      <c r="J2547">
        <v>0.31436159601420299</v>
      </c>
      <c r="K2547">
        <v>0.269156069497482</v>
      </c>
      <c r="L2547">
        <v>940.82664805340505</v>
      </c>
      <c r="M2547">
        <v>17.641148856243099</v>
      </c>
      <c r="N2547">
        <v>55.529056021637402</v>
      </c>
      <c r="O2547">
        <v>52.660230510195298</v>
      </c>
      <c r="P2547">
        <v>-6.2710496167791993E-2</v>
      </c>
      <c r="Q2547">
        <v>0.25125674493185202</v>
      </c>
      <c r="R2547">
        <v>0.95898443239597198</v>
      </c>
      <c r="S2547" t="s">
        <v>8098</v>
      </c>
      <c r="T2547" t="s">
        <v>11100</v>
      </c>
      <c r="U2547" t="s">
        <v>11100</v>
      </c>
      <c r="V2547" t="s">
        <v>11100</v>
      </c>
      <c r="W2547" t="s">
        <v>13605</v>
      </c>
      <c r="X2547">
        <v>5</v>
      </c>
      <c r="Y2547" t="s">
        <v>19069</v>
      </c>
      <c r="Z2547" t="s">
        <v>24552</v>
      </c>
      <c r="AA2547">
        <v>0.66982532513649673</v>
      </c>
      <c r="AB2547" t="str">
        <f>HYPERLINK("Melting_Curves/meltCurve_P60903_S100A10.pdf", "Melting_Curves/meltCurve_P60903_S100A10.pdf")</f>
        <v>Melting_Curves/meltCurve_P60903_S100A10.pdf</v>
      </c>
    </row>
    <row r="2548" spans="1:28" x14ac:dyDescent="0.25">
      <c r="A2548" t="s">
        <v>2552</v>
      </c>
      <c r="B2548">
        <v>0.99299721793515405</v>
      </c>
      <c r="C2548">
        <v>0.99767092847615901</v>
      </c>
      <c r="D2548">
        <v>0.99041148991712302</v>
      </c>
      <c r="E2548">
        <v>0.89645876463417895</v>
      </c>
      <c r="F2548">
        <v>0.77882889284459</v>
      </c>
      <c r="G2548">
        <v>0.61336903357530403</v>
      </c>
      <c r="H2548">
        <v>0.62039984387886304</v>
      </c>
      <c r="I2548">
        <v>0.74871817566462395</v>
      </c>
      <c r="J2548">
        <v>0.72830440039112898</v>
      </c>
      <c r="K2548">
        <v>0.47144988394180498</v>
      </c>
      <c r="L2548">
        <v>1212.59628319029</v>
      </c>
      <c r="M2548">
        <v>24.886624953049399</v>
      </c>
      <c r="O2548">
        <v>48.413477703321597</v>
      </c>
      <c r="P2548">
        <v>-4.7362158415113299E-2</v>
      </c>
      <c r="Q2548">
        <v>0.63145900040901803</v>
      </c>
      <c r="R2548">
        <v>0.82800611879852204</v>
      </c>
      <c r="S2548" t="s">
        <v>8099</v>
      </c>
      <c r="T2548" t="s">
        <v>11100</v>
      </c>
      <c r="U2548" t="s">
        <v>11100</v>
      </c>
      <c r="V2548" t="s">
        <v>11100</v>
      </c>
      <c r="W2548" t="s">
        <v>13606</v>
      </c>
      <c r="X2548">
        <v>11</v>
      </c>
      <c r="Y2548" t="s">
        <v>19070</v>
      </c>
      <c r="Z2548" t="s">
        <v>24553</v>
      </c>
      <c r="AA2548">
        <v>0.77869609038946508</v>
      </c>
      <c r="AB2548" t="str">
        <f>HYPERLINK("Melting_Curves/meltCurve_P60953_CDC42.pdf", "Melting_Curves/meltCurve_P60953_CDC42.pdf")</f>
        <v>Melting_Curves/meltCurve_P60953_CDC42.pdf</v>
      </c>
    </row>
    <row r="2549" spans="1:28" x14ac:dyDescent="0.25">
      <c r="A2549" t="s">
        <v>2553</v>
      </c>
      <c r="B2549">
        <v>0.99299721793515405</v>
      </c>
      <c r="C2549">
        <v>1.17637155533999</v>
      </c>
      <c r="D2549">
        <v>0.89175366591931005</v>
      </c>
      <c r="E2549">
        <v>0.84166784660581695</v>
      </c>
      <c r="F2549">
        <v>0.79346073605759804</v>
      </c>
      <c r="G2549">
        <v>0.67279640449650902</v>
      </c>
      <c r="H2549">
        <v>0.65369851775907695</v>
      </c>
      <c r="I2549">
        <v>0.56368387465370695</v>
      </c>
      <c r="J2549">
        <v>0.42760540908132699</v>
      </c>
      <c r="K2549">
        <v>0.31665070611926999</v>
      </c>
      <c r="L2549">
        <v>408.47026460110197</v>
      </c>
      <c r="M2549">
        <v>6.6655241768859996</v>
      </c>
      <c r="N2549">
        <v>61.281041446422499</v>
      </c>
      <c r="O2549">
        <v>56.470828371083599</v>
      </c>
      <c r="P2549">
        <v>-2.9574129910905501E-2</v>
      </c>
      <c r="Q2549">
        <v>0</v>
      </c>
      <c r="R2549">
        <v>0.908181762199473</v>
      </c>
      <c r="S2549" t="s">
        <v>8100</v>
      </c>
      <c r="T2549" t="s">
        <v>11100</v>
      </c>
      <c r="U2549" t="s">
        <v>11100</v>
      </c>
      <c r="V2549" t="s">
        <v>11100</v>
      </c>
      <c r="W2549" t="s">
        <v>13607</v>
      </c>
      <c r="X2549">
        <v>7</v>
      </c>
      <c r="Y2549" t="s">
        <v>19070</v>
      </c>
      <c r="Z2549" t="s">
        <v>24554</v>
      </c>
      <c r="AA2549">
        <v>0.73173026141438069</v>
      </c>
      <c r="AB2549" t="str">
        <f>HYPERLINK("Melting_Curves/meltCurve_P60953_1_CDC42.pdf", "Melting_Curves/meltCurve_P60953_1_CDC42.pdf")</f>
        <v>Melting_Curves/meltCurve_P60953_1_CDC42.pdf</v>
      </c>
    </row>
    <row r="2550" spans="1:28" x14ac:dyDescent="0.25">
      <c r="A2550" t="s">
        <v>2554</v>
      </c>
      <c r="B2550">
        <v>0.99299721793515405</v>
      </c>
      <c r="C2550">
        <v>1.1205313482938</v>
      </c>
      <c r="D2550">
        <v>1.09966347983664</v>
      </c>
      <c r="E2550">
        <v>1.0616332169555101</v>
      </c>
      <c r="F2550">
        <v>0.71562739102664297</v>
      </c>
      <c r="G2550">
        <v>0.61097319881768797</v>
      </c>
      <c r="H2550">
        <v>0.38163587842138602</v>
      </c>
      <c r="I2550">
        <v>0.20099991932762901</v>
      </c>
      <c r="J2550">
        <v>0.12562487440665701</v>
      </c>
      <c r="K2550">
        <v>8.7954958926062102E-2</v>
      </c>
      <c r="L2550">
        <v>882.21214394117703</v>
      </c>
      <c r="M2550">
        <v>16.096925179177301</v>
      </c>
      <c r="N2550">
        <v>55.139238046204703</v>
      </c>
      <c r="O2550">
        <v>53.981326275057299</v>
      </c>
      <c r="P2550">
        <v>-7.1101168575486901E-2</v>
      </c>
      <c r="Q2550">
        <v>4.6316833166116997E-2</v>
      </c>
      <c r="R2550">
        <v>0.96645223374071598</v>
      </c>
      <c r="S2550" t="s">
        <v>8101</v>
      </c>
      <c r="T2550" t="s">
        <v>11100</v>
      </c>
      <c r="U2550" t="s">
        <v>11100</v>
      </c>
      <c r="V2550" t="s">
        <v>11100</v>
      </c>
      <c r="W2550" t="s">
        <v>13608</v>
      </c>
      <c r="X2550">
        <v>15</v>
      </c>
      <c r="Y2550" t="s">
        <v>19071</v>
      </c>
      <c r="Z2550" t="s">
        <v>24555</v>
      </c>
      <c r="AA2550">
        <v>0.6257073378937984</v>
      </c>
      <c r="AB2550" t="str">
        <f>HYPERLINK("Melting_Curves/meltCurve_P60981_DSTN.pdf", "Melting_Curves/meltCurve_P60981_DSTN.pdf")</f>
        <v>Melting_Curves/meltCurve_P60981_DSTN.pdf</v>
      </c>
    </row>
    <row r="2551" spans="1:28" x14ac:dyDescent="0.25">
      <c r="A2551" t="s">
        <v>2555</v>
      </c>
      <c r="B2551">
        <v>0.99299721793515405</v>
      </c>
      <c r="C2551">
        <v>0.96270042872685802</v>
      </c>
      <c r="D2551">
        <v>0.84734735453392196</v>
      </c>
      <c r="E2551">
        <v>0.81652273846385004</v>
      </c>
      <c r="F2551">
        <v>0.73089649982719695</v>
      </c>
      <c r="G2551">
        <v>0.536495837480092</v>
      </c>
      <c r="H2551">
        <v>0.53328253666370395</v>
      </c>
      <c r="I2551">
        <v>0.61622687511297303</v>
      </c>
      <c r="J2551">
        <v>0.69307213429879</v>
      </c>
      <c r="K2551">
        <v>0.58878549109400202</v>
      </c>
      <c r="L2551">
        <v>694.85044350092096</v>
      </c>
      <c r="M2551">
        <v>15.1123519893588</v>
      </c>
      <c r="O2551">
        <v>45.196422554772099</v>
      </c>
      <c r="P2551">
        <v>-3.4259625214002401E-2</v>
      </c>
      <c r="Q2551">
        <v>0.59019996232564298</v>
      </c>
      <c r="R2551">
        <v>0.87832119719948598</v>
      </c>
      <c r="S2551" t="s">
        <v>8102</v>
      </c>
      <c r="T2551" t="s">
        <v>11100</v>
      </c>
      <c r="U2551" t="s">
        <v>11100</v>
      </c>
      <c r="V2551" t="s">
        <v>11100</v>
      </c>
      <c r="W2551" t="s">
        <v>13609</v>
      </c>
      <c r="X2551">
        <v>10</v>
      </c>
      <c r="Y2551" t="s">
        <v>19072</v>
      </c>
      <c r="Z2551" t="s">
        <v>24556</v>
      </c>
      <c r="AA2551">
        <v>0.72217575324441297</v>
      </c>
      <c r="AB2551" t="str">
        <f>HYPERLINK("Melting_Curves/meltCurve_P60983_GMFB.pdf", "Melting_Curves/meltCurve_P60983_GMFB.pdf")</f>
        <v>Melting_Curves/meltCurve_P60983_GMFB.pdf</v>
      </c>
    </row>
    <row r="2552" spans="1:28" x14ac:dyDescent="0.25">
      <c r="A2552" t="s">
        <v>2556</v>
      </c>
      <c r="B2552">
        <v>0.99299721793515405</v>
      </c>
      <c r="C2552">
        <v>1.01955130206275</v>
      </c>
      <c r="D2552">
        <v>1.0393333685108099</v>
      </c>
      <c r="E2552">
        <v>0.89097343936936702</v>
      </c>
      <c r="F2552">
        <v>0.81781878597120805</v>
      </c>
      <c r="G2552">
        <v>0.63527461919297301</v>
      </c>
      <c r="H2552">
        <v>0.45447168191980702</v>
      </c>
      <c r="I2552">
        <v>0.479908661933866</v>
      </c>
      <c r="J2552">
        <v>0.42408755471493098</v>
      </c>
      <c r="K2552">
        <v>0.38961585782236702</v>
      </c>
      <c r="L2552">
        <v>921.93012887065697</v>
      </c>
      <c r="M2552">
        <v>17.645631835508599</v>
      </c>
      <c r="N2552">
        <v>57.3209823461318</v>
      </c>
      <c r="O2552">
        <v>51.589764893001899</v>
      </c>
      <c r="P2552">
        <v>-5.1723877032890699E-2</v>
      </c>
      <c r="Q2552">
        <v>0.39514088004409098</v>
      </c>
      <c r="R2552">
        <v>0.98483835535852104</v>
      </c>
      <c r="S2552" t="s">
        <v>8103</v>
      </c>
      <c r="T2552" t="s">
        <v>11100</v>
      </c>
      <c r="U2552" t="s">
        <v>11100</v>
      </c>
      <c r="V2552" t="s">
        <v>11100</v>
      </c>
      <c r="W2552" t="s">
        <v>13610</v>
      </c>
      <c r="X2552">
        <v>15</v>
      </c>
      <c r="Y2552" t="s">
        <v>19073</v>
      </c>
      <c r="Z2552" t="s">
        <v>24557</v>
      </c>
      <c r="AA2552">
        <v>0.71187228737843233</v>
      </c>
      <c r="AB2552" t="str">
        <f>HYPERLINK("Melting_Curves/meltCurve_P61006_RAB8A.pdf", "Melting_Curves/meltCurve_P61006_RAB8A.pdf")</f>
        <v>Melting_Curves/meltCurve_P61006_RAB8A.pdf</v>
      </c>
    </row>
    <row r="2553" spans="1:28" x14ac:dyDescent="0.25">
      <c r="A2553" t="s">
        <v>2557</v>
      </c>
      <c r="B2553">
        <v>0.99299721793515405</v>
      </c>
      <c r="C2553">
        <v>0.97801765092913395</v>
      </c>
      <c r="D2553">
        <v>1.00988957101503</v>
      </c>
      <c r="E2553">
        <v>0.87560436458334701</v>
      </c>
      <c r="F2553">
        <v>0.83999333971472401</v>
      </c>
      <c r="G2553">
        <v>0.50563373074517803</v>
      </c>
      <c r="H2553">
        <v>0.27809577486204001</v>
      </c>
      <c r="I2553">
        <v>0.16194818876088499</v>
      </c>
      <c r="J2553">
        <v>0.12601298460232199</v>
      </c>
      <c r="K2553">
        <v>0.103967079446593</v>
      </c>
      <c r="L2553">
        <v>1015.56727744532</v>
      </c>
      <c r="M2553">
        <v>18.976521533105501</v>
      </c>
      <c r="N2553">
        <v>54.032717520756101</v>
      </c>
      <c r="O2553">
        <v>52.933384976818502</v>
      </c>
      <c r="P2553">
        <v>-8.2204510330295494E-2</v>
      </c>
      <c r="Q2553">
        <v>8.2827321334158405E-2</v>
      </c>
      <c r="R2553">
        <v>0.99401781834567304</v>
      </c>
      <c r="S2553" t="s">
        <v>8104</v>
      </c>
      <c r="T2553" t="s">
        <v>11100</v>
      </c>
      <c r="U2553" t="s">
        <v>11100</v>
      </c>
      <c r="V2553" t="s">
        <v>11100</v>
      </c>
      <c r="W2553" t="s">
        <v>13611</v>
      </c>
      <c r="X2553">
        <v>3</v>
      </c>
      <c r="Y2553" t="s">
        <v>19074</v>
      </c>
      <c r="Z2553" t="s">
        <v>24558</v>
      </c>
      <c r="AA2553">
        <v>0.59994907984078694</v>
      </c>
      <c r="AB2553" t="str">
        <f>HYPERLINK("Melting_Curves/meltCurve_P61009_SPCS3.pdf", "Melting_Curves/meltCurve_P61009_SPCS3.pdf")</f>
        <v>Melting_Curves/meltCurve_P61009_SPCS3.pdf</v>
      </c>
    </row>
    <row r="2554" spans="1:28" x14ac:dyDescent="0.25">
      <c r="A2554" t="s">
        <v>2558</v>
      </c>
      <c r="B2554">
        <v>0.99299721793515405</v>
      </c>
      <c r="C2554">
        <v>0.98807195529039005</v>
      </c>
      <c r="D2554">
        <v>0.91036839600518304</v>
      </c>
      <c r="E2554">
        <v>0.80881809166160601</v>
      </c>
      <c r="F2554">
        <v>0.72148219499195498</v>
      </c>
      <c r="G2554">
        <v>0.53110069227307999</v>
      </c>
      <c r="H2554">
        <v>0.20884372981191299</v>
      </c>
      <c r="I2554">
        <v>0.156749280894598</v>
      </c>
      <c r="J2554">
        <v>0.14615591825111299</v>
      </c>
      <c r="K2554">
        <v>0.12593816697230101</v>
      </c>
      <c r="L2554">
        <v>690.35612930099899</v>
      </c>
      <c r="M2554">
        <v>13.0498911696556</v>
      </c>
      <c r="N2554">
        <v>53.227202449638298</v>
      </c>
      <c r="O2554">
        <v>51.705296981710397</v>
      </c>
      <c r="P2554">
        <v>-6.0685342944381999E-2</v>
      </c>
      <c r="Q2554">
        <v>3.8395776072737503E-2</v>
      </c>
      <c r="R2554">
        <v>0.98437863502979694</v>
      </c>
      <c r="S2554" t="s">
        <v>8105</v>
      </c>
      <c r="T2554" t="s">
        <v>11100</v>
      </c>
      <c r="U2554" t="s">
        <v>11100</v>
      </c>
      <c r="V2554" t="s">
        <v>11100</v>
      </c>
      <c r="W2554" t="s">
        <v>13612</v>
      </c>
      <c r="X2554">
        <v>14</v>
      </c>
      <c r="Y2554" t="s">
        <v>19075</v>
      </c>
      <c r="Z2554" t="s">
        <v>24559</v>
      </c>
      <c r="AA2554">
        <v>0.56756410635071097</v>
      </c>
      <c r="AB2554" t="str">
        <f>HYPERLINK("Melting_Curves/meltCurve_P61011_SRP54.pdf", "Melting_Curves/meltCurve_P61011_SRP54.pdf")</f>
        <v>Melting_Curves/meltCurve_P61011_SRP54.pdf</v>
      </c>
    </row>
    <row r="2555" spans="1:28" x14ac:dyDescent="0.25">
      <c r="A2555" t="s">
        <v>2559</v>
      </c>
      <c r="B2555">
        <v>0.99299721793515405</v>
      </c>
      <c r="C2555">
        <v>1.0715480636903201</v>
      </c>
      <c r="D2555">
        <v>0.99233460377262805</v>
      </c>
      <c r="E2555">
        <v>0.96224395212993696</v>
      </c>
      <c r="F2555">
        <v>0.83715451058170298</v>
      </c>
      <c r="G2555">
        <v>0.67721639907258802</v>
      </c>
      <c r="H2555">
        <v>0.67928209364042302</v>
      </c>
      <c r="I2555">
        <v>0.75485317287944897</v>
      </c>
      <c r="J2555">
        <v>0.81920283604546396</v>
      </c>
      <c r="K2555">
        <v>0.49654928492042399</v>
      </c>
      <c r="L2555">
        <v>1914.5792082497001</v>
      </c>
      <c r="M2555">
        <v>38.311358424055499</v>
      </c>
      <c r="O2555">
        <v>49.838616565367701</v>
      </c>
      <c r="P2555">
        <v>-6.1091802751232403E-2</v>
      </c>
      <c r="Q2555">
        <v>0.68210749433944995</v>
      </c>
      <c r="R2555">
        <v>0.77804126281730801</v>
      </c>
      <c r="S2555" t="s">
        <v>8106</v>
      </c>
      <c r="T2555" t="s">
        <v>11100</v>
      </c>
      <c r="U2555" t="s">
        <v>11100</v>
      </c>
      <c r="V2555" t="s">
        <v>11100</v>
      </c>
      <c r="W2555" t="s">
        <v>13613</v>
      </c>
      <c r="X2555">
        <v>15</v>
      </c>
      <c r="Y2555" t="s">
        <v>19076</v>
      </c>
      <c r="Z2555" t="s">
        <v>24560</v>
      </c>
      <c r="AA2555">
        <v>0.82078423407473633</v>
      </c>
      <c r="AB2555" t="str">
        <f>HYPERLINK("Melting_Curves/meltCurve_P61019_RAB2A.pdf", "Melting_Curves/meltCurve_P61019_RAB2A.pdf")</f>
        <v>Melting_Curves/meltCurve_P61019_RAB2A.pdf</v>
      </c>
    </row>
    <row r="2556" spans="1:28" x14ac:dyDescent="0.25">
      <c r="A2556" t="s">
        <v>2560</v>
      </c>
      <c r="B2556">
        <v>0.99299721793515405</v>
      </c>
      <c r="C2556">
        <v>0.93236850174611996</v>
      </c>
      <c r="D2556">
        <v>0.93377537541206701</v>
      </c>
      <c r="E2556">
        <v>0.86293068527545602</v>
      </c>
      <c r="F2556">
        <v>0.79544560627222105</v>
      </c>
      <c r="G2556">
        <v>0.62548684816131905</v>
      </c>
      <c r="H2556">
        <v>0.53696940644659696</v>
      </c>
      <c r="I2556">
        <v>0.605278561598113</v>
      </c>
      <c r="J2556">
        <v>0.53915489259326699</v>
      </c>
      <c r="K2556">
        <v>0.33156282896919897</v>
      </c>
      <c r="L2556">
        <v>345.98831594450502</v>
      </c>
      <c r="M2556">
        <v>5.8238285562835097</v>
      </c>
      <c r="N2556">
        <v>62.018121810420602</v>
      </c>
      <c r="O2556">
        <v>53.528376912879601</v>
      </c>
      <c r="P2556">
        <v>-2.43318019025794E-2</v>
      </c>
      <c r="Q2556">
        <v>0.108648690658982</v>
      </c>
      <c r="R2556">
        <v>0.93208786713340797</v>
      </c>
      <c r="S2556" t="s">
        <v>8107</v>
      </c>
      <c r="T2556" t="s">
        <v>11100</v>
      </c>
      <c r="U2556" t="s">
        <v>11100</v>
      </c>
      <c r="V2556" t="s">
        <v>11100</v>
      </c>
      <c r="W2556" t="s">
        <v>13614</v>
      </c>
      <c r="X2556">
        <v>6</v>
      </c>
      <c r="Y2556" t="s">
        <v>19077</v>
      </c>
      <c r="Z2556" t="s">
        <v>24561</v>
      </c>
      <c r="AA2556">
        <v>0.71750539716103856</v>
      </c>
      <c r="AB2556" t="str">
        <f>HYPERLINK("Melting_Curves/meltCurve_P61020_RAB5B.pdf", "Melting_Curves/meltCurve_P61020_RAB5B.pdf")</f>
        <v>Melting_Curves/meltCurve_P61020_RAB5B.pdf</v>
      </c>
    </row>
    <row r="2557" spans="1:28" x14ac:dyDescent="0.25">
      <c r="A2557" t="s">
        <v>2561</v>
      </c>
      <c r="B2557">
        <v>0.99299721793515405</v>
      </c>
      <c r="C2557">
        <v>1.42971280493514</v>
      </c>
      <c r="D2557">
        <v>1.1633708495319699</v>
      </c>
      <c r="E2557">
        <v>1.3109533350017699</v>
      </c>
      <c r="F2557">
        <v>0.89373508747849695</v>
      </c>
      <c r="G2557">
        <v>0.500614210075357</v>
      </c>
      <c r="H2557">
        <v>0.52307851247369297</v>
      </c>
      <c r="I2557">
        <v>0.59233915562653905</v>
      </c>
      <c r="J2557">
        <v>0.76584065850256899</v>
      </c>
      <c r="K2557">
        <v>0.64283478874998901</v>
      </c>
      <c r="L2557">
        <v>12600.188772306101</v>
      </c>
      <c r="M2557">
        <v>250</v>
      </c>
      <c r="O2557">
        <v>50.397529889616401</v>
      </c>
      <c r="P2557">
        <v>-0.48992795589085703</v>
      </c>
      <c r="Q2557">
        <v>0.60494146054764197</v>
      </c>
      <c r="R2557">
        <v>0.64842613371911395</v>
      </c>
      <c r="S2557" t="s">
        <v>8108</v>
      </c>
      <c r="T2557" t="s">
        <v>11100</v>
      </c>
      <c r="U2557" t="s">
        <v>11100</v>
      </c>
      <c r="V2557" t="s">
        <v>11100</v>
      </c>
      <c r="W2557" t="s">
        <v>13615</v>
      </c>
      <c r="X2557">
        <v>4</v>
      </c>
      <c r="Y2557" t="s">
        <v>19078</v>
      </c>
      <c r="Z2557" t="s">
        <v>24562</v>
      </c>
      <c r="AA2557">
        <v>0.78144582891613645</v>
      </c>
      <c r="AB2557" t="str">
        <f>HYPERLINK("Melting_Curves/meltCurve_P61024_CKS1B.pdf", "Melting_Curves/meltCurve_P61024_CKS1B.pdf")</f>
        <v>Melting_Curves/meltCurve_P61024_CKS1B.pdf</v>
      </c>
    </row>
    <row r="2558" spans="1:28" x14ac:dyDescent="0.25">
      <c r="A2558" t="s">
        <v>2562</v>
      </c>
      <c r="B2558">
        <v>0.99299721793515405</v>
      </c>
      <c r="C2558">
        <v>0.98205747347340999</v>
      </c>
      <c r="D2558">
        <v>1.1553707925161001</v>
      </c>
      <c r="E2558">
        <v>0.89537444379180298</v>
      </c>
      <c r="F2558">
        <v>0.77400832955485599</v>
      </c>
      <c r="G2558">
        <v>0.67647341520376703</v>
      </c>
      <c r="H2558">
        <v>0.537012805281467</v>
      </c>
      <c r="I2558">
        <v>0.58010620107248501</v>
      </c>
      <c r="J2558">
        <v>0.45203988246659998</v>
      </c>
      <c r="K2558">
        <v>0.33136867617969101</v>
      </c>
      <c r="L2558">
        <v>658.72404741719299</v>
      </c>
      <c r="M2558">
        <v>12.175014611101</v>
      </c>
      <c r="N2558">
        <v>59.961147720881499</v>
      </c>
      <c r="O2558">
        <v>52.7070120643682</v>
      </c>
      <c r="P2558">
        <v>-3.7674352266795302E-2</v>
      </c>
      <c r="Q2558">
        <v>0.34776256575414499</v>
      </c>
      <c r="R2558">
        <v>0.91792630518128704</v>
      </c>
      <c r="S2558" t="s">
        <v>8109</v>
      </c>
      <c r="T2558" t="s">
        <v>11100</v>
      </c>
      <c r="U2558" t="s">
        <v>11100</v>
      </c>
      <c r="V2558" t="s">
        <v>11100</v>
      </c>
      <c r="W2558" t="s">
        <v>13616</v>
      </c>
      <c r="X2558">
        <v>11</v>
      </c>
      <c r="Y2558" t="s">
        <v>19079</v>
      </c>
      <c r="Z2558" t="s">
        <v>24563</v>
      </c>
      <c r="AA2558">
        <v>0.7310634287247767</v>
      </c>
      <c r="AB2558" t="str">
        <f>HYPERLINK("Melting_Curves/meltCurve_P61026_RAB10.pdf", "Melting_Curves/meltCurve_P61026_RAB10.pdf")</f>
        <v>Melting_Curves/meltCurve_P61026_RAB10.pdf</v>
      </c>
    </row>
    <row r="2559" spans="1:28" x14ac:dyDescent="0.25">
      <c r="A2559" t="s">
        <v>2563</v>
      </c>
      <c r="B2559">
        <v>0.99299721793515405</v>
      </c>
      <c r="C2559">
        <v>1.05160963767013</v>
      </c>
      <c r="D2559">
        <v>1.02846711991632</v>
      </c>
      <c r="E2559">
        <v>0.82645240987403601</v>
      </c>
      <c r="F2559">
        <v>0.76692218013192204</v>
      </c>
      <c r="G2559">
        <v>0.35680790207192398</v>
      </c>
      <c r="H2559">
        <v>0.19203301460851699</v>
      </c>
      <c r="I2559">
        <v>0.14872463576318901</v>
      </c>
      <c r="J2559">
        <v>0.12937983369501499</v>
      </c>
      <c r="K2559">
        <v>0.113421527671572</v>
      </c>
      <c r="L2559">
        <v>1116.1587154280101</v>
      </c>
      <c r="M2559">
        <v>21.532801895337698</v>
      </c>
      <c r="N2559">
        <v>52.4157312620749</v>
      </c>
      <c r="O2559">
        <v>51.394418393850799</v>
      </c>
      <c r="P2559">
        <v>-9.3634533765966393E-2</v>
      </c>
      <c r="Q2559">
        <v>0.106075377691739</v>
      </c>
      <c r="R2559">
        <v>0.98684325408724005</v>
      </c>
      <c r="S2559" t="s">
        <v>8110</v>
      </c>
      <c r="T2559" t="s">
        <v>11100</v>
      </c>
      <c r="U2559" t="s">
        <v>11100</v>
      </c>
      <c r="V2559" t="s">
        <v>11100</v>
      </c>
      <c r="W2559" t="s">
        <v>13617</v>
      </c>
      <c r="X2559">
        <v>4</v>
      </c>
      <c r="Y2559" t="s">
        <v>19080</v>
      </c>
      <c r="Z2559" t="s">
        <v>24564</v>
      </c>
      <c r="AA2559">
        <v>0.55839734541471242</v>
      </c>
      <c r="AB2559" t="str">
        <f>HYPERLINK("Melting_Curves/meltCurve_P61077_UBE2D3.pdf", "Melting_Curves/meltCurve_P61077_UBE2D3.pdf")</f>
        <v>Melting_Curves/meltCurve_P61077_UBE2D3.pdf</v>
      </c>
    </row>
    <row r="2560" spans="1:28" x14ac:dyDescent="0.25">
      <c r="A2560" t="s">
        <v>2564</v>
      </c>
      <c r="B2560">
        <v>0.99299721793515405</v>
      </c>
      <c r="C2560">
        <v>1.1623044450722799</v>
      </c>
      <c r="D2560">
        <v>0.998426812715141</v>
      </c>
      <c r="E2560">
        <v>1.0211309672557001</v>
      </c>
      <c r="F2560">
        <v>0.77799290062885795</v>
      </c>
      <c r="G2560">
        <v>0.59305594609768597</v>
      </c>
      <c r="H2560">
        <v>0.24438399034802599</v>
      </c>
      <c r="I2560">
        <v>0.183876645916913</v>
      </c>
      <c r="J2560">
        <v>0.15675931917219499</v>
      </c>
      <c r="K2560">
        <v>0.13393647893042099</v>
      </c>
      <c r="L2560">
        <v>1177.36373168315</v>
      </c>
      <c r="M2560">
        <v>21.975147097073499</v>
      </c>
      <c r="N2560">
        <v>54.2697399413331</v>
      </c>
      <c r="O2560">
        <v>53.139300534786997</v>
      </c>
      <c r="P2560">
        <v>-9.0743658284239803E-2</v>
      </c>
      <c r="Q2560">
        <v>0.122290934232842</v>
      </c>
      <c r="R2560">
        <v>0.97573290815221503</v>
      </c>
      <c r="S2560" t="s">
        <v>8111</v>
      </c>
      <c r="T2560" t="s">
        <v>11100</v>
      </c>
      <c r="U2560" t="s">
        <v>11100</v>
      </c>
      <c r="V2560" t="s">
        <v>11100</v>
      </c>
      <c r="W2560" t="s">
        <v>13618</v>
      </c>
      <c r="X2560">
        <v>13</v>
      </c>
      <c r="Y2560" t="s">
        <v>19081</v>
      </c>
      <c r="Z2560" t="s">
        <v>24565</v>
      </c>
      <c r="AA2560">
        <v>0.61674610870039182</v>
      </c>
      <c r="AB2560" t="str">
        <f>HYPERLINK("Melting_Curves/meltCurve_P61081_UBE2M.pdf", "Melting_Curves/meltCurve_P61081_UBE2M.pdf")</f>
        <v>Melting_Curves/meltCurve_P61081_UBE2M.pdf</v>
      </c>
    </row>
    <row r="2561" spans="1:28" x14ac:dyDescent="0.25">
      <c r="A2561" t="s">
        <v>2565</v>
      </c>
      <c r="B2561">
        <v>0.99299721793515405</v>
      </c>
      <c r="C2561">
        <v>1.15825832145469</v>
      </c>
      <c r="D2561">
        <v>0.98592283511724799</v>
      </c>
      <c r="E2561">
        <v>0.89471800481972097</v>
      </c>
      <c r="F2561">
        <v>0.827040445353034</v>
      </c>
      <c r="G2561">
        <v>0.686422379750393</v>
      </c>
      <c r="H2561">
        <v>0.53047872396801299</v>
      </c>
      <c r="I2561">
        <v>0.38328481121444102</v>
      </c>
      <c r="J2561">
        <v>0.27252778007109402</v>
      </c>
      <c r="K2561">
        <v>0.170590583194487</v>
      </c>
      <c r="L2561">
        <v>614.19581211163802</v>
      </c>
      <c r="M2561">
        <v>10.6047100568652</v>
      </c>
      <c r="N2561">
        <v>57.917265928148701</v>
      </c>
      <c r="O2561">
        <v>55.971595704025297</v>
      </c>
      <c r="P2561">
        <v>-4.7384877312166201E-2</v>
      </c>
      <c r="Q2561">
        <v>0</v>
      </c>
      <c r="R2561">
        <v>0.97073549552598504</v>
      </c>
      <c r="S2561" t="s">
        <v>8112</v>
      </c>
      <c r="T2561" t="s">
        <v>11100</v>
      </c>
      <c r="U2561" t="s">
        <v>11100</v>
      </c>
      <c r="V2561" t="s">
        <v>11100</v>
      </c>
      <c r="W2561" t="s">
        <v>13619</v>
      </c>
      <c r="X2561">
        <v>11</v>
      </c>
      <c r="Y2561" t="s">
        <v>19082</v>
      </c>
      <c r="Z2561" t="s">
        <v>24566</v>
      </c>
      <c r="AA2561">
        <v>0.69190338840711196</v>
      </c>
      <c r="AB2561" t="str">
        <f>HYPERLINK("Melting_Curves/meltCurve_P61086_UBE2K.pdf", "Melting_Curves/meltCurve_P61086_UBE2K.pdf")</f>
        <v>Melting_Curves/meltCurve_P61086_UBE2K.pdf</v>
      </c>
    </row>
    <row r="2562" spans="1:28" x14ac:dyDescent="0.25">
      <c r="A2562" t="s">
        <v>2566</v>
      </c>
      <c r="B2562">
        <v>0.99299721793515405</v>
      </c>
      <c r="C2562">
        <v>1.0427108186334499</v>
      </c>
      <c r="D2562">
        <v>0.96766812264608004</v>
      </c>
      <c r="E2562">
        <v>0.76606889637825903</v>
      </c>
      <c r="F2562">
        <v>0.76301146526534103</v>
      </c>
      <c r="G2562">
        <v>0.63777184554458499</v>
      </c>
      <c r="H2562">
        <v>0.36137357359308098</v>
      </c>
      <c r="I2562">
        <v>0.19137034765487701</v>
      </c>
      <c r="J2562">
        <v>0.149686248385486</v>
      </c>
      <c r="K2562">
        <v>0.10527708584050099</v>
      </c>
      <c r="L2562">
        <v>638.12159864529497</v>
      </c>
      <c r="M2562">
        <v>11.6347481898068</v>
      </c>
      <c r="N2562">
        <v>54.846207908680903</v>
      </c>
      <c r="O2562">
        <v>53.301072964543202</v>
      </c>
      <c r="P2562">
        <v>-5.4585718668359699E-2</v>
      </c>
      <c r="Q2562">
        <v>0</v>
      </c>
      <c r="R2562">
        <v>0.97785978973074905</v>
      </c>
      <c r="S2562" t="s">
        <v>8113</v>
      </c>
      <c r="T2562" t="s">
        <v>11100</v>
      </c>
      <c r="U2562" t="s">
        <v>11100</v>
      </c>
      <c r="V2562" t="s">
        <v>11100</v>
      </c>
      <c r="W2562" t="s">
        <v>13620</v>
      </c>
      <c r="X2562">
        <v>7</v>
      </c>
      <c r="Y2562" t="s">
        <v>19083</v>
      </c>
      <c r="Z2562" t="s">
        <v>24567</v>
      </c>
      <c r="AA2562">
        <v>0.60951661848453531</v>
      </c>
      <c r="AB2562" t="str">
        <f>HYPERLINK("Melting_Curves/meltCurve_P61088_UBE2N.pdf", "Melting_Curves/meltCurve_P61088_UBE2N.pdf")</f>
        <v>Melting_Curves/meltCurve_P61088_UBE2N.pdf</v>
      </c>
    </row>
    <row r="2563" spans="1:28" x14ac:dyDescent="0.25">
      <c r="A2563" t="s">
        <v>2567</v>
      </c>
      <c r="B2563">
        <v>0.99299721793515405</v>
      </c>
      <c r="C2563">
        <v>0.99863103337057602</v>
      </c>
      <c r="D2563">
        <v>0.94415893955531005</v>
      </c>
      <c r="E2563">
        <v>0.92003698789935096</v>
      </c>
      <c r="F2563">
        <v>0.788770971702067</v>
      </c>
      <c r="G2563">
        <v>0.629592960460859</v>
      </c>
      <c r="H2563">
        <v>0.59370515761075704</v>
      </c>
      <c r="I2563">
        <v>0.66242530005245104</v>
      </c>
      <c r="J2563">
        <v>0.65282002639715497</v>
      </c>
      <c r="K2563">
        <v>0.45154472904051102</v>
      </c>
      <c r="L2563">
        <v>836.20228692413798</v>
      </c>
      <c r="M2563">
        <v>16.705176007016199</v>
      </c>
      <c r="O2563">
        <v>49.355669111682197</v>
      </c>
      <c r="P2563">
        <v>-3.6940464575139602E-2</v>
      </c>
      <c r="Q2563">
        <v>0.56346450250674696</v>
      </c>
      <c r="R2563">
        <v>0.91176442934282897</v>
      </c>
      <c r="S2563" t="s">
        <v>8114</v>
      </c>
      <c r="T2563" t="s">
        <v>11100</v>
      </c>
      <c r="U2563" t="s">
        <v>11100</v>
      </c>
      <c r="V2563" t="s">
        <v>11100</v>
      </c>
      <c r="W2563" t="s">
        <v>13621</v>
      </c>
      <c r="X2563">
        <v>15</v>
      </c>
      <c r="Y2563" t="s">
        <v>19084</v>
      </c>
      <c r="Z2563" t="s">
        <v>24568</v>
      </c>
      <c r="AA2563">
        <v>0.76119930990388296</v>
      </c>
      <c r="AB2563" t="str">
        <f>HYPERLINK("Melting_Curves/meltCurve_P61106_RAB14.pdf", "Melting_Curves/meltCurve_P61106_RAB14.pdf")</f>
        <v>Melting_Curves/meltCurve_P61106_RAB14.pdf</v>
      </c>
    </row>
    <row r="2564" spans="1:28" x14ac:dyDescent="0.25">
      <c r="A2564" t="s">
        <v>2568</v>
      </c>
      <c r="B2564">
        <v>0.99299721793515405</v>
      </c>
      <c r="C2564">
        <v>1.0259960496315601</v>
      </c>
      <c r="D2564">
        <v>0.89534398783233105</v>
      </c>
      <c r="E2564">
        <v>0.88779668268318601</v>
      </c>
      <c r="F2564">
        <v>0.76548001242559105</v>
      </c>
      <c r="G2564">
        <v>0.88095335533669505</v>
      </c>
      <c r="H2564">
        <v>1.0310154431871099</v>
      </c>
      <c r="I2564">
        <v>0.99791169023220605</v>
      </c>
      <c r="J2564">
        <v>0.84497147726884603</v>
      </c>
      <c r="K2564">
        <v>0.43784236955404698</v>
      </c>
      <c r="L2564">
        <v>5915.8993653172101</v>
      </c>
      <c r="M2564">
        <v>91.257115218795093</v>
      </c>
      <c r="N2564">
        <v>66.057751760361796</v>
      </c>
      <c r="O2564">
        <v>64.795606656647806</v>
      </c>
      <c r="P2564">
        <v>-0.20818903970401501</v>
      </c>
      <c r="Q2564">
        <v>0.40871529617415397</v>
      </c>
      <c r="R2564">
        <v>0.66378535505820901</v>
      </c>
      <c r="S2564" t="s">
        <v>8115</v>
      </c>
      <c r="T2564" t="s">
        <v>11100</v>
      </c>
      <c r="U2564" t="s">
        <v>11100</v>
      </c>
      <c r="V2564" t="s">
        <v>11100</v>
      </c>
      <c r="W2564" t="s">
        <v>13622</v>
      </c>
      <c r="X2564">
        <v>18</v>
      </c>
      <c r="Y2564" t="s">
        <v>19085</v>
      </c>
      <c r="Z2564" t="s">
        <v>24569</v>
      </c>
      <c r="AA2564">
        <v>0.95689788598756464</v>
      </c>
      <c r="AB2564" t="str">
        <f>HYPERLINK("Melting_Curves/meltCurve_P61158_ACTR3.pdf", "Melting_Curves/meltCurve_P61158_ACTR3.pdf")</f>
        <v>Melting_Curves/meltCurve_P61158_ACTR3.pdf</v>
      </c>
    </row>
    <row r="2565" spans="1:28" x14ac:dyDescent="0.25">
      <c r="A2565" t="s">
        <v>2569</v>
      </c>
      <c r="B2565">
        <v>0.99299721793515405</v>
      </c>
      <c r="C2565">
        <v>1.02953589783773</v>
      </c>
      <c r="D2565">
        <v>0.97403232597100697</v>
      </c>
      <c r="E2565">
        <v>0.91012335141650802</v>
      </c>
      <c r="F2565">
        <v>0.71276910762824497</v>
      </c>
      <c r="G2565">
        <v>0.56329420886854897</v>
      </c>
      <c r="H2565">
        <v>0.59972226302712095</v>
      </c>
      <c r="I2565">
        <v>0.55955855442881897</v>
      </c>
      <c r="J2565">
        <v>0.50316300760184396</v>
      </c>
      <c r="K2565">
        <v>0.25743928738130001</v>
      </c>
      <c r="L2565">
        <v>453.91474195023699</v>
      </c>
      <c r="M2565">
        <v>8.1614203083472798</v>
      </c>
      <c r="N2565">
        <v>59.873095591684098</v>
      </c>
      <c r="O2565">
        <v>52.577129184652698</v>
      </c>
      <c r="P2565">
        <v>-3.0297641373375098E-2</v>
      </c>
      <c r="Q2565">
        <v>0.220089907110567</v>
      </c>
      <c r="R2565">
        <v>0.91535941799349396</v>
      </c>
      <c r="S2565" t="s">
        <v>8116</v>
      </c>
      <c r="T2565" t="s">
        <v>11100</v>
      </c>
      <c r="U2565" t="s">
        <v>11100</v>
      </c>
      <c r="V2565" t="s">
        <v>11100</v>
      </c>
      <c r="W2565" t="s">
        <v>13623</v>
      </c>
      <c r="X2565">
        <v>20</v>
      </c>
      <c r="Y2565" t="s">
        <v>19086</v>
      </c>
      <c r="Z2565" t="s">
        <v>24570</v>
      </c>
      <c r="AA2565">
        <v>0.7059252485324724</v>
      </c>
      <c r="AB2565" t="str">
        <f>HYPERLINK("Melting_Curves/meltCurve_P61160_ACTR2.pdf", "Melting_Curves/meltCurve_P61160_ACTR2.pdf")</f>
        <v>Melting_Curves/meltCurve_P61160_ACTR2.pdf</v>
      </c>
    </row>
    <row r="2566" spans="1:28" x14ac:dyDescent="0.25">
      <c r="A2566" t="s">
        <v>2570</v>
      </c>
      <c r="B2566">
        <v>0.99299721793515405</v>
      </c>
      <c r="C2566">
        <v>0.86879351658612802</v>
      </c>
      <c r="D2566">
        <v>0.74539555927359902</v>
      </c>
      <c r="E2566">
        <v>0.62565390503863105</v>
      </c>
      <c r="F2566">
        <v>0.52967040457174397</v>
      </c>
      <c r="G2566">
        <v>0.52818856949598603</v>
      </c>
      <c r="H2566">
        <v>0.663981021041394</v>
      </c>
      <c r="I2566">
        <v>0.81854366320560601</v>
      </c>
      <c r="J2566">
        <v>0.67619212102647897</v>
      </c>
      <c r="K2566">
        <v>0.32769557036300301</v>
      </c>
      <c r="L2566">
        <v>948.18926699162705</v>
      </c>
      <c r="M2566">
        <v>22.772932949739499</v>
      </c>
      <c r="O2566">
        <v>41.319626606323801</v>
      </c>
      <c r="P2566">
        <v>-5.6385861564208502E-2</v>
      </c>
      <c r="Q2566">
        <v>0.59077804220132002</v>
      </c>
      <c r="R2566">
        <v>0.56479437606605298</v>
      </c>
      <c r="S2566" t="s">
        <v>8117</v>
      </c>
      <c r="T2566" t="s">
        <v>11100</v>
      </c>
      <c r="U2566" t="s">
        <v>11100</v>
      </c>
      <c r="V2566" t="s">
        <v>11100</v>
      </c>
      <c r="W2566" t="s">
        <v>13624</v>
      </c>
      <c r="X2566">
        <v>9</v>
      </c>
      <c r="Y2566" t="s">
        <v>19087</v>
      </c>
      <c r="Z2566" t="s">
        <v>24571</v>
      </c>
      <c r="AA2566">
        <v>0.65874240238983672</v>
      </c>
      <c r="AB2566" t="str">
        <f>HYPERLINK("Melting_Curves/meltCurve_P61163_ACTR1A.pdf", "Melting_Curves/meltCurve_P61163_ACTR1A.pdf")</f>
        <v>Melting_Curves/meltCurve_P61163_ACTR1A.pdf</v>
      </c>
    </row>
    <row r="2567" spans="1:28" x14ac:dyDescent="0.25">
      <c r="A2567" t="s">
        <v>2571</v>
      </c>
      <c r="B2567">
        <v>0.99299721793515405</v>
      </c>
      <c r="C2567">
        <v>0.86144303044341797</v>
      </c>
      <c r="D2567">
        <v>0.98192997550019701</v>
      </c>
      <c r="E2567">
        <v>0.77709354315452495</v>
      </c>
      <c r="F2567">
        <v>0.71061124196480496</v>
      </c>
      <c r="G2567">
        <v>1.4305459168068999</v>
      </c>
      <c r="H2567">
        <v>1.71903940930708</v>
      </c>
      <c r="I2567">
        <v>0.78611012842290595</v>
      </c>
      <c r="J2567">
        <v>0.24504068003823001</v>
      </c>
      <c r="K2567">
        <v>0.18960505279754</v>
      </c>
      <c r="L2567">
        <v>7145.7346040980001</v>
      </c>
      <c r="M2567">
        <v>116.14526697480299</v>
      </c>
      <c r="N2567">
        <v>61.820212738463297</v>
      </c>
      <c r="O2567">
        <v>61.505879446134401</v>
      </c>
      <c r="P2567">
        <v>-0.371376939960323</v>
      </c>
      <c r="Q2567">
        <v>0.213334638402986</v>
      </c>
      <c r="R2567">
        <v>0.56226062016884604</v>
      </c>
      <c r="S2567" t="s">
        <v>8118</v>
      </c>
      <c r="T2567" t="s">
        <v>11100</v>
      </c>
      <c r="U2567" t="s">
        <v>11100</v>
      </c>
      <c r="V2567" t="s">
        <v>11100</v>
      </c>
      <c r="W2567" t="s">
        <v>13625</v>
      </c>
      <c r="X2567">
        <v>7</v>
      </c>
      <c r="Y2567" t="s">
        <v>19088</v>
      </c>
      <c r="Z2567" t="s">
        <v>24572</v>
      </c>
      <c r="AA2567">
        <v>0.85680291697516198</v>
      </c>
      <c r="AB2567" t="str">
        <f>HYPERLINK("Melting_Curves/meltCurve_P61201_COPS2.pdf", "Melting_Curves/meltCurve_P61201_COPS2.pdf")</f>
        <v>Melting_Curves/meltCurve_P61201_COPS2.pdf</v>
      </c>
    </row>
    <row r="2568" spans="1:28" x14ac:dyDescent="0.25">
      <c r="A2568" t="s">
        <v>2572</v>
      </c>
      <c r="B2568">
        <v>0.99299721793515405</v>
      </c>
      <c r="C2568">
        <v>0.88989786443816099</v>
      </c>
      <c r="D2568">
        <v>0.932085574480503</v>
      </c>
      <c r="E2568">
        <v>0.79216204587243</v>
      </c>
      <c r="F2568">
        <v>0.721557662580399</v>
      </c>
      <c r="G2568">
        <v>0.64545459688735796</v>
      </c>
      <c r="H2568">
        <v>0.80407977626052796</v>
      </c>
      <c r="I2568">
        <v>1.1164656652043401</v>
      </c>
      <c r="J2568">
        <v>1.4044621375908499</v>
      </c>
      <c r="K2568">
        <v>1.7246840909179999</v>
      </c>
      <c r="L2568">
        <v>4303.8558399743297</v>
      </c>
      <c r="M2568">
        <v>69.157597615534797</v>
      </c>
      <c r="O2568">
        <v>62.1806091410484</v>
      </c>
      <c r="P2568">
        <v>0.139025689170656</v>
      </c>
      <c r="Q2568">
        <v>1.5</v>
      </c>
      <c r="R2568">
        <v>0.64541299127270002</v>
      </c>
      <c r="S2568" t="s">
        <v>8119</v>
      </c>
      <c r="T2568" t="s">
        <v>11100</v>
      </c>
      <c r="U2568" t="s">
        <v>11100</v>
      </c>
      <c r="V2568" t="s">
        <v>11100</v>
      </c>
      <c r="W2568" t="s">
        <v>13626</v>
      </c>
      <c r="X2568">
        <v>3</v>
      </c>
      <c r="Y2568" t="s">
        <v>19089</v>
      </c>
      <c r="Z2568" t="s">
        <v>24573</v>
      </c>
      <c r="AA2568">
        <v>1.0788718870981251</v>
      </c>
      <c r="AB2568" t="str">
        <f>HYPERLINK("Melting_Curves/meltCurve_P61218_POLR2F.pdf", "Melting_Curves/meltCurve_P61218_POLR2F.pdf")</f>
        <v>Melting_Curves/meltCurve_P61218_POLR2F.pdf</v>
      </c>
    </row>
    <row r="2569" spans="1:28" x14ac:dyDescent="0.25">
      <c r="A2569" t="s">
        <v>2573</v>
      </c>
      <c r="B2569">
        <v>0.99299721793515405</v>
      </c>
      <c r="C2569">
        <v>0.99788685866123805</v>
      </c>
      <c r="D2569">
        <v>0.96721440764090805</v>
      </c>
      <c r="E2569">
        <v>0.86525510459261301</v>
      </c>
      <c r="F2569">
        <v>0.76123442413785603</v>
      </c>
      <c r="G2569">
        <v>0.64507906875365695</v>
      </c>
      <c r="H2569">
        <v>0.61738199496642598</v>
      </c>
      <c r="I2569">
        <v>0.70395497812341901</v>
      </c>
      <c r="J2569">
        <v>0.62890752306155995</v>
      </c>
      <c r="K2569">
        <v>0.27661318092200698</v>
      </c>
      <c r="L2569">
        <v>330.58759218228403</v>
      </c>
      <c r="M2569">
        <v>5.1620318802140801</v>
      </c>
      <c r="N2569">
        <v>64.042135004109497</v>
      </c>
      <c r="O2569">
        <v>56.302603856843596</v>
      </c>
      <c r="P2569">
        <v>-2.30468040941657E-2</v>
      </c>
      <c r="Q2569">
        <v>0</v>
      </c>
      <c r="R2569">
        <v>0.82799128744764205</v>
      </c>
      <c r="S2569" t="s">
        <v>8120</v>
      </c>
      <c r="T2569" t="s">
        <v>11100</v>
      </c>
      <c r="U2569" t="s">
        <v>11100</v>
      </c>
      <c r="V2569" t="s">
        <v>11100</v>
      </c>
      <c r="W2569" t="s">
        <v>13627</v>
      </c>
      <c r="X2569">
        <v>30</v>
      </c>
      <c r="Y2569" t="s">
        <v>19090</v>
      </c>
      <c r="Z2569" t="s">
        <v>24574</v>
      </c>
      <c r="AA2569">
        <v>0.74739356100067467</v>
      </c>
      <c r="AB2569" t="str">
        <f>HYPERLINK("Melting_Curves/meltCurve_P61221_ABCE1.pdf", "Melting_Curves/meltCurve_P61221_ABCE1.pdf")</f>
        <v>Melting_Curves/meltCurve_P61221_ABCE1.pdf</v>
      </c>
    </row>
    <row r="2570" spans="1:28" x14ac:dyDescent="0.25">
      <c r="A2570" t="s">
        <v>2574</v>
      </c>
      <c r="B2570">
        <v>0.99299721793515405</v>
      </c>
      <c r="C2570">
        <v>1.03272054150394</v>
      </c>
      <c r="D2570">
        <v>0.95963929045627605</v>
      </c>
      <c r="E2570">
        <v>0.92627972636815903</v>
      </c>
      <c r="F2570">
        <v>0.76111173808542598</v>
      </c>
      <c r="G2570">
        <v>0.59032388058926399</v>
      </c>
      <c r="H2570">
        <v>0.55734719111779196</v>
      </c>
      <c r="I2570">
        <v>0.590032523699069</v>
      </c>
      <c r="J2570">
        <v>0.476378150545403</v>
      </c>
      <c r="K2570">
        <v>0.32628869669650701</v>
      </c>
      <c r="L2570">
        <v>584.49461927460197</v>
      </c>
      <c r="M2570">
        <v>11.003037085829799</v>
      </c>
      <c r="N2570">
        <v>60.010493702815097</v>
      </c>
      <c r="O2570">
        <v>51.457008096653098</v>
      </c>
      <c r="P2570">
        <v>-3.4298029084175799E-2</v>
      </c>
      <c r="Q2570">
        <v>0.35862095387374499</v>
      </c>
      <c r="R2570">
        <v>0.94588174410770898</v>
      </c>
      <c r="S2570" t="s">
        <v>8121</v>
      </c>
      <c r="T2570" t="s">
        <v>11100</v>
      </c>
      <c r="U2570" t="s">
        <v>11100</v>
      </c>
      <c r="V2570" t="s">
        <v>11100</v>
      </c>
      <c r="W2570" t="s">
        <v>13628</v>
      </c>
      <c r="X2570">
        <v>13</v>
      </c>
      <c r="Y2570" t="s">
        <v>19091</v>
      </c>
      <c r="Z2570" t="s">
        <v>24575</v>
      </c>
      <c r="AA2570">
        <v>0.71703304827649061</v>
      </c>
      <c r="AB2570" t="str">
        <f>HYPERLINK("Melting_Curves/meltCurve_P61224_RAP1B.pdf", "Melting_Curves/meltCurve_P61224_RAP1B.pdf")</f>
        <v>Melting_Curves/meltCurve_P61224_RAP1B.pdf</v>
      </c>
    </row>
    <row r="2571" spans="1:28" x14ac:dyDescent="0.25">
      <c r="A2571" t="s">
        <v>2575</v>
      </c>
      <c r="B2571">
        <v>0.99299721793515405</v>
      </c>
      <c r="C2571">
        <v>1.0030701451306701</v>
      </c>
      <c r="D2571">
        <v>0.86572579753396794</v>
      </c>
      <c r="E2571">
        <v>0.83177879297379897</v>
      </c>
      <c r="F2571">
        <v>0.65719911773766104</v>
      </c>
      <c r="G2571">
        <v>0.47401658840678501</v>
      </c>
      <c r="H2571">
        <v>0.58145433167109495</v>
      </c>
      <c r="I2571">
        <v>0.54864231375486505</v>
      </c>
      <c r="J2571">
        <v>0.44484951925794403</v>
      </c>
      <c r="K2571">
        <v>0.24160616533546</v>
      </c>
      <c r="L2571">
        <v>393.80097761579998</v>
      </c>
      <c r="M2571">
        <v>7.3958808290941898</v>
      </c>
      <c r="N2571">
        <v>57.789510372754201</v>
      </c>
      <c r="O2571">
        <v>49.7688583967022</v>
      </c>
      <c r="P2571">
        <v>-2.90045046480625E-2</v>
      </c>
      <c r="Q2571">
        <v>0.22046440301546799</v>
      </c>
      <c r="R2571">
        <v>0.90197776851051603</v>
      </c>
      <c r="S2571" t="s">
        <v>8122</v>
      </c>
      <c r="T2571" t="s">
        <v>11100</v>
      </c>
      <c r="U2571" t="s">
        <v>11100</v>
      </c>
      <c r="V2571" t="s">
        <v>11100</v>
      </c>
      <c r="W2571" t="s">
        <v>13629</v>
      </c>
      <c r="X2571">
        <v>4</v>
      </c>
      <c r="Y2571" t="s">
        <v>19092</v>
      </c>
      <c r="Z2571" t="s">
        <v>24576</v>
      </c>
      <c r="AA2571">
        <v>0.65749060901520273</v>
      </c>
      <c r="AB2571" t="str">
        <f>HYPERLINK("Melting_Curves/meltCurve_P61225_RAP2B.pdf", "Melting_Curves/meltCurve_P61225_RAP2B.pdf")</f>
        <v>Melting_Curves/meltCurve_P61225_RAP2B.pdf</v>
      </c>
    </row>
    <row r="2572" spans="1:28" x14ac:dyDescent="0.25">
      <c r="A2572" t="s">
        <v>2576</v>
      </c>
      <c r="B2572">
        <v>0.99299721793515405</v>
      </c>
      <c r="C2572">
        <v>0.978308740652716</v>
      </c>
      <c r="D2572">
        <v>1.0371397704754799</v>
      </c>
      <c r="E2572">
        <v>0.71126836097255897</v>
      </c>
      <c r="F2572">
        <v>0.81641439887560097</v>
      </c>
      <c r="G2572">
        <v>0.521236291485208</v>
      </c>
      <c r="H2572">
        <v>0.48956272154727798</v>
      </c>
      <c r="I2572">
        <v>0.40433275596485702</v>
      </c>
      <c r="J2572">
        <v>0.439726599319541</v>
      </c>
      <c r="K2572">
        <v>0.52686729128693299</v>
      </c>
      <c r="L2572">
        <v>759.91888458398898</v>
      </c>
      <c r="M2572">
        <v>15.337354961364101</v>
      </c>
      <c r="N2572">
        <v>57.323411488431802</v>
      </c>
      <c r="O2572">
        <v>48.727545011903402</v>
      </c>
      <c r="P2572">
        <v>-4.4260872752672001E-2</v>
      </c>
      <c r="Q2572">
        <v>0.43757604327364502</v>
      </c>
      <c r="R2572">
        <v>0.90209969057022898</v>
      </c>
      <c r="S2572" t="s">
        <v>8123</v>
      </c>
      <c r="T2572" t="s">
        <v>11100</v>
      </c>
      <c r="U2572" t="s">
        <v>11100</v>
      </c>
      <c r="V2572" t="s">
        <v>11100</v>
      </c>
      <c r="W2572" t="s">
        <v>13630</v>
      </c>
      <c r="X2572">
        <v>3</v>
      </c>
      <c r="Y2572" t="s">
        <v>19093</v>
      </c>
      <c r="Z2572" t="s">
        <v>24577</v>
      </c>
      <c r="AA2572">
        <v>0.68432480039353416</v>
      </c>
      <c r="AB2572" t="str">
        <f>HYPERLINK("Melting_Curves/meltCurve_P61244_2_MAX.pdf", "Melting_Curves/meltCurve_P61244_2_MAX.pdf")</f>
        <v>Melting_Curves/meltCurve_P61244_2_MAX.pdf</v>
      </c>
    </row>
    <row r="2573" spans="1:28" x14ac:dyDescent="0.25">
      <c r="A2573" t="s">
        <v>2577</v>
      </c>
      <c r="B2573">
        <v>0.99299721793515405</v>
      </c>
      <c r="C2573">
        <v>0.95282889253617897</v>
      </c>
      <c r="D2573">
        <v>0.99596911490988704</v>
      </c>
      <c r="E2573">
        <v>0.85138029431349005</v>
      </c>
      <c r="F2573">
        <v>0.641892638579036</v>
      </c>
      <c r="G2573">
        <v>0.41560241279626903</v>
      </c>
      <c r="H2573">
        <v>0.38378086516913801</v>
      </c>
      <c r="I2573">
        <v>0.29028120039126398</v>
      </c>
      <c r="J2573">
        <v>0.26302507505745198</v>
      </c>
      <c r="K2573">
        <v>0.25026854634274498</v>
      </c>
      <c r="L2573">
        <v>861.67946521077795</v>
      </c>
      <c r="M2573">
        <v>17.087082443662599</v>
      </c>
      <c r="N2573">
        <v>52.602690484551502</v>
      </c>
      <c r="O2573">
        <v>49.7531844448337</v>
      </c>
      <c r="P2573">
        <v>-6.4120332452892906E-2</v>
      </c>
      <c r="Q2573">
        <v>0.253237418307936</v>
      </c>
      <c r="R2573">
        <v>0.99347941012238705</v>
      </c>
      <c r="S2573" t="s">
        <v>8124</v>
      </c>
      <c r="T2573" t="s">
        <v>11100</v>
      </c>
      <c r="U2573" t="s">
        <v>11100</v>
      </c>
      <c r="V2573" t="s">
        <v>11100</v>
      </c>
      <c r="W2573" t="s">
        <v>13631</v>
      </c>
      <c r="X2573">
        <v>5</v>
      </c>
      <c r="Y2573" t="s">
        <v>19094</v>
      </c>
      <c r="Z2573" t="s">
        <v>24578</v>
      </c>
      <c r="AA2573">
        <v>0.60020486635123527</v>
      </c>
      <c r="AB2573" t="str">
        <f>HYPERLINK("Melting_Curves/meltCurve_P61254_RPL26.pdf", "Melting_Curves/meltCurve_P61254_RPL26.pdf")</f>
        <v>Melting_Curves/meltCurve_P61254_RPL26.pdf</v>
      </c>
    </row>
    <row r="2574" spans="1:28" x14ac:dyDescent="0.25">
      <c r="A2574" t="s">
        <v>2578</v>
      </c>
      <c r="B2574">
        <v>0.99299721793515405</v>
      </c>
      <c r="C2574">
        <v>1.0048008176043399</v>
      </c>
      <c r="D2574">
        <v>0.93441666561263903</v>
      </c>
      <c r="E2574">
        <v>0.92623122540658598</v>
      </c>
      <c r="F2574">
        <v>0.81013008836230505</v>
      </c>
      <c r="G2574">
        <v>0.69238900383282498</v>
      </c>
      <c r="H2574">
        <v>0.84792701163171402</v>
      </c>
      <c r="I2574">
        <v>0.99838652538372696</v>
      </c>
      <c r="J2574">
        <v>1.1476556558552999</v>
      </c>
      <c r="K2574">
        <v>1.1373531687243701</v>
      </c>
      <c r="L2574">
        <v>15000</v>
      </c>
      <c r="M2574">
        <v>240.39796073768099</v>
      </c>
      <c r="O2574">
        <v>62.392230544806097</v>
      </c>
      <c r="P2574">
        <v>0.137374307756082</v>
      </c>
      <c r="Q2574">
        <v>1.1426149819251299</v>
      </c>
      <c r="R2574">
        <v>8.3094059298018094E-2</v>
      </c>
      <c r="S2574" t="s">
        <v>8125</v>
      </c>
      <c r="T2574" t="s">
        <v>11100</v>
      </c>
      <c r="U2574" t="s">
        <v>11100</v>
      </c>
      <c r="V2574" t="s">
        <v>11100</v>
      </c>
      <c r="W2574" t="s">
        <v>13632</v>
      </c>
      <c r="X2574">
        <v>27</v>
      </c>
      <c r="Y2574" t="s">
        <v>19095</v>
      </c>
      <c r="Z2574" t="s">
        <v>24579</v>
      </c>
      <c r="AA2574">
        <v>1.0218672083355329</v>
      </c>
      <c r="AB2574" t="str">
        <f>HYPERLINK("Melting_Curves/meltCurve_P61289_PSME3.pdf", "Melting_Curves/meltCurve_P61289_PSME3.pdf")</f>
        <v>Melting_Curves/meltCurve_P61289_PSME3.pdf</v>
      </c>
    </row>
    <row r="2575" spans="1:28" x14ac:dyDescent="0.25">
      <c r="A2575" t="s">
        <v>2579</v>
      </c>
      <c r="B2575">
        <v>0.99299721793515405</v>
      </c>
      <c r="C2575">
        <v>1.02450083295787</v>
      </c>
      <c r="D2575">
        <v>0.99216250398371897</v>
      </c>
      <c r="E2575">
        <v>0.87643343863534195</v>
      </c>
      <c r="F2575">
        <v>0.72748366663446795</v>
      </c>
      <c r="G2575">
        <v>0.34777650851049702</v>
      </c>
      <c r="H2575">
        <v>0.18970790582546301</v>
      </c>
      <c r="I2575">
        <v>0.15513156948046</v>
      </c>
      <c r="J2575">
        <v>0.10116714448211001</v>
      </c>
      <c r="K2575">
        <v>8.2752634908884806E-2</v>
      </c>
      <c r="L2575">
        <v>1089.0191121898499</v>
      </c>
      <c r="M2575">
        <v>21.028923323213402</v>
      </c>
      <c r="N2575">
        <v>52.273510366249099</v>
      </c>
      <c r="O2575">
        <v>51.325239675389398</v>
      </c>
      <c r="P2575">
        <v>-9.3324057664199406E-2</v>
      </c>
      <c r="Q2575">
        <v>8.8921173133699405E-2</v>
      </c>
      <c r="R2575">
        <v>0.99614171391183504</v>
      </c>
      <c r="S2575" t="s">
        <v>8126</v>
      </c>
      <c r="T2575" t="s">
        <v>11100</v>
      </c>
      <c r="U2575" t="s">
        <v>11100</v>
      </c>
      <c r="V2575" t="s">
        <v>11100</v>
      </c>
      <c r="W2575" t="s">
        <v>13633</v>
      </c>
      <c r="X2575">
        <v>11</v>
      </c>
      <c r="Y2575" t="s">
        <v>19096</v>
      </c>
      <c r="Z2575" t="s">
        <v>24580</v>
      </c>
      <c r="AA2575">
        <v>0.54887301388467291</v>
      </c>
      <c r="AB2575" t="str">
        <f>HYPERLINK("Melting_Curves/meltCurve_P61326_MAGOH.pdf", "Melting_Curves/meltCurve_P61326_MAGOH.pdf")</f>
        <v>Melting_Curves/meltCurve_P61326_MAGOH.pdf</v>
      </c>
    </row>
    <row r="2576" spans="1:28" x14ac:dyDescent="0.25">
      <c r="A2576" t="s">
        <v>2580</v>
      </c>
      <c r="B2576">
        <v>0.99299721793515405</v>
      </c>
      <c r="C2576">
        <v>1.0300366628117099</v>
      </c>
      <c r="D2576">
        <v>0.92698761300615795</v>
      </c>
      <c r="E2576">
        <v>0.94459117208476995</v>
      </c>
      <c r="F2576">
        <v>0.75538268663794095</v>
      </c>
      <c r="G2576">
        <v>0.60537925547292804</v>
      </c>
      <c r="H2576">
        <v>0.57977141648339503</v>
      </c>
      <c r="I2576">
        <v>0.62079242358697495</v>
      </c>
      <c r="J2576">
        <v>0.62099600269766597</v>
      </c>
      <c r="K2576">
        <v>0.42742822081115101</v>
      </c>
      <c r="L2576">
        <v>1044.0499771632501</v>
      </c>
      <c r="M2576">
        <v>20.9202561157655</v>
      </c>
      <c r="O2576">
        <v>49.456883373809397</v>
      </c>
      <c r="P2576">
        <v>-4.79682569068028E-2</v>
      </c>
      <c r="Q2576">
        <v>0.54641170593524901</v>
      </c>
      <c r="R2576">
        <v>0.92492162577905102</v>
      </c>
      <c r="S2576" t="s">
        <v>8127</v>
      </c>
      <c r="T2576" t="s">
        <v>11100</v>
      </c>
      <c r="U2576" t="s">
        <v>11100</v>
      </c>
      <c r="V2576" t="s">
        <v>11100</v>
      </c>
      <c r="W2576" t="s">
        <v>13634</v>
      </c>
      <c r="X2576">
        <v>12</v>
      </c>
      <c r="Y2576" t="s">
        <v>19097</v>
      </c>
      <c r="Z2576" t="s">
        <v>24581</v>
      </c>
      <c r="AA2576">
        <v>0.74706393818375261</v>
      </c>
      <c r="AB2576" t="str">
        <f>HYPERLINK("Melting_Curves/meltCurve_P61586_RHOA.pdf", "Melting_Curves/meltCurve_P61586_RHOA.pdf")</f>
        <v>Melting_Curves/meltCurve_P61586_RHOA.pdf</v>
      </c>
    </row>
    <row r="2577" spans="1:28" x14ac:dyDescent="0.25">
      <c r="A2577" t="s">
        <v>2581</v>
      </c>
      <c r="B2577">
        <v>0.99299721793515405</v>
      </c>
      <c r="C2577">
        <v>0.98367553346218695</v>
      </c>
      <c r="D2577">
        <v>0.87607885732479895</v>
      </c>
      <c r="E2577">
        <v>0.82860645699246405</v>
      </c>
      <c r="F2577">
        <v>0.70271440183418299</v>
      </c>
      <c r="G2577">
        <v>0.40179555163177799</v>
      </c>
      <c r="H2577">
        <v>0.447984823467999</v>
      </c>
      <c r="I2577">
        <v>0.47448111947365301</v>
      </c>
      <c r="J2577">
        <v>0.38316490465737102</v>
      </c>
      <c r="K2577">
        <v>0.20779660775827</v>
      </c>
      <c r="L2577">
        <v>550.27485549733001</v>
      </c>
      <c r="M2577">
        <v>10.8194033934291</v>
      </c>
      <c r="N2577">
        <v>54.614023881513397</v>
      </c>
      <c r="O2577">
        <v>49.214987553148802</v>
      </c>
      <c r="P2577">
        <v>-4.0557210305137197E-2</v>
      </c>
      <c r="Q2577">
        <v>0.26232342040625301</v>
      </c>
      <c r="R2577">
        <v>0.93652143743177396</v>
      </c>
      <c r="S2577" t="s">
        <v>8128</v>
      </c>
      <c r="T2577" t="s">
        <v>11100</v>
      </c>
      <c r="U2577" t="s">
        <v>11100</v>
      </c>
      <c r="V2577" t="s">
        <v>11100</v>
      </c>
      <c r="W2577" t="s">
        <v>13635</v>
      </c>
      <c r="X2577">
        <v>3</v>
      </c>
      <c r="Y2577" t="s">
        <v>19098</v>
      </c>
      <c r="Z2577" t="s">
        <v>24582</v>
      </c>
      <c r="AA2577">
        <v>0.62455061352395347</v>
      </c>
      <c r="AB2577" t="str">
        <f>HYPERLINK("Melting_Curves/meltCurve_P61587_RND3.pdf", "Melting_Curves/meltCurve_P61587_RND3.pdf")</f>
        <v>Melting_Curves/meltCurve_P61587_RND3.pdf</v>
      </c>
    </row>
    <row r="2578" spans="1:28" x14ac:dyDescent="0.25">
      <c r="A2578" t="s">
        <v>2582</v>
      </c>
      <c r="B2578">
        <v>0.99299721793515405</v>
      </c>
      <c r="C2578">
        <v>1.25038462632061</v>
      </c>
      <c r="D2578">
        <v>1.0269455121450799</v>
      </c>
      <c r="E2578">
        <v>1.0575097447526201</v>
      </c>
      <c r="F2578">
        <v>0.80619684711181705</v>
      </c>
      <c r="G2578">
        <v>0.66869246922026004</v>
      </c>
      <c r="H2578">
        <v>0.161236389404638</v>
      </c>
      <c r="I2578">
        <v>7.9535853114036395E-2</v>
      </c>
      <c r="J2578">
        <v>6.4668109699180104E-2</v>
      </c>
      <c r="K2578">
        <v>5.4208253636053798E-2</v>
      </c>
      <c r="L2578">
        <v>1528.07652978802</v>
      </c>
      <c r="M2578">
        <v>28.063333232708501</v>
      </c>
      <c r="N2578">
        <v>54.594501172575697</v>
      </c>
      <c r="O2578">
        <v>54.176758141501999</v>
      </c>
      <c r="P2578">
        <v>-0.124895250956293</v>
      </c>
      <c r="Q2578">
        <v>3.5558271509241401E-2</v>
      </c>
      <c r="R2578">
        <v>0.95676816311744495</v>
      </c>
      <c r="S2578" t="s">
        <v>8129</v>
      </c>
      <c r="T2578" t="s">
        <v>11100</v>
      </c>
      <c r="U2578" t="s">
        <v>11100</v>
      </c>
      <c r="V2578" t="s">
        <v>11100</v>
      </c>
      <c r="W2578" t="s">
        <v>13636</v>
      </c>
      <c r="X2578">
        <v>2</v>
      </c>
      <c r="Y2578" t="s">
        <v>19099</v>
      </c>
      <c r="Z2578" t="s">
        <v>24583</v>
      </c>
      <c r="AA2578">
        <v>0.60347891389534847</v>
      </c>
      <c r="AB2578" t="str">
        <f>HYPERLINK("Melting_Curves/meltCurve_P61599_NAA20.pdf", "Melting_Curves/meltCurve_P61599_NAA20.pdf")</f>
        <v>Melting_Curves/meltCurve_P61599_NAA20.pdf</v>
      </c>
    </row>
    <row r="2579" spans="1:28" x14ac:dyDescent="0.25">
      <c r="A2579" t="s">
        <v>2583</v>
      </c>
      <c r="B2579">
        <v>0.99299721793515405</v>
      </c>
      <c r="C2579">
        <v>0.96738312550836902</v>
      </c>
      <c r="D2579">
        <v>0.98650096780710494</v>
      </c>
      <c r="E2579">
        <v>0.88761551703000297</v>
      </c>
      <c r="F2579">
        <v>0.80773212396148397</v>
      </c>
      <c r="G2579">
        <v>0.73310975867957595</v>
      </c>
      <c r="H2579">
        <v>0.66329776414970698</v>
      </c>
      <c r="I2579">
        <v>0.90619086196809195</v>
      </c>
      <c r="J2579">
        <v>1.07874204408084</v>
      </c>
      <c r="K2579">
        <v>1.09717428686036</v>
      </c>
      <c r="L2579">
        <v>15000</v>
      </c>
      <c r="M2579">
        <v>235.459563960808</v>
      </c>
      <c r="O2579">
        <v>63.700606711673601</v>
      </c>
      <c r="P2579">
        <v>8.9809099465112299E-2</v>
      </c>
      <c r="Q2579">
        <v>1.0971868686384101</v>
      </c>
      <c r="R2579">
        <v>-0.33766714021347999</v>
      </c>
      <c r="S2579" t="s">
        <v>8130</v>
      </c>
      <c r="T2579" t="s">
        <v>11100</v>
      </c>
      <c r="U2579" t="s">
        <v>11100</v>
      </c>
      <c r="V2579" t="s">
        <v>11100</v>
      </c>
      <c r="W2579" t="s">
        <v>13637</v>
      </c>
      <c r="X2579">
        <v>20</v>
      </c>
      <c r="Y2579" t="s">
        <v>19100</v>
      </c>
      <c r="Z2579" t="s">
        <v>24584</v>
      </c>
      <c r="AA2579">
        <v>1.010661450499649</v>
      </c>
      <c r="AB2579" t="str">
        <f>HYPERLINK("Melting_Curves/meltCurve_P61604_HSPE1.pdf", "Melting_Curves/meltCurve_P61604_HSPE1.pdf")</f>
        <v>Melting_Curves/meltCurve_P61604_HSPE1.pdf</v>
      </c>
    </row>
    <row r="2580" spans="1:28" x14ac:dyDescent="0.25">
      <c r="A2580" t="s">
        <v>2584</v>
      </c>
      <c r="B2580">
        <v>0.99299721793515405</v>
      </c>
      <c r="C2580">
        <v>0.92097363914270902</v>
      </c>
      <c r="D2580">
        <v>0.98982149080272297</v>
      </c>
      <c r="E2580">
        <v>0.91786579192069795</v>
      </c>
      <c r="F2580">
        <v>0.74932914939688799</v>
      </c>
      <c r="G2580">
        <v>0.74408898324296402</v>
      </c>
      <c r="H2580">
        <v>0.60366086050787204</v>
      </c>
      <c r="I2580">
        <v>0.76614557980349196</v>
      </c>
      <c r="J2580">
        <v>0.81369001808797703</v>
      </c>
      <c r="K2580">
        <v>0.46531092886843201</v>
      </c>
      <c r="L2580">
        <v>832.47886687082303</v>
      </c>
      <c r="M2580">
        <v>17.062311057609801</v>
      </c>
      <c r="O2580">
        <v>48.135090334788302</v>
      </c>
      <c r="P2580">
        <v>-3.06516493372418E-2</v>
      </c>
      <c r="Q2580">
        <v>0.65413125239594205</v>
      </c>
      <c r="R2580">
        <v>0.67210339557045295</v>
      </c>
      <c r="S2580" t="s">
        <v>8131</v>
      </c>
      <c r="T2580" t="s">
        <v>11100</v>
      </c>
      <c r="U2580" t="s">
        <v>11100</v>
      </c>
      <c r="V2580" t="s">
        <v>11100</v>
      </c>
      <c r="W2580" t="s">
        <v>13638</v>
      </c>
      <c r="X2580">
        <v>17</v>
      </c>
      <c r="Y2580" t="s">
        <v>19101</v>
      </c>
      <c r="Z2580" t="s">
        <v>24585</v>
      </c>
      <c r="AA2580">
        <v>0.79610649550536605</v>
      </c>
      <c r="AB2580" t="str">
        <f>HYPERLINK("Melting_Curves/meltCurve_P61758_VBP1.pdf", "Melting_Curves/meltCurve_P61758_VBP1.pdf")</f>
        <v>Melting_Curves/meltCurve_P61758_VBP1.pdf</v>
      </c>
    </row>
    <row r="2581" spans="1:28" x14ac:dyDescent="0.25">
      <c r="A2581" t="s">
        <v>2585</v>
      </c>
      <c r="B2581">
        <v>0.99299721793515405</v>
      </c>
      <c r="C2581">
        <v>0.92726256151672504</v>
      </c>
      <c r="D2581">
        <v>1.05987615247078</v>
      </c>
      <c r="E2581">
        <v>0.89721764685114203</v>
      </c>
      <c r="F2581">
        <v>0.80113386961189903</v>
      </c>
      <c r="G2581">
        <v>0.36157826082476702</v>
      </c>
      <c r="H2581">
        <v>0.23298098151123001</v>
      </c>
      <c r="I2581">
        <v>0.26302942886455699</v>
      </c>
      <c r="J2581">
        <v>0.23447810007356301</v>
      </c>
      <c r="K2581">
        <v>0.19788288759402101</v>
      </c>
      <c r="L2581">
        <v>1769.0461661878901</v>
      </c>
      <c r="M2581">
        <v>34.307525552370798</v>
      </c>
      <c r="N2581">
        <v>52.470694624533799</v>
      </c>
      <c r="O2581">
        <v>51.390126106412197</v>
      </c>
      <c r="P2581">
        <v>-0.12958750437629801</v>
      </c>
      <c r="Q2581">
        <v>0.223553161545373</v>
      </c>
      <c r="R2581">
        <v>0.98440711766857203</v>
      </c>
      <c r="S2581" t="s">
        <v>8132</v>
      </c>
      <c r="T2581" t="s">
        <v>11100</v>
      </c>
      <c r="U2581" t="s">
        <v>11100</v>
      </c>
      <c r="V2581" t="s">
        <v>11100</v>
      </c>
      <c r="W2581" t="s">
        <v>13639</v>
      </c>
      <c r="X2581">
        <v>12</v>
      </c>
      <c r="Y2581" t="s">
        <v>19102</v>
      </c>
      <c r="Z2581" t="s">
        <v>24586</v>
      </c>
      <c r="AA2581">
        <v>0.60425093712756017</v>
      </c>
      <c r="AB2581" t="str">
        <f>HYPERLINK("Melting_Curves/meltCurve_P61764_STXBP1.pdf", "Melting_Curves/meltCurve_P61764_STXBP1.pdf")</f>
        <v>Melting_Curves/meltCurve_P61764_STXBP1.pdf</v>
      </c>
    </row>
    <row r="2582" spans="1:28" x14ac:dyDescent="0.25">
      <c r="A2582" t="s">
        <v>2586</v>
      </c>
      <c r="B2582">
        <v>0.99299721793515405</v>
      </c>
      <c r="C2582">
        <v>0.84108286105774199</v>
      </c>
      <c r="D2582">
        <v>0.70886583393557101</v>
      </c>
      <c r="E2582">
        <v>0.65243794350375195</v>
      </c>
      <c r="F2582">
        <v>0.72545723888771396</v>
      </c>
      <c r="G2582">
        <v>0.42624431325040202</v>
      </c>
      <c r="H2582">
        <v>0.41544959023004202</v>
      </c>
      <c r="I2582">
        <v>0.44819226579136001</v>
      </c>
      <c r="J2582">
        <v>0.55213837755559703</v>
      </c>
      <c r="K2582">
        <v>0.427108800286148</v>
      </c>
      <c r="L2582">
        <v>433.16456427768497</v>
      </c>
      <c r="M2582">
        <v>9.7048268602800203</v>
      </c>
      <c r="N2582">
        <v>55.736412091707699</v>
      </c>
      <c r="O2582">
        <v>42.862440148244403</v>
      </c>
      <c r="P2582">
        <v>-3.2414968489868801E-2</v>
      </c>
      <c r="Q2582">
        <v>0.427655096627931</v>
      </c>
      <c r="R2582">
        <v>0.84800707163973599</v>
      </c>
      <c r="S2582" t="s">
        <v>8133</v>
      </c>
      <c r="T2582" t="s">
        <v>11100</v>
      </c>
      <c r="U2582" t="s">
        <v>11100</v>
      </c>
      <c r="V2582" t="s">
        <v>11100</v>
      </c>
      <c r="W2582" t="s">
        <v>13640</v>
      </c>
      <c r="X2582">
        <v>1</v>
      </c>
      <c r="Y2582" t="s">
        <v>19103</v>
      </c>
      <c r="Z2582" t="s">
        <v>24587</v>
      </c>
      <c r="AA2582">
        <v>0.6038621300326048</v>
      </c>
      <c r="AB2582" t="str">
        <f>HYPERLINK("Melting_Curves/meltCurve_P61925_PKIA.pdf", "Melting_Curves/meltCurve_P61925_PKIA.pdf")</f>
        <v>Melting_Curves/meltCurve_P61925_PKIA.pdf</v>
      </c>
    </row>
    <row r="2583" spans="1:28" x14ac:dyDescent="0.25">
      <c r="A2583" t="s">
        <v>2587</v>
      </c>
      <c r="B2583">
        <v>0.99299721793515405</v>
      </c>
      <c r="C2583">
        <v>0.97111319415764097</v>
      </c>
      <c r="D2583">
        <v>1.14921604479329</v>
      </c>
      <c r="E2583">
        <v>0.94178541864565501</v>
      </c>
      <c r="F2583">
        <v>0.78929737833420099</v>
      </c>
      <c r="G2583">
        <v>0.57591294488245304</v>
      </c>
      <c r="H2583">
        <v>0.58902078455495999</v>
      </c>
      <c r="I2583">
        <v>0.83326606758784405</v>
      </c>
      <c r="J2583">
        <v>0.95050417105826301</v>
      </c>
      <c r="K2583">
        <v>1.1051914823541</v>
      </c>
      <c r="L2583">
        <v>11689.0541572652</v>
      </c>
      <c r="M2583">
        <v>250</v>
      </c>
      <c r="O2583">
        <v>46.753224565647997</v>
      </c>
      <c r="P2583">
        <v>-0.25773783283340901</v>
      </c>
      <c r="Q2583">
        <v>0.80719880388591703</v>
      </c>
      <c r="R2583">
        <v>0.30930638734611199</v>
      </c>
      <c r="S2583" t="s">
        <v>8134</v>
      </c>
      <c r="T2583" t="s">
        <v>11100</v>
      </c>
      <c r="U2583" t="s">
        <v>11100</v>
      </c>
      <c r="V2583" t="s">
        <v>11100</v>
      </c>
      <c r="W2583" t="s">
        <v>12112</v>
      </c>
      <c r="X2583">
        <v>9</v>
      </c>
      <c r="Y2583" t="s">
        <v>17606</v>
      </c>
      <c r="Z2583" t="s">
        <v>24588</v>
      </c>
      <c r="AA2583">
        <v>0.86991496565195225</v>
      </c>
      <c r="AB2583" t="str">
        <f>HYPERLINK("Melting_Curves/meltCurve_P61956_SUMO2.pdf", "Melting_Curves/meltCurve_P61956_SUMO2.pdf")</f>
        <v>Melting_Curves/meltCurve_P61956_SUMO2.pdf</v>
      </c>
    </row>
    <row r="2584" spans="1:28" x14ac:dyDescent="0.25">
      <c r="A2584" t="s">
        <v>2588</v>
      </c>
      <c r="B2584">
        <v>0.99299721793515405</v>
      </c>
      <c r="C2584">
        <v>0.90665517313099497</v>
      </c>
      <c r="D2584">
        <v>0.90612830176942805</v>
      </c>
      <c r="E2584">
        <v>0.76358834439755097</v>
      </c>
      <c r="F2584">
        <v>0.62559294189558201</v>
      </c>
      <c r="G2584">
        <v>0.56409601617415694</v>
      </c>
      <c r="H2584">
        <v>1.01119382397918</v>
      </c>
      <c r="I2584">
        <v>0.69995957495517702</v>
      </c>
      <c r="J2584">
        <v>0.16482622824916399</v>
      </c>
      <c r="K2584">
        <v>0.17097837627076001</v>
      </c>
      <c r="L2584">
        <v>362.034406559866</v>
      </c>
      <c r="M2584">
        <v>6.0174402481504599</v>
      </c>
      <c r="N2584">
        <v>60.1641880288755</v>
      </c>
      <c r="O2584">
        <v>54.529759103548301</v>
      </c>
      <c r="P2584">
        <v>-2.7676289933495201E-2</v>
      </c>
      <c r="Q2584">
        <v>0</v>
      </c>
      <c r="R2584">
        <v>0.56247690264683603</v>
      </c>
      <c r="S2584" t="s">
        <v>8135</v>
      </c>
      <c r="T2584" t="s">
        <v>11100</v>
      </c>
      <c r="U2584" t="s">
        <v>11100</v>
      </c>
      <c r="V2584" t="s">
        <v>11100</v>
      </c>
      <c r="W2584" t="s">
        <v>13641</v>
      </c>
      <c r="X2584">
        <v>1</v>
      </c>
      <c r="Y2584" t="s">
        <v>17401</v>
      </c>
      <c r="Z2584" t="s">
        <v>24589</v>
      </c>
      <c r="AA2584">
        <v>0.70042379913573172</v>
      </c>
      <c r="AB2584" t="str">
        <f>HYPERLINK("Melting_Curves/meltCurve_P61960_2_UFM1.pdf", "Melting_Curves/meltCurve_P61960_2_UFM1.pdf")</f>
        <v>Melting_Curves/meltCurve_P61960_2_UFM1.pdf</v>
      </c>
    </row>
    <row r="2585" spans="1:28" x14ac:dyDescent="0.25">
      <c r="A2585" t="s">
        <v>2589</v>
      </c>
      <c r="B2585">
        <v>0.99299721793515405</v>
      </c>
      <c r="C2585">
        <v>1.09604011797709</v>
      </c>
      <c r="D2585">
        <v>0.98623335313329596</v>
      </c>
      <c r="E2585">
        <v>0.87160661915694404</v>
      </c>
      <c r="F2585">
        <v>0.61235613827800095</v>
      </c>
      <c r="G2585">
        <v>0.55044646169071898</v>
      </c>
      <c r="H2585">
        <v>0.47668219793857602</v>
      </c>
      <c r="I2585">
        <v>0.360613061090719</v>
      </c>
      <c r="J2585">
        <v>0.17346837052904601</v>
      </c>
      <c r="K2585">
        <v>9.5675981308789196E-2</v>
      </c>
      <c r="L2585">
        <v>532.30733549278602</v>
      </c>
      <c r="M2585">
        <v>9.6402272599288104</v>
      </c>
      <c r="N2585">
        <v>55.21730021119</v>
      </c>
      <c r="O2585">
        <v>52.998217146347798</v>
      </c>
      <c r="P2585">
        <v>-4.5499738345745298E-2</v>
      </c>
      <c r="Q2585">
        <v>0</v>
      </c>
      <c r="R2585">
        <v>0.96082739679140305</v>
      </c>
      <c r="S2585" t="s">
        <v>8136</v>
      </c>
      <c r="T2585" t="s">
        <v>11100</v>
      </c>
      <c r="U2585" t="s">
        <v>11100</v>
      </c>
      <c r="V2585" t="s">
        <v>11100</v>
      </c>
      <c r="W2585" t="s">
        <v>13642</v>
      </c>
      <c r="X2585">
        <v>6</v>
      </c>
      <c r="Y2585" t="s">
        <v>19104</v>
      </c>
      <c r="Z2585" t="s">
        <v>24590</v>
      </c>
      <c r="AA2585">
        <v>0.61740286521859578</v>
      </c>
      <c r="AB2585" t="str">
        <f>HYPERLINK("Melting_Curves/meltCurve_P61962_DCAF7.pdf", "Melting_Curves/meltCurve_P61962_DCAF7.pdf")</f>
        <v>Melting_Curves/meltCurve_P61962_DCAF7.pdf</v>
      </c>
    </row>
    <row r="2586" spans="1:28" x14ac:dyDescent="0.25">
      <c r="A2586" t="s">
        <v>2590</v>
      </c>
      <c r="B2586">
        <v>0.99299721793515405</v>
      </c>
      <c r="C2586">
        <v>1.0196881032462</v>
      </c>
      <c r="D2586">
        <v>0.95473925767248602</v>
      </c>
      <c r="E2586">
        <v>1.0717506994055901</v>
      </c>
      <c r="F2586">
        <v>0.74237411325311398</v>
      </c>
      <c r="G2586">
        <v>0.54696171971487795</v>
      </c>
      <c r="H2586">
        <v>0.774963703476796</v>
      </c>
      <c r="I2586">
        <v>0.75744745977152805</v>
      </c>
      <c r="J2586">
        <v>0.78685110509997302</v>
      </c>
      <c r="K2586">
        <v>0.72729514879564905</v>
      </c>
      <c r="L2586">
        <v>12430.1582541224</v>
      </c>
      <c r="M2586">
        <v>250</v>
      </c>
      <c r="O2586">
        <v>49.717451330179898</v>
      </c>
      <c r="P2586">
        <v>-0.35361851413156797</v>
      </c>
      <c r="Q2586">
        <v>0.71870382066787597</v>
      </c>
      <c r="R2586">
        <v>0.80974902976351204</v>
      </c>
      <c r="S2586" t="s">
        <v>8137</v>
      </c>
      <c r="T2586" t="s">
        <v>11100</v>
      </c>
      <c r="U2586" t="s">
        <v>11100</v>
      </c>
      <c r="V2586" t="s">
        <v>11100</v>
      </c>
      <c r="W2586" t="s">
        <v>13643</v>
      </c>
      <c r="X2586">
        <v>1</v>
      </c>
      <c r="Y2586" t="s">
        <v>19105</v>
      </c>
      <c r="Z2586" t="s">
        <v>24591</v>
      </c>
      <c r="AA2586">
        <v>0.83800388181432017</v>
      </c>
      <c r="AB2586" t="str">
        <f>HYPERLINK("Melting_Curves/meltCurve_P61964_WDR5.pdf", "Melting_Curves/meltCurve_P61964_WDR5.pdf")</f>
        <v>Melting_Curves/meltCurve_P61964_WDR5.pdf</v>
      </c>
    </row>
    <row r="2587" spans="1:28" x14ac:dyDescent="0.25">
      <c r="A2587" t="s">
        <v>2591</v>
      </c>
      <c r="B2587">
        <v>0.99299721793515405</v>
      </c>
      <c r="C2587">
        <v>1.03715729824011</v>
      </c>
      <c r="D2587">
        <v>0.87996572839000198</v>
      </c>
      <c r="E2587">
        <v>0.86105987078573998</v>
      </c>
      <c r="F2587">
        <v>0.702046283101181</v>
      </c>
      <c r="G2587">
        <v>0.52701639069971995</v>
      </c>
      <c r="H2587">
        <v>0.55194381326859598</v>
      </c>
      <c r="I2587">
        <v>0.65799004047317</v>
      </c>
      <c r="J2587">
        <v>0.75949470967771304</v>
      </c>
      <c r="K2587">
        <v>0.708603069680936</v>
      </c>
      <c r="L2587">
        <v>1159.36164095965</v>
      </c>
      <c r="M2587">
        <v>24.9279720639434</v>
      </c>
      <c r="O2587">
        <v>46.212259452338998</v>
      </c>
      <c r="P2587">
        <v>-4.8120965630909403E-2</v>
      </c>
      <c r="Q2587">
        <v>0.64317222094091098</v>
      </c>
      <c r="R2587">
        <v>0.80209318201851998</v>
      </c>
      <c r="S2587" t="s">
        <v>8138</v>
      </c>
      <c r="T2587" t="s">
        <v>11100</v>
      </c>
      <c r="U2587" t="s">
        <v>11100</v>
      </c>
      <c r="V2587" t="s">
        <v>11100</v>
      </c>
      <c r="W2587" t="s">
        <v>13644</v>
      </c>
      <c r="X2587">
        <v>4</v>
      </c>
      <c r="Y2587" t="s">
        <v>19106</v>
      </c>
      <c r="Z2587" t="s">
        <v>24592</v>
      </c>
      <c r="AA2587">
        <v>0.75926189843272951</v>
      </c>
      <c r="AB2587" t="str">
        <f>HYPERLINK("Melting_Curves/meltCurve_P61970_NUTF2.pdf", "Melting_Curves/meltCurve_P61970_NUTF2.pdf")</f>
        <v>Melting_Curves/meltCurve_P61970_NUTF2.pdf</v>
      </c>
    </row>
    <row r="2588" spans="1:28" x14ac:dyDescent="0.25">
      <c r="A2588" t="s">
        <v>2592</v>
      </c>
      <c r="B2588">
        <v>0.99299721793515405</v>
      </c>
      <c r="C2588">
        <v>1.0149912614082901</v>
      </c>
      <c r="D2588">
        <v>1.0906837994623699</v>
      </c>
      <c r="E2588">
        <v>0.94508993342505399</v>
      </c>
      <c r="F2588">
        <v>0.75252675260902802</v>
      </c>
      <c r="G2588">
        <v>0.34615467450627502</v>
      </c>
      <c r="H2588">
        <v>0.17800750765454801</v>
      </c>
      <c r="I2588">
        <v>0.147613940693295</v>
      </c>
      <c r="J2588">
        <v>0.126022684296864</v>
      </c>
      <c r="K2588">
        <v>0.107309393165492</v>
      </c>
      <c r="L2588">
        <v>1460.4196846810901</v>
      </c>
      <c r="M2588">
        <v>28.1833545442021</v>
      </c>
      <c r="N2588">
        <v>52.333928750899297</v>
      </c>
      <c r="O2588">
        <v>51.559736539462101</v>
      </c>
      <c r="P2588">
        <v>-0.120094280379027</v>
      </c>
      <c r="Q2588">
        <v>0.121186552776374</v>
      </c>
      <c r="R2588">
        <v>0.99389919753486999</v>
      </c>
      <c r="S2588" t="s">
        <v>8139</v>
      </c>
      <c r="T2588" t="s">
        <v>11100</v>
      </c>
      <c r="U2588" t="s">
        <v>11100</v>
      </c>
      <c r="V2588" t="s">
        <v>11100</v>
      </c>
      <c r="W2588" t="s">
        <v>13645</v>
      </c>
      <c r="X2588">
        <v>36</v>
      </c>
      <c r="Y2588" t="s">
        <v>19107</v>
      </c>
      <c r="Z2588" t="s">
        <v>24593</v>
      </c>
      <c r="AA2588">
        <v>0.56151061254047541</v>
      </c>
      <c r="AB2588" t="str">
        <f>HYPERLINK("Melting_Curves/meltCurve_P61978_2_HNRNPK.pdf", "Melting_Curves/meltCurve_P61978_2_HNRNPK.pdf")</f>
        <v>Melting_Curves/meltCurve_P61978_2_HNRNPK.pdf</v>
      </c>
    </row>
    <row r="2589" spans="1:28" x14ac:dyDescent="0.25">
      <c r="A2589" t="s">
        <v>2593</v>
      </c>
      <c r="B2589">
        <v>0.99299721793515405</v>
      </c>
      <c r="C2589">
        <v>0.94823719035796405</v>
      </c>
      <c r="D2589">
        <v>0.93701288246314296</v>
      </c>
      <c r="E2589">
        <v>0.75635126604154002</v>
      </c>
      <c r="F2589">
        <v>0.657501421641707</v>
      </c>
      <c r="G2589">
        <v>0.62389507043200798</v>
      </c>
      <c r="H2589">
        <v>0.54541593747169304</v>
      </c>
      <c r="I2589">
        <v>0.53531477188547205</v>
      </c>
      <c r="J2589">
        <v>0.55712868520270797</v>
      </c>
      <c r="K2589">
        <v>0.40997601094624903</v>
      </c>
      <c r="L2589">
        <v>534.68219267081099</v>
      </c>
      <c r="M2589">
        <v>11.040220590089501</v>
      </c>
      <c r="N2589">
        <v>63.692196023643596</v>
      </c>
      <c r="O2589">
        <v>46.922829017114204</v>
      </c>
      <c r="P2589">
        <v>-3.1508455540908503E-2</v>
      </c>
      <c r="Q2589">
        <v>0.46451281355879198</v>
      </c>
      <c r="R2589">
        <v>0.96109089423365901</v>
      </c>
      <c r="S2589" t="s">
        <v>8140</v>
      </c>
      <c r="T2589" t="s">
        <v>11100</v>
      </c>
      <c r="U2589" t="s">
        <v>11100</v>
      </c>
      <c r="V2589" t="s">
        <v>11100</v>
      </c>
      <c r="W2589" t="s">
        <v>13646</v>
      </c>
      <c r="X2589">
        <v>23</v>
      </c>
      <c r="Y2589" t="s">
        <v>19108</v>
      </c>
      <c r="Z2589" t="s">
        <v>24594</v>
      </c>
      <c r="AA2589">
        <v>0.68691390413981823</v>
      </c>
      <c r="AB2589" t="str">
        <f>HYPERLINK("Melting_Curves/meltCurve_P61981_YWHAG.pdf", "Melting_Curves/meltCurve_P61981_YWHAG.pdf")</f>
        <v>Melting_Curves/meltCurve_P61981_YWHAG.pdf</v>
      </c>
    </row>
    <row r="2590" spans="1:28" x14ac:dyDescent="0.25">
      <c r="A2590" t="s">
        <v>2594</v>
      </c>
      <c r="B2590">
        <v>0.99299721793515405</v>
      </c>
      <c r="C2590">
        <v>0.98486294335820801</v>
      </c>
      <c r="D2590">
        <v>0.97037562119139398</v>
      </c>
      <c r="E2590">
        <v>0.84796633010318301</v>
      </c>
      <c r="F2590">
        <v>0.71615286910125697</v>
      </c>
      <c r="G2590">
        <v>0.59726437885094796</v>
      </c>
      <c r="H2590">
        <v>0.52907059462688499</v>
      </c>
      <c r="I2590">
        <v>0.48372010271552701</v>
      </c>
      <c r="J2590">
        <v>0.33712279216187502</v>
      </c>
      <c r="K2590">
        <v>0.20613897695380201</v>
      </c>
      <c r="L2590">
        <v>425.30665762919602</v>
      </c>
      <c r="M2590">
        <v>7.3540620151591796</v>
      </c>
      <c r="N2590">
        <v>57.832889574460602</v>
      </c>
      <c r="O2590">
        <v>54.017705037977201</v>
      </c>
      <c r="P2590">
        <v>-3.4088049204495E-2</v>
      </c>
      <c r="Q2590">
        <v>0</v>
      </c>
      <c r="R2590">
        <v>0.97836241200720397</v>
      </c>
      <c r="S2590" t="s">
        <v>8141</v>
      </c>
      <c r="T2590" t="s">
        <v>11100</v>
      </c>
      <c r="U2590" t="s">
        <v>11100</v>
      </c>
      <c r="V2590" t="s">
        <v>11100</v>
      </c>
      <c r="W2590" t="s">
        <v>13647</v>
      </c>
      <c r="X2590">
        <v>13</v>
      </c>
      <c r="Y2590" t="s">
        <v>19109</v>
      </c>
      <c r="Z2590" t="s">
        <v>24595</v>
      </c>
      <c r="AA2590">
        <v>0.66980739828366032</v>
      </c>
      <c r="AB2590" t="str">
        <f>HYPERLINK("Melting_Curves/meltCurve_P62070_RRAS2.pdf", "Melting_Curves/meltCurve_P62070_RRAS2.pdf")</f>
        <v>Melting_Curves/meltCurve_P62070_RRAS2.pdf</v>
      </c>
    </row>
    <row r="2591" spans="1:28" x14ac:dyDescent="0.25">
      <c r="A2591" t="s">
        <v>2595</v>
      </c>
      <c r="B2591">
        <v>0.99299721793515405</v>
      </c>
      <c r="C2591">
        <v>0.89612897569289296</v>
      </c>
      <c r="D2591">
        <v>0.90591469197045205</v>
      </c>
      <c r="E2591">
        <v>0.86086535132849795</v>
      </c>
      <c r="F2591">
        <v>0.737347397043294</v>
      </c>
      <c r="G2591">
        <v>0.59641859029701605</v>
      </c>
      <c r="H2591">
        <v>0.68328176617635195</v>
      </c>
      <c r="I2591">
        <v>0.79789044977579004</v>
      </c>
      <c r="J2591">
        <v>0.91703453977200899</v>
      </c>
      <c r="K2591">
        <v>0.75505999641926103</v>
      </c>
      <c r="L2591">
        <v>741.26945842032603</v>
      </c>
      <c r="M2591">
        <v>17.175222012445701</v>
      </c>
      <c r="O2591">
        <v>42.586894069178101</v>
      </c>
      <c r="P2591">
        <v>-2.5114724944474798E-2</v>
      </c>
      <c r="Q2591">
        <v>0.750921498018293</v>
      </c>
      <c r="R2591">
        <v>0.48687258331795902</v>
      </c>
      <c r="S2591" t="s">
        <v>8142</v>
      </c>
      <c r="T2591" t="s">
        <v>11100</v>
      </c>
      <c r="U2591" t="s">
        <v>11100</v>
      </c>
      <c r="V2591" t="s">
        <v>11100</v>
      </c>
      <c r="W2591" t="s">
        <v>13648</v>
      </c>
      <c r="X2591">
        <v>11</v>
      </c>
      <c r="Y2591" t="s">
        <v>19110</v>
      </c>
      <c r="Z2591" t="s">
        <v>24596</v>
      </c>
      <c r="AA2591">
        <v>0.8069065489450018</v>
      </c>
      <c r="AB2591" t="str">
        <f>HYPERLINK("Melting_Curves/meltCurve_P62072_TIMM10.pdf", "Melting_Curves/meltCurve_P62072_TIMM10.pdf")</f>
        <v>Melting_Curves/meltCurve_P62072_TIMM10.pdf</v>
      </c>
    </row>
    <row r="2592" spans="1:28" x14ac:dyDescent="0.25">
      <c r="A2592" t="s">
        <v>2596</v>
      </c>
      <c r="B2592">
        <v>0.99299721793515405</v>
      </c>
      <c r="C2592">
        <v>0.97421525186197599</v>
      </c>
      <c r="D2592">
        <v>0.99848831565755802</v>
      </c>
      <c r="E2592">
        <v>0.807900998121858</v>
      </c>
      <c r="F2592">
        <v>0.55907238899842104</v>
      </c>
      <c r="G2592">
        <v>0.39223006270040101</v>
      </c>
      <c r="H2592">
        <v>0.327379248091414</v>
      </c>
      <c r="I2592">
        <v>0.262912699109629</v>
      </c>
      <c r="J2592">
        <v>0.22039757147065001</v>
      </c>
      <c r="K2592">
        <v>0.208750203086284</v>
      </c>
      <c r="L2592">
        <v>849.99472692961399</v>
      </c>
      <c r="M2592">
        <v>17.085637335081799</v>
      </c>
      <c r="N2592">
        <v>51.493402619769199</v>
      </c>
      <c r="O2592">
        <v>49.082565517996102</v>
      </c>
      <c r="P2592">
        <v>-6.7909142476338294E-2</v>
      </c>
      <c r="Q2592">
        <v>0.21970648784973201</v>
      </c>
      <c r="R2592">
        <v>0.99501216137981097</v>
      </c>
      <c r="S2592" t="s">
        <v>8143</v>
      </c>
      <c r="T2592" t="s">
        <v>11100</v>
      </c>
      <c r="U2592" t="s">
        <v>11100</v>
      </c>
      <c r="V2592" t="s">
        <v>11100</v>
      </c>
      <c r="W2592" t="s">
        <v>13649</v>
      </c>
      <c r="X2592">
        <v>7</v>
      </c>
      <c r="Y2592" t="s">
        <v>19111</v>
      </c>
      <c r="Z2592" t="s">
        <v>24597</v>
      </c>
      <c r="AA2592">
        <v>0.56474094405093689</v>
      </c>
      <c r="AB2592" t="str">
        <f>HYPERLINK("Melting_Curves/meltCurve_P62081_RPS7.pdf", "Melting_Curves/meltCurve_P62081_RPS7.pdf")</f>
        <v>Melting_Curves/meltCurve_P62081_RPS7.pdf</v>
      </c>
    </row>
    <row r="2593" spans="1:28" x14ac:dyDescent="0.25">
      <c r="A2593" t="s">
        <v>2597</v>
      </c>
      <c r="B2593">
        <v>0.99299721793515405</v>
      </c>
      <c r="C2593">
        <v>1.0001748193481701</v>
      </c>
      <c r="D2593">
        <v>0.96887761474244705</v>
      </c>
      <c r="E2593">
        <v>0.88892690403677799</v>
      </c>
      <c r="F2593">
        <v>0.75591555704373603</v>
      </c>
      <c r="G2593">
        <v>0.56727856911427799</v>
      </c>
      <c r="H2593">
        <v>0.44608717912136298</v>
      </c>
      <c r="I2593">
        <v>0.34951765453487799</v>
      </c>
      <c r="J2593">
        <v>0.20226454556530801</v>
      </c>
      <c r="K2593">
        <v>0.16449733968725</v>
      </c>
      <c r="L2593">
        <v>561.80794106696999</v>
      </c>
      <c r="M2593">
        <v>10.0708782430714</v>
      </c>
      <c r="N2593">
        <v>55.960910570662797</v>
      </c>
      <c r="O2593">
        <v>53.719763933040298</v>
      </c>
      <c r="P2593">
        <v>-4.6160850893460503E-2</v>
      </c>
      <c r="Q2593">
        <v>1.5546989285329899E-2</v>
      </c>
      <c r="R2593">
        <v>0.99601168388399497</v>
      </c>
      <c r="S2593" t="s">
        <v>8144</v>
      </c>
      <c r="T2593" t="s">
        <v>11100</v>
      </c>
      <c r="U2593" t="s">
        <v>11100</v>
      </c>
      <c r="V2593" t="s">
        <v>11100</v>
      </c>
      <c r="W2593" t="s">
        <v>13650</v>
      </c>
      <c r="X2593">
        <v>21</v>
      </c>
      <c r="Y2593" t="s">
        <v>19112</v>
      </c>
      <c r="Z2593" t="s">
        <v>24598</v>
      </c>
      <c r="AA2593">
        <v>0.63947578808864336</v>
      </c>
      <c r="AB2593" t="str">
        <f>HYPERLINK("Melting_Curves/meltCurve_P62136_PPP1CA.pdf", "Melting_Curves/meltCurve_P62136_PPP1CA.pdf")</f>
        <v>Melting_Curves/meltCurve_P62136_PPP1CA.pdf</v>
      </c>
    </row>
    <row r="2594" spans="1:28" x14ac:dyDescent="0.25">
      <c r="A2594" t="s">
        <v>2598</v>
      </c>
      <c r="B2594">
        <v>0.99299721793515405</v>
      </c>
      <c r="C2594">
        <v>0.94386574983316096</v>
      </c>
      <c r="D2594">
        <v>0.91119537147947904</v>
      </c>
      <c r="E2594">
        <v>0.83891313305743498</v>
      </c>
      <c r="F2594">
        <v>0.72370102408744097</v>
      </c>
      <c r="G2594">
        <v>0.50464252778245999</v>
      </c>
      <c r="H2594">
        <v>0.394894566660206</v>
      </c>
      <c r="I2594">
        <v>0.34280260561855003</v>
      </c>
      <c r="J2594">
        <v>0.24438437548285899</v>
      </c>
      <c r="K2594">
        <v>0.201349275036908</v>
      </c>
      <c r="L2594">
        <v>517.76348173932297</v>
      </c>
      <c r="M2594">
        <v>9.6546438023442196</v>
      </c>
      <c r="N2594">
        <v>54.808916695006403</v>
      </c>
      <c r="O2594">
        <v>51.479198008123802</v>
      </c>
      <c r="P2594">
        <v>-4.2508411894694502E-2</v>
      </c>
      <c r="Q2594">
        <v>9.3873004294064505E-2</v>
      </c>
      <c r="R2594">
        <v>0.99456571027844498</v>
      </c>
      <c r="S2594" t="s">
        <v>8145</v>
      </c>
      <c r="T2594" t="s">
        <v>11100</v>
      </c>
      <c r="U2594" t="s">
        <v>11100</v>
      </c>
      <c r="V2594" t="s">
        <v>11100</v>
      </c>
      <c r="W2594" t="s">
        <v>13651</v>
      </c>
      <c r="X2594">
        <v>17</v>
      </c>
      <c r="Y2594" t="s">
        <v>19113</v>
      </c>
      <c r="Z2594" t="s">
        <v>24599</v>
      </c>
      <c r="AA2594">
        <v>0.61360806994896466</v>
      </c>
      <c r="AB2594" t="str">
        <f>HYPERLINK("Melting_Curves/meltCurve_P62140_PPP1CB.pdf", "Melting_Curves/meltCurve_P62140_PPP1CB.pdf")</f>
        <v>Melting_Curves/meltCurve_P62140_PPP1CB.pdf</v>
      </c>
    </row>
    <row r="2595" spans="1:28" x14ac:dyDescent="0.25">
      <c r="A2595" t="s">
        <v>2599</v>
      </c>
      <c r="B2595">
        <v>0.99299721793515405</v>
      </c>
      <c r="C2595">
        <v>0.89394364520870295</v>
      </c>
      <c r="D2595">
        <v>0.77785657995384905</v>
      </c>
      <c r="E2595">
        <v>0.69774180456597501</v>
      </c>
      <c r="F2595">
        <v>0.55090162735483095</v>
      </c>
      <c r="G2595">
        <v>0.637215729698835</v>
      </c>
      <c r="H2595">
        <v>0.95879971786764795</v>
      </c>
      <c r="I2595">
        <v>0.334424648815074</v>
      </c>
      <c r="J2595">
        <v>0.22632620445496299</v>
      </c>
      <c r="K2595">
        <v>0.20325213935384601</v>
      </c>
      <c r="L2595">
        <v>298.96307994927997</v>
      </c>
      <c r="M2595">
        <v>5.2135275918504798</v>
      </c>
      <c r="N2595">
        <v>57.343732873561898</v>
      </c>
      <c r="O2595">
        <v>50.5245192171204</v>
      </c>
      <c r="P2595">
        <v>-2.59339137862152E-2</v>
      </c>
      <c r="Q2595">
        <v>0</v>
      </c>
      <c r="R2595">
        <v>0.63322260565626298</v>
      </c>
      <c r="S2595" t="s">
        <v>8146</v>
      </c>
      <c r="T2595" t="s">
        <v>11100</v>
      </c>
      <c r="U2595" t="s">
        <v>11100</v>
      </c>
      <c r="V2595" t="s">
        <v>11100</v>
      </c>
      <c r="W2595" t="s">
        <v>13652</v>
      </c>
      <c r="X2595">
        <v>5</v>
      </c>
      <c r="Y2595" t="s">
        <v>19114</v>
      </c>
      <c r="Z2595" t="s">
        <v>24600</v>
      </c>
      <c r="AA2595">
        <v>0.63437320520665919</v>
      </c>
      <c r="AB2595" t="str">
        <f>HYPERLINK("Melting_Curves/meltCurve_P62191_PSMC1.pdf", "Melting_Curves/meltCurve_P62191_PSMC1.pdf")</f>
        <v>Melting_Curves/meltCurve_P62191_PSMC1.pdf</v>
      </c>
    </row>
    <row r="2596" spans="1:28" x14ac:dyDescent="0.25">
      <c r="A2596" t="s">
        <v>2600</v>
      </c>
      <c r="B2596">
        <v>0.99299721793515405</v>
      </c>
      <c r="C2596">
        <v>0.97591161488728695</v>
      </c>
      <c r="D2596">
        <v>0.904686041418854</v>
      </c>
      <c r="E2596">
        <v>0.81107525215294596</v>
      </c>
      <c r="F2596">
        <v>0.66224945952979397</v>
      </c>
      <c r="G2596">
        <v>0.54822096916781804</v>
      </c>
      <c r="H2596">
        <v>0.49498211120103702</v>
      </c>
      <c r="I2596">
        <v>0.24746734049910801</v>
      </c>
      <c r="J2596">
        <v>0.17770826647714599</v>
      </c>
      <c r="K2596">
        <v>0.13649442493557401</v>
      </c>
      <c r="L2596">
        <v>492.34284681545103</v>
      </c>
      <c r="M2596">
        <v>8.9966732539482894</v>
      </c>
      <c r="N2596">
        <v>54.724999413677502</v>
      </c>
      <c r="O2596">
        <v>52.2240803426131</v>
      </c>
      <c r="P2596">
        <v>-4.3098968871229298E-2</v>
      </c>
      <c r="Q2596">
        <v>0</v>
      </c>
      <c r="R2596">
        <v>0.98510944339022499</v>
      </c>
      <c r="S2596" t="s">
        <v>8147</v>
      </c>
      <c r="T2596" t="s">
        <v>11100</v>
      </c>
      <c r="U2596" t="s">
        <v>11100</v>
      </c>
      <c r="V2596" t="s">
        <v>11100</v>
      </c>
      <c r="W2596" t="s">
        <v>13653</v>
      </c>
      <c r="X2596">
        <v>12</v>
      </c>
      <c r="Y2596" t="s">
        <v>19115</v>
      </c>
      <c r="Z2596" t="s">
        <v>24601</v>
      </c>
      <c r="AA2596">
        <v>0.60270890608120209</v>
      </c>
      <c r="AB2596" t="str">
        <f>HYPERLINK("Melting_Curves/meltCurve_P62195_2_PSMC5.pdf", "Melting_Curves/meltCurve_P62195_2_PSMC5.pdf")</f>
        <v>Melting_Curves/meltCurve_P62195_2_PSMC5.pdf</v>
      </c>
    </row>
    <row r="2597" spans="1:28" x14ac:dyDescent="0.25">
      <c r="A2597" t="s">
        <v>2601</v>
      </c>
      <c r="B2597">
        <v>0.99299721793515405</v>
      </c>
      <c r="C2597">
        <v>1.0696822220990101</v>
      </c>
      <c r="D2597">
        <v>0.83425893182127497</v>
      </c>
      <c r="E2597">
        <v>0.63320821809981198</v>
      </c>
      <c r="F2597">
        <v>0.53142522125340896</v>
      </c>
      <c r="G2597">
        <v>0.48328956590111999</v>
      </c>
      <c r="H2597">
        <v>0.78397329292450801</v>
      </c>
      <c r="I2597">
        <v>0.419363513403955</v>
      </c>
      <c r="J2597">
        <v>0.20217551707413001</v>
      </c>
      <c r="K2597">
        <v>0.27246821866026599</v>
      </c>
      <c r="L2597">
        <v>309.65921283345801</v>
      </c>
      <c r="M2597">
        <v>5.5232066702767302</v>
      </c>
      <c r="N2597">
        <v>56.065092703717603</v>
      </c>
      <c r="O2597">
        <v>50.000991172177599</v>
      </c>
      <c r="P2597">
        <v>-2.7735352181981199E-2</v>
      </c>
      <c r="Q2597">
        <v>0</v>
      </c>
      <c r="R2597">
        <v>0.763079379088063</v>
      </c>
      <c r="S2597" t="s">
        <v>8148</v>
      </c>
      <c r="T2597" t="s">
        <v>11100</v>
      </c>
      <c r="U2597" t="s">
        <v>11100</v>
      </c>
      <c r="V2597" t="s">
        <v>11100</v>
      </c>
      <c r="W2597" t="s">
        <v>13654</v>
      </c>
      <c r="X2597">
        <v>1</v>
      </c>
      <c r="Y2597" t="s">
        <v>19116</v>
      </c>
      <c r="Z2597" t="s">
        <v>24602</v>
      </c>
      <c r="AA2597">
        <v>0.61337070246186409</v>
      </c>
      <c r="AB2597" t="str">
        <f>HYPERLINK("Melting_Curves/meltCurve_P62249_RPS16.pdf", "Melting_Curves/meltCurve_P62249_RPS16.pdf")</f>
        <v>Melting_Curves/meltCurve_P62249_RPS16.pdf</v>
      </c>
    </row>
    <row r="2598" spans="1:28" x14ac:dyDescent="0.25">
      <c r="A2598" t="s">
        <v>2602</v>
      </c>
      <c r="B2598">
        <v>0.99299721793515405</v>
      </c>
      <c r="C2598">
        <v>1.0294612314086999</v>
      </c>
      <c r="D2598">
        <v>0.88955017979287099</v>
      </c>
      <c r="E2598">
        <v>0.843607917614426</v>
      </c>
      <c r="F2598">
        <v>0.74055726760824303</v>
      </c>
      <c r="G2598">
        <v>0.60321165472486604</v>
      </c>
      <c r="H2598">
        <v>0.63056215927748904</v>
      </c>
      <c r="I2598">
        <v>0.58747772795052799</v>
      </c>
      <c r="J2598">
        <v>0.28582927806855901</v>
      </c>
      <c r="K2598">
        <v>0.15720151750886699</v>
      </c>
      <c r="L2598">
        <v>437.671132553397</v>
      </c>
      <c r="M2598">
        <v>7.4690108822013599</v>
      </c>
      <c r="N2598">
        <v>58.598271440191297</v>
      </c>
      <c r="O2598">
        <v>54.838442583582498</v>
      </c>
      <c r="P2598">
        <v>-3.40997772771406E-2</v>
      </c>
      <c r="Q2598">
        <v>0</v>
      </c>
      <c r="R2598">
        <v>0.912966424536925</v>
      </c>
      <c r="S2598" t="s">
        <v>8149</v>
      </c>
      <c r="T2598" t="s">
        <v>11100</v>
      </c>
      <c r="U2598" t="s">
        <v>11100</v>
      </c>
      <c r="V2598" t="s">
        <v>11100</v>
      </c>
      <c r="W2598" t="s">
        <v>13655</v>
      </c>
      <c r="X2598">
        <v>21</v>
      </c>
      <c r="Y2598" t="s">
        <v>19117</v>
      </c>
      <c r="Z2598" t="s">
        <v>24603</v>
      </c>
      <c r="AA2598">
        <v>0.68775309956507513</v>
      </c>
      <c r="AB2598" t="str">
        <f>HYPERLINK("Melting_Curves/meltCurve_P62258_YWHAE.pdf", "Melting_Curves/meltCurve_P62258_YWHAE.pdf")</f>
        <v>Melting_Curves/meltCurve_P62258_YWHAE.pdf</v>
      </c>
    </row>
    <row r="2599" spans="1:28" x14ac:dyDescent="0.25">
      <c r="A2599" t="s">
        <v>2603</v>
      </c>
      <c r="B2599">
        <v>0.99299721793515405</v>
      </c>
      <c r="C2599">
        <v>1.0111179515778601</v>
      </c>
      <c r="D2599">
        <v>0.952511838004658</v>
      </c>
      <c r="E2599">
        <v>0.87534913269105197</v>
      </c>
      <c r="F2599">
        <v>0.52397401411821098</v>
      </c>
      <c r="G2599">
        <v>0.29109839956852801</v>
      </c>
      <c r="H2599">
        <v>0.30159145130919701</v>
      </c>
      <c r="I2599">
        <v>0.24053813593248399</v>
      </c>
      <c r="J2599">
        <v>0.233193708740592</v>
      </c>
      <c r="K2599">
        <v>0.21428821194190201</v>
      </c>
      <c r="L2599">
        <v>1324.3807651526799</v>
      </c>
      <c r="M2599">
        <v>26.882064164791299</v>
      </c>
      <c r="N2599">
        <v>50.475606215439498</v>
      </c>
      <c r="O2599">
        <v>48.996123977676397</v>
      </c>
      <c r="P2599">
        <v>-0.104600624623536</v>
      </c>
      <c r="Q2599">
        <v>0.23741369292013101</v>
      </c>
      <c r="R2599">
        <v>0.99589819171376703</v>
      </c>
      <c r="S2599" t="s">
        <v>8150</v>
      </c>
      <c r="T2599" t="s">
        <v>11100</v>
      </c>
      <c r="U2599" t="s">
        <v>11100</v>
      </c>
      <c r="V2599" t="s">
        <v>11100</v>
      </c>
      <c r="W2599" t="s">
        <v>13656</v>
      </c>
      <c r="X2599">
        <v>8</v>
      </c>
      <c r="Y2599" t="s">
        <v>19118</v>
      </c>
      <c r="Z2599" t="s">
        <v>24604</v>
      </c>
      <c r="AA2599">
        <v>0.554958639558918</v>
      </c>
      <c r="AB2599" t="str">
        <f>HYPERLINK("Melting_Curves/meltCurve_P62263_RPS14.pdf", "Melting_Curves/meltCurve_P62263_RPS14.pdf")</f>
        <v>Melting_Curves/meltCurve_P62263_RPS14.pdf</v>
      </c>
    </row>
    <row r="2600" spans="1:28" x14ac:dyDescent="0.25">
      <c r="A2600" t="s">
        <v>2604</v>
      </c>
      <c r="B2600">
        <v>0.99299721793515405</v>
      </c>
      <c r="C2600">
        <v>0.86632026782415605</v>
      </c>
      <c r="D2600">
        <v>1.0337018333471</v>
      </c>
      <c r="E2600">
        <v>0.83987918728695199</v>
      </c>
      <c r="F2600">
        <v>0.61243780577952101</v>
      </c>
      <c r="G2600">
        <v>0.401851422311224</v>
      </c>
      <c r="H2600">
        <v>0.40776370672018503</v>
      </c>
      <c r="I2600">
        <v>0.29231902567616702</v>
      </c>
      <c r="J2600">
        <v>0.19683202328509999</v>
      </c>
      <c r="K2600">
        <v>0.17085998675219999</v>
      </c>
      <c r="L2600">
        <v>674.81843231808102</v>
      </c>
      <c r="M2600">
        <v>13.165937787246699</v>
      </c>
      <c r="N2600">
        <v>52.879036675344999</v>
      </c>
      <c r="O2600">
        <v>50.115668570695199</v>
      </c>
      <c r="P2600">
        <v>-5.4764235267882301E-2</v>
      </c>
      <c r="Q2600">
        <v>0.16630750539688499</v>
      </c>
      <c r="R2600">
        <v>0.96421566721366803</v>
      </c>
      <c r="S2600" t="s">
        <v>8151</v>
      </c>
      <c r="T2600" t="s">
        <v>11100</v>
      </c>
      <c r="U2600" t="s">
        <v>11100</v>
      </c>
      <c r="V2600" t="s">
        <v>11100</v>
      </c>
      <c r="W2600" t="s">
        <v>13657</v>
      </c>
      <c r="X2600">
        <v>5</v>
      </c>
      <c r="Y2600" t="s">
        <v>19119</v>
      </c>
      <c r="Z2600" t="s">
        <v>24605</v>
      </c>
      <c r="AA2600">
        <v>0.58179098144752317</v>
      </c>
      <c r="AB2600" t="str">
        <f>HYPERLINK("Melting_Curves/meltCurve_P62266_RPS23.pdf", "Melting_Curves/meltCurve_P62266_RPS23.pdf")</f>
        <v>Melting_Curves/meltCurve_P62266_RPS23.pdf</v>
      </c>
    </row>
    <row r="2601" spans="1:28" x14ac:dyDescent="0.25">
      <c r="A2601" t="s">
        <v>2605</v>
      </c>
      <c r="B2601">
        <v>0.99299721793515405</v>
      </c>
      <c r="C2601">
        <v>1.0170879561300801</v>
      </c>
      <c r="D2601">
        <v>1.18349728597746</v>
      </c>
      <c r="E2601">
        <v>0.85045416625236203</v>
      </c>
      <c r="F2601">
        <v>0.66452049778430999</v>
      </c>
      <c r="G2601">
        <v>0.555471734851129</v>
      </c>
      <c r="H2601">
        <v>0.491436204622553</v>
      </c>
      <c r="I2601">
        <v>0.34282174918267799</v>
      </c>
      <c r="J2601">
        <v>0.21644310911598599</v>
      </c>
      <c r="K2601">
        <v>0.225068168002691</v>
      </c>
      <c r="L2601">
        <v>679.44974543893898</v>
      </c>
      <c r="M2601">
        <v>12.739225001907499</v>
      </c>
      <c r="N2601">
        <v>55.238510785255301</v>
      </c>
      <c r="O2601">
        <v>52.072253703284701</v>
      </c>
      <c r="P2601">
        <v>-5.03063248314485E-2</v>
      </c>
      <c r="Q2601">
        <v>0.177638473318146</v>
      </c>
      <c r="R2601">
        <v>0.93844221350109502</v>
      </c>
      <c r="S2601" t="s">
        <v>8152</v>
      </c>
      <c r="T2601" t="s">
        <v>11100</v>
      </c>
      <c r="U2601" t="s">
        <v>11100</v>
      </c>
      <c r="V2601" t="s">
        <v>11100</v>
      </c>
      <c r="W2601" t="s">
        <v>13658</v>
      </c>
      <c r="X2601">
        <v>7</v>
      </c>
      <c r="Y2601" t="s">
        <v>19120</v>
      </c>
      <c r="Z2601" t="s">
        <v>24606</v>
      </c>
      <c r="AA2601">
        <v>0.64146101862946481</v>
      </c>
      <c r="AB2601" t="str">
        <f>HYPERLINK("Melting_Curves/meltCurve_P62269_RPS18.pdf", "Melting_Curves/meltCurve_P62269_RPS18.pdf")</f>
        <v>Melting_Curves/meltCurve_P62269_RPS18.pdf</v>
      </c>
    </row>
    <row r="2602" spans="1:28" x14ac:dyDescent="0.25">
      <c r="A2602" t="s">
        <v>2606</v>
      </c>
      <c r="B2602">
        <v>0.99299721793515405</v>
      </c>
      <c r="C2602">
        <v>1.1845228795977001</v>
      </c>
      <c r="D2602">
        <v>1.1125345188008999</v>
      </c>
      <c r="E2602">
        <v>1.36523493390063</v>
      </c>
      <c r="F2602">
        <v>1.0182172102142799</v>
      </c>
      <c r="G2602">
        <v>1.4671150358734799</v>
      </c>
      <c r="H2602">
        <v>1.3954892458132899</v>
      </c>
      <c r="I2602">
        <v>0.90918178754884404</v>
      </c>
      <c r="J2602">
        <v>0.74773731100306995</v>
      </c>
      <c r="K2602">
        <v>0.77843743183881597</v>
      </c>
      <c r="L2602">
        <v>15000</v>
      </c>
      <c r="M2602">
        <v>245.426247620699</v>
      </c>
      <c r="O2602">
        <v>61.114076572511102</v>
      </c>
      <c r="P2602">
        <v>-0.23785365277589601</v>
      </c>
      <c r="Q2602">
        <v>0.76308627404324103</v>
      </c>
      <c r="R2602">
        <v>4.4916974962231203E-2</v>
      </c>
      <c r="S2602" t="s">
        <v>8153</v>
      </c>
      <c r="T2602" t="s">
        <v>11100</v>
      </c>
      <c r="U2602" t="s">
        <v>11100</v>
      </c>
      <c r="V2602" t="s">
        <v>11100</v>
      </c>
      <c r="W2602" t="s">
        <v>13659</v>
      </c>
      <c r="X2602">
        <v>2</v>
      </c>
      <c r="Y2602" t="s">
        <v>19121</v>
      </c>
      <c r="Z2602" t="s">
        <v>24607</v>
      </c>
      <c r="AA2602">
        <v>0.95357672532411175</v>
      </c>
      <c r="AB2602" t="str">
        <f>HYPERLINK("Melting_Curves/meltCurve_P62273_RPS29.pdf", "Melting_Curves/meltCurve_P62273_RPS29.pdf")</f>
        <v>Melting_Curves/meltCurve_P62273_RPS29.pdf</v>
      </c>
    </row>
    <row r="2603" spans="1:28" x14ac:dyDescent="0.25">
      <c r="A2603" t="s">
        <v>2607</v>
      </c>
      <c r="B2603">
        <v>0.99299721793515405</v>
      </c>
      <c r="C2603">
        <v>0.96923221977108398</v>
      </c>
      <c r="D2603">
        <v>0.77410570577676796</v>
      </c>
      <c r="E2603">
        <v>0.77244953273386696</v>
      </c>
      <c r="F2603">
        <v>0.54515829658140103</v>
      </c>
      <c r="G2603">
        <v>0.519840464157724</v>
      </c>
      <c r="H2603">
        <v>0.77328527257438995</v>
      </c>
      <c r="I2603">
        <v>0.51898744889741999</v>
      </c>
      <c r="J2603">
        <v>0.28948237774712299</v>
      </c>
      <c r="K2603">
        <v>0.26815909147662897</v>
      </c>
      <c r="L2603">
        <v>280.41575467465202</v>
      </c>
      <c r="M2603">
        <v>4.8377995193732097</v>
      </c>
      <c r="N2603">
        <v>57.9635009282919</v>
      </c>
      <c r="O2603">
        <v>50.191396559355397</v>
      </c>
      <c r="P2603">
        <v>-2.4261997645601399E-2</v>
      </c>
      <c r="Q2603">
        <v>0</v>
      </c>
      <c r="R2603">
        <v>0.78616728857768403</v>
      </c>
      <c r="S2603" t="s">
        <v>8154</v>
      </c>
      <c r="T2603" t="s">
        <v>11100</v>
      </c>
      <c r="U2603" t="s">
        <v>11100</v>
      </c>
      <c r="V2603" t="s">
        <v>11100</v>
      </c>
      <c r="W2603" t="s">
        <v>13660</v>
      </c>
      <c r="X2603">
        <v>6</v>
      </c>
      <c r="Y2603" t="s">
        <v>19122</v>
      </c>
      <c r="Z2603" t="s">
        <v>24608</v>
      </c>
      <c r="AA2603">
        <v>0.63964506318761116</v>
      </c>
      <c r="AB2603" t="str">
        <f>HYPERLINK("Melting_Curves/meltCurve_P62280_RPS11.pdf", "Melting_Curves/meltCurve_P62280_RPS11.pdf")</f>
        <v>Melting_Curves/meltCurve_P62280_RPS11.pdf</v>
      </c>
    </row>
    <row r="2604" spans="1:28" x14ac:dyDescent="0.25">
      <c r="A2604" t="s">
        <v>2608</v>
      </c>
      <c r="B2604">
        <v>0.99299721793515405</v>
      </c>
      <c r="C2604">
        <v>0.99631998190770998</v>
      </c>
      <c r="D2604">
        <v>0.94552139183166595</v>
      </c>
      <c r="E2604">
        <v>1.03863846877013</v>
      </c>
      <c r="F2604">
        <v>0.85730011338658196</v>
      </c>
      <c r="G2604">
        <v>0.714224162850712</v>
      </c>
      <c r="H2604">
        <v>0.70653478954125204</v>
      </c>
      <c r="I2604">
        <v>0.71807386676806095</v>
      </c>
      <c r="J2604">
        <v>0.67279860873115305</v>
      </c>
      <c r="K2604">
        <v>0.59415289634880197</v>
      </c>
      <c r="L2604">
        <v>1989.7459690323001</v>
      </c>
      <c r="M2604">
        <v>39.2463085922126</v>
      </c>
      <c r="O2604">
        <v>50.567824796288797</v>
      </c>
      <c r="P2604">
        <v>-6.3373740285303598E-2</v>
      </c>
      <c r="Q2604">
        <v>0.673379130442463</v>
      </c>
      <c r="R2604">
        <v>0.93682655224348399</v>
      </c>
      <c r="S2604" t="s">
        <v>8155</v>
      </c>
      <c r="T2604" t="s">
        <v>11100</v>
      </c>
      <c r="U2604" t="s">
        <v>11100</v>
      </c>
      <c r="V2604" t="s">
        <v>11100</v>
      </c>
      <c r="W2604" t="s">
        <v>13661</v>
      </c>
      <c r="X2604">
        <v>4</v>
      </c>
      <c r="Y2604" t="s">
        <v>19123</v>
      </c>
      <c r="Z2604" t="s">
        <v>24609</v>
      </c>
      <c r="AA2604">
        <v>0.82371226559225308</v>
      </c>
      <c r="AB2604" t="str">
        <f>HYPERLINK("Melting_Curves/meltCurve_P62304_SNRPE.pdf", "Melting_Curves/meltCurve_P62304_SNRPE.pdf")</f>
        <v>Melting_Curves/meltCurve_P62304_SNRPE.pdf</v>
      </c>
    </row>
    <row r="2605" spans="1:28" x14ac:dyDescent="0.25">
      <c r="A2605" t="s">
        <v>2609</v>
      </c>
      <c r="B2605">
        <v>0.99299721793515405</v>
      </c>
      <c r="C2605">
        <v>0.93423058213441401</v>
      </c>
      <c r="D2605">
        <v>0.91119793805779503</v>
      </c>
      <c r="E2605">
        <v>1.01002569198596</v>
      </c>
      <c r="F2605">
        <v>0.799046539516302</v>
      </c>
      <c r="G2605">
        <v>0.97407568536299105</v>
      </c>
      <c r="H2605">
        <v>0.66159106884093499</v>
      </c>
      <c r="I2605">
        <v>0.82992536384968596</v>
      </c>
      <c r="J2605">
        <v>0.73222634842755696</v>
      </c>
      <c r="K2605">
        <v>0.91962299379775803</v>
      </c>
      <c r="L2605">
        <v>494.55796638928001</v>
      </c>
      <c r="M2605">
        <v>10.2927265290972</v>
      </c>
      <c r="O2605">
        <v>46.341562325264597</v>
      </c>
      <c r="P2605">
        <v>-1.1570024684420199E-2</v>
      </c>
      <c r="Q2605">
        <v>0.79172110673031704</v>
      </c>
      <c r="R2605">
        <v>0.33346600457509001</v>
      </c>
      <c r="S2605" t="s">
        <v>8156</v>
      </c>
      <c r="T2605" t="s">
        <v>11100</v>
      </c>
      <c r="U2605" t="s">
        <v>11100</v>
      </c>
      <c r="V2605" t="s">
        <v>11100</v>
      </c>
      <c r="W2605" t="s">
        <v>13662</v>
      </c>
      <c r="X2605">
        <v>4</v>
      </c>
      <c r="Y2605" t="s">
        <v>19124</v>
      </c>
      <c r="Z2605" t="s">
        <v>24610</v>
      </c>
      <c r="AA2605">
        <v>0.87646490656025899</v>
      </c>
      <c r="AB2605" t="str">
        <f>HYPERLINK("Melting_Curves/meltCurve_P62306_SNRPF.pdf", "Melting_Curves/meltCurve_P62306_SNRPF.pdf")</f>
        <v>Melting_Curves/meltCurve_P62306_SNRPF.pdf</v>
      </c>
    </row>
    <row r="2606" spans="1:28" x14ac:dyDescent="0.25">
      <c r="A2606" t="s">
        <v>2610</v>
      </c>
      <c r="B2606">
        <v>0.99299721793515405</v>
      </c>
      <c r="C2606">
        <v>1.0022983946763599</v>
      </c>
      <c r="D2606">
        <v>0.95849498784237497</v>
      </c>
      <c r="E2606">
        <v>0.91821442208149895</v>
      </c>
      <c r="F2606">
        <v>0.78772587847981601</v>
      </c>
      <c r="G2606">
        <v>0.79226016544143196</v>
      </c>
      <c r="H2606">
        <v>1.1505046294372001</v>
      </c>
      <c r="I2606">
        <v>1.34221866515877</v>
      </c>
      <c r="J2606">
        <v>1.27183013692425</v>
      </c>
      <c r="K2606">
        <v>1.41387687607525</v>
      </c>
      <c r="L2606">
        <v>14364.018052786099</v>
      </c>
      <c r="M2606">
        <v>250</v>
      </c>
      <c r="O2606">
        <v>57.452395430525499</v>
      </c>
      <c r="P2606">
        <v>0.37274550256317501</v>
      </c>
      <c r="Q2606">
        <v>1.34264195156927</v>
      </c>
      <c r="R2606">
        <v>0.758376612078698</v>
      </c>
      <c r="S2606" t="s">
        <v>8157</v>
      </c>
      <c r="T2606" t="s">
        <v>11100</v>
      </c>
      <c r="U2606" t="s">
        <v>11100</v>
      </c>
      <c r="V2606" t="s">
        <v>11100</v>
      </c>
      <c r="W2606" t="s">
        <v>13663</v>
      </c>
      <c r="X2606">
        <v>3</v>
      </c>
      <c r="Y2606" t="s">
        <v>19125</v>
      </c>
      <c r="Z2606" t="s">
        <v>24611</v>
      </c>
      <c r="AA2606">
        <v>1.108970451306168</v>
      </c>
      <c r="AB2606" t="str">
        <f>HYPERLINK("Melting_Curves/meltCurve_P62308_SNRPG.pdf", "Melting_Curves/meltCurve_P62308_SNRPG.pdf")</f>
        <v>Melting_Curves/meltCurve_P62308_SNRPG.pdf</v>
      </c>
    </row>
    <row r="2607" spans="1:28" x14ac:dyDescent="0.25">
      <c r="A2607" t="s">
        <v>2611</v>
      </c>
      <c r="B2607">
        <v>0.99299721793515405</v>
      </c>
      <c r="C2607">
        <v>0.99133531398638097</v>
      </c>
      <c r="D2607">
        <v>0.98474407913195905</v>
      </c>
      <c r="E2607">
        <v>0.94554334618555302</v>
      </c>
      <c r="F2607">
        <v>0.80843377381186099</v>
      </c>
      <c r="G2607">
        <v>0.782766930607945</v>
      </c>
      <c r="H2607">
        <v>0.88717666579031096</v>
      </c>
      <c r="I2607">
        <v>1.0956341175031501</v>
      </c>
      <c r="J2607">
        <v>1.19875167593125</v>
      </c>
      <c r="K2607">
        <v>1.1056264472831501</v>
      </c>
      <c r="L2607">
        <v>15000</v>
      </c>
      <c r="M2607">
        <v>246.426974579861</v>
      </c>
      <c r="O2607">
        <v>60.865950633666301</v>
      </c>
      <c r="P2607">
        <v>0.154041330644656</v>
      </c>
      <c r="Q2607">
        <v>1.1521890536205099</v>
      </c>
      <c r="R2607">
        <v>0.329244659109791</v>
      </c>
      <c r="S2607" t="s">
        <v>8158</v>
      </c>
      <c r="T2607" t="s">
        <v>11100</v>
      </c>
      <c r="U2607" t="s">
        <v>11100</v>
      </c>
      <c r="V2607" t="s">
        <v>11100</v>
      </c>
      <c r="W2607" t="s">
        <v>13664</v>
      </c>
      <c r="X2607">
        <v>5</v>
      </c>
      <c r="Y2607" t="s">
        <v>19126</v>
      </c>
      <c r="Z2607" t="s">
        <v>24612</v>
      </c>
      <c r="AA2607">
        <v>1.031080768603885</v>
      </c>
      <c r="AB2607" t="str">
        <f>HYPERLINK("Melting_Curves/meltCurve_P62310_LSM3.pdf", "Melting_Curves/meltCurve_P62310_LSM3.pdf")</f>
        <v>Melting_Curves/meltCurve_P62310_LSM3.pdf</v>
      </c>
    </row>
    <row r="2608" spans="1:28" x14ac:dyDescent="0.25">
      <c r="A2608" t="s">
        <v>2612</v>
      </c>
      <c r="B2608">
        <v>0.99299721793515405</v>
      </c>
      <c r="C2608">
        <v>0.943372650304934</v>
      </c>
      <c r="D2608">
        <v>0.91104969710236905</v>
      </c>
      <c r="E2608">
        <v>0.79908396499852796</v>
      </c>
      <c r="F2608">
        <v>0.71374949070726801</v>
      </c>
      <c r="G2608">
        <v>0.65342905142877605</v>
      </c>
      <c r="H2608">
        <v>0.94184769260068102</v>
      </c>
      <c r="I2608">
        <v>1.3377271506269</v>
      </c>
      <c r="J2608">
        <v>1.76904248770324</v>
      </c>
      <c r="K2608">
        <v>2.1019395107120902</v>
      </c>
      <c r="L2608">
        <v>15000</v>
      </c>
      <c r="M2608">
        <v>246.63463429855</v>
      </c>
      <c r="O2608">
        <v>60.814709995214898</v>
      </c>
      <c r="P2608">
        <v>0.50693868956587496</v>
      </c>
      <c r="Q2608">
        <v>1.5</v>
      </c>
      <c r="R2608">
        <v>0.661135298208819</v>
      </c>
      <c r="S2608" t="s">
        <v>8159</v>
      </c>
      <c r="T2608" t="s">
        <v>11100</v>
      </c>
      <c r="U2608" t="s">
        <v>11100</v>
      </c>
      <c r="V2608" t="s">
        <v>11100</v>
      </c>
      <c r="W2608" t="s">
        <v>13665</v>
      </c>
      <c r="X2608">
        <v>9</v>
      </c>
      <c r="Y2608" t="s">
        <v>19127</v>
      </c>
      <c r="Z2608" t="s">
        <v>24613</v>
      </c>
      <c r="AA2608">
        <v>1.1029666855898539</v>
      </c>
      <c r="AB2608" t="str">
        <f>HYPERLINK("Melting_Curves/meltCurve_P62312_LSM6.pdf", "Melting_Curves/meltCurve_P62312_LSM6.pdf")</f>
        <v>Melting_Curves/meltCurve_P62312_LSM6.pdf</v>
      </c>
    </row>
    <row r="2609" spans="1:28" x14ac:dyDescent="0.25">
      <c r="A2609" t="s">
        <v>2613</v>
      </c>
      <c r="B2609">
        <v>0.99299721793515405</v>
      </c>
      <c r="C2609">
        <v>0.88848425312261803</v>
      </c>
      <c r="D2609">
        <v>0.84298554301363204</v>
      </c>
      <c r="E2609">
        <v>0.754991713458947</v>
      </c>
      <c r="F2609">
        <v>0.71004668442629404</v>
      </c>
      <c r="G2609">
        <v>0.701132669368425</v>
      </c>
      <c r="H2609">
        <v>0.99147100990635895</v>
      </c>
      <c r="I2609">
        <v>1.0768886701801099</v>
      </c>
      <c r="J2609">
        <v>1.0599630073861099</v>
      </c>
      <c r="K2609">
        <v>0.79923469801200797</v>
      </c>
      <c r="L2609">
        <v>2450.0325823513899</v>
      </c>
      <c r="M2609">
        <v>63.105988116323303</v>
      </c>
      <c r="O2609">
        <v>38.785159540282599</v>
      </c>
      <c r="P2609">
        <v>-5.4042047776172997E-2</v>
      </c>
      <c r="Q2609">
        <v>0.86714232354870202</v>
      </c>
      <c r="R2609">
        <v>7.8123348950062496E-2</v>
      </c>
      <c r="S2609" t="s">
        <v>8160</v>
      </c>
      <c r="T2609" t="s">
        <v>11100</v>
      </c>
      <c r="U2609" t="s">
        <v>11100</v>
      </c>
      <c r="V2609" t="s">
        <v>11100</v>
      </c>
      <c r="W2609" t="s">
        <v>13666</v>
      </c>
      <c r="X2609">
        <v>3</v>
      </c>
      <c r="Y2609" t="s">
        <v>19128</v>
      </c>
      <c r="Z2609" t="s">
        <v>24614</v>
      </c>
      <c r="AA2609">
        <v>0.87546771295188175</v>
      </c>
      <c r="AB2609" t="str">
        <f>HYPERLINK("Melting_Curves/meltCurve_P62314_SNRPD1.pdf", "Melting_Curves/meltCurve_P62314_SNRPD1.pdf")</f>
        <v>Melting_Curves/meltCurve_P62314_SNRPD1.pdf</v>
      </c>
    </row>
    <row r="2610" spans="1:28" x14ac:dyDescent="0.25">
      <c r="A2610" t="s">
        <v>2614</v>
      </c>
      <c r="B2610">
        <v>0.99299721793515405</v>
      </c>
      <c r="C2610">
        <v>0.91858709515447101</v>
      </c>
      <c r="D2610">
        <v>1.0474210229465399</v>
      </c>
      <c r="E2610">
        <v>0.86399070622442797</v>
      </c>
      <c r="F2610">
        <v>0.87384712937841602</v>
      </c>
      <c r="G2610">
        <v>0.88700298789444298</v>
      </c>
      <c r="H2610">
        <v>0.99209169808905495</v>
      </c>
      <c r="I2610">
        <v>1.1155538635965201</v>
      </c>
      <c r="J2610">
        <v>1.0608012259702699</v>
      </c>
      <c r="K2610">
        <v>1.2746903322462</v>
      </c>
      <c r="L2610">
        <v>1850.6349795813701</v>
      </c>
      <c r="M2610">
        <v>27.663255411961298</v>
      </c>
      <c r="O2610">
        <v>66.552008950575001</v>
      </c>
      <c r="P2610">
        <v>5.19584347061533E-2</v>
      </c>
      <c r="Q2610">
        <v>1.5</v>
      </c>
      <c r="R2610">
        <v>0.55122986660545004</v>
      </c>
      <c r="S2610" t="s">
        <v>8161</v>
      </c>
      <c r="T2610" t="s">
        <v>11100</v>
      </c>
      <c r="U2610" t="s">
        <v>11100</v>
      </c>
      <c r="V2610" t="s">
        <v>11100</v>
      </c>
      <c r="W2610" t="s">
        <v>13667</v>
      </c>
      <c r="X2610">
        <v>9</v>
      </c>
      <c r="Y2610" t="s">
        <v>19129</v>
      </c>
      <c r="Z2610" t="s">
        <v>24615</v>
      </c>
      <c r="AA2610">
        <v>1.026642384209471</v>
      </c>
      <c r="AB2610" t="str">
        <f>HYPERLINK("Melting_Curves/meltCurve_P62316_SNRPD2.pdf", "Melting_Curves/meltCurve_P62316_SNRPD2.pdf")</f>
        <v>Melting_Curves/meltCurve_P62316_SNRPD2.pdf</v>
      </c>
    </row>
    <row r="2611" spans="1:28" x14ac:dyDescent="0.25">
      <c r="A2611" t="s">
        <v>2615</v>
      </c>
      <c r="B2611">
        <v>0.99299721793515405</v>
      </c>
      <c r="C2611">
        <v>1.1127136455189199</v>
      </c>
      <c r="D2611">
        <v>0.97353275513026005</v>
      </c>
      <c r="E2611">
        <v>0.84778734461299798</v>
      </c>
      <c r="F2611">
        <v>0.82898598134248003</v>
      </c>
      <c r="G2611">
        <v>0.55738685224775897</v>
      </c>
      <c r="H2611">
        <v>0.723947724170655</v>
      </c>
      <c r="I2611">
        <v>0.81199494510432701</v>
      </c>
      <c r="J2611">
        <v>1.03639389659885</v>
      </c>
      <c r="K2611">
        <v>0.81353914762726298</v>
      </c>
      <c r="L2611">
        <v>1931.3227568288701</v>
      </c>
      <c r="M2611">
        <v>42.526419102359</v>
      </c>
      <c r="O2611">
        <v>45.3145788578584</v>
      </c>
      <c r="P2611">
        <v>-4.8152389428919501E-2</v>
      </c>
      <c r="Q2611">
        <v>0.79476271416160904</v>
      </c>
      <c r="R2611">
        <v>0.44036198892835299</v>
      </c>
      <c r="S2611" t="s">
        <v>8162</v>
      </c>
      <c r="T2611" t="s">
        <v>11100</v>
      </c>
      <c r="U2611" t="s">
        <v>11100</v>
      </c>
      <c r="V2611" t="s">
        <v>11100</v>
      </c>
      <c r="W2611" t="s">
        <v>13668</v>
      </c>
      <c r="X2611">
        <v>5</v>
      </c>
      <c r="Y2611" t="s">
        <v>19130</v>
      </c>
      <c r="Z2611" t="s">
        <v>24616</v>
      </c>
      <c r="AA2611">
        <v>0.85289928681253435</v>
      </c>
      <c r="AB2611" t="str">
        <f>HYPERLINK("Melting_Curves/meltCurve_P62328_TMSB4X.pdf", "Melting_Curves/meltCurve_P62328_TMSB4X.pdf")</f>
        <v>Melting_Curves/meltCurve_P62328_TMSB4X.pdf</v>
      </c>
    </row>
    <row r="2612" spans="1:28" x14ac:dyDescent="0.25">
      <c r="A2612" t="s">
        <v>2616</v>
      </c>
      <c r="B2612">
        <v>0.99299721793515405</v>
      </c>
      <c r="C2612">
        <v>1.0619275322503201</v>
      </c>
      <c r="D2612">
        <v>1.19244928305659</v>
      </c>
      <c r="E2612">
        <v>0.92292605749176904</v>
      </c>
      <c r="F2612">
        <v>0.93450915785573896</v>
      </c>
      <c r="G2612">
        <v>0.62338298096035605</v>
      </c>
      <c r="H2612">
        <v>0.347107752496293</v>
      </c>
      <c r="I2612">
        <v>0.26122832859848599</v>
      </c>
      <c r="J2612">
        <v>0.229146204945951</v>
      </c>
      <c r="K2612">
        <v>0.15983824321495199</v>
      </c>
      <c r="L2612">
        <v>1375.9025247406501</v>
      </c>
      <c r="M2612">
        <v>25.3778195095767</v>
      </c>
      <c r="N2612">
        <v>55.270489106230698</v>
      </c>
      <c r="O2612">
        <v>53.883461908424302</v>
      </c>
      <c r="P2612">
        <v>-9.5162709628429695E-2</v>
      </c>
      <c r="Q2612">
        <v>0.191793459853417</v>
      </c>
      <c r="R2612">
        <v>0.96483940225374398</v>
      </c>
      <c r="S2612" t="s">
        <v>8163</v>
      </c>
      <c r="T2612" t="s">
        <v>11100</v>
      </c>
      <c r="U2612" t="s">
        <v>11100</v>
      </c>
      <c r="V2612" t="s">
        <v>11100</v>
      </c>
      <c r="W2612" t="s">
        <v>13669</v>
      </c>
      <c r="X2612">
        <v>7</v>
      </c>
      <c r="Y2612" t="s">
        <v>19131</v>
      </c>
      <c r="Z2612" t="s">
        <v>24617</v>
      </c>
      <c r="AA2612">
        <v>0.6624752292969931</v>
      </c>
      <c r="AB2612" t="str">
        <f>HYPERLINK("Melting_Curves/meltCurve_P62330_ARF6.pdf", "Melting_Curves/meltCurve_P62330_ARF6.pdf")</f>
        <v>Melting_Curves/meltCurve_P62330_ARF6.pdf</v>
      </c>
    </row>
    <row r="2613" spans="1:28" x14ac:dyDescent="0.25">
      <c r="A2613" t="s">
        <v>2617</v>
      </c>
      <c r="B2613">
        <v>0.99299721793515405</v>
      </c>
      <c r="C2613">
        <v>1.0052062946204501</v>
      </c>
      <c r="D2613">
        <v>1.0914237409438901</v>
      </c>
      <c r="E2613">
        <v>0.91801534709927601</v>
      </c>
      <c r="F2613">
        <v>0.70437115165403397</v>
      </c>
      <c r="G2613">
        <v>0.70740470432145597</v>
      </c>
      <c r="H2613">
        <v>0.43187004780559102</v>
      </c>
      <c r="I2613">
        <v>0.28345442867634801</v>
      </c>
      <c r="J2613">
        <v>0.266063294548328</v>
      </c>
      <c r="K2613">
        <v>0.184099893536393</v>
      </c>
      <c r="L2613">
        <v>693.15610126434501</v>
      </c>
      <c r="M2613">
        <v>12.5500870913955</v>
      </c>
      <c r="N2613">
        <v>56.2698313081995</v>
      </c>
      <c r="O2613">
        <v>53.885141826266299</v>
      </c>
      <c r="P2613">
        <v>-5.2216594737460299E-2</v>
      </c>
      <c r="Q2613">
        <v>0.103391501028992</v>
      </c>
      <c r="R2613">
        <v>0.97014512785342699</v>
      </c>
      <c r="S2613" t="s">
        <v>8164</v>
      </c>
      <c r="T2613" t="s">
        <v>11100</v>
      </c>
      <c r="U2613" t="s">
        <v>11100</v>
      </c>
      <c r="V2613" t="s">
        <v>11100</v>
      </c>
      <c r="W2613" t="s">
        <v>13670</v>
      </c>
      <c r="X2613">
        <v>21</v>
      </c>
      <c r="Y2613" t="s">
        <v>19132</v>
      </c>
      <c r="Z2613" t="s">
        <v>24618</v>
      </c>
      <c r="AA2613">
        <v>0.66037528056592265</v>
      </c>
      <c r="AB2613" t="str">
        <f>HYPERLINK("Melting_Curves/meltCurve_P62333_PSMC6.pdf", "Melting_Curves/meltCurve_P62333_PSMC6.pdf")</f>
        <v>Melting_Curves/meltCurve_P62333_PSMC6.pdf</v>
      </c>
    </row>
    <row r="2614" spans="1:28" x14ac:dyDescent="0.25">
      <c r="A2614" t="s">
        <v>2618</v>
      </c>
      <c r="B2614">
        <v>0.99299721793515405</v>
      </c>
      <c r="C2614">
        <v>1.05798275644295</v>
      </c>
      <c r="D2614">
        <v>0.93218811442967497</v>
      </c>
      <c r="E2614">
        <v>0.87059751826276199</v>
      </c>
      <c r="F2614">
        <v>0.75693605608204495</v>
      </c>
      <c r="G2614">
        <v>0.29978460178657801</v>
      </c>
      <c r="H2614">
        <v>0.16024824169273899</v>
      </c>
      <c r="I2614">
        <v>0.124078678795467</v>
      </c>
      <c r="J2614">
        <v>0.14317939437788901</v>
      </c>
      <c r="K2614">
        <v>8.90373814894386E-2</v>
      </c>
      <c r="L2614">
        <v>1375.0720865655701</v>
      </c>
      <c r="M2614">
        <v>26.655979604606198</v>
      </c>
      <c r="N2614">
        <v>52.054325515244301</v>
      </c>
      <c r="O2614">
        <v>51.298169374678501</v>
      </c>
      <c r="P2614">
        <v>-0.116054959759016</v>
      </c>
      <c r="Q2614">
        <v>0.106640233127866</v>
      </c>
      <c r="R2614">
        <v>0.98785190458410999</v>
      </c>
      <c r="S2614" t="s">
        <v>8165</v>
      </c>
      <c r="T2614" t="s">
        <v>11100</v>
      </c>
      <c r="U2614" t="s">
        <v>11100</v>
      </c>
      <c r="V2614" t="s">
        <v>11100</v>
      </c>
      <c r="W2614" t="s">
        <v>13671</v>
      </c>
      <c r="X2614">
        <v>3</v>
      </c>
      <c r="Y2614" t="s">
        <v>19133</v>
      </c>
      <c r="Z2614" t="s">
        <v>24619</v>
      </c>
      <c r="AA2614">
        <v>0.54801116733917932</v>
      </c>
      <c r="AB2614" t="str">
        <f>HYPERLINK("Melting_Curves/meltCurve_P62380_TBPL1.pdf", "Melting_Curves/meltCurve_P62380_TBPL1.pdf")</f>
        <v>Melting_Curves/meltCurve_P62380_TBPL1.pdf</v>
      </c>
    </row>
    <row r="2615" spans="1:28" x14ac:dyDescent="0.25">
      <c r="A2615" t="s">
        <v>2619</v>
      </c>
      <c r="B2615">
        <v>0.99299721793515405</v>
      </c>
      <c r="C2615">
        <v>1.0504312074190101</v>
      </c>
      <c r="D2615">
        <v>0.89191584639729804</v>
      </c>
      <c r="E2615">
        <v>0.82421097888942596</v>
      </c>
      <c r="F2615">
        <v>0.45615940180158998</v>
      </c>
      <c r="G2615">
        <v>0.36350346567910202</v>
      </c>
      <c r="H2615">
        <v>0.51174024385585504</v>
      </c>
      <c r="I2615">
        <v>0.51395122509957203</v>
      </c>
      <c r="J2615">
        <v>0.348445768880214</v>
      </c>
      <c r="K2615">
        <v>0.24365975812368301</v>
      </c>
      <c r="L2615">
        <v>1708.56570836625</v>
      </c>
      <c r="M2615">
        <v>35.912644700936298</v>
      </c>
      <c r="N2615">
        <v>49.697171905471002</v>
      </c>
      <c r="O2615">
        <v>47.428827877171301</v>
      </c>
      <c r="P2615">
        <v>-0.115080422970993</v>
      </c>
      <c r="Q2615">
        <v>0.39206818469934601</v>
      </c>
      <c r="R2615">
        <v>0.91372721415827096</v>
      </c>
      <c r="S2615" t="s">
        <v>8166</v>
      </c>
      <c r="T2615" t="s">
        <v>11100</v>
      </c>
      <c r="U2615" t="s">
        <v>11100</v>
      </c>
      <c r="V2615" t="s">
        <v>11100</v>
      </c>
      <c r="W2615" t="s">
        <v>13672</v>
      </c>
      <c r="X2615">
        <v>6</v>
      </c>
      <c r="Y2615" t="s">
        <v>19134</v>
      </c>
      <c r="Z2615" t="s">
        <v>24620</v>
      </c>
      <c r="AA2615">
        <v>0.60886141560189699</v>
      </c>
      <c r="AB2615" t="str">
        <f>HYPERLINK("Melting_Curves/meltCurve_P62424_RPL7A.pdf", "Melting_Curves/meltCurve_P62424_RPL7A.pdf")</f>
        <v>Melting_Curves/meltCurve_P62424_RPL7A.pdf</v>
      </c>
    </row>
    <row r="2616" spans="1:28" x14ac:dyDescent="0.25">
      <c r="A2616" t="s">
        <v>2620</v>
      </c>
      <c r="B2616">
        <v>0.99299721793515405</v>
      </c>
      <c r="C2616">
        <v>0.98648327050597895</v>
      </c>
      <c r="D2616">
        <v>0.94205092591443296</v>
      </c>
      <c r="E2616">
        <v>0.92213418656151702</v>
      </c>
      <c r="F2616">
        <v>0.77001268624435504</v>
      </c>
      <c r="G2616">
        <v>0.58422395757086798</v>
      </c>
      <c r="H2616">
        <v>0.73765922233150505</v>
      </c>
      <c r="I2616">
        <v>0.71984772566877298</v>
      </c>
      <c r="J2616">
        <v>0.82983742498142699</v>
      </c>
      <c r="K2616">
        <v>0.39861012814333002</v>
      </c>
      <c r="L2616">
        <v>1379.3414051935999</v>
      </c>
      <c r="M2616">
        <v>28.423384230214499</v>
      </c>
      <c r="O2616">
        <v>48.290095787031298</v>
      </c>
      <c r="P2616">
        <v>-5.1136399737422997E-2</v>
      </c>
      <c r="Q2616">
        <v>0.652488734275669</v>
      </c>
      <c r="R2616">
        <v>0.63848479311964101</v>
      </c>
      <c r="S2616" t="s">
        <v>8167</v>
      </c>
      <c r="T2616" t="s">
        <v>11100</v>
      </c>
      <c r="U2616" t="s">
        <v>11100</v>
      </c>
      <c r="V2616" t="s">
        <v>11100</v>
      </c>
      <c r="W2616" t="s">
        <v>13673</v>
      </c>
      <c r="X2616">
        <v>5</v>
      </c>
      <c r="Y2616" t="s">
        <v>19135</v>
      </c>
      <c r="Z2616" t="s">
        <v>24621</v>
      </c>
      <c r="AA2616">
        <v>0.7883452462771563</v>
      </c>
      <c r="AB2616" t="str">
        <f>HYPERLINK("Melting_Curves/meltCurve_P62487_POLR2G.pdf", "Melting_Curves/meltCurve_P62487_POLR2G.pdf")</f>
        <v>Melting_Curves/meltCurve_P62487_POLR2G.pdf</v>
      </c>
    </row>
    <row r="2617" spans="1:28" x14ac:dyDescent="0.25">
      <c r="A2617" t="s">
        <v>2621</v>
      </c>
      <c r="B2617">
        <v>0.99299721793515405</v>
      </c>
      <c r="C2617">
        <v>1.09455553230809</v>
      </c>
      <c r="D2617">
        <v>0.93097744389342096</v>
      </c>
      <c r="E2617">
        <v>0.95330380062176601</v>
      </c>
      <c r="F2617">
        <v>0.85000734812174905</v>
      </c>
      <c r="G2617">
        <v>0.68119963579430998</v>
      </c>
      <c r="H2617">
        <v>0.305198411799045</v>
      </c>
      <c r="I2617">
        <v>0.25538666226704099</v>
      </c>
      <c r="J2617">
        <v>0.21332522912186899</v>
      </c>
      <c r="K2617">
        <v>0.186537853931383</v>
      </c>
      <c r="L2617">
        <v>1221.8703607229299</v>
      </c>
      <c r="M2617">
        <v>22.522370767528201</v>
      </c>
      <c r="N2617">
        <v>55.320513994287197</v>
      </c>
      <c r="O2617">
        <v>53.829146237480899</v>
      </c>
      <c r="P2617">
        <v>-8.6145876964862603E-2</v>
      </c>
      <c r="Q2617">
        <v>0.17645176386431399</v>
      </c>
      <c r="R2617">
        <v>0.98179002151630101</v>
      </c>
      <c r="S2617" t="s">
        <v>8168</v>
      </c>
      <c r="T2617" t="s">
        <v>11100</v>
      </c>
      <c r="U2617" t="s">
        <v>11100</v>
      </c>
      <c r="V2617" t="s">
        <v>11100</v>
      </c>
      <c r="W2617" t="s">
        <v>13674</v>
      </c>
      <c r="X2617">
        <v>7</v>
      </c>
      <c r="Y2617" t="s">
        <v>19136</v>
      </c>
      <c r="Z2617" t="s">
        <v>24622</v>
      </c>
      <c r="AA2617">
        <v>0.65840841630498481</v>
      </c>
      <c r="AB2617" t="str">
        <f>HYPERLINK("Melting_Curves/meltCurve_P62495_ETF1.pdf", "Melting_Curves/meltCurve_P62495_ETF1.pdf")</f>
        <v>Melting_Curves/meltCurve_P62495_ETF1.pdf</v>
      </c>
    </row>
    <row r="2618" spans="1:28" x14ac:dyDescent="0.25">
      <c r="A2618" t="s">
        <v>2622</v>
      </c>
      <c r="B2618">
        <v>0.99299721793515405</v>
      </c>
      <c r="C2618">
        <v>0.93682642571764496</v>
      </c>
      <c r="D2618">
        <v>1.0211897546550499</v>
      </c>
      <c r="E2618">
        <v>0.97366611393668201</v>
      </c>
      <c r="F2618">
        <v>0.74873326850359101</v>
      </c>
      <c r="G2618">
        <v>0.39507119944352498</v>
      </c>
      <c r="H2618">
        <v>0.52624352534992602</v>
      </c>
      <c r="I2618">
        <v>0.61707199555673398</v>
      </c>
      <c r="J2618">
        <v>0.89568905277662003</v>
      </c>
      <c r="K2618">
        <v>0.58002088583859102</v>
      </c>
      <c r="L2618">
        <v>12522.7163803697</v>
      </c>
      <c r="M2618">
        <v>250</v>
      </c>
      <c r="O2618">
        <v>50.087668990763902</v>
      </c>
      <c r="P2618">
        <v>-0.49560693408051698</v>
      </c>
      <c r="Q2618">
        <v>0.60281933423786505</v>
      </c>
      <c r="R2618">
        <v>0.69268306542048297</v>
      </c>
      <c r="S2618" t="s">
        <v>8169</v>
      </c>
      <c r="T2618" t="s">
        <v>11100</v>
      </c>
      <c r="U2618" t="s">
        <v>11100</v>
      </c>
      <c r="V2618" t="s">
        <v>11100</v>
      </c>
      <c r="W2618" t="s">
        <v>13675</v>
      </c>
      <c r="X2618">
        <v>21</v>
      </c>
      <c r="Y2618" t="s">
        <v>19137</v>
      </c>
      <c r="Z2618" t="s">
        <v>24623</v>
      </c>
      <c r="AA2618">
        <v>0.77616887264376644</v>
      </c>
      <c r="AB2618" t="str">
        <f>HYPERLINK("Melting_Curves/meltCurve_P62633_2_CNBP.pdf", "Melting_Curves/meltCurve_P62633_2_CNBP.pdf")</f>
        <v>Melting_Curves/meltCurve_P62633_2_CNBP.pdf</v>
      </c>
    </row>
    <row r="2619" spans="1:28" x14ac:dyDescent="0.25">
      <c r="A2619" t="s">
        <v>2623</v>
      </c>
      <c r="B2619">
        <v>0.99299721793515405</v>
      </c>
      <c r="C2619">
        <v>0.98644453664315601</v>
      </c>
      <c r="D2619">
        <v>1.28456871232863</v>
      </c>
      <c r="E2619">
        <v>0.98033034209747305</v>
      </c>
      <c r="F2619">
        <v>0.84944331580784804</v>
      </c>
      <c r="G2619">
        <v>0.98354093637184303</v>
      </c>
      <c r="H2619">
        <v>0.65254896429581699</v>
      </c>
      <c r="I2619">
        <v>0.74345200022007996</v>
      </c>
      <c r="J2619">
        <v>0.93298811089556899</v>
      </c>
      <c r="K2619">
        <v>0.75225143179198894</v>
      </c>
      <c r="L2619">
        <v>1210.6422678050001</v>
      </c>
      <c r="M2619">
        <v>23.378262334407399</v>
      </c>
      <c r="O2619">
        <v>51.410513968144997</v>
      </c>
      <c r="P2619">
        <v>-2.4516483933872499E-2</v>
      </c>
      <c r="Q2619">
        <v>0.78434959551650996</v>
      </c>
      <c r="R2619">
        <v>0.45855711370487701</v>
      </c>
      <c r="S2619" t="s">
        <v>8170</v>
      </c>
      <c r="T2619" t="s">
        <v>11100</v>
      </c>
      <c r="U2619" t="s">
        <v>11100</v>
      </c>
      <c r="V2619" t="s">
        <v>11100</v>
      </c>
      <c r="W2619" t="s">
        <v>13676</v>
      </c>
      <c r="X2619">
        <v>21</v>
      </c>
      <c r="Y2619" t="s">
        <v>19137</v>
      </c>
      <c r="Z2619" t="s">
        <v>24624</v>
      </c>
      <c r="AA2619">
        <v>0.89278136322710588</v>
      </c>
      <c r="AB2619" t="str">
        <f>HYPERLINK("Melting_Curves/meltCurve_P62633_3_CNBP.pdf", "Melting_Curves/meltCurve_P62633_3_CNBP.pdf")</f>
        <v>Melting_Curves/meltCurve_P62633_3_CNBP.pdf</v>
      </c>
    </row>
    <row r="2620" spans="1:28" x14ac:dyDescent="0.25">
      <c r="A2620" t="s">
        <v>2624</v>
      </c>
      <c r="B2620">
        <v>0.99299721793515405</v>
      </c>
      <c r="C2620">
        <v>0.984270040590142</v>
      </c>
      <c r="D2620">
        <v>1.2732335160096</v>
      </c>
      <c r="E2620">
        <v>0.92688170316566898</v>
      </c>
      <c r="F2620">
        <v>0.81540461230066996</v>
      </c>
      <c r="G2620">
        <v>0.56077160376987001</v>
      </c>
      <c r="H2620">
        <v>0.53529075070181298</v>
      </c>
      <c r="I2620">
        <v>0.71706379133769105</v>
      </c>
      <c r="J2620">
        <v>0.85717805982786699</v>
      </c>
      <c r="K2620">
        <v>0.76271353781162898</v>
      </c>
      <c r="L2620">
        <v>12531.933143213901</v>
      </c>
      <c r="M2620">
        <v>250</v>
      </c>
      <c r="O2620">
        <v>50.124524408165897</v>
      </c>
      <c r="P2620">
        <v>-0.39077234699347002</v>
      </c>
      <c r="Q2620">
        <v>0.68660354963345804</v>
      </c>
      <c r="R2620">
        <v>0.64172711801555504</v>
      </c>
      <c r="S2620" t="s">
        <v>8171</v>
      </c>
      <c r="T2620" t="s">
        <v>11100</v>
      </c>
      <c r="U2620" t="s">
        <v>11100</v>
      </c>
      <c r="V2620" t="s">
        <v>11100</v>
      </c>
      <c r="W2620" t="s">
        <v>13677</v>
      </c>
      <c r="X2620">
        <v>21</v>
      </c>
      <c r="Y2620" t="s">
        <v>19137</v>
      </c>
      <c r="Z2620" t="s">
        <v>24625</v>
      </c>
      <c r="AA2620">
        <v>0.82377061317157507</v>
      </c>
      <c r="AB2620" t="str">
        <f>HYPERLINK("Melting_Curves/meltCurve_P62633_4_CNBP.pdf", "Melting_Curves/meltCurve_P62633_4_CNBP.pdf")</f>
        <v>Melting_Curves/meltCurve_P62633_4_CNBP.pdf</v>
      </c>
    </row>
    <row r="2621" spans="1:28" x14ac:dyDescent="0.25">
      <c r="A2621" t="s">
        <v>2625</v>
      </c>
      <c r="B2621">
        <v>0.99299721793515405</v>
      </c>
      <c r="C2621">
        <v>0.91035418705479798</v>
      </c>
      <c r="D2621">
        <v>1.1542414997297601</v>
      </c>
      <c r="E2621">
        <v>0.77515858295282203</v>
      </c>
      <c r="F2621">
        <v>0.67310483249547803</v>
      </c>
      <c r="G2621">
        <v>0.55962827742023502</v>
      </c>
      <c r="H2621">
        <v>0.59756923180695898</v>
      </c>
      <c r="I2621">
        <v>0.37427291782719002</v>
      </c>
      <c r="J2621">
        <v>0.207737587707232</v>
      </c>
      <c r="K2621">
        <v>0.34096008616543599</v>
      </c>
      <c r="L2621">
        <v>545.97113722493305</v>
      </c>
      <c r="M2621">
        <v>10.194083899039001</v>
      </c>
      <c r="N2621">
        <v>56.319046644540798</v>
      </c>
      <c r="O2621">
        <v>51.619324678530099</v>
      </c>
      <c r="P2621">
        <v>-3.9678839264840803E-2</v>
      </c>
      <c r="Q2621">
        <v>0.19668313445617</v>
      </c>
      <c r="R2621">
        <v>0.88653565684840296</v>
      </c>
      <c r="S2621" t="s">
        <v>8172</v>
      </c>
      <c r="T2621" t="s">
        <v>11100</v>
      </c>
      <c r="U2621" t="s">
        <v>11100</v>
      </c>
      <c r="V2621" t="s">
        <v>11100</v>
      </c>
      <c r="W2621" t="s">
        <v>13678</v>
      </c>
      <c r="X2621">
        <v>7</v>
      </c>
      <c r="Y2621" t="s">
        <v>19138</v>
      </c>
      <c r="Z2621" t="s">
        <v>24626</v>
      </c>
      <c r="AA2621">
        <v>0.65597509177384472</v>
      </c>
      <c r="AB2621" t="str">
        <f>HYPERLINK("Melting_Curves/meltCurve_P62701_RPS4X.pdf", "Melting_Curves/meltCurve_P62701_RPS4X.pdf")</f>
        <v>Melting_Curves/meltCurve_P62701_RPS4X.pdf</v>
      </c>
    </row>
    <row r="2622" spans="1:28" x14ac:dyDescent="0.25">
      <c r="A2622" t="s">
        <v>2626</v>
      </c>
      <c r="B2622">
        <v>0.99299721793515405</v>
      </c>
      <c r="C2622">
        <v>1.20573599907986</v>
      </c>
      <c r="D2622">
        <v>1.51630658089612</v>
      </c>
      <c r="E2622">
        <v>1.1883267023647099</v>
      </c>
      <c r="F2622">
        <v>1.07095744001662</v>
      </c>
      <c r="G2622">
        <v>1.6328966461315599</v>
      </c>
      <c r="H2622">
        <v>0.94963141485874702</v>
      </c>
      <c r="I2622">
        <v>0.87131906200772902</v>
      </c>
      <c r="J2622">
        <v>0.62233969701440495</v>
      </c>
      <c r="K2622">
        <v>0.34405578194104303</v>
      </c>
      <c r="L2622">
        <v>2196.2913447123201</v>
      </c>
      <c r="M2622">
        <v>34.1529171266723</v>
      </c>
      <c r="N2622">
        <v>65.165983261007895</v>
      </c>
      <c r="O2622">
        <v>64.088302042172302</v>
      </c>
      <c r="P2622">
        <v>-0.109092735917862</v>
      </c>
      <c r="Q2622">
        <v>0.181148627089463</v>
      </c>
      <c r="R2622">
        <v>0.43222490475191899</v>
      </c>
      <c r="S2622" t="s">
        <v>8173</v>
      </c>
      <c r="T2622" t="s">
        <v>11100</v>
      </c>
      <c r="U2622" t="s">
        <v>11100</v>
      </c>
      <c r="V2622" t="s">
        <v>11100</v>
      </c>
      <c r="W2622" t="s">
        <v>13679</v>
      </c>
      <c r="X2622">
        <v>19</v>
      </c>
      <c r="Y2622" t="s">
        <v>19139</v>
      </c>
      <c r="Z2622" t="s">
        <v>24627</v>
      </c>
      <c r="AA2622">
        <v>0.91801561584515379</v>
      </c>
      <c r="AB2622" t="str">
        <f>HYPERLINK("Melting_Curves/meltCurve_P62714_PPP2CB.pdf", "Melting_Curves/meltCurve_P62714_PPP2CB.pdf")</f>
        <v>Melting_Curves/meltCurve_P62714_PPP2CB.pdf</v>
      </c>
    </row>
    <row r="2623" spans="1:28" x14ac:dyDescent="0.25">
      <c r="A2623" t="s">
        <v>2627</v>
      </c>
      <c r="B2623">
        <v>0.99299721793515405</v>
      </c>
      <c r="C2623">
        <v>1.01218612982124</v>
      </c>
      <c r="D2623">
        <v>1.0371680461046899</v>
      </c>
      <c r="E2623">
        <v>0.94286901741955698</v>
      </c>
      <c r="F2623">
        <v>0.76846003621594405</v>
      </c>
      <c r="G2623">
        <v>0.604768103717923</v>
      </c>
      <c r="H2623">
        <v>0.56107177596692703</v>
      </c>
      <c r="I2623">
        <v>0.623194495076972</v>
      </c>
      <c r="J2623">
        <v>0.60304969794124796</v>
      </c>
      <c r="K2623">
        <v>0.36498371222862402</v>
      </c>
      <c r="L2623">
        <v>1137.0197480080101</v>
      </c>
      <c r="M2623">
        <v>22.529631923626301</v>
      </c>
      <c r="O2623">
        <v>50.075182811110501</v>
      </c>
      <c r="P2623">
        <v>-5.36256410105043E-2</v>
      </c>
      <c r="Q2623">
        <v>0.52324845212087401</v>
      </c>
      <c r="R2623">
        <v>0.91377873317626002</v>
      </c>
      <c r="S2623" t="s">
        <v>8174</v>
      </c>
      <c r="T2623" t="s">
        <v>11100</v>
      </c>
      <c r="U2623" t="s">
        <v>11100</v>
      </c>
      <c r="V2623" t="s">
        <v>11100</v>
      </c>
      <c r="W2623" t="s">
        <v>13680</v>
      </c>
      <c r="X2623">
        <v>12</v>
      </c>
      <c r="Y2623" t="s">
        <v>19140</v>
      </c>
      <c r="Z2623" t="s">
        <v>24628</v>
      </c>
      <c r="AA2623">
        <v>0.74235220989253492</v>
      </c>
      <c r="AB2623" t="str">
        <f>HYPERLINK("Melting_Curves/meltCurve_P62745_RHOB.pdf", "Melting_Curves/meltCurve_P62745_RHOB.pdf")</f>
        <v>Melting_Curves/meltCurve_P62745_RHOB.pdf</v>
      </c>
    </row>
    <row r="2624" spans="1:28" x14ac:dyDescent="0.25">
      <c r="A2624" t="s">
        <v>2628</v>
      </c>
      <c r="B2624">
        <v>0.99299721793515405</v>
      </c>
      <c r="C2624">
        <v>1.1032614879428499</v>
      </c>
      <c r="D2624">
        <v>1.06403984069087</v>
      </c>
      <c r="E2624">
        <v>1.1398270319292101</v>
      </c>
      <c r="F2624">
        <v>0.96424577770257502</v>
      </c>
      <c r="G2624">
        <v>0.83256484735982705</v>
      </c>
      <c r="H2624">
        <v>0.60029609227611203</v>
      </c>
      <c r="I2624">
        <v>0.47818659696632099</v>
      </c>
      <c r="J2624">
        <v>0.31118984348710799</v>
      </c>
      <c r="K2624">
        <v>0.179765175691802</v>
      </c>
      <c r="L2624">
        <v>952.04517917485498</v>
      </c>
      <c r="M2624">
        <v>16.114201598604701</v>
      </c>
      <c r="N2624">
        <v>59.8261316275902</v>
      </c>
      <c r="O2624">
        <v>58.193717925831301</v>
      </c>
      <c r="P2624">
        <v>-6.2938132302753996E-2</v>
      </c>
      <c r="Q2624">
        <v>9.0907591619922803E-2</v>
      </c>
      <c r="R2624">
        <v>0.959561777238499</v>
      </c>
      <c r="S2624" t="s">
        <v>8175</v>
      </c>
      <c r="T2624" t="s">
        <v>11100</v>
      </c>
      <c r="U2624" t="s">
        <v>11100</v>
      </c>
      <c r="V2624" t="s">
        <v>11100</v>
      </c>
      <c r="W2624" t="s">
        <v>13681</v>
      </c>
      <c r="X2624">
        <v>6</v>
      </c>
      <c r="Y2624" t="s">
        <v>19141</v>
      </c>
      <c r="Z2624" t="s">
        <v>24629</v>
      </c>
      <c r="AA2624">
        <v>0.76048277618017246</v>
      </c>
      <c r="AB2624" t="str">
        <f>HYPERLINK("Melting_Curves/meltCurve_P62750_RPL23A.pdf", "Melting_Curves/meltCurve_P62750_RPL23A.pdf")</f>
        <v>Melting_Curves/meltCurve_P62750_RPL23A.pdf</v>
      </c>
    </row>
    <row r="2625" spans="1:28" x14ac:dyDescent="0.25">
      <c r="A2625" t="s">
        <v>2629</v>
      </c>
      <c r="B2625">
        <v>0.99299721793515405</v>
      </c>
      <c r="C2625">
        <v>0.90749757203704695</v>
      </c>
      <c r="D2625">
        <v>0.93755696759462903</v>
      </c>
      <c r="E2625">
        <v>0.81884475504337095</v>
      </c>
      <c r="F2625">
        <v>0.60039283101659402</v>
      </c>
      <c r="G2625">
        <v>0.40906630036326003</v>
      </c>
      <c r="H2625">
        <v>0.36958475709566002</v>
      </c>
      <c r="I2625">
        <v>0.24671004430670801</v>
      </c>
      <c r="J2625">
        <v>0.19018215163320501</v>
      </c>
      <c r="K2625">
        <v>0.16974645950391701</v>
      </c>
      <c r="L2625">
        <v>585.02911122918795</v>
      </c>
      <c r="M2625">
        <v>11.392426882881701</v>
      </c>
      <c r="N2625">
        <v>52.598051547350799</v>
      </c>
      <c r="O2625">
        <v>49.846563545408699</v>
      </c>
      <c r="P2625">
        <v>-5.0396921238241098E-2</v>
      </c>
      <c r="Q2625">
        <v>0.11823066847373299</v>
      </c>
      <c r="R2625">
        <v>0.99046186891936105</v>
      </c>
      <c r="S2625" t="s">
        <v>8176</v>
      </c>
      <c r="T2625" t="s">
        <v>11100</v>
      </c>
      <c r="U2625" t="s">
        <v>11100</v>
      </c>
      <c r="V2625" t="s">
        <v>11100</v>
      </c>
      <c r="W2625" t="s">
        <v>13682</v>
      </c>
      <c r="X2625">
        <v>8</v>
      </c>
      <c r="Y2625" t="s">
        <v>19142</v>
      </c>
      <c r="Z2625" t="s">
        <v>24630</v>
      </c>
      <c r="AA2625">
        <v>0.56341420634123718</v>
      </c>
      <c r="AB2625" t="str">
        <f>HYPERLINK("Melting_Curves/meltCurve_P62753_RPS6.pdf", "Melting_Curves/meltCurve_P62753_RPS6.pdf")</f>
        <v>Melting_Curves/meltCurve_P62753_RPS6.pdf</v>
      </c>
    </row>
    <row r="2626" spans="1:28" x14ac:dyDescent="0.25">
      <c r="A2626" t="s">
        <v>2630</v>
      </c>
      <c r="B2626">
        <v>0.99299721793515405</v>
      </c>
      <c r="C2626">
        <v>0.979194241528898</v>
      </c>
      <c r="D2626">
        <v>0.90249825043209198</v>
      </c>
      <c r="E2626">
        <v>0.65536475983107201</v>
      </c>
      <c r="F2626">
        <v>0.44186354664037902</v>
      </c>
      <c r="G2626">
        <v>0.32053366689379198</v>
      </c>
      <c r="H2626">
        <v>0.269017623344736</v>
      </c>
      <c r="I2626">
        <v>0.26784475906196398</v>
      </c>
      <c r="J2626">
        <v>0.29196344430624899</v>
      </c>
      <c r="K2626">
        <v>0.25425139586109102</v>
      </c>
      <c r="L2626">
        <v>909.79495572669896</v>
      </c>
      <c r="M2626">
        <v>19.3438193067716</v>
      </c>
      <c r="N2626">
        <v>48.916605339756302</v>
      </c>
      <c r="O2626">
        <v>46.538834293058002</v>
      </c>
      <c r="P2626">
        <v>-7.6626248018985696E-2</v>
      </c>
      <c r="Q2626">
        <v>0.26261408235883199</v>
      </c>
      <c r="R2626">
        <v>0.99860086032250595</v>
      </c>
      <c r="S2626" t="s">
        <v>8177</v>
      </c>
      <c r="T2626" t="s">
        <v>11100</v>
      </c>
      <c r="U2626" t="s">
        <v>11100</v>
      </c>
      <c r="V2626" t="s">
        <v>11100</v>
      </c>
      <c r="W2626" t="s">
        <v>13683</v>
      </c>
      <c r="X2626">
        <v>9</v>
      </c>
      <c r="Y2626" t="s">
        <v>19143</v>
      </c>
      <c r="Z2626" t="s">
        <v>24631</v>
      </c>
      <c r="AA2626">
        <v>0.51952008332109223</v>
      </c>
      <c r="AB2626" t="str">
        <f>HYPERLINK("Melting_Curves/meltCurve_P62805_HIST1H4A.pdf", "Melting_Curves/meltCurve_P62805_HIST1H4A.pdf")</f>
        <v>Melting_Curves/meltCurve_P62805_HIST1H4A.pdf</v>
      </c>
    </row>
    <row r="2627" spans="1:28" x14ac:dyDescent="0.25">
      <c r="A2627" t="s">
        <v>2631</v>
      </c>
      <c r="B2627">
        <v>0.99299721793515405</v>
      </c>
      <c r="C2627">
        <v>1.74635045844084</v>
      </c>
      <c r="D2627">
        <v>5.3648867208821898</v>
      </c>
      <c r="E2627">
        <v>2.9146010825212301</v>
      </c>
      <c r="F2627">
        <v>0.90252625601961201</v>
      </c>
      <c r="G2627">
        <v>1.9381659630763099</v>
      </c>
      <c r="H2627">
        <v>0.41970651474587201</v>
      </c>
      <c r="I2627">
        <v>0.32885510587389299</v>
      </c>
      <c r="J2627">
        <v>0.303561917056133</v>
      </c>
      <c r="K2627">
        <v>0.39847695005818701</v>
      </c>
      <c r="L2627">
        <v>14233.3788779775</v>
      </c>
      <c r="M2627">
        <v>250</v>
      </c>
      <c r="N2627">
        <v>57.199473325351399</v>
      </c>
      <c r="O2627">
        <v>56.929872159444301</v>
      </c>
      <c r="P2627">
        <v>-0.72059039316711304</v>
      </c>
      <c r="Q2627">
        <v>0.34363009754385299</v>
      </c>
      <c r="R2627">
        <v>-5.1810285623529601E-2</v>
      </c>
      <c r="S2627" t="s">
        <v>8178</v>
      </c>
      <c r="T2627" t="s">
        <v>11100</v>
      </c>
      <c r="U2627" t="s">
        <v>11100</v>
      </c>
      <c r="V2627" t="s">
        <v>11100</v>
      </c>
      <c r="W2627" t="s">
        <v>13684</v>
      </c>
      <c r="X2627">
        <v>13</v>
      </c>
      <c r="Y2627" t="s">
        <v>19144</v>
      </c>
      <c r="Z2627" t="s">
        <v>24632</v>
      </c>
      <c r="AA2627">
        <v>0.77982100141204191</v>
      </c>
      <c r="AB2627" t="str">
        <f>HYPERLINK("Melting_Curves/meltCurve_P62807_HIST1H2BC.pdf", "Melting_Curves/meltCurve_P62807_HIST1H2BC.pdf")</f>
        <v>Melting_Curves/meltCurve_P62807_HIST1H2BC.pdf</v>
      </c>
    </row>
    <row r="2628" spans="1:28" x14ac:dyDescent="0.25">
      <c r="A2628" t="s">
        <v>2632</v>
      </c>
      <c r="B2628">
        <v>0.99299721793515405</v>
      </c>
      <c r="C2628">
        <v>1.0870273540039099</v>
      </c>
      <c r="D2628">
        <v>1.0490826994931699</v>
      </c>
      <c r="E2628">
        <v>0.98103275161108605</v>
      </c>
      <c r="F2628">
        <v>0.84761281210642203</v>
      </c>
      <c r="G2628">
        <v>0.72710856665292201</v>
      </c>
      <c r="H2628">
        <v>0.64287334493649695</v>
      </c>
      <c r="I2628">
        <v>0.67664888076014995</v>
      </c>
      <c r="J2628">
        <v>0.61036351307971204</v>
      </c>
      <c r="K2628">
        <v>0.43361797109661099</v>
      </c>
      <c r="L2628">
        <v>690.25766530945896</v>
      </c>
      <c r="M2628">
        <v>12.635849928331201</v>
      </c>
      <c r="O2628">
        <v>53.3129162169948</v>
      </c>
      <c r="P2628">
        <v>-3.06668624434677E-2</v>
      </c>
      <c r="Q2628">
        <v>0.48254614701572401</v>
      </c>
      <c r="R2628">
        <v>0.91632448796754695</v>
      </c>
      <c r="S2628" t="s">
        <v>8179</v>
      </c>
      <c r="T2628" t="s">
        <v>11100</v>
      </c>
      <c r="U2628" t="s">
        <v>11100</v>
      </c>
      <c r="V2628" t="s">
        <v>11100</v>
      </c>
      <c r="W2628" t="s">
        <v>13685</v>
      </c>
      <c r="X2628">
        <v>18</v>
      </c>
      <c r="Y2628" t="s">
        <v>19145</v>
      </c>
      <c r="Z2628" t="s">
        <v>24633</v>
      </c>
      <c r="AA2628">
        <v>0.79470440167218959</v>
      </c>
      <c r="AB2628" t="str">
        <f>HYPERLINK("Melting_Curves/meltCurve_P62820_RAB1A.pdf", "Melting_Curves/meltCurve_P62820_RAB1A.pdf")</f>
        <v>Melting_Curves/meltCurve_P62820_RAB1A.pdf</v>
      </c>
    </row>
    <row r="2629" spans="1:28" x14ac:dyDescent="0.25">
      <c r="A2629" t="s">
        <v>2633</v>
      </c>
      <c r="B2629">
        <v>0.99299721793515405</v>
      </c>
      <c r="C2629">
        <v>1.0209399402345301</v>
      </c>
      <c r="D2629">
        <v>0.88634556648268104</v>
      </c>
      <c r="E2629">
        <v>0.86304085016585597</v>
      </c>
      <c r="F2629">
        <v>0.57410130723763597</v>
      </c>
      <c r="G2629">
        <v>0.360022608754966</v>
      </c>
      <c r="H2629">
        <v>0.209228298884612</v>
      </c>
      <c r="I2629">
        <v>0.16029759323734299</v>
      </c>
      <c r="J2629">
        <v>0.123179505022341</v>
      </c>
      <c r="K2629">
        <v>9.3939935779367698E-2</v>
      </c>
      <c r="L2629">
        <v>792.43694388215397</v>
      </c>
      <c r="M2629">
        <v>15.576445919891601</v>
      </c>
      <c r="N2629">
        <v>51.473859876110197</v>
      </c>
      <c r="O2629">
        <v>50.057668245760802</v>
      </c>
      <c r="P2629">
        <v>-7.1342436557706002E-2</v>
      </c>
      <c r="Q2629">
        <v>8.2993671634983099E-2</v>
      </c>
      <c r="R2629">
        <v>0.994400344731035</v>
      </c>
      <c r="S2629" t="s">
        <v>8180</v>
      </c>
      <c r="T2629" t="s">
        <v>11100</v>
      </c>
      <c r="U2629" t="s">
        <v>11100</v>
      </c>
      <c r="V2629" t="s">
        <v>11100</v>
      </c>
      <c r="W2629" t="s">
        <v>13686</v>
      </c>
      <c r="X2629">
        <v>7</v>
      </c>
      <c r="Y2629" t="s">
        <v>19146</v>
      </c>
      <c r="Z2629" t="s">
        <v>24634</v>
      </c>
      <c r="AA2629">
        <v>0.52471703416804383</v>
      </c>
      <c r="AB2629" t="str">
        <f>HYPERLINK("Melting_Curves/meltCurve_P62829_RPL23.pdf", "Melting_Curves/meltCurve_P62829_RPL23.pdf")</f>
        <v>Melting_Curves/meltCurve_P62829_RPL23.pdf</v>
      </c>
    </row>
    <row r="2630" spans="1:28" x14ac:dyDescent="0.25">
      <c r="A2630" t="s">
        <v>2634</v>
      </c>
      <c r="B2630">
        <v>0.99299721793515405</v>
      </c>
      <c r="C2630">
        <v>1.06529408134675</v>
      </c>
      <c r="D2630">
        <v>0.96926659397348902</v>
      </c>
      <c r="E2630">
        <v>0.96597792746002498</v>
      </c>
      <c r="F2630">
        <v>0.78601484301216895</v>
      </c>
      <c r="G2630">
        <v>0.54506276633932604</v>
      </c>
      <c r="H2630">
        <v>0.56835502096687096</v>
      </c>
      <c r="I2630">
        <v>0.57824456216468301</v>
      </c>
      <c r="J2630">
        <v>0.49545481633396199</v>
      </c>
      <c r="K2630">
        <v>0.31180503662768699</v>
      </c>
      <c r="L2630">
        <v>905.08996436374503</v>
      </c>
      <c r="M2630">
        <v>17.564465159396999</v>
      </c>
      <c r="N2630">
        <v>58.542185335711302</v>
      </c>
      <c r="O2630">
        <v>50.8755910929263</v>
      </c>
      <c r="P2630">
        <v>-4.84216829829952E-2</v>
      </c>
      <c r="Q2630">
        <v>0.43901563960307599</v>
      </c>
      <c r="R2630">
        <v>0.92473271474786201</v>
      </c>
      <c r="S2630" t="s">
        <v>8181</v>
      </c>
      <c r="T2630" t="s">
        <v>11100</v>
      </c>
      <c r="U2630" t="s">
        <v>11100</v>
      </c>
      <c r="V2630" t="s">
        <v>11100</v>
      </c>
      <c r="W2630" t="s">
        <v>13687</v>
      </c>
      <c r="X2630">
        <v>14</v>
      </c>
      <c r="Y2630" t="s">
        <v>19147</v>
      </c>
      <c r="Z2630" t="s">
        <v>24635</v>
      </c>
      <c r="AA2630">
        <v>0.71962324995774185</v>
      </c>
      <c r="AB2630" t="str">
        <f>HYPERLINK("Melting_Curves/meltCurve_P62834_RAP1A.pdf", "Melting_Curves/meltCurve_P62834_RAP1A.pdf")</f>
        <v>Melting_Curves/meltCurve_P62834_RAP1A.pdf</v>
      </c>
    </row>
    <row r="2631" spans="1:28" x14ac:dyDescent="0.25">
      <c r="A2631" t="s">
        <v>2635</v>
      </c>
      <c r="B2631">
        <v>0.99299721793515405</v>
      </c>
      <c r="C2631">
        <v>0.94608502185225896</v>
      </c>
      <c r="D2631">
        <v>1.3249039862130201</v>
      </c>
      <c r="E2631">
        <v>0.84465727509362698</v>
      </c>
      <c r="F2631">
        <v>0.72397948898138897</v>
      </c>
      <c r="G2631">
        <v>0.63556536470533997</v>
      </c>
      <c r="H2631">
        <v>0.49401128437306702</v>
      </c>
      <c r="I2631">
        <v>0.35677509041753303</v>
      </c>
      <c r="J2631">
        <v>0.28205302684758898</v>
      </c>
      <c r="K2631">
        <v>0.26071795833601702</v>
      </c>
      <c r="L2631">
        <v>746.52366072595703</v>
      </c>
      <c r="M2631">
        <v>13.841652336009799</v>
      </c>
      <c r="N2631">
        <v>56.300299372041401</v>
      </c>
      <c r="O2631">
        <v>52.8448102468478</v>
      </c>
      <c r="P2631">
        <v>-5.1043908287789597E-2</v>
      </c>
      <c r="Q2631">
        <v>0.220603986840952</v>
      </c>
      <c r="R2631">
        <v>0.87512303393122104</v>
      </c>
      <c r="S2631" t="s">
        <v>8182</v>
      </c>
      <c r="T2631" t="s">
        <v>11100</v>
      </c>
      <c r="U2631" t="s">
        <v>11100</v>
      </c>
      <c r="V2631" t="s">
        <v>11100</v>
      </c>
      <c r="W2631" t="s">
        <v>13688</v>
      </c>
      <c r="X2631">
        <v>3</v>
      </c>
      <c r="Y2631" t="s">
        <v>19148</v>
      </c>
      <c r="Z2631" t="s">
        <v>24636</v>
      </c>
      <c r="AA2631">
        <v>0.67392299350209073</v>
      </c>
      <c r="AB2631" t="str">
        <f>HYPERLINK("Melting_Curves/meltCurve_P62837_UBE2D2.pdf", "Melting_Curves/meltCurve_P62837_UBE2D2.pdf")</f>
        <v>Melting_Curves/meltCurve_P62837_UBE2D2.pdf</v>
      </c>
    </row>
    <row r="2632" spans="1:28" x14ac:dyDescent="0.25">
      <c r="A2632" t="s">
        <v>2636</v>
      </c>
      <c r="B2632">
        <v>0.99299721793515405</v>
      </c>
      <c r="C2632">
        <v>0.98552888429772401</v>
      </c>
      <c r="D2632">
        <v>0.96655538154621701</v>
      </c>
      <c r="E2632">
        <v>0.89004156777252996</v>
      </c>
      <c r="F2632">
        <v>0.76347510517848305</v>
      </c>
      <c r="G2632">
        <v>0.60130717781239496</v>
      </c>
      <c r="H2632">
        <v>0.774412374829762</v>
      </c>
      <c r="I2632">
        <v>0.67535338173793402</v>
      </c>
      <c r="J2632">
        <v>0.57935951928829998</v>
      </c>
      <c r="K2632">
        <v>0.35889048115902999</v>
      </c>
      <c r="L2632">
        <v>324.16161168561598</v>
      </c>
      <c r="M2632">
        <v>4.9557405230911202</v>
      </c>
      <c r="N2632">
        <v>65.411344831401095</v>
      </c>
      <c r="O2632">
        <v>56.9701076614597</v>
      </c>
      <c r="P2632">
        <v>-2.1884491067583701E-2</v>
      </c>
      <c r="Q2632">
        <v>0</v>
      </c>
      <c r="R2632">
        <v>0.84544979924239305</v>
      </c>
      <c r="S2632" t="s">
        <v>8183</v>
      </c>
      <c r="T2632" t="s">
        <v>11100</v>
      </c>
      <c r="U2632" t="s">
        <v>11100</v>
      </c>
      <c r="V2632" t="s">
        <v>11100</v>
      </c>
      <c r="W2632" t="s">
        <v>13689</v>
      </c>
      <c r="X2632">
        <v>3</v>
      </c>
      <c r="Y2632" t="s">
        <v>19149</v>
      </c>
      <c r="Z2632" t="s">
        <v>24637</v>
      </c>
      <c r="AA2632">
        <v>0.76165618355276943</v>
      </c>
      <c r="AB2632" t="str">
        <f>HYPERLINK("Melting_Curves/meltCurve_P62851_RPS25.pdf", "Melting_Curves/meltCurve_P62851_RPS25.pdf")</f>
        <v>Melting_Curves/meltCurve_P62851_RPS25.pdf</v>
      </c>
    </row>
    <row r="2633" spans="1:28" x14ac:dyDescent="0.25">
      <c r="A2633" t="s">
        <v>2637</v>
      </c>
      <c r="B2633">
        <v>0.99299721793515405</v>
      </c>
      <c r="C2633">
        <v>1.0732955610632799</v>
      </c>
      <c r="D2633">
        <v>0.99948082862036203</v>
      </c>
      <c r="E2633">
        <v>0.85849386683810902</v>
      </c>
      <c r="F2633">
        <v>0.72055801977213796</v>
      </c>
      <c r="G2633">
        <v>0.57859100866456603</v>
      </c>
      <c r="H2633">
        <v>0.50962335666398495</v>
      </c>
      <c r="I2633">
        <v>0.41521246983033799</v>
      </c>
      <c r="J2633">
        <v>0.25710031317655602</v>
      </c>
      <c r="K2633">
        <v>0.29506004475185699</v>
      </c>
      <c r="L2633">
        <v>600.46470223321001</v>
      </c>
      <c r="M2633">
        <v>11.1840660058123</v>
      </c>
      <c r="N2633">
        <v>56.401654169409802</v>
      </c>
      <c r="O2633">
        <v>52.058626384958103</v>
      </c>
      <c r="P2633">
        <v>-4.2551195370578498E-2</v>
      </c>
      <c r="Q2633">
        <v>0.20799614820090101</v>
      </c>
      <c r="R2633">
        <v>0.97644699430888804</v>
      </c>
      <c r="S2633" t="s">
        <v>8184</v>
      </c>
      <c r="T2633" t="s">
        <v>11100</v>
      </c>
      <c r="U2633" t="s">
        <v>11100</v>
      </c>
      <c r="V2633" t="s">
        <v>11100</v>
      </c>
      <c r="W2633" t="s">
        <v>13690</v>
      </c>
      <c r="X2633">
        <v>2</v>
      </c>
      <c r="Y2633" t="s">
        <v>19150</v>
      </c>
      <c r="Z2633" t="s">
        <v>24638</v>
      </c>
      <c r="AA2633">
        <v>0.66382489223883634</v>
      </c>
      <c r="AB2633" t="str">
        <f>HYPERLINK("Melting_Curves/meltCurve_P62854_RPS26.pdf", "Melting_Curves/meltCurve_P62854_RPS26.pdf")</f>
        <v>Melting_Curves/meltCurve_P62854_RPS26.pdf</v>
      </c>
    </row>
    <row r="2634" spans="1:28" x14ac:dyDescent="0.25">
      <c r="A2634" t="s">
        <v>2638</v>
      </c>
      <c r="B2634">
        <v>0.99299721793515405</v>
      </c>
      <c r="C2634">
        <v>0.95187650372894905</v>
      </c>
      <c r="D2634">
        <v>1.1044682386500599</v>
      </c>
      <c r="E2634">
        <v>1.10768825399799</v>
      </c>
      <c r="F2634">
        <v>1.25492870774827</v>
      </c>
      <c r="G2634">
        <v>1.13183126429964</v>
      </c>
      <c r="H2634">
        <v>1.5293360120764701</v>
      </c>
      <c r="I2634">
        <v>2.4589057361766899</v>
      </c>
      <c r="J2634">
        <v>3.3698900033757599</v>
      </c>
      <c r="K2634">
        <v>3.0883581429903502</v>
      </c>
      <c r="L2634">
        <v>13505.253561867799</v>
      </c>
      <c r="M2634">
        <v>250</v>
      </c>
      <c r="O2634">
        <v>54.017550512250303</v>
      </c>
      <c r="P2634">
        <v>0.57851560887998599</v>
      </c>
      <c r="Q2634">
        <v>1.5</v>
      </c>
      <c r="R2634">
        <v>7.5912059960352204E-2</v>
      </c>
      <c r="S2634" t="s">
        <v>8185</v>
      </c>
      <c r="T2634" t="s">
        <v>11100</v>
      </c>
      <c r="U2634" t="s">
        <v>11100</v>
      </c>
      <c r="V2634" t="s">
        <v>11100</v>
      </c>
      <c r="W2634" t="s">
        <v>13691</v>
      </c>
      <c r="X2634">
        <v>14</v>
      </c>
      <c r="Y2634" t="s">
        <v>19151</v>
      </c>
      <c r="Z2634" t="s">
        <v>24639</v>
      </c>
      <c r="AA2634">
        <v>1.216269026189188</v>
      </c>
      <c r="AB2634" t="str">
        <f>HYPERLINK("Melting_Curves/meltCurve_P62857_RPS28.pdf", "Melting_Curves/meltCurve_P62857_RPS28.pdf")</f>
        <v>Melting_Curves/meltCurve_P62857_RPS28.pdf</v>
      </c>
    </row>
    <row r="2635" spans="1:28" x14ac:dyDescent="0.25">
      <c r="A2635" t="s">
        <v>2639</v>
      </c>
      <c r="B2635">
        <v>0.99299721793515405</v>
      </c>
      <c r="C2635">
        <v>1.0053457524378</v>
      </c>
      <c r="D2635">
        <v>0.88587158598431004</v>
      </c>
      <c r="E2635">
        <v>0.88488320258379605</v>
      </c>
      <c r="F2635">
        <v>0.76079997104803598</v>
      </c>
      <c r="G2635">
        <v>0.71874249778119903</v>
      </c>
      <c r="H2635">
        <v>0.67665800259203002</v>
      </c>
      <c r="I2635">
        <v>0.41168235235435002</v>
      </c>
      <c r="J2635">
        <v>0.123469196703134</v>
      </c>
      <c r="K2635">
        <v>8.3424755787376001E-2</v>
      </c>
      <c r="L2635">
        <v>707.20453652672597</v>
      </c>
      <c r="M2635">
        <v>12.192576566916699</v>
      </c>
      <c r="N2635">
        <v>58.002878545273397</v>
      </c>
      <c r="O2635">
        <v>56.508744691850602</v>
      </c>
      <c r="P2635">
        <v>-5.39533305393778E-2</v>
      </c>
      <c r="Q2635">
        <v>0</v>
      </c>
      <c r="R2635">
        <v>0.93166235181940404</v>
      </c>
      <c r="S2635" t="s">
        <v>8186</v>
      </c>
      <c r="T2635" t="s">
        <v>11100</v>
      </c>
      <c r="U2635" t="s">
        <v>11100</v>
      </c>
      <c r="V2635" t="s">
        <v>11100</v>
      </c>
      <c r="W2635" t="s">
        <v>13692</v>
      </c>
      <c r="X2635">
        <v>11</v>
      </c>
      <c r="Y2635" t="s">
        <v>19152</v>
      </c>
      <c r="Z2635" t="s">
        <v>24640</v>
      </c>
      <c r="AA2635">
        <v>0.69924380896212646</v>
      </c>
      <c r="AB2635" t="str">
        <f>HYPERLINK("Melting_Curves/meltCurve_P62873_GNB1.pdf", "Melting_Curves/meltCurve_P62873_GNB1.pdf")</f>
        <v>Melting_Curves/meltCurve_P62873_GNB1.pdf</v>
      </c>
    </row>
    <row r="2636" spans="1:28" x14ac:dyDescent="0.25">
      <c r="A2636" t="s">
        <v>2640</v>
      </c>
      <c r="B2636">
        <v>0.99299721793515405</v>
      </c>
      <c r="C2636">
        <v>0.98467713510073496</v>
      </c>
      <c r="D2636">
        <v>0.93724447286787005</v>
      </c>
      <c r="E2636">
        <v>0.85732853043599899</v>
      </c>
      <c r="F2636">
        <v>0.81378611020310598</v>
      </c>
      <c r="G2636">
        <v>0.79613680749071003</v>
      </c>
      <c r="H2636">
        <v>0.61241340098636698</v>
      </c>
      <c r="I2636">
        <v>0.25309832742952498</v>
      </c>
      <c r="J2636">
        <v>0.113370679188257</v>
      </c>
      <c r="K2636">
        <v>9.0673308324499893E-2</v>
      </c>
      <c r="L2636">
        <v>931.73914370097805</v>
      </c>
      <c r="M2636">
        <v>16.138045652365101</v>
      </c>
      <c r="N2636">
        <v>57.735562586721599</v>
      </c>
      <c r="O2636">
        <v>56.8708621144321</v>
      </c>
      <c r="P2636">
        <v>-7.0947005322320594E-2</v>
      </c>
      <c r="Q2636">
        <v>0</v>
      </c>
      <c r="R2636">
        <v>0.96276280074459497</v>
      </c>
      <c r="S2636" t="s">
        <v>8187</v>
      </c>
      <c r="T2636" t="s">
        <v>11100</v>
      </c>
      <c r="U2636" t="s">
        <v>11100</v>
      </c>
      <c r="V2636" t="s">
        <v>11100</v>
      </c>
      <c r="W2636" t="s">
        <v>13693</v>
      </c>
      <c r="X2636">
        <v>11</v>
      </c>
      <c r="Y2636" t="s">
        <v>19153</v>
      </c>
      <c r="Z2636" t="s">
        <v>24641</v>
      </c>
      <c r="AA2636">
        <v>0.69741468544641705</v>
      </c>
      <c r="AB2636" t="str">
        <f>HYPERLINK("Melting_Curves/meltCurve_P62879_GNB2.pdf", "Melting_Curves/meltCurve_P62879_GNB2.pdf")</f>
        <v>Melting_Curves/meltCurve_P62879_GNB2.pdf</v>
      </c>
    </row>
    <row r="2637" spans="1:28" x14ac:dyDescent="0.25">
      <c r="A2637" t="s">
        <v>2641</v>
      </c>
      <c r="B2637">
        <v>0.99299721793515405</v>
      </c>
      <c r="C2637">
        <v>1.0565887920494099</v>
      </c>
      <c r="D2637">
        <v>0.85058004882493499</v>
      </c>
      <c r="E2637">
        <v>0.87930972234022498</v>
      </c>
      <c r="F2637">
        <v>0.76290271193126502</v>
      </c>
      <c r="G2637">
        <v>0.59046853129919497</v>
      </c>
      <c r="H2637">
        <v>0.944504023443548</v>
      </c>
      <c r="I2637">
        <v>0.71363372669352099</v>
      </c>
      <c r="J2637">
        <v>0.70213845813410203</v>
      </c>
      <c r="K2637">
        <v>0.49789849726951502</v>
      </c>
      <c r="L2637">
        <v>232.983997982212</v>
      </c>
      <c r="M2637">
        <v>3.06248401937895</v>
      </c>
      <c r="O2637">
        <v>56.521929458260502</v>
      </c>
      <c r="P2637">
        <v>-1.39397675602334E-2</v>
      </c>
      <c r="Q2637">
        <v>0</v>
      </c>
      <c r="R2637">
        <v>0.57949331633228895</v>
      </c>
      <c r="S2637" t="s">
        <v>8188</v>
      </c>
      <c r="T2637" t="s">
        <v>11100</v>
      </c>
      <c r="U2637" t="s">
        <v>11100</v>
      </c>
      <c r="V2637" t="s">
        <v>11100</v>
      </c>
      <c r="W2637" t="s">
        <v>13694</v>
      </c>
      <c r="X2637">
        <v>2</v>
      </c>
      <c r="Y2637" t="s">
        <v>19154</v>
      </c>
      <c r="Z2637" t="s">
        <v>24642</v>
      </c>
      <c r="AA2637">
        <v>0.79753957415037002</v>
      </c>
      <c r="AB2637" t="str">
        <f>HYPERLINK("Melting_Curves/meltCurve_P62888_RPL30.pdf", "Melting_Curves/meltCurve_P62888_RPL30.pdf")</f>
        <v>Melting_Curves/meltCurve_P62888_RPL30.pdf</v>
      </c>
    </row>
    <row r="2638" spans="1:28" x14ac:dyDescent="0.25">
      <c r="A2638" t="s">
        <v>2642</v>
      </c>
      <c r="B2638">
        <v>0.99299721793515405</v>
      </c>
      <c r="C2638">
        <v>0.97382349372668897</v>
      </c>
      <c r="D2638">
        <v>1.1949253466752501</v>
      </c>
      <c r="E2638">
        <v>0.848963132832943</v>
      </c>
      <c r="F2638">
        <v>0.76501225903221604</v>
      </c>
      <c r="G2638">
        <v>0.68529728764839404</v>
      </c>
      <c r="H2638">
        <v>0.62914499395187995</v>
      </c>
      <c r="I2638">
        <v>0.48883259404012502</v>
      </c>
      <c r="J2638">
        <v>0.40524557655594301</v>
      </c>
      <c r="K2638">
        <v>0.38267327015841601</v>
      </c>
      <c r="L2638">
        <v>609.59991247830897</v>
      </c>
      <c r="M2638">
        <v>11.089942607976599</v>
      </c>
      <c r="N2638">
        <v>60.127597940624199</v>
      </c>
      <c r="O2638">
        <v>53.2721605154982</v>
      </c>
      <c r="P2638">
        <v>-3.6082296903027299E-2</v>
      </c>
      <c r="Q2638">
        <v>0.306920259739552</v>
      </c>
      <c r="R2638">
        <v>0.90490175197136602</v>
      </c>
      <c r="S2638" t="s">
        <v>8189</v>
      </c>
      <c r="T2638" t="s">
        <v>11100</v>
      </c>
      <c r="U2638" t="s">
        <v>11100</v>
      </c>
      <c r="V2638" t="s">
        <v>11100</v>
      </c>
      <c r="W2638" t="s">
        <v>13695</v>
      </c>
      <c r="X2638">
        <v>7</v>
      </c>
      <c r="Y2638" t="s">
        <v>19155</v>
      </c>
      <c r="Z2638" t="s">
        <v>24643</v>
      </c>
      <c r="AA2638">
        <v>0.73155223718573881</v>
      </c>
      <c r="AB2638" t="str">
        <f>HYPERLINK("Melting_Curves/meltCurve_P62899_RPL31.pdf", "Melting_Curves/meltCurve_P62899_RPL31.pdf")</f>
        <v>Melting_Curves/meltCurve_P62899_RPL31.pdf</v>
      </c>
    </row>
    <row r="2639" spans="1:28" x14ac:dyDescent="0.25">
      <c r="A2639" t="s">
        <v>2643</v>
      </c>
      <c r="B2639">
        <v>0.99299721793515405</v>
      </c>
      <c r="C2639">
        <v>0.95361130131930805</v>
      </c>
      <c r="D2639">
        <v>0.56803790458153203</v>
      </c>
      <c r="E2639">
        <v>0.89138321271356902</v>
      </c>
      <c r="F2639">
        <v>0.51346855330221997</v>
      </c>
      <c r="G2639">
        <v>0.29763685051546801</v>
      </c>
      <c r="H2639">
        <v>1.0116566476467399</v>
      </c>
      <c r="I2639">
        <v>0.76395270232452195</v>
      </c>
      <c r="J2639">
        <v>0.55850405350703902</v>
      </c>
      <c r="K2639">
        <v>0.119766926052356</v>
      </c>
      <c r="L2639">
        <v>194.320808041985</v>
      </c>
      <c r="M2639">
        <v>3.0904309515603798</v>
      </c>
      <c r="N2639">
        <v>62.878223810345901</v>
      </c>
      <c r="O2639">
        <v>46.898750259653198</v>
      </c>
      <c r="P2639">
        <v>-1.694088369117E-2</v>
      </c>
      <c r="Q2639">
        <v>0</v>
      </c>
      <c r="R2639">
        <v>0.29078342185438599</v>
      </c>
      <c r="S2639" t="s">
        <v>8190</v>
      </c>
      <c r="T2639" t="s">
        <v>11100</v>
      </c>
      <c r="U2639" t="s">
        <v>11100</v>
      </c>
      <c r="V2639" t="s">
        <v>11100</v>
      </c>
      <c r="W2639" t="s">
        <v>13696</v>
      </c>
      <c r="X2639">
        <v>2</v>
      </c>
      <c r="Y2639" t="s">
        <v>19156</v>
      </c>
      <c r="Z2639" t="s">
        <v>24644</v>
      </c>
      <c r="AA2639">
        <v>0.66372984867703622</v>
      </c>
      <c r="AB2639" t="str">
        <f>HYPERLINK("Melting_Curves/meltCurve_P62906_RPL10A.pdf", "Melting_Curves/meltCurve_P62906_RPL10A.pdf")</f>
        <v>Melting_Curves/meltCurve_P62906_RPL10A.pdf</v>
      </c>
    </row>
    <row r="2640" spans="1:28" x14ac:dyDescent="0.25">
      <c r="A2640" t="s">
        <v>2644</v>
      </c>
      <c r="B2640">
        <v>0.99299721793515405</v>
      </c>
      <c r="C2640">
        <v>0.97219948800960998</v>
      </c>
      <c r="D2640">
        <v>1.05396242267885</v>
      </c>
      <c r="E2640">
        <v>0.76923616436366804</v>
      </c>
      <c r="F2640">
        <v>0.34738826187209498</v>
      </c>
      <c r="G2640">
        <v>0.22321238524964601</v>
      </c>
      <c r="H2640">
        <v>0.18329423372145201</v>
      </c>
      <c r="I2640">
        <v>0.159187076078459</v>
      </c>
      <c r="J2640">
        <v>0.138161260289969</v>
      </c>
      <c r="K2640">
        <v>0.125175853886036</v>
      </c>
      <c r="L2640">
        <v>1461.7352435778801</v>
      </c>
      <c r="M2640">
        <v>30.3143478421858</v>
      </c>
      <c r="N2640">
        <v>48.8207248034199</v>
      </c>
      <c r="O2640">
        <v>48.010891652203497</v>
      </c>
      <c r="P2640">
        <v>-0.13325396141581</v>
      </c>
      <c r="Q2640">
        <v>0.155832119831433</v>
      </c>
      <c r="R2640">
        <v>0.993526575749207</v>
      </c>
      <c r="S2640" t="s">
        <v>8191</v>
      </c>
      <c r="T2640" t="s">
        <v>11100</v>
      </c>
      <c r="U2640" t="s">
        <v>11100</v>
      </c>
      <c r="V2640" t="s">
        <v>11100</v>
      </c>
      <c r="W2640" t="s">
        <v>13697</v>
      </c>
      <c r="X2640">
        <v>7</v>
      </c>
      <c r="Y2640" t="s">
        <v>19157</v>
      </c>
      <c r="Z2640" t="s">
        <v>24645</v>
      </c>
      <c r="AA2640">
        <v>0.47644611710022489</v>
      </c>
      <c r="AB2640" t="str">
        <f>HYPERLINK("Melting_Curves/meltCurve_P62913_2_RPL11.pdf", "Melting_Curves/meltCurve_P62913_2_RPL11.pdf")</f>
        <v>Melting_Curves/meltCurve_P62913_2_RPL11.pdf</v>
      </c>
    </row>
    <row r="2641" spans="1:28" x14ac:dyDescent="0.25">
      <c r="A2641" t="s">
        <v>2645</v>
      </c>
      <c r="B2641">
        <v>0.99299721793515405</v>
      </c>
      <c r="C2641">
        <v>0.99932484617786499</v>
      </c>
      <c r="D2641">
        <v>0.88784815261385197</v>
      </c>
      <c r="E2641">
        <v>0.902664877910479</v>
      </c>
      <c r="F2641">
        <v>0.72672175424574703</v>
      </c>
      <c r="G2641">
        <v>0.433759435221374</v>
      </c>
      <c r="H2641">
        <v>0.194201306348432</v>
      </c>
      <c r="I2641">
        <v>0.14313557594701301</v>
      </c>
      <c r="J2641">
        <v>0.12652881029576299</v>
      </c>
      <c r="K2641">
        <v>0.103494068343607</v>
      </c>
      <c r="L2641">
        <v>955.13584576711696</v>
      </c>
      <c r="M2641">
        <v>18.273242977380701</v>
      </c>
      <c r="N2641">
        <v>52.779700947346697</v>
      </c>
      <c r="O2641">
        <v>51.655733353395298</v>
      </c>
      <c r="P2641">
        <v>-8.12833959427295E-2</v>
      </c>
      <c r="Q2641">
        <v>8.0938954489494799E-2</v>
      </c>
      <c r="R2641">
        <v>0.991698973790341</v>
      </c>
      <c r="S2641" t="s">
        <v>8192</v>
      </c>
      <c r="T2641" t="s">
        <v>11100</v>
      </c>
      <c r="U2641" t="s">
        <v>11100</v>
      </c>
      <c r="V2641" t="s">
        <v>11100</v>
      </c>
      <c r="W2641" t="s">
        <v>13698</v>
      </c>
      <c r="X2641">
        <v>25</v>
      </c>
      <c r="Y2641" t="s">
        <v>19158</v>
      </c>
      <c r="Z2641" t="s">
        <v>24646</v>
      </c>
      <c r="AA2641">
        <v>0.56221489514530509</v>
      </c>
      <c r="AB2641" t="str">
        <f>HYPERLINK("Melting_Curves/meltCurve_P62937_PPIA.pdf", "Melting_Curves/meltCurve_P62937_PPIA.pdf")</f>
        <v>Melting_Curves/meltCurve_P62937_PPIA.pdf</v>
      </c>
    </row>
    <row r="2642" spans="1:28" x14ac:dyDescent="0.25">
      <c r="A2642" t="s">
        <v>2646</v>
      </c>
      <c r="B2642">
        <v>0.99299721793515405</v>
      </c>
      <c r="C2642">
        <v>0.97178575146962498</v>
      </c>
      <c r="D2642">
        <v>0.84060376036622797</v>
      </c>
      <c r="E2642">
        <v>0.80917501689524896</v>
      </c>
      <c r="F2642">
        <v>0.71328432502245698</v>
      </c>
      <c r="G2642">
        <v>0.554497690372453</v>
      </c>
      <c r="H2642">
        <v>0.47991755317726698</v>
      </c>
      <c r="I2642">
        <v>0.55079098316096897</v>
      </c>
      <c r="J2642">
        <v>0.46618482165907699</v>
      </c>
      <c r="K2642">
        <v>0.35339262504720098</v>
      </c>
      <c r="L2642">
        <v>435.30127193676401</v>
      </c>
      <c r="M2642">
        <v>8.5554410963871899</v>
      </c>
      <c r="N2642">
        <v>58.615183603750303</v>
      </c>
      <c r="O2642">
        <v>48.328897830848803</v>
      </c>
      <c r="P2642">
        <v>-2.930908812988E-2</v>
      </c>
      <c r="Q2642">
        <v>0.33832445098090602</v>
      </c>
      <c r="R2642">
        <v>0.95829388840930696</v>
      </c>
      <c r="S2642" t="s">
        <v>8193</v>
      </c>
      <c r="T2642" t="s">
        <v>11100</v>
      </c>
      <c r="U2642" t="s">
        <v>11100</v>
      </c>
      <c r="V2642" t="s">
        <v>11100</v>
      </c>
      <c r="W2642" t="s">
        <v>13699</v>
      </c>
      <c r="X2642">
        <v>6</v>
      </c>
      <c r="Y2642" t="s">
        <v>19159</v>
      </c>
      <c r="Z2642" t="s">
        <v>24647</v>
      </c>
      <c r="AA2642">
        <v>0.66715832704830902</v>
      </c>
      <c r="AB2642" t="str">
        <f>HYPERLINK("Melting_Curves/meltCurve_P62942_FKBP1A.pdf", "Melting_Curves/meltCurve_P62942_FKBP1A.pdf")</f>
        <v>Melting_Curves/meltCurve_P62942_FKBP1A.pdf</v>
      </c>
    </row>
    <row r="2643" spans="1:28" x14ac:dyDescent="0.25">
      <c r="A2643" t="s">
        <v>2647</v>
      </c>
      <c r="B2643">
        <v>0.99299721793515405</v>
      </c>
      <c r="C2643">
        <v>0.87693991917366998</v>
      </c>
      <c r="D2643">
        <v>0.86160042004038095</v>
      </c>
      <c r="E2643">
        <v>0.68618632857455997</v>
      </c>
      <c r="F2643">
        <v>0.587999976430712</v>
      </c>
      <c r="G2643">
        <v>0.41345232847902402</v>
      </c>
      <c r="H2643">
        <v>0.400146620824816</v>
      </c>
      <c r="I2643">
        <v>0.42383001292785</v>
      </c>
      <c r="J2643">
        <v>0.46318863532146698</v>
      </c>
      <c r="K2643">
        <v>0.37785923886365902</v>
      </c>
      <c r="L2643">
        <v>609.52892675227702</v>
      </c>
      <c r="M2643">
        <v>13.149584816777001</v>
      </c>
      <c r="N2643">
        <v>52.264102265481</v>
      </c>
      <c r="O2643">
        <v>45.320758442589501</v>
      </c>
      <c r="P2643">
        <v>-4.4473095483123899E-2</v>
      </c>
      <c r="Q2643">
        <v>0.38698782311029201</v>
      </c>
      <c r="R2643">
        <v>0.970495989505059</v>
      </c>
      <c r="S2643" t="s">
        <v>8194</v>
      </c>
      <c r="T2643" t="s">
        <v>11100</v>
      </c>
      <c r="U2643" t="s">
        <v>11100</v>
      </c>
      <c r="V2643" t="s">
        <v>11100</v>
      </c>
      <c r="W2643" t="s">
        <v>13700</v>
      </c>
      <c r="X2643">
        <v>7</v>
      </c>
      <c r="Y2643" t="s">
        <v>19160</v>
      </c>
      <c r="Z2643" t="s">
        <v>24648</v>
      </c>
      <c r="AA2643">
        <v>0.59588765006749045</v>
      </c>
      <c r="AB2643" t="str">
        <f>HYPERLINK("Melting_Curves/meltCurve_P62979_RPS27A.pdf", "Melting_Curves/meltCurve_P62979_RPS27A.pdf")</f>
        <v>Melting_Curves/meltCurve_P62979_RPS27A.pdf</v>
      </c>
    </row>
    <row r="2644" spans="1:28" x14ac:dyDescent="0.25">
      <c r="A2644" t="s">
        <v>2648</v>
      </c>
      <c r="B2644">
        <v>0.99299721793515405</v>
      </c>
      <c r="C2644">
        <v>1.24429607357047</v>
      </c>
      <c r="D2644">
        <v>2.3179964039940399</v>
      </c>
      <c r="E2644">
        <v>1.2385312082231099</v>
      </c>
      <c r="F2644">
        <v>0.75715120626298804</v>
      </c>
      <c r="G2644">
        <v>1.5467866155324901</v>
      </c>
      <c r="H2644">
        <v>0.61224873972171501</v>
      </c>
      <c r="I2644">
        <v>0.54178950804919901</v>
      </c>
      <c r="J2644">
        <v>0.54365296128745499</v>
      </c>
      <c r="K2644">
        <v>0.431974411163419</v>
      </c>
      <c r="L2644">
        <v>14275.7965837841</v>
      </c>
      <c r="M2644">
        <v>250</v>
      </c>
      <c r="O2644">
        <v>57.099532133156501</v>
      </c>
      <c r="P2644">
        <v>-0.54093542800531802</v>
      </c>
      <c r="Q2644">
        <v>0.50580544312632003</v>
      </c>
      <c r="R2644">
        <v>0.28338877179333799</v>
      </c>
      <c r="S2644" t="s">
        <v>8195</v>
      </c>
      <c r="T2644" t="s">
        <v>11100</v>
      </c>
      <c r="U2644" t="s">
        <v>11100</v>
      </c>
      <c r="V2644" t="s">
        <v>11100</v>
      </c>
      <c r="W2644" t="s">
        <v>13701</v>
      </c>
      <c r="X2644">
        <v>7</v>
      </c>
      <c r="Y2644" t="s">
        <v>19161</v>
      </c>
      <c r="Z2644" t="s">
        <v>24649</v>
      </c>
      <c r="AA2644">
        <v>0.83701781102236339</v>
      </c>
      <c r="AB2644" t="str">
        <f>HYPERLINK("Melting_Curves/meltCurve_P62987_UBA52.pdf", "Melting_Curves/meltCurve_P62987_UBA52.pdf")</f>
        <v>Melting_Curves/meltCurve_P62987_UBA52.pdf</v>
      </c>
    </row>
    <row r="2645" spans="1:28" x14ac:dyDescent="0.25">
      <c r="A2645" t="s">
        <v>2649</v>
      </c>
      <c r="B2645">
        <v>0.99299721793515405</v>
      </c>
      <c r="C2645">
        <v>0.99908120018973401</v>
      </c>
      <c r="D2645">
        <v>1.02796209509739</v>
      </c>
      <c r="E2645">
        <v>0.83898808721212204</v>
      </c>
      <c r="F2645">
        <v>0.75419864842039397</v>
      </c>
      <c r="G2645">
        <v>0.59452104262049399</v>
      </c>
      <c r="H2645">
        <v>0.38768791720574503</v>
      </c>
      <c r="I2645">
        <v>0.27806364649492799</v>
      </c>
      <c r="J2645">
        <v>0.23585251263151599</v>
      </c>
      <c r="K2645">
        <v>0.21825137604373901</v>
      </c>
      <c r="L2645">
        <v>697.127165685048</v>
      </c>
      <c r="M2645">
        <v>12.9967172026799</v>
      </c>
      <c r="N2645">
        <v>55.102050660145501</v>
      </c>
      <c r="O2645">
        <v>52.416472800813203</v>
      </c>
      <c r="P2645">
        <v>-5.29503870277429E-2</v>
      </c>
      <c r="Q2645">
        <v>0.145943781195255</v>
      </c>
      <c r="R2645">
        <v>0.99154057706091203</v>
      </c>
      <c r="S2645" t="s">
        <v>8196</v>
      </c>
      <c r="T2645" t="s">
        <v>11100</v>
      </c>
      <c r="U2645" t="s">
        <v>11100</v>
      </c>
      <c r="V2645" t="s">
        <v>11100</v>
      </c>
      <c r="W2645" t="s">
        <v>13702</v>
      </c>
      <c r="X2645">
        <v>11</v>
      </c>
      <c r="Y2645" t="s">
        <v>19162</v>
      </c>
      <c r="Z2645" t="s">
        <v>24650</v>
      </c>
      <c r="AA2645">
        <v>0.63543242849061665</v>
      </c>
      <c r="AB2645" t="str">
        <f>HYPERLINK("Melting_Curves/meltCurve_P62993_GRB2.pdf", "Melting_Curves/meltCurve_P62993_GRB2.pdf")</f>
        <v>Melting_Curves/meltCurve_P62993_GRB2.pdf</v>
      </c>
    </row>
    <row r="2646" spans="1:28" x14ac:dyDescent="0.25">
      <c r="A2646" t="s">
        <v>2650</v>
      </c>
      <c r="B2646">
        <v>0.99299721793515405</v>
      </c>
      <c r="C2646">
        <v>1.0735333227045201</v>
      </c>
      <c r="D2646">
        <v>0.97436393019011702</v>
      </c>
      <c r="E2646">
        <v>0.91516145661578596</v>
      </c>
      <c r="F2646">
        <v>0.76611114917726097</v>
      </c>
      <c r="G2646">
        <v>0.58892459933404495</v>
      </c>
      <c r="H2646">
        <v>0.55236176552819805</v>
      </c>
      <c r="I2646">
        <v>0.474121620812952</v>
      </c>
      <c r="J2646">
        <v>0.36862182850998798</v>
      </c>
      <c r="K2646">
        <v>0.16870807240869501</v>
      </c>
      <c r="L2646">
        <v>489.31302562411202</v>
      </c>
      <c r="M2646">
        <v>8.3970641619446305</v>
      </c>
      <c r="N2646">
        <v>58.271911028825301</v>
      </c>
      <c r="O2646">
        <v>55.248228664942701</v>
      </c>
      <c r="P2646">
        <v>-3.80328087556073E-2</v>
      </c>
      <c r="Q2646">
        <v>0</v>
      </c>
      <c r="R2646">
        <v>0.96233037084769402</v>
      </c>
      <c r="S2646" t="s">
        <v>8197</v>
      </c>
      <c r="T2646" t="s">
        <v>11100</v>
      </c>
      <c r="U2646" t="s">
        <v>11100</v>
      </c>
      <c r="V2646" t="s">
        <v>11100</v>
      </c>
      <c r="W2646" t="s">
        <v>13703</v>
      </c>
      <c r="X2646">
        <v>13</v>
      </c>
      <c r="Y2646" t="s">
        <v>19163</v>
      </c>
      <c r="Z2646" t="s">
        <v>24651</v>
      </c>
      <c r="AA2646">
        <v>0.68842431042597196</v>
      </c>
      <c r="AB2646" t="str">
        <f>HYPERLINK("Melting_Curves/meltCurve_P63000_RAC1.pdf", "Melting_Curves/meltCurve_P63000_RAC1.pdf")</f>
        <v>Melting_Curves/meltCurve_P63000_RAC1.pdf</v>
      </c>
    </row>
    <row r="2647" spans="1:28" x14ac:dyDescent="0.25">
      <c r="A2647" t="s">
        <v>2651</v>
      </c>
      <c r="B2647">
        <v>0.99299721793515405</v>
      </c>
      <c r="C2647">
        <v>1.0162367223678901</v>
      </c>
      <c r="D2647">
        <v>0.901728829281497</v>
      </c>
      <c r="E2647">
        <v>0.78823859930247897</v>
      </c>
      <c r="F2647">
        <v>0.65624063343363304</v>
      </c>
      <c r="G2647">
        <v>0.57091417212998496</v>
      </c>
      <c r="H2647">
        <v>0.337634959795312</v>
      </c>
      <c r="I2647">
        <v>0.14973338236064901</v>
      </c>
      <c r="J2647">
        <v>0.14710322668923501</v>
      </c>
      <c r="K2647">
        <v>9.8296529189302595E-2</v>
      </c>
      <c r="L2647">
        <v>571.815546535978</v>
      </c>
      <c r="M2647">
        <v>10.672161339113901</v>
      </c>
      <c r="N2647">
        <v>53.580107050828197</v>
      </c>
      <c r="O2647">
        <v>51.801593581982502</v>
      </c>
      <c r="P2647">
        <v>-5.15245153889324E-2</v>
      </c>
      <c r="Q2647">
        <v>0</v>
      </c>
      <c r="R2647">
        <v>0.98653633119167194</v>
      </c>
      <c r="S2647" t="s">
        <v>8198</v>
      </c>
      <c r="T2647" t="s">
        <v>11100</v>
      </c>
      <c r="U2647" t="s">
        <v>11100</v>
      </c>
      <c r="V2647" t="s">
        <v>11100</v>
      </c>
      <c r="W2647" t="s">
        <v>13704</v>
      </c>
      <c r="X2647">
        <v>19</v>
      </c>
      <c r="Y2647" t="s">
        <v>19164</v>
      </c>
      <c r="Z2647" t="s">
        <v>24652</v>
      </c>
      <c r="AA2647">
        <v>0.57240829883587574</v>
      </c>
      <c r="AB2647" t="str">
        <f>HYPERLINK("Melting_Curves/meltCurve_P63010_AP2B1.pdf", "Melting_Curves/meltCurve_P63010_AP2B1.pdf")</f>
        <v>Melting_Curves/meltCurve_P63010_AP2B1.pdf</v>
      </c>
    </row>
    <row r="2648" spans="1:28" x14ac:dyDescent="0.25">
      <c r="A2648" t="s">
        <v>2652</v>
      </c>
      <c r="B2648">
        <v>0.99299721793515405</v>
      </c>
      <c r="C2648">
        <v>1.0106132681218201</v>
      </c>
      <c r="D2648">
        <v>0.92725775631530105</v>
      </c>
      <c r="E2648">
        <v>0.92340308270684501</v>
      </c>
      <c r="F2648">
        <v>0.71176175919477802</v>
      </c>
      <c r="G2648">
        <v>0.754097000414235</v>
      </c>
      <c r="H2648">
        <v>0.50004254506728496</v>
      </c>
      <c r="I2648">
        <v>0.29933190633259898</v>
      </c>
      <c r="J2648">
        <v>0.166902437881666</v>
      </c>
      <c r="K2648">
        <v>0.120000756978958</v>
      </c>
      <c r="L2648">
        <v>664.40629560723301</v>
      </c>
      <c r="M2648">
        <v>11.6978464841012</v>
      </c>
      <c r="N2648">
        <v>56.797317134404402</v>
      </c>
      <c r="O2648">
        <v>55.213660406909</v>
      </c>
      <c r="P2648">
        <v>-5.2980363051300397E-2</v>
      </c>
      <c r="Q2648">
        <v>0</v>
      </c>
      <c r="R2648">
        <v>0.97394823055526902</v>
      </c>
      <c r="S2648" t="s">
        <v>8199</v>
      </c>
      <c r="T2648" t="s">
        <v>11100</v>
      </c>
      <c r="U2648" t="s">
        <v>11100</v>
      </c>
      <c r="V2648" t="s">
        <v>11100</v>
      </c>
      <c r="W2648" t="s">
        <v>13705</v>
      </c>
      <c r="X2648">
        <v>17</v>
      </c>
      <c r="Y2648" t="s">
        <v>19165</v>
      </c>
      <c r="Z2648" t="s">
        <v>24653</v>
      </c>
      <c r="AA2648">
        <v>0.66509563143339401</v>
      </c>
      <c r="AB2648" t="str">
        <f>HYPERLINK("Melting_Curves/meltCurve_P63092_GNAS.pdf", "Melting_Curves/meltCurve_P63092_GNAS.pdf")</f>
        <v>Melting_Curves/meltCurve_P63092_GNAS.pdf</v>
      </c>
    </row>
    <row r="2649" spans="1:28" x14ac:dyDescent="0.25">
      <c r="A2649" t="s">
        <v>2653</v>
      </c>
      <c r="B2649">
        <v>0.99299721793515405</v>
      </c>
      <c r="C2649">
        <v>0.94969213599334801</v>
      </c>
      <c r="D2649">
        <v>0.89575358326694998</v>
      </c>
      <c r="E2649">
        <v>0.83711150753267605</v>
      </c>
      <c r="F2649">
        <v>0.821880594937905</v>
      </c>
      <c r="G2649">
        <v>0.68861250052040002</v>
      </c>
      <c r="H2649">
        <v>0.66285836454264302</v>
      </c>
      <c r="I2649">
        <v>0.46029816962735498</v>
      </c>
      <c r="J2649">
        <v>0.15820539341200901</v>
      </c>
      <c r="K2649">
        <v>0.12644475654062501</v>
      </c>
      <c r="L2649">
        <v>626.32248798542696</v>
      </c>
      <c r="M2649">
        <v>10.7531040843309</v>
      </c>
      <c r="N2649">
        <v>58.245738484037403</v>
      </c>
      <c r="O2649">
        <v>56.339790124025903</v>
      </c>
      <c r="P2649">
        <v>-4.7732975287073702E-2</v>
      </c>
      <c r="Q2649">
        <v>0</v>
      </c>
      <c r="R2649">
        <v>0.93310389459935605</v>
      </c>
      <c r="S2649" t="s">
        <v>8200</v>
      </c>
      <c r="T2649" t="s">
        <v>11100</v>
      </c>
      <c r="U2649" t="s">
        <v>11100</v>
      </c>
      <c r="V2649" t="s">
        <v>11100</v>
      </c>
      <c r="W2649" t="s">
        <v>13706</v>
      </c>
      <c r="X2649">
        <v>17</v>
      </c>
      <c r="Y2649" t="s">
        <v>19166</v>
      </c>
      <c r="Z2649" t="s">
        <v>24654</v>
      </c>
      <c r="AA2649">
        <v>0.70093444151769047</v>
      </c>
      <c r="AB2649" t="str">
        <f>HYPERLINK("Melting_Curves/meltCurve_P63096_GNAI1.pdf", "Melting_Curves/meltCurve_P63096_GNAI1.pdf")</f>
        <v>Melting_Curves/meltCurve_P63096_GNAI1.pdf</v>
      </c>
    </row>
    <row r="2650" spans="1:28" x14ac:dyDescent="0.25">
      <c r="A2650" t="s">
        <v>2654</v>
      </c>
      <c r="B2650">
        <v>0.99299721793515405</v>
      </c>
      <c r="C2650">
        <v>1.0020673831507501</v>
      </c>
      <c r="D2650">
        <v>1.0034683380721501</v>
      </c>
      <c r="E2650">
        <v>0.90121859211468203</v>
      </c>
      <c r="F2650">
        <v>0.76447179314175295</v>
      </c>
      <c r="G2650">
        <v>0.65522283963108896</v>
      </c>
      <c r="H2650">
        <v>0.56457166520089097</v>
      </c>
      <c r="I2650">
        <v>0.54630400412700997</v>
      </c>
      <c r="J2650">
        <v>0.32436347827526002</v>
      </c>
      <c r="K2650">
        <v>0.16677079176863699</v>
      </c>
      <c r="L2650">
        <v>505.14314376065602</v>
      </c>
      <c r="M2650">
        <v>8.5864195111692894</v>
      </c>
      <c r="N2650">
        <v>58.830465485548999</v>
      </c>
      <c r="O2650">
        <v>55.900200352746999</v>
      </c>
      <c r="P2650">
        <v>-3.8433965833668302E-2</v>
      </c>
      <c r="Q2650">
        <v>0</v>
      </c>
      <c r="R2650">
        <v>0.96200184894448104</v>
      </c>
      <c r="S2650" t="s">
        <v>8201</v>
      </c>
      <c r="T2650" t="s">
        <v>11100</v>
      </c>
      <c r="U2650" t="s">
        <v>11100</v>
      </c>
      <c r="V2650" t="s">
        <v>11100</v>
      </c>
      <c r="W2650" t="s">
        <v>13707</v>
      </c>
      <c r="X2650">
        <v>24</v>
      </c>
      <c r="Y2650" t="s">
        <v>19167</v>
      </c>
      <c r="Z2650" t="s">
        <v>24655</v>
      </c>
      <c r="AA2650">
        <v>0.70274302376371167</v>
      </c>
      <c r="AB2650" t="str">
        <f>HYPERLINK("Melting_Curves/meltCurve_P63104_YWHAZ.pdf", "Melting_Curves/meltCurve_P63104_YWHAZ.pdf")</f>
        <v>Melting_Curves/meltCurve_P63104_YWHAZ.pdf</v>
      </c>
    </row>
    <row r="2651" spans="1:28" x14ac:dyDescent="0.25">
      <c r="A2651" t="s">
        <v>2655</v>
      </c>
      <c r="B2651">
        <v>0.99299721793515405</v>
      </c>
      <c r="C2651">
        <v>0.97323139367073697</v>
      </c>
      <c r="D2651">
        <v>0.92284394131409697</v>
      </c>
      <c r="E2651">
        <v>0.87977385598103997</v>
      </c>
      <c r="F2651">
        <v>0.80453520336416895</v>
      </c>
      <c r="G2651">
        <v>0.80859757603879601</v>
      </c>
      <c r="H2651">
        <v>0.84914131212169097</v>
      </c>
      <c r="I2651">
        <v>0.51132965415056197</v>
      </c>
      <c r="J2651">
        <v>0.223422641263882</v>
      </c>
      <c r="K2651">
        <v>0.19396072213019699</v>
      </c>
      <c r="L2651">
        <v>946.64873219036804</v>
      </c>
      <c r="M2651">
        <v>15.565455029611201</v>
      </c>
      <c r="N2651">
        <v>60.817287464189398</v>
      </c>
      <c r="O2651">
        <v>59.839998137343301</v>
      </c>
      <c r="P2651">
        <v>-6.5035158940045898E-2</v>
      </c>
      <c r="Q2651">
        <v>0</v>
      </c>
      <c r="R2651">
        <v>0.90563803978472102</v>
      </c>
      <c r="S2651" t="s">
        <v>8202</v>
      </c>
      <c r="T2651" t="s">
        <v>11100</v>
      </c>
      <c r="U2651" t="s">
        <v>11100</v>
      </c>
      <c r="V2651" t="s">
        <v>11100</v>
      </c>
      <c r="W2651" t="s">
        <v>13708</v>
      </c>
      <c r="X2651">
        <v>16</v>
      </c>
      <c r="Y2651" t="s">
        <v>19168</v>
      </c>
      <c r="Z2651" t="s">
        <v>24656</v>
      </c>
      <c r="AA2651">
        <v>0.78290063751676486</v>
      </c>
      <c r="AB2651" t="str">
        <f>HYPERLINK("Melting_Curves/meltCurve_P63151_PPP2R2A.pdf", "Melting_Curves/meltCurve_P63151_PPP2R2A.pdf")</f>
        <v>Melting_Curves/meltCurve_P63151_PPP2R2A.pdf</v>
      </c>
    </row>
    <row r="2652" spans="1:28" x14ac:dyDescent="0.25">
      <c r="A2652" t="s">
        <v>2656</v>
      </c>
      <c r="B2652">
        <v>0.99299721793515405</v>
      </c>
      <c r="C2652">
        <v>0.915642254597266</v>
      </c>
      <c r="D2652">
        <v>0.99601687431816999</v>
      </c>
      <c r="E2652">
        <v>0.90559793371902997</v>
      </c>
      <c r="F2652">
        <v>0.68919138432350902</v>
      </c>
      <c r="G2652">
        <v>0.64651731226861697</v>
      </c>
      <c r="H2652">
        <v>0.441492651945259</v>
      </c>
      <c r="I2652">
        <v>0.38109431195587201</v>
      </c>
      <c r="J2652">
        <v>0.32323362751624801</v>
      </c>
      <c r="K2652">
        <v>0.25160424104688101</v>
      </c>
      <c r="L2652">
        <v>564.14213102557005</v>
      </c>
      <c r="M2652">
        <v>10.3884993061532</v>
      </c>
      <c r="N2652">
        <v>56.494753652937497</v>
      </c>
      <c r="O2652">
        <v>52.407846442346298</v>
      </c>
      <c r="P2652">
        <v>-4.1358886904781102E-2</v>
      </c>
      <c r="Q2652">
        <v>0.16576227130079599</v>
      </c>
      <c r="R2652">
        <v>0.980733844282905</v>
      </c>
      <c r="S2652" t="s">
        <v>8203</v>
      </c>
      <c r="T2652" t="s">
        <v>11100</v>
      </c>
      <c r="U2652" t="s">
        <v>11100</v>
      </c>
      <c r="V2652" t="s">
        <v>11100</v>
      </c>
      <c r="W2652" t="s">
        <v>13709</v>
      </c>
      <c r="X2652">
        <v>5</v>
      </c>
      <c r="Y2652" t="s">
        <v>19169</v>
      </c>
      <c r="Z2652" t="s">
        <v>24657</v>
      </c>
      <c r="AA2652">
        <v>0.66059739102888904</v>
      </c>
      <c r="AB2652" t="str">
        <f>HYPERLINK("Melting_Curves/meltCurve_P63167_DYNLL1.pdf", "Melting_Curves/meltCurve_P63167_DYNLL1.pdf")</f>
        <v>Melting_Curves/meltCurve_P63167_DYNLL1.pdf</v>
      </c>
    </row>
    <row r="2653" spans="1:28" x14ac:dyDescent="0.25">
      <c r="A2653" t="s">
        <v>2657</v>
      </c>
      <c r="B2653">
        <v>0.99299721793515405</v>
      </c>
      <c r="C2653">
        <v>1.0489616030842299</v>
      </c>
      <c r="D2653">
        <v>0.79053399863037199</v>
      </c>
      <c r="E2653">
        <v>0.66131156496552901</v>
      </c>
      <c r="F2653">
        <v>0.48430293842940803</v>
      </c>
      <c r="G2653">
        <v>0.37018658485030997</v>
      </c>
      <c r="H2653">
        <v>0.343330010817122</v>
      </c>
      <c r="I2653">
        <v>0.35362771092060702</v>
      </c>
      <c r="J2653">
        <v>0.31576256543835401</v>
      </c>
      <c r="K2653">
        <v>0.21510413695883501</v>
      </c>
      <c r="L2653">
        <v>688.56523163426596</v>
      </c>
      <c r="M2653">
        <v>14.6856938665829</v>
      </c>
      <c r="N2653">
        <v>49.700473935913401</v>
      </c>
      <c r="O2653">
        <v>46.043156182963699</v>
      </c>
      <c r="P2653">
        <v>-5.7236434413928901E-2</v>
      </c>
      <c r="Q2653">
        <v>0.28227922249673099</v>
      </c>
      <c r="R2653">
        <v>0.97213174703622796</v>
      </c>
      <c r="S2653" t="s">
        <v>8204</v>
      </c>
      <c r="T2653" t="s">
        <v>11100</v>
      </c>
      <c r="U2653" t="s">
        <v>11100</v>
      </c>
      <c r="V2653" t="s">
        <v>11100</v>
      </c>
      <c r="W2653" t="s">
        <v>13710</v>
      </c>
      <c r="X2653">
        <v>4</v>
      </c>
      <c r="Y2653" t="s">
        <v>19170</v>
      </c>
      <c r="Z2653" t="s">
        <v>24658</v>
      </c>
      <c r="AA2653">
        <v>0.53563748913390519</v>
      </c>
      <c r="AB2653" t="str">
        <f>HYPERLINK("Melting_Curves/meltCurve_P63173_RPL38.pdf", "Melting_Curves/meltCurve_P63173_RPL38.pdf")</f>
        <v>Melting_Curves/meltCurve_P63173_RPL38.pdf</v>
      </c>
    </row>
    <row r="2654" spans="1:28" x14ac:dyDescent="0.25">
      <c r="A2654" t="s">
        <v>2658</v>
      </c>
      <c r="B2654">
        <v>0.99299721793515405</v>
      </c>
      <c r="C2654">
        <v>0.99775447771873804</v>
      </c>
      <c r="D2654">
        <v>1.3322230243334101</v>
      </c>
      <c r="E2654">
        <v>0.89912630975644503</v>
      </c>
      <c r="F2654">
        <v>0.82131892833557796</v>
      </c>
      <c r="G2654">
        <v>1.0012753547334601</v>
      </c>
      <c r="H2654">
        <v>0.54445004112499595</v>
      </c>
      <c r="I2654">
        <v>0.71721637905636204</v>
      </c>
      <c r="J2654">
        <v>0.78672232784166196</v>
      </c>
      <c r="K2654">
        <v>0.97403721859209602</v>
      </c>
      <c r="L2654">
        <v>11556.5101622477</v>
      </c>
      <c r="M2654">
        <v>248.08996805818001</v>
      </c>
      <c r="O2654">
        <v>46.578898140581899</v>
      </c>
      <c r="P2654">
        <v>-0.25632032995562698</v>
      </c>
      <c r="Q2654">
        <v>0.80750337427213004</v>
      </c>
      <c r="R2654">
        <v>0.36446474007902802</v>
      </c>
      <c r="S2654" t="s">
        <v>8205</v>
      </c>
      <c r="T2654" t="s">
        <v>11100</v>
      </c>
      <c r="U2654" t="s">
        <v>11100</v>
      </c>
      <c r="V2654" t="s">
        <v>11100</v>
      </c>
      <c r="W2654" t="s">
        <v>13711</v>
      </c>
      <c r="X2654">
        <v>4</v>
      </c>
      <c r="Y2654" t="s">
        <v>19171</v>
      </c>
      <c r="Z2654" t="s">
        <v>24659</v>
      </c>
      <c r="AA2654">
        <v>0.86900234383996666</v>
      </c>
      <c r="AB2654" t="str">
        <f>HYPERLINK("Melting_Curves/meltCurve_P63218_GNG5.pdf", "Melting_Curves/meltCurve_P63218_GNG5.pdf")</f>
        <v>Melting_Curves/meltCurve_P63218_GNG5.pdf</v>
      </c>
    </row>
    <row r="2655" spans="1:28" x14ac:dyDescent="0.25">
      <c r="A2655" t="s">
        <v>2659</v>
      </c>
      <c r="B2655">
        <v>0.99299721793515405</v>
      </c>
      <c r="C2655">
        <v>0.88795694318408203</v>
      </c>
      <c r="D2655">
        <v>1.0711469390067101</v>
      </c>
      <c r="E2655">
        <v>0.98432614910203398</v>
      </c>
      <c r="F2655">
        <v>0.97247885572951698</v>
      </c>
      <c r="G2655">
        <v>0.87819043685467402</v>
      </c>
      <c r="H2655">
        <v>0.87462098777019204</v>
      </c>
      <c r="I2655">
        <v>1.3614595928020099</v>
      </c>
      <c r="J2655">
        <v>1.8805695616528399</v>
      </c>
      <c r="K2655">
        <v>1.78987936795924</v>
      </c>
      <c r="L2655">
        <v>15000</v>
      </c>
      <c r="M2655">
        <v>246.860674057361</v>
      </c>
      <c r="O2655">
        <v>60.759042744768998</v>
      </c>
      <c r="P2655">
        <v>0.50786826898501702</v>
      </c>
      <c r="Q2655">
        <v>1.5</v>
      </c>
      <c r="R2655">
        <v>0.78481936658986795</v>
      </c>
      <c r="S2655" t="s">
        <v>8206</v>
      </c>
      <c r="T2655" t="s">
        <v>11100</v>
      </c>
      <c r="U2655" t="s">
        <v>11100</v>
      </c>
      <c r="V2655" t="s">
        <v>11100</v>
      </c>
      <c r="W2655" t="s">
        <v>13712</v>
      </c>
      <c r="X2655">
        <v>13</v>
      </c>
      <c r="Y2655" t="s">
        <v>19172</v>
      </c>
      <c r="Z2655" t="s">
        <v>24660</v>
      </c>
      <c r="AA2655">
        <v>1.1038949876017841</v>
      </c>
      <c r="AB2655" t="str">
        <f>HYPERLINK("Melting_Curves/meltCurve_P63220_RPS21.pdf", "Melting_Curves/meltCurve_P63220_RPS21.pdf")</f>
        <v>Melting_Curves/meltCurve_P63220_RPS21.pdf</v>
      </c>
    </row>
    <row r="2656" spans="1:28" x14ac:dyDescent="0.25">
      <c r="A2656" t="s">
        <v>2660</v>
      </c>
      <c r="B2656">
        <v>0.99299721793515405</v>
      </c>
      <c r="C2656">
        <v>0.93307556249869295</v>
      </c>
      <c r="D2656">
        <v>1.0784740871384899</v>
      </c>
      <c r="E2656">
        <v>0.87930578998451703</v>
      </c>
      <c r="F2656">
        <v>0.71267083263922804</v>
      </c>
      <c r="G2656">
        <v>0.36727341995774498</v>
      </c>
      <c r="H2656">
        <v>0.197503756277225</v>
      </c>
      <c r="I2656">
        <v>0.189732067853083</v>
      </c>
      <c r="J2656">
        <v>0.18944044385706099</v>
      </c>
      <c r="K2656">
        <v>0.19000999496280299</v>
      </c>
      <c r="L2656">
        <v>1273.0261888492</v>
      </c>
      <c r="M2656">
        <v>24.846067303865301</v>
      </c>
      <c r="N2656">
        <v>52.134012689611602</v>
      </c>
      <c r="O2656">
        <v>50.908060015956202</v>
      </c>
      <c r="P2656">
        <v>-0.10078478691683</v>
      </c>
      <c r="Q2656">
        <v>0.174003827367815</v>
      </c>
      <c r="R2656">
        <v>0.98722337967357099</v>
      </c>
      <c r="S2656" t="s">
        <v>8207</v>
      </c>
      <c r="T2656" t="s">
        <v>11100</v>
      </c>
      <c r="U2656" t="s">
        <v>11100</v>
      </c>
      <c r="V2656" t="s">
        <v>11100</v>
      </c>
      <c r="W2656" t="s">
        <v>13713</v>
      </c>
      <c r="X2656">
        <v>13</v>
      </c>
      <c r="Y2656" t="s">
        <v>19173</v>
      </c>
      <c r="Z2656" t="s">
        <v>24661</v>
      </c>
      <c r="AA2656">
        <v>0.57336269148045416</v>
      </c>
      <c r="AB2656" t="str">
        <f>HYPERLINK("Melting_Curves/meltCurve_P63241_EIF5A.pdf", "Melting_Curves/meltCurve_P63241_EIF5A.pdf")</f>
        <v>Melting_Curves/meltCurve_P63241_EIF5A.pdf</v>
      </c>
    </row>
    <row r="2657" spans="1:28" x14ac:dyDescent="0.25">
      <c r="A2657" t="s">
        <v>2661</v>
      </c>
      <c r="B2657">
        <v>0.99299721793515405</v>
      </c>
      <c r="C2657">
        <v>1.10910676886398</v>
      </c>
      <c r="D2657">
        <v>0.96903804899486801</v>
      </c>
      <c r="E2657">
        <v>0.99380310005857098</v>
      </c>
      <c r="F2657">
        <v>0.71651791532890496</v>
      </c>
      <c r="G2657">
        <v>0.30077177609592998</v>
      </c>
      <c r="H2657">
        <v>0.21044682354838501</v>
      </c>
      <c r="I2657">
        <v>0.17441522159770001</v>
      </c>
      <c r="J2657">
        <v>0.12457375239117301</v>
      </c>
      <c r="K2657">
        <v>0.10609025464871</v>
      </c>
      <c r="L2657">
        <v>1594.3855930249299</v>
      </c>
      <c r="M2657">
        <v>31.033380878123701</v>
      </c>
      <c r="N2657">
        <v>51.931700135622897</v>
      </c>
      <c r="O2657">
        <v>51.1645529756698</v>
      </c>
      <c r="P2657">
        <v>-0.13022761850245701</v>
      </c>
      <c r="Q2657">
        <v>0.14118289098909001</v>
      </c>
      <c r="R2657">
        <v>0.98909704926828002</v>
      </c>
      <c r="S2657" t="s">
        <v>8208</v>
      </c>
      <c r="T2657" t="s">
        <v>11100</v>
      </c>
      <c r="U2657" t="s">
        <v>11100</v>
      </c>
      <c r="V2657" t="s">
        <v>11100</v>
      </c>
      <c r="W2657" t="s">
        <v>13714</v>
      </c>
      <c r="X2657">
        <v>14</v>
      </c>
      <c r="Y2657" t="s">
        <v>19174</v>
      </c>
      <c r="Z2657" t="s">
        <v>24662</v>
      </c>
      <c r="AA2657">
        <v>0.5577767932554426</v>
      </c>
      <c r="AB2657" t="str">
        <f>HYPERLINK("Melting_Curves/meltCurve_P63244_GNB2L1.pdf", "Melting_Curves/meltCurve_P63244_GNB2L1.pdf")</f>
        <v>Melting_Curves/meltCurve_P63244_GNB2L1.pdf</v>
      </c>
    </row>
    <row r="2658" spans="1:28" x14ac:dyDescent="0.25">
      <c r="A2658" t="s">
        <v>2662</v>
      </c>
      <c r="B2658">
        <v>0.99299721793515405</v>
      </c>
      <c r="C2658">
        <v>0.99010495297011203</v>
      </c>
      <c r="D2658">
        <v>0.97745699972321898</v>
      </c>
      <c r="E2658">
        <v>1.2063430049139301</v>
      </c>
      <c r="F2658">
        <v>0.68066469920448003</v>
      </c>
      <c r="G2658">
        <v>0.70889157327885399</v>
      </c>
      <c r="H2658">
        <v>0.476349273637593</v>
      </c>
      <c r="I2658">
        <v>0.26381204142398801</v>
      </c>
      <c r="J2658">
        <v>0.279358315961176</v>
      </c>
      <c r="K2658">
        <v>0.20690168901043601</v>
      </c>
      <c r="L2658">
        <v>908.30755028201804</v>
      </c>
      <c r="M2658">
        <v>16.537091754951799</v>
      </c>
      <c r="N2658">
        <v>56.424235802252603</v>
      </c>
      <c r="O2658">
        <v>54.141151277907099</v>
      </c>
      <c r="P2658">
        <v>-6.2792480419560801E-2</v>
      </c>
      <c r="Q2658">
        <v>0.17774587057869601</v>
      </c>
      <c r="R2658">
        <v>0.91469480545017601</v>
      </c>
      <c r="S2658" t="s">
        <v>8209</v>
      </c>
      <c r="T2658" t="s">
        <v>11100</v>
      </c>
      <c r="U2658" t="s">
        <v>11100</v>
      </c>
      <c r="V2658" t="s">
        <v>11100</v>
      </c>
      <c r="W2658" t="s">
        <v>13715</v>
      </c>
      <c r="X2658">
        <v>42</v>
      </c>
      <c r="Y2658" t="s">
        <v>17676</v>
      </c>
      <c r="Z2658" t="s">
        <v>24663</v>
      </c>
      <c r="AA2658">
        <v>0.68018156134935337</v>
      </c>
      <c r="AB2658" t="str">
        <f>HYPERLINK("Melting_Curves/meltCurve_P63261_ACTG1.pdf", "Melting_Curves/meltCurve_P63261_ACTG1.pdf")</f>
        <v>Melting_Curves/meltCurve_P63261_ACTG1.pdf</v>
      </c>
    </row>
    <row r="2659" spans="1:28" x14ac:dyDescent="0.25">
      <c r="A2659" t="s">
        <v>2663</v>
      </c>
      <c r="B2659">
        <v>0.99299721793515405</v>
      </c>
      <c r="C2659">
        <v>0.84209005141153903</v>
      </c>
      <c r="D2659">
        <v>0.93869027957400797</v>
      </c>
      <c r="E2659">
        <v>1.16681684531815</v>
      </c>
      <c r="F2659">
        <v>0.66363855715881703</v>
      </c>
      <c r="G2659">
        <v>0.44916282833810101</v>
      </c>
      <c r="H2659">
        <v>0.28290979448207598</v>
      </c>
      <c r="I2659">
        <v>0.204062608685978</v>
      </c>
      <c r="J2659">
        <v>0.19384615307325001</v>
      </c>
      <c r="K2659">
        <v>0.143924907659053</v>
      </c>
      <c r="L2659">
        <v>1329.9444345504701</v>
      </c>
      <c r="M2659">
        <v>25.648201753365399</v>
      </c>
      <c r="N2659">
        <v>52.805379322049298</v>
      </c>
      <c r="O2659">
        <v>51.541180414196802</v>
      </c>
      <c r="P2659">
        <v>-0.101377376935185</v>
      </c>
      <c r="Q2659">
        <v>0.18512085354684699</v>
      </c>
      <c r="R2659">
        <v>0.93509121563410602</v>
      </c>
      <c r="S2659" t="s">
        <v>8210</v>
      </c>
      <c r="T2659" t="s">
        <v>11100</v>
      </c>
      <c r="U2659" t="s">
        <v>11100</v>
      </c>
      <c r="V2659" t="s">
        <v>11100</v>
      </c>
      <c r="W2659" t="s">
        <v>13716</v>
      </c>
      <c r="X2659">
        <v>2</v>
      </c>
      <c r="Y2659" t="s">
        <v>19175</v>
      </c>
      <c r="Z2659" t="s">
        <v>24664</v>
      </c>
      <c r="AA2659">
        <v>0.59546568485903417</v>
      </c>
      <c r="AB2659" t="str">
        <f>HYPERLINK("Melting_Curves/meltCurve_P63272_SUPT4H1.pdf", "Melting_Curves/meltCurve_P63272_SUPT4H1.pdf")</f>
        <v>Melting_Curves/meltCurve_P63272_SUPT4H1.pdf</v>
      </c>
    </row>
    <row r="2660" spans="1:28" x14ac:dyDescent="0.25">
      <c r="A2660" t="s">
        <v>2664</v>
      </c>
      <c r="B2660">
        <v>0.99299721793515405</v>
      </c>
      <c r="C2660">
        <v>1.02912959675086</v>
      </c>
      <c r="D2660">
        <v>1.0025347079195699</v>
      </c>
      <c r="E2660">
        <v>0.97775567383207496</v>
      </c>
      <c r="F2660">
        <v>0.79584180337420296</v>
      </c>
      <c r="G2660">
        <v>0.85821342654138999</v>
      </c>
      <c r="H2660">
        <v>0.85462082912619797</v>
      </c>
      <c r="I2660">
        <v>0.78558180497196395</v>
      </c>
      <c r="J2660">
        <v>0.61545275600364002</v>
      </c>
      <c r="K2660">
        <v>0.25776246283744297</v>
      </c>
      <c r="L2660">
        <v>1080.45932599092</v>
      </c>
      <c r="M2660">
        <v>16.7187443193631</v>
      </c>
      <c r="N2660">
        <v>64.6256276439196</v>
      </c>
      <c r="O2660">
        <v>63.722274902137897</v>
      </c>
      <c r="P2660">
        <v>-6.5596558098334798E-2</v>
      </c>
      <c r="Q2660">
        <v>0</v>
      </c>
      <c r="R2660">
        <v>0.85384425205026804</v>
      </c>
      <c r="S2660" t="s">
        <v>8211</v>
      </c>
      <c r="T2660" t="s">
        <v>11100</v>
      </c>
      <c r="U2660" t="s">
        <v>11100</v>
      </c>
      <c r="V2660" t="s">
        <v>11100</v>
      </c>
      <c r="W2660" t="s">
        <v>13717</v>
      </c>
      <c r="X2660">
        <v>21</v>
      </c>
      <c r="Y2660" t="s">
        <v>19176</v>
      </c>
      <c r="Z2660" t="s">
        <v>24665</v>
      </c>
      <c r="AA2660">
        <v>0.87593753243768147</v>
      </c>
      <c r="AB2660" t="str">
        <f>HYPERLINK("Melting_Curves/meltCurve_P67775_PPP2CA.pdf", "Melting_Curves/meltCurve_P67775_PPP2CA.pdf")</f>
        <v>Melting_Curves/meltCurve_P67775_PPP2CA.pdf</v>
      </c>
    </row>
    <row r="2661" spans="1:28" x14ac:dyDescent="0.25">
      <c r="A2661" t="s">
        <v>2665</v>
      </c>
      <c r="B2661">
        <v>0.99299721793515405</v>
      </c>
      <c r="C2661">
        <v>0.88324397628009399</v>
      </c>
      <c r="D2661">
        <v>0.894992014858915</v>
      </c>
      <c r="E2661">
        <v>0.824444437619684</v>
      </c>
      <c r="F2661">
        <v>0.78158495967377495</v>
      </c>
      <c r="G2661">
        <v>0.51779106490832705</v>
      </c>
      <c r="H2661">
        <v>0.42092008858476598</v>
      </c>
      <c r="I2661">
        <v>0.375199879139961</v>
      </c>
      <c r="J2661">
        <v>0.454781953803511</v>
      </c>
      <c r="K2661">
        <v>0.30922812810343497</v>
      </c>
      <c r="L2661">
        <v>509.945035988016</v>
      </c>
      <c r="M2661">
        <v>9.8465362357474202</v>
      </c>
      <c r="N2661">
        <v>56.1603318226285</v>
      </c>
      <c r="O2661">
        <v>49.788839462057503</v>
      </c>
      <c r="P2661">
        <v>-3.6227095260603998E-2</v>
      </c>
      <c r="Q2661">
        <v>0.26765145804276902</v>
      </c>
      <c r="R2661">
        <v>0.94839839198980003</v>
      </c>
      <c r="S2661" t="s">
        <v>8212</v>
      </c>
      <c r="T2661" t="s">
        <v>11100</v>
      </c>
      <c r="U2661" t="s">
        <v>11100</v>
      </c>
      <c r="V2661" t="s">
        <v>11100</v>
      </c>
      <c r="W2661" t="s">
        <v>13718</v>
      </c>
      <c r="X2661">
        <v>8</v>
      </c>
      <c r="Y2661" t="s">
        <v>19177</v>
      </c>
      <c r="Z2661" t="s">
        <v>24666</v>
      </c>
      <c r="AA2661">
        <v>0.64898729503379138</v>
      </c>
      <c r="AB2661" t="str">
        <f>HYPERLINK("Melting_Curves/meltCurve_P67809_YBX1.pdf", "Melting_Curves/meltCurve_P67809_YBX1.pdf")</f>
        <v>Melting_Curves/meltCurve_P67809_YBX1.pdf</v>
      </c>
    </row>
    <row r="2662" spans="1:28" x14ac:dyDescent="0.25">
      <c r="A2662" t="s">
        <v>2666</v>
      </c>
      <c r="B2662">
        <v>0.99299721793515405</v>
      </c>
      <c r="C2662">
        <v>0.98611482584855104</v>
      </c>
      <c r="D2662">
        <v>0.98989528487262302</v>
      </c>
      <c r="E2662">
        <v>0.88081024424347998</v>
      </c>
      <c r="F2662">
        <v>0.79762924014229497</v>
      </c>
      <c r="G2662">
        <v>0.56078644661239896</v>
      </c>
      <c r="H2662">
        <v>0.62385381704401399</v>
      </c>
      <c r="I2662">
        <v>0.73693872518488501</v>
      </c>
      <c r="J2662">
        <v>0.879450387964679</v>
      </c>
      <c r="K2662">
        <v>0.734978387702234</v>
      </c>
      <c r="L2662">
        <v>1592.1115038809501</v>
      </c>
      <c r="M2662">
        <v>33.683322050095597</v>
      </c>
      <c r="O2662">
        <v>47.101386068520704</v>
      </c>
      <c r="P2662">
        <v>-5.10737189773523E-2</v>
      </c>
      <c r="Q2662">
        <v>0.71432353793450298</v>
      </c>
      <c r="R2662">
        <v>0.69981985361789301</v>
      </c>
      <c r="S2662" t="s">
        <v>8213</v>
      </c>
      <c r="T2662" t="s">
        <v>11100</v>
      </c>
      <c r="U2662" t="s">
        <v>11100</v>
      </c>
      <c r="V2662" t="s">
        <v>11100</v>
      </c>
      <c r="W2662" t="s">
        <v>13719</v>
      </c>
      <c r="X2662">
        <v>41</v>
      </c>
      <c r="Y2662" t="s">
        <v>19178</v>
      </c>
      <c r="Z2662" t="s">
        <v>24667</v>
      </c>
      <c r="AA2662">
        <v>0.81341283018020327</v>
      </c>
      <c r="AB2662" t="str">
        <f>HYPERLINK("Melting_Curves/meltCurve_P67936_TPM4.pdf", "Melting_Curves/meltCurve_P67936_TPM4.pdf")</f>
        <v>Melting_Curves/meltCurve_P67936_TPM4.pdf</v>
      </c>
    </row>
    <row r="2663" spans="1:28" x14ac:dyDescent="0.25">
      <c r="A2663" t="s">
        <v>2667</v>
      </c>
      <c r="B2663">
        <v>0.99299721793515405</v>
      </c>
      <c r="C2663">
        <v>1.52072253929954</v>
      </c>
      <c r="D2663">
        <v>1.30966884348799</v>
      </c>
      <c r="E2663">
        <v>1.24009352328397</v>
      </c>
      <c r="F2663">
        <v>1.18811000363154</v>
      </c>
      <c r="G2663">
        <v>0.87411554217019805</v>
      </c>
      <c r="H2663">
        <v>0.73544655409698201</v>
      </c>
      <c r="I2663">
        <v>0.53290282190009297</v>
      </c>
      <c r="J2663">
        <v>0.51094583767772905</v>
      </c>
      <c r="K2663">
        <v>0.26360148827482</v>
      </c>
      <c r="L2663">
        <v>1193.28825984884</v>
      </c>
      <c r="M2663">
        <v>19.996114715899601</v>
      </c>
      <c r="N2663">
        <v>61.926475420516297</v>
      </c>
      <c r="O2663">
        <v>59.088768248285902</v>
      </c>
      <c r="P2663">
        <v>-6.27560209531072E-2</v>
      </c>
      <c r="Q2663">
        <v>0.25824471519716202</v>
      </c>
      <c r="R2663">
        <v>0.66963867549337197</v>
      </c>
      <c r="S2663" t="s">
        <v>8214</v>
      </c>
      <c r="T2663" t="s">
        <v>11100</v>
      </c>
      <c r="U2663" t="s">
        <v>11100</v>
      </c>
      <c r="V2663" t="s">
        <v>11100</v>
      </c>
      <c r="W2663" t="s">
        <v>13720</v>
      </c>
      <c r="X2663">
        <v>28</v>
      </c>
      <c r="Y2663" t="s">
        <v>19179</v>
      </c>
      <c r="Z2663" t="s">
        <v>24668</v>
      </c>
      <c r="AA2663">
        <v>0.82020408267696443</v>
      </c>
      <c r="AB2663" t="str">
        <f>HYPERLINK("Melting_Curves/meltCurve_P68032_ACTC1.pdf", "Melting_Curves/meltCurve_P68032_ACTC1.pdf")</f>
        <v>Melting_Curves/meltCurve_P68032_ACTC1.pdf</v>
      </c>
    </row>
    <row r="2664" spans="1:28" x14ac:dyDescent="0.25">
      <c r="A2664" t="s">
        <v>2668</v>
      </c>
      <c r="B2664">
        <v>0.99299721793515405</v>
      </c>
      <c r="C2664">
        <v>0.97120791802311002</v>
      </c>
      <c r="D2664">
        <v>1.43450727427581</v>
      </c>
      <c r="E2664">
        <v>0.86737885633738998</v>
      </c>
      <c r="F2664">
        <v>0.76340399890802502</v>
      </c>
      <c r="G2664">
        <v>0.90866685435249495</v>
      </c>
      <c r="H2664">
        <v>0.48634185643604499</v>
      </c>
      <c r="I2664">
        <v>0.51168927859797897</v>
      </c>
      <c r="J2664">
        <v>0.41232634923787798</v>
      </c>
      <c r="K2664">
        <v>0.29200397737022299</v>
      </c>
      <c r="L2664">
        <v>768.18748312623495</v>
      </c>
      <c r="M2664">
        <v>13.486255771589599</v>
      </c>
      <c r="N2664">
        <v>59.857583907554897</v>
      </c>
      <c r="O2664">
        <v>55.752121546136202</v>
      </c>
      <c r="P2664">
        <v>-4.5987186058634097E-2</v>
      </c>
      <c r="Q2664">
        <v>0.23967324610561699</v>
      </c>
      <c r="R2664">
        <v>0.75239392825391005</v>
      </c>
      <c r="S2664" t="s">
        <v>8215</v>
      </c>
      <c r="T2664" t="s">
        <v>11100</v>
      </c>
      <c r="U2664" t="s">
        <v>11100</v>
      </c>
      <c r="V2664" t="s">
        <v>11100</v>
      </c>
      <c r="W2664" t="s">
        <v>13721</v>
      </c>
      <c r="X2664">
        <v>10</v>
      </c>
      <c r="Y2664" t="s">
        <v>19180</v>
      </c>
      <c r="Z2664" t="s">
        <v>24669</v>
      </c>
      <c r="AA2664">
        <v>0.75094731466961406</v>
      </c>
      <c r="AB2664" t="str">
        <f>HYPERLINK("Melting_Curves/meltCurve_P68036_UBE2L3.pdf", "Melting_Curves/meltCurve_P68036_UBE2L3.pdf")</f>
        <v>Melting_Curves/meltCurve_P68036_UBE2L3.pdf</v>
      </c>
    </row>
    <row r="2665" spans="1:28" x14ac:dyDescent="0.25">
      <c r="A2665" t="s">
        <v>2669</v>
      </c>
      <c r="B2665">
        <v>0.99299721793515405</v>
      </c>
      <c r="C2665">
        <v>1.0646509456437301</v>
      </c>
      <c r="D2665">
        <v>1.1468837446871201</v>
      </c>
      <c r="E2665">
        <v>0.98644339496294797</v>
      </c>
      <c r="F2665">
        <v>0.83325387515338301</v>
      </c>
      <c r="G2665">
        <v>0.67401957717185901</v>
      </c>
      <c r="H2665">
        <v>0.265564092127893</v>
      </c>
      <c r="I2665">
        <v>0.118289465718266</v>
      </c>
      <c r="J2665">
        <v>9.1574629314577494E-2</v>
      </c>
      <c r="K2665">
        <v>7.6419490903812407E-2</v>
      </c>
      <c r="L2665">
        <v>1280.8607098672501</v>
      </c>
      <c r="M2665">
        <v>23.386875884504398</v>
      </c>
      <c r="N2665">
        <v>55.026372458186202</v>
      </c>
      <c r="O2665">
        <v>54.372629340195701</v>
      </c>
      <c r="P2665">
        <v>-0.101948126432839</v>
      </c>
      <c r="Q2665">
        <v>5.1931410115518398E-2</v>
      </c>
      <c r="R2665">
        <v>0.98039552482715497</v>
      </c>
      <c r="S2665" t="s">
        <v>8216</v>
      </c>
      <c r="T2665" t="s">
        <v>11100</v>
      </c>
      <c r="U2665" t="s">
        <v>11100</v>
      </c>
      <c r="V2665" t="s">
        <v>11100</v>
      </c>
      <c r="W2665" t="s">
        <v>13722</v>
      </c>
      <c r="X2665">
        <v>35</v>
      </c>
      <c r="Y2665" t="s">
        <v>19181</v>
      </c>
      <c r="Z2665" t="s">
        <v>24670</v>
      </c>
      <c r="AA2665">
        <v>0.62241027230054913</v>
      </c>
      <c r="AB2665" t="str">
        <f>HYPERLINK("Melting_Curves/meltCurve_P68104_EEF1A1.pdf", "Melting_Curves/meltCurve_P68104_EEF1A1.pdf")</f>
        <v>Melting_Curves/meltCurve_P68104_EEF1A1.pdf</v>
      </c>
    </row>
    <row r="2666" spans="1:28" x14ac:dyDescent="0.25">
      <c r="A2666" t="s">
        <v>2670</v>
      </c>
      <c r="B2666">
        <v>0.99299721793515405</v>
      </c>
      <c r="C2666">
        <v>0.81023564815757398</v>
      </c>
      <c r="D2666">
        <v>0.82543985203474601</v>
      </c>
      <c r="E2666">
        <v>0.87924060422053996</v>
      </c>
      <c r="F2666">
        <v>0.68464400785958601</v>
      </c>
      <c r="G2666">
        <v>0.45247146256821802</v>
      </c>
      <c r="H2666">
        <v>0.428549994223894</v>
      </c>
      <c r="I2666">
        <v>0.47765453362750299</v>
      </c>
      <c r="J2666">
        <v>0.47311592365613397</v>
      </c>
      <c r="K2666">
        <v>0.35123530811099601</v>
      </c>
      <c r="L2666">
        <v>406.34053851671001</v>
      </c>
      <c r="M2666">
        <v>8.1232341496677503</v>
      </c>
      <c r="N2666">
        <v>56.599551698381603</v>
      </c>
      <c r="O2666">
        <v>47.264406138250401</v>
      </c>
      <c r="P2666">
        <v>-2.9873778732411999E-2</v>
      </c>
      <c r="Q2666">
        <v>0.30546892932252001</v>
      </c>
      <c r="R2666">
        <v>0.88618156249020197</v>
      </c>
      <c r="S2666" t="s">
        <v>8217</v>
      </c>
      <c r="T2666" t="s">
        <v>11100</v>
      </c>
      <c r="U2666" t="s">
        <v>11100</v>
      </c>
      <c r="V2666" t="s">
        <v>11100</v>
      </c>
      <c r="W2666" t="s">
        <v>13723</v>
      </c>
      <c r="X2666">
        <v>3</v>
      </c>
      <c r="Y2666" t="s">
        <v>19182</v>
      </c>
      <c r="Z2666" t="s">
        <v>24671</v>
      </c>
      <c r="AA2666">
        <v>0.63485108462448225</v>
      </c>
      <c r="AB2666" t="str">
        <f>HYPERLINK("Melting_Curves/meltCurve_P68106_FKBP1B.pdf", "Melting_Curves/meltCurve_P68106_FKBP1B.pdf")</f>
        <v>Melting_Curves/meltCurve_P68106_FKBP1B.pdf</v>
      </c>
    </row>
    <row r="2667" spans="1:28" x14ac:dyDescent="0.25">
      <c r="A2667" t="s">
        <v>2671</v>
      </c>
      <c r="B2667">
        <v>0.99299721793515405</v>
      </c>
      <c r="C2667">
        <v>1.2527079169319499</v>
      </c>
      <c r="D2667">
        <v>0.97574730003932197</v>
      </c>
      <c r="E2667">
        <v>0.98774986125673803</v>
      </c>
      <c r="F2667">
        <v>0.61114566393340697</v>
      </c>
      <c r="G2667">
        <v>0.71186476198219695</v>
      </c>
      <c r="H2667">
        <v>0.51897140323093605</v>
      </c>
      <c r="I2667">
        <v>0.43654753744807701</v>
      </c>
      <c r="J2667">
        <v>0.41185155779282301</v>
      </c>
      <c r="K2667">
        <v>0.24615818725546201</v>
      </c>
      <c r="L2667">
        <v>619.83213748377102</v>
      </c>
      <c r="M2667">
        <v>11.3734404301024</v>
      </c>
      <c r="N2667">
        <v>57.787430773212499</v>
      </c>
      <c r="O2667">
        <v>52.894985237168399</v>
      </c>
      <c r="P2667">
        <v>-4.0957760680256299E-2</v>
      </c>
      <c r="Q2667">
        <v>0.238289340569763</v>
      </c>
      <c r="R2667">
        <v>0.87020484482773097</v>
      </c>
      <c r="S2667" t="s">
        <v>8218</v>
      </c>
      <c r="T2667" t="s">
        <v>11100</v>
      </c>
      <c r="U2667" t="s">
        <v>11100</v>
      </c>
      <c r="V2667" t="s">
        <v>11100</v>
      </c>
      <c r="W2667" t="s">
        <v>13724</v>
      </c>
      <c r="X2667">
        <v>29</v>
      </c>
      <c r="Y2667" t="s">
        <v>19183</v>
      </c>
      <c r="Z2667" t="s">
        <v>24672</v>
      </c>
      <c r="AA2667">
        <v>0.69475659775390752</v>
      </c>
      <c r="AB2667" t="str">
        <f>HYPERLINK("Melting_Curves/meltCurve_P68133_ACTA1.pdf", "Melting_Curves/meltCurve_P68133_ACTA1.pdf")</f>
        <v>Melting_Curves/meltCurve_P68133_ACTA1.pdf</v>
      </c>
    </row>
    <row r="2668" spans="1:28" x14ac:dyDescent="0.25">
      <c r="A2668" t="s">
        <v>2672</v>
      </c>
      <c r="B2668">
        <v>0.99299721793515405</v>
      </c>
      <c r="C2668">
        <v>1.02651490512632</v>
      </c>
      <c r="D2668">
        <v>0.98906701140228404</v>
      </c>
      <c r="E2668">
        <v>0.93575687819299003</v>
      </c>
      <c r="F2668">
        <v>0.79012959217610701</v>
      </c>
      <c r="G2668">
        <v>0.780402649815365</v>
      </c>
      <c r="H2668">
        <v>0.59004477219467999</v>
      </c>
      <c r="I2668">
        <v>0.52428094288698102</v>
      </c>
      <c r="J2668">
        <v>0.22242188436969801</v>
      </c>
      <c r="K2668">
        <v>9.9850824515230599E-2</v>
      </c>
      <c r="L2668">
        <v>711.94794033838502</v>
      </c>
      <c r="M2668">
        <v>12.073788050336599</v>
      </c>
      <c r="N2668">
        <v>58.966410378811197</v>
      </c>
      <c r="O2668">
        <v>57.418716533438797</v>
      </c>
      <c r="P2668">
        <v>-5.2581418073040398E-2</v>
      </c>
      <c r="Q2668">
        <v>0</v>
      </c>
      <c r="R2668">
        <v>0.96050949673503305</v>
      </c>
      <c r="S2668" t="s">
        <v>8219</v>
      </c>
      <c r="T2668" t="s">
        <v>11100</v>
      </c>
      <c r="U2668" t="s">
        <v>11100</v>
      </c>
      <c r="V2668" t="s">
        <v>11100</v>
      </c>
      <c r="W2668" t="s">
        <v>13725</v>
      </c>
      <c r="X2668">
        <v>36</v>
      </c>
      <c r="Y2668" t="s">
        <v>19184</v>
      </c>
      <c r="Z2668" t="s">
        <v>24673</v>
      </c>
      <c r="AA2668">
        <v>0.72443086265242118</v>
      </c>
      <c r="AB2668" t="str">
        <f>HYPERLINK("Melting_Curves/meltCurve_P68363_TUBA1B.pdf", "Melting_Curves/meltCurve_P68363_TUBA1B.pdf")</f>
        <v>Melting_Curves/meltCurve_P68363_TUBA1B.pdf</v>
      </c>
    </row>
    <row r="2669" spans="1:28" x14ac:dyDescent="0.25">
      <c r="A2669" t="s">
        <v>2673</v>
      </c>
      <c r="B2669">
        <v>0.99299721793515405</v>
      </c>
      <c r="C2669">
        <v>1.02429885505759</v>
      </c>
      <c r="D2669">
        <v>0.92397184911801999</v>
      </c>
      <c r="E2669">
        <v>0.90671505664293295</v>
      </c>
      <c r="F2669">
        <v>0.80513612551506997</v>
      </c>
      <c r="G2669">
        <v>0.69700709444966003</v>
      </c>
      <c r="H2669">
        <v>0.61850108494082601</v>
      </c>
      <c r="I2669">
        <v>0.53594263171607903</v>
      </c>
      <c r="J2669">
        <v>0.225673021750637</v>
      </c>
      <c r="K2669">
        <v>9.5700056576060497E-2</v>
      </c>
      <c r="L2669">
        <v>631.28933837912905</v>
      </c>
      <c r="M2669">
        <v>10.754382193990301</v>
      </c>
      <c r="N2669">
        <v>58.700660564331798</v>
      </c>
      <c r="O2669">
        <v>56.780259971271001</v>
      </c>
      <c r="P2669">
        <v>-4.7368312410735601E-2</v>
      </c>
      <c r="Q2669">
        <v>0</v>
      </c>
      <c r="R2669">
        <v>0.94767615143108996</v>
      </c>
      <c r="S2669" t="s">
        <v>8220</v>
      </c>
      <c r="T2669" t="s">
        <v>11100</v>
      </c>
      <c r="U2669" t="s">
        <v>11100</v>
      </c>
      <c r="V2669" t="s">
        <v>11100</v>
      </c>
      <c r="W2669" t="s">
        <v>13726</v>
      </c>
      <c r="X2669">
        <v>40</v>
      </c>
      <c r="Y2669" t="s">
        <v>19185</v>
      </c>
      <c r="Z2669" t="s">
        <v>24674</v>
      </c>
      <c r="AA2669">
        <v>0.71249008446183681</v>
      </c>
      <c r="AB2669" t="str">
        <f>HYPERLINK("Melting_Curves/meltCurve_P68371_TUBB4B.pdf", "Melting_Curves/meltCurve_P68371_TUBB4B.pdf")</f>
        <v>Melting_Curves/meltCurve_P68371_TUBB4B.pdf</v>
      </c>
    </row>
    <row r="2670" spans="1:28" x14ac:dyDescent="0.25">
      <c r="A2670" t="s">
        <v>2674</v>
      </c>
      <c r="B2670">
        <v>0.99299721793515405</v>
      </c>
      <c r="C2670">
        <v>1.15297112712229</v>
      </c>
      <c r="D2670">
        <v>1.71521346346115</v>
      </c>
      <c r="E2670">
        <v>1.08744622931001</v>
      </c>
      <c r="F2670">
        <v>0.73726312405175698</v>
      </c>
      <c r="G2670">
        <v>0.57617228593936598</v>
      </c>
      <c r="H2670">
        <v>0.30659778044042402</v>
      </c>
      <c r="I2670">
        <v>0.29708707904446002</v>
      </c>
      <c r="J2670">
        <v>0.23922334710315399</v>
      </c>
      <c r="K2670">
        <v>0.21573992235480999</v>
      </c>
      <c r="L2670">
        <v>1335.9793769836299</v>
      </c>
      <c r="M2670">
        <v>25.3245766046394</v>
      </c>
      <c r="N2670">
        <v>54.136416377215198</v>
      </c>
      <c r="O2670">
        <v>52.4286150058659</v>
      </c>
      <c r="P2670">
        <v>-9.2009051135531997E-2</v>
      </c>
      <c r="Q2670">
        <v>0.23807682359832599</v>
      </c>
      <c r="R2670">
        <v>0.74770038859878096</v>
      </c>
      <c r="S2670" t="s">
        <v>8221</v>
      </c>
      <c r="T2670" t="s">
        <v>11100</v>
      </c>
      <c r="U2670" t="s">
        <v>11100</v>
      </c>
      <c r="V2670" t="s">
        <v>11100</v>
      </c>
      <c r="W2670" t="s">
        <v>13727</v>
      </c>
      <c r="X2670">
        <v>6</v>
      </c>
      <c r="Y2670" t="s">
        <v>19186</v>
      </c>
      <c r="Z2670" t="s">
        <v>24675</v>
      </c>
      <c r="AA2670">
        <v>0.64478696581466222</v>
      </c>
      <c r="AB2670" t="str">
        <f>HYPERLINK("Melting_Curves/meltCurve_P68402_PAFAH1B2.pdf", "Melting_Curves/meltCurve_P68402_PAFAH1B2.pdf")</f>
        <v>Melting_Curves/meltCurve_P68402_PAFAH1B2.pdf</v>
      </c>
    </row>
    <row r="2671" spans="1:28" x14ac:dyDescent="0.25">
      <c r="A2671" t="s">
        <v>2675</v>
      </c>
      <c r="B2671">
        <v>0.99299721793515405</v>
      </c>
      <c r="C2671">
        <v>1.2397247220611001</v>
      </c>
      <c r="D2671">
        <v>1.0887840512305</v>
      </c>
      <c r="E2671">
        <v>1.09475272791248</v>
      </c>
      <c r="F2671">
        <v>0.90932381480053104</v>
      </c>
      <c r="G2671">
        <v>1.0529861392842901</v>
      </c>
      <c r="H2671">
        <v>0.72452042148699203</v>
      </c>
      <c r="I2671">
        <v>0.63542812006333405</v>
      </c>
      <c r="J2671">
        <v>0.37485704485585503</v>
      </c>
      <c r="K2671">
        <v>0.33303887637972202</v>
      </c>
      <c r="L2671">
        <v>1285.40491252737</v>
      </c>
      <c r="M2671">
        <v>21.319140866573498</v>
      </c>
      <c r="N2671">
        <v>62.245314124825498</v>
      </c>
      <c r="O2671">
        <v>59.770491858628603</v>
      </c>
      <c r="P2671">
        <v>-6.7435854895552996E-2</v>
      </c>
      <c r="Q2671">
        <v>0.24376458741470899</v>
      </c>
      <c r="R2671">
        <v>0.88257674696052602</v>
      </c>
      <c r="S2671" t="s">
        <v>8222</v>
      </c>
      <c r="T2671" t="s">
        <v>11100</v>
      </c>
      <c r="U2671" t="s">
        <v>11100</v>
      </c>
      <c r="V2671" t="s">
        <v>11100</v>
      </c>
      <c r="W2671" t="s">
        <v>13728</v>
      </c>
      <c r="X2671">
        <v>3</v>
      </c>
      <c r="Y2671" t="s">
        <v>19187</v>
      </c>
      <c r="Z2671" t="s">
        <v>24676</v>
      </c>
      <c r="AA2671">
        <v>0.83118495428892225</v>
      </c>
      <c r="AB2671" t="str">
        <f>HYPERLINK("Melting_Curves/meltCurve_P69892_HBG2.pdf", "Melting_Curves/meltCurve_P69892_HBG2.pdf")</f>
        <v>Melting_Curves/meltCurve_P69892_HBG2.pdf</v>
      </c>
    </row>
    <row r="2672" spans="1:28" x14ac:dyDescent="0.25">
      <c r="A2672" t="s">
        <v>2676</v>
      </c>
      <c r="B2672">
        <v>0.99299721793515405</v>
      </c>
      <c r="C2672">
        <v>1.03494260785068</v>
      </c>
      <c r="D2672">
        <v>0.92975500946916101</v>
      </c>
      <c r="E2672">
        <v>0.90317320298681802</v>
      </c>
      <c r="F2672">
        <v>0.76350612214525104</v>
      </c>
      <c r="G2672">
        <v>0.61740460162636102</v>
      </c>
      <c r="H2672">
        <v>0.626423889999844</v>
      </c>
      <c r="I2672">
        <v>0.733356520636406</v>
      </c>
      <c r="J2672">
        <v>0.83743825508044401</v>
      </c>
      <c r="K2672">
        <v>0.76572247386621795</v>
      </c>
      <c r="L2672">
        <v>1637.7885387936401</v>
      </c>
      <c r="M2672">
        <v>34.641602012962601</v>
      </c>
      <c r="O2672">
        <v>47.121364855770402</v>
      </c>
      <c r="P2672">
        <v>-5.1837223057947898E-2</v>
      </c>
      <c r="Q2672">
        <v>0.71795395392051697</v>
      </c>
      <c r="R2672">
        <v>0.778339784638171</v>
      </c>
      <c r="S2672" t="s">
        <v>8223</v>
      </c>
      <c r="T2672" t="s">
        <v>11100</v>
      </c>
      <c r="U2672" t="s">
        <v>11100</v>
      </c>
      <c r="V2672" t="s">
        <v>11100</v>
      </c>
      <c r="W2672" t="s">
        <v>13729</v>
      </c>
      <c r="X2672">
        <v>14</v>
      </c>
      <c r="Y2672" t="s">
        <v>19188</v>
      </c>
      <c r="Z2672" t="s">
        <v>24677</v>
      </c>
      <c r="AA2672">
        <v>0.81581611585199709</v>
      </c>
      <c r="AB2672" t="str">
        <f>HYPERLINK("Melting_Curves/meltCurve_P78310_CXADR.pdf", "Melting_Curves/meltCurve_P78310_CXADR.pdf")</f>
        <v>Melting_Curves/meltCurve_P78310_CXADR.pdf</v>
      </c>
    </row>
    <row r="2673" spans="1:28" x14ac:dyDescent="0.25">
      <c r="A2673" t="s">
        <v>2677</v>
      </c>
      <c r="B2673">
        <v>0.99299721793515405</v>
      </c>
      <c r="C2673">
        <v>0.95350875284146597</v>
      </c>
      <c r="D2673">
        <v>0.89007558300389999</v>
      </c>
      <c r="E2673">
        <v>0.81802796642344899</v>
      </c>
      <c r="F2673">
        <v>0.66238115476673998</v>
      </c>
      <c r="G2673">
        <v>0.39593337584407201</v>
      </c>
      <c r="H2673">
        <v>0.277415314413684</v>
      </c>
      <c r="I2673">
        <v>0.24006608339809599</v>
      </c>
      <c r="J2673">
        <v>0.15617864148591301</v>
      </c>
      <c r="K2673">
        <v>0.117239805937248</v>
      </c>
      <c r="L2673">
        <v>608.35603249657697</v>
      </c>
      <c r="M2673">
        <v>11.7288177151203</v>
      </c>
      <c r="N2673">
        <v>52.502954474887296</v>
      </c>
      <c r="O2673">
        <v>50.429541648907303</v>
      </c>
      <c r="P2673">
        <v>-5.4316990720316302E-2</v>
      </c>
      <c r="Q2673">
        <v>6.6074813475122507E-2</v>
      </c>
      <c r="R2673">
        <v>0.993979020509414</v>
      </c>
      <c r="S2673" t="s">
        <v>8224</v>
      </c>
      <c r="T2673" t="s">
        <v>11100</v>
      </c>
      <c r="U2673" t="s">
        <v>11100</v>
      </c>
      <c r="V2673" t="s">
        <v>11100</v>
      </c>
      <c r="W2673" t="s">
        <v>13730</v>
      </c>
      <c r="X2673">
        <v>12</v>
      </c>
      <c r="Y2673" t="s">
        <v>19189</v>
      </c>
      <c r="Z2673" t="s">
        <v>24678</v>
      </c>
      <c r="AA2673">
        <v>0.55184165106898364</v>
      </c>
      <c r="AB2673" t="str">
        <f>HYPERLINK("Melting_Curves/meltCurve_P78318_IGBP1.pdf", "Melting_Curves/meltCurve_P78318_IGBP1.pdf")</f>
        <v>Melting_Curves/meltCurve_P78318_IGBP1.pdf</v>
      </c>
    </row>
    <row r="2674" spans="1:28" x14ac:dyDescent="0.25">
      <c r="A2674" t="s">
        <v>2678</v>
      </c>
      <c r="B2674">
        <v>0.99299721793515405</v>
      </c>
      <c r="C2674">
        <v>0.75017095548887403</v>
      </c>
      <c r="D2674">
        <v>1.0314958107032</v>
      </c>
      <c r="E2674">
        <v>0.71516483410930698</v>
      </c>
      <c r="F2674">
        <v>0.72509187229148897</v>
      </c>
      <c r="G2674">
        <v>0.57359882217520297</v>
      </c>
      <c r="H2674">
        <v>0.50634740666512201</v>
      </c>
      <c r="I2674">
        <v>0.45984945301693297</v>
      </c>
      <c r="J2674">
        <v>0.61614010895426397</v>
      </c>
      <c r="K2674">
        <v>0.71535475568272799</v>
      </c>
      <c r="L2674">
        <v>662.595676766466</v>
      </c>
      <c r="M2674">
        <v>14.3910759724632</v>
      </c>
      <c r="O2674">
        <v>45.1804662580601</v>
      </c>
      <c r="P2674">
        <v>-3.4689845545744301E-2</v>
      </c>
      <c r="Q2674">
        <v>0.56441973003517698</v>
      </c>
      <c r="R2674">
        <v>0.63500469955222105</v>
      </c>
      <c r="S2674" t="s">
        <v>8225</v>
      </c>
      <c r="T2674" t="s">
        <v>11100</v>
      </c>
      <c r="U2674" t="s">
        <v>11100</v>
      </c>
      <c r="V2674" t="s">
        <v>11100</v>
      </c>
      <c r="W2674" t="s">
        <v>13731</v>
      </c>
      <c r="X2674">
        <v>2</v>
      </c>
      <c r="Y2674" t="s">
        <v>19190</v>
      </c>
      <c r="Z2674" t="s">
        <v>24679</v>
      </c>
      <c r="AA2674">
        <v>0.70655062742417263</v>
      </c>
      <c r="AB2674" t="str">
        <f>HYPERLINK("Melting_Curves/meltCurve_P78324_SIRPA.pdf", "Melting_Curves/meltCurve_P78324_SIRPA.pdf")</f>
        <v>Melting_Curves/meltCurve_P78324_SIRPA.pdf</v>
      </c>
    </row>
    <row r="2675" spans="1:28" x14ac:dyDescent="0.25">
      <c r="A2675" t="s">
        <v>2679</v>
      </c>
      <c r="B2675">
        <v>0.99299721793515405</v>
      </c>
      <c r="C2675">
        <v>1.00920346416474</v>
      </c>
      <c r="D2675">
        <v>0.96671208439687395</v>
      </c>
      <c r="E2675">
        <v>0.84971892095697799</v>
      </c>
      <c r="F2675">
        <v>0.81221841135506101</v>
      </c>
      <c r="G2675">
        <v>0.64542072026077801</v>
      </c>
      <c r="H2675">
        <v>0.61634955997413099</v>
      </c>
      <c r="I2675">
        <v>0.73008345546474596</v>
      </c>
      <c r="J2675">
        <v>0.82386181800375902</v>
      </c>
      <c r="K2675">
        <v>0.57157442466306896</v>
      </c>
      <c r="L2675">
        <v>989.39489360493201</v>
      </c>
      <c r="M2675">
        <v>20.818180464912</v>
      </c>
      <c r="O2675">
        <v>47.093519125028202</v>
      </c>
      <c r="P2675">
        <v>-3.5686714278040002E-2</v>
      </c>
      <c r="Q2675">
        <v>0.67709641664298004</v>
      </c>
      <c r="R2675">
        <v>0.79340326013258</v>
      </c>
      <c r="S2675" t="s">
        <v>8226</v>
      </c>
      <c r="T2675" t="s">
        <v>11100</v>
      </c>
      <c r="U2675" t="s">
        <v>11100</v>
      </c>
      <c r="V2675" t="s">
        <v>11100</v>
      </c>
      <c r="W2675" t="s">
        <v>13732</v>
      </c>
      <c r="X2675">
        <v>15</v>
      </c>
      <c r="Y2675" t="s">
        <v>19191</v>
      </c>
      <c r="Z2675" t="s">
        <v>24680</v>
      </c>
      <c r="AA2675">
        <v>0.79430680701697942</v>
      </c>
      <c r="AB2675" t="str">
        <f>HYPERLINK("Melting_Curves/meltCurve_P78330_PSPH.pdf", "Melting_Curves/meltCurve_P78330_PSPH.pdf")</f>
        <v>Melting_Curves/meltCurve_P78330_PSPH.pdf</v>
      </c>
    </row>
    <row r="2676" spans="1:28" x14ac:dyDescent="0.25">
      <c r="A2676" t="s">
        <v>2680</v>
      </c>
      <c r="B2676">
        <v>0.99299721793515405</v>
      </c>
      <c r="C2676">
        <v>1.0009362525849901</v>
      </c>
      <c r="D2676">
        <v>0.980850576719143</v>
      </c>
      <c r="E2676">
        <v>0.80644932213863596</v>
      </c>
      <c r="F2676">
        <v>0.33013540039245398</v>
      </c>
      <c r="G2676">
        <v>0.190997303993034</v>
      </c>
      <c r="H2676">
        <v>0.164315770439244</v>
      </c>
      <c r="I2676">
        <v>0.150334681568248</v>
      </c>
      <c r="J2676">
        <v>0.14640252588279801</v>
      </c>
      <c r="K2676">
        <v>0.128549731749211</v>
      </c>
      <c r="L2676">
        <v>1598.2315473972401</v>
      </c>
      <c r="M2676">
        <v>33.097929999647697</v>
      </c>
      <c r="N2676">
        <v>48.807594880473403</v>
      </c>
      <c r="O2676">
        <v>48.1127280067386</v>
      </c>
      <c r="P2676">
        <v>-0.14644314500331701</v>
      </c>
      <c r="Q2676">
        <v>0.14849717106444599</v>
      </c>
      <c r="R2676">
        <v>0.99938511712915201</v>
      </c>
      <c r="S2676" t="s">
        <v>8227</v>
      </c>
      <c r="T2676" t="s">
        <v>11100</v>
      </c>
      <c r="U2676" t="s">
        <v>11100</v>
      </c>
      <c r="V2676" t="s">
        <v>11100</v>
      </c>
      <c r="W2676" t="s">
        <v>13733</v>
      </c>
      <c r="X2676">
        <v>22</v>
      </c>
      <c r="Y2676" t="s">
        <v>19192</v>
      </c>
      <c r="Z2676" t="s">
        <v>24681</v>
      </c>
      <c r="AA2676">
        <v>0.47305022179565398</v>
      </c>
      <c r="AB2676" t="str">
        <f>HYPERLINK("Melting_Curves/meltCurve_P78347_2_GTF2I.pdf", "Melting_Curves/meltCurve_P78347_2_GTF2I.pdf")</f>
        <v>Melting_Curves/meltCurve_P78347_2_GTF2I.pdf</v>
      </c>
    </row>
    <row r="2677" spans="1:28" x14ac:dyDescent="0.25">
      <c r="A2677" t="s">
        <v>2681</v>
      </c>
      <c r="B2677">
        <v>0.99299721793515405</v>
      </c>
      <c r="C2677">
        <v>1.02140094548988</v>
      </c>
      <c r="D2677">
        <v>0.94850741365447799</v>
      </c>
      <c r="E2677">
        <v>0.77993722010536204</v>
      </c>
      <c r="F2677">
        <v>0.63600618420699395</v>
      </c>
      <c r="G2677">
        <v>0.56007946152139299</v>
      </c>
      <c r="H2677">
        <v>0.85085954251849105</v>
      </c>
      <c r="I2677">
        <v>0.58805191984646599</v>
      </c>
      <c r="J2677">
        <v>0.40737802970172599</v>
      </c>
      <c r="K2677">
        <v>0.19702419226398801</v>
      </c>
      <c r="L2677">
        <v>348.40935377967202</v>
      </c>
      <c r="M2677">
        <v>5.7587468344499797</v>
      </c>
      <c r="N2677">
        <v>60.500897815709301</v>
      </c>
      <c r="O2677">
        <v>54.397741686801702</v>
      </c>
      <c r="P2677">
        <v>-2.6565086367429401E-2</v>
      </c>
      <c r="Q2677">
        <v>0</v>
      </c>
      <c r="R2677">
        <v>0.76596677696823101</v>
      </c>
      <c r="S2677" t="s">
        <v>8228</v>
      </c>
      <c r="T2677" t="s">
        <v>11100</v>
      </c>
      <c r="U2677" t="s">
        <v>11100</v>
      </c>
      <c r="V2677" t="s">
        <v>11100</v>
      </c>
      <c r="W2677" t="s">
        <v>13734</v>
      </c>
      <c r="X2677">
        <v>29</v>
      </c>
      <c r="Y2677" t="s">
        <v>19193</v>
      </c>
      <c r="Z2677" t="s">
        <v>24682</v>
      </c>
      <c r="AA2677">
        <v>0.70209245540719556</v>
      </c>
      <c r="AB2677" t="str">
        <f>HYPERLINK("Melting_Curves/meltCurve_P78371_CCT2.pdf", "Melting_Curves/meltCurve_P78371_CCT2.pdf")</f>
        <v>Melting_Curves/meltCurve_P78371_CCT2.pdf</v>
      </c>
    </row>
    <row r="2678" spans="1:28" x14ac:dyDescent="0.25">
      <c r="A2678" t="s">
        <v>2682</v>
      </c>
      <c r="B2678">
        <v>0.99299721793515405</v>
      </c>
      <c r="C2678">
        <v>0.96065325001829505</v>
      </c>
      <c r="D2678">
        <v>1.0546305848649999</v>
      </c>
      <c r="E2678">
        <v>0.85110151153954305</v>
      </c>
      <c r="F2678">
        <v>0.66580352515139696</v>
      </c>
      <c r="G2678">
        <v>0.33177187500769001</v>
      </c>
      <c r="H2678">
        <v>0.19094117146747</v>
      </c>
      <c r="I2678">
        <v>0.13502434425852</v>
      </c>
      <c r="J2678">
        <v>0.12086437091314001</v>
      </c>
      <c r="K2678">
        <v>0.10397158374592699</v>
      </c>
      <c r="L2678">
        <v>1048.1911806553501</v>
      </c>
      <c r="M2678">
        <v>20.4677276722466</v>
      </c>
      <c r="N2678">
        <v>51.781412423426197</v>
      </c>
      <c r="O2678">
        <v>50.730559042296498</v>
      </c>
      <c r="P2678">
        <v>-9.0701709829720104E-2</v>
      </c>
      <c r="Q2678">
        <v>0.10078699165975601</v>
      </c>
      <c r="R2678">
        <v>0.99355691923088396</v>
      </c>
      <c r="S2678" t="s">
        <v>8229</v>
      </c>
      <c r="T2678" t="s">
        <v>11100</v>
      </c>
      <c r="U2678" t="s">
        <v>11100</v>
      </c>
      <c r="V2678" t="s">
        <v>11100</v>
      </c>
      <c r="W2678" t="s">
        <v>13735</v>
      </c>
      <c r="X2678">
        <v>11</v>
      </c>
      <c r="Y2678" t="s">
        <v>19194</v>
      </c>
      <c r="Z2678" t="s">
        <v>24683</v>
      </c>
      <c r="AA2678">
        <v>0.53807703851204225</v>
      </c>
      <c r="AB2678" t="str">
        <f>HYPERLINK("Melting_Curves/meltCurve_P78406_RAE1.pdf", "Melting_Curves/meltCurve_P78406_RAE1.pdf")</f>
        <v>Melting_Curves/meltCurve_P78406_RAE1.pdf</v>
      </c>
    </row>
    <row r="2679" spans="1:28" x14ac:dyDescent="0.25">
      <c r="A2679" t="s">
        <v>2683</v>
      </c>
      <c r="B2679">
        <v>0.99299721793515405</v>
      </c>
      <c r="C2679">
        <v>1.0145562093620999</v>
      </c>
      <c r="D2679">
        <v>0.92757524067669705</v>
      </c>
      <c r="E2679">
        <v>0.901233836195941</v>
      </c>
      <c r="F2679">
        <v>0.78907097261786696</v>
      </c>
      <c r="G2679">
        <v>0.605629398896805</v>
      </c>
      <c r="H2679">
        <v>0.47999013115404399</v>
      </c>
      <c r="I2679">
        <v>0.339442401526176</v>
      </c>
      <c r="J2679">
        <v>0.22124559869315899</v>
      </c>
      <c r="K2679">
        <v>0.15142187361568499</v>
      </c>
      <c r="L2679">
        <v>574.69215529261805</v>
      </c>
      <c r="M2679">
        <v>10.1668288526522</v>
      </c>
      <c r="N2679">
        <v>56.526211002745796</v>
      </c>
      <c r="O2679">
        <v>54.470112936249897</v>
      </c>
      <c r="P2679">
        <v>-4.6683722473777903E-2</v>
      </c>
      <c r="Q2679">
        <v>0</v>
      </c>
      <c r="R2679">
        <v>0.99639365177452299</v>
      </c>
      <c r="S2679" t="s">
        <v>8230</v>
      </c>
      <c r="T2679" t="s">
        <v>11100</v>
      </c>
      <c r="U2679" t="s">
        <v>11100</v>
      </c>
      <c r="V2679" t="s">
        <v>11100</v>
      </c>
      <c r="W2679" t="s">
        <v>13736</v>
      </c>
      <c r="X2679">
        <v>17</v>
      </c>
      <c r="Y2679" t="s">
        <v>19195</v>
      </c>
      <c r="Z2679" t="s">
        <v>24684</v>
      </c>
      <c r="AA2679">
        <v>0.65392549093451213</v>
      </c>
      <c r="AB2679" t="str">
        <f>HYPERLINK("Melting_Curves/meltCurve_P78417_GSTO1.pdf", "Melting_Curves/meltCurve_P78417_GSTO1.pdf")</f>
        <v>Melting_Curves/meltCurve_P78417_GSTO1.pdf</v>
      </c>
    </row>
    <row r="2680" spans="1:28" x14ac:dyDescent="0.25">
      <c r="A2680" t="s">
        <v>2684</v>
      </c>
      <c r="B2680">
        <v>0.99299721793515405</v>
      </c>
      <c r="C2680">
        <v>0.96038875503584398</v>
      </c>
      <c r="D2680">
        <v>0.86586324395549796</v>
      </c>
      <c r="E2680">
        <v>0.84118274123015102</v>
      </c>
      <c r="F2680">
        <v>0.81708688558584897</v>
      </c>
      <c r="G2680">
        <v>0.93524383136961597</v>
      </c>
      <c r="H2680">
        <v>0.27768531730657903</v>
      </c>
      <c r="I2680">
        <v>0.23676526162134001</v>
      </c>
      <c r="J2680">
        <v>0.21758999400276799</v>
      </c>
      <c r="K2680">
        <v>0.16996425056252101</v>
      </c>
      <c r="L2680">
        <v>4001.3124119323702</v>
      </c>
      <c r="M2680">
        <v>72.000070284409006</v>
      </c>
      <c r="N2680">
        <v>55.989377012933303</v>
      </c>
      <c r="O2680">
        <v>55.530927482372299</v>
      </c>
      <c r="P2680">
        <v>-0.25703964722732198</v>
      </c>
      <c r="Q2680">
        <v>0.20702071827410901</v>
      </c>
      <c r="R2680">
        <v>0.92877760176721202</v>
      </c>
      <c r="S2680" t="s">
        <v>8231</v>
      </c>
      <c r="T2680" t="s">
        <v>11100</v>
      </c>
      <c r="U2680" t="s">
        <v>11100</v>
      </c>
      <c r="V2680" t="s">
        <v>11100</v>
      </c>
      <c r="W2680" t="s">
        <v>13737</v>
      </c>
      <c r="X2680">
        <v>30</v>
      </c>
      <c r="Y2680" t="s">
        <v>19196</v>
      </c>
      <c r="Z2680" t="s">
        <v>24685</v>
      </c>
      <c r="AA2680">
        <v>0.69890805412524659</v>
      </c>
      <c r="AB2680" t="str">
        <f>HYPERLINK("Melting_Curves/meltCurve_P78527_PRKDC.pdf", "Melting_Curves/meltCurve_P78527_PRKDC.pdf")</f>
        <v>Melting_Curves/meltCurve_P78527_PRKDC.pdf</v>
      </c>
    </row>
    <row r="2681" spans="1:28" x14ac:dyDescent="0.25">
      <c r="A2681" t="s">
        <v>2685</v>
      </c>
      <c r="B2681">
        <v>0.99299721793515405</v>
      </c>
      <c r="C2681">
        <v>0.92848718541929198</v>
      </c>
      <c r="D2681">
        <v>0.93556121842290296</v>
      </c>
      <c r="E2681">
        <v>0.850350044506192</v>
      </c>
      <c r="F2681">
        <v>0.74306701784309803</v>
      </c>
      <c r="G2681">
        <v>0.61326176226468199</v>
      </c>
      <c r="H2681">
        <v>0.46906306284396398</v>
      </c>
      <c r="I2681">
        <v>0.41279870403755697</v>
      </c>
      <c r="J2681">
        <v>0.300776934409904</v>
      </c>
      <c r="K2681">
        <v>0.22791614588460199</v>
      </c>
      <c r="L2681">
        <v>435.07547271613203</v>
      </c>
      <c r="M2681">
        <v>7.6229457951245596</v>
      </c>
      <c r="N2681">
        <v>57.074454374165697</v>
      </c>
      <c r="O2681">
        <v>53.544194405024598</v>
      </c>
      <c r="P2681">
        <v>-3.5640021960334799E-2</v>
      </c>
      <c r="Q2681">
        <v>0</v>
      </c>
      <c r="R2681">
        <v>0.99546071945997605</v>
      </c>
      <c r="S2681" t="s">
        <v>8232</v>
      </c>
      <c r="T2681" t="s">
        <v>11100</v>
      </c>
      <c r="U2681" t="s">
        <v>11100</v>
      </c>
      <c r="V2681" t="s">
        <v>11100</v>
      </c>
      <c r="W2681" t="s">
        <v>13738</v>
      </c>
      <c r="X2681">
        <v>11</v>
      </c>
      <c r="Y2681" t="s">
        <v>19197</v>
      </c>
      <c r="Z2681" t="s">
        <v>24686</v>
      </c>
      <c r="AA2681">
        <v>0.65482293145709958</v>
      </c>
      <c r="AB2681" t="str">
        <f>HYPERLINK("Melting_Curves/meltCurve_P78536_ADAM17.pdf", "Melting_Curves/meltCurve_P78536_ADAM17.pdf")</f>
        <v>Melting_Curves/meltCurve_P78536_ADAM17.pdf</v>
      </c>
    </row>
    <row r="2682" spans="1:28" x14ac:dyDescent="0.25">
      <c r="A2682" t="s">
        <v>2686</v>
      </c>
      <c r="B2682">
        <v>0.99299721793515405</v>
      </c>
      <c r="C2682">
        <v>0.90831821801224</v>
      </c>
      <c r="D2682">
        <v>0.94119613666502899</v>
      </c>
      <c r="E2682">
        <v>0.98948590307025497</v>
      </c>
      <c r="F2682">
        <v>0.776840553987726</v>
      </c>
      <c r="G2682">
        <v>0.64541532860901696</v>
      </c>
      <c r="H2682">
        <v>0.59791397260163404</v>
      </c>
      <c r="I2682">
        <v>0.54566380872355702</v>
      </c>
      <c r="J2682">
        <v>0.34579814485747201</v>
      </c>
      <c r="K2682">
        <v>0.24694884913647</v>
      </c>
      <c r="L2682">
        <v>472.01843669514801</v>
      </c>
      <c r="M2682">
        <v>7.9117872668014098</v>
      </c>
      <c r="N2682">
        <v>59.660149187669099</v>
      </c>
      <c r="O2682">
        <v>56.209745007615197</v>
      </c>
      <c r="P2682">
        <v>-3.5230160318524502E-2</v>
      </c>
      <c r="Q2682">
        <v>0</v>
      </c>
      <c r="R2682">
        <v>0.95481880098902705</v>
      </c>
      <c r="S2682" t="s">
        <v>8233</v>
      </c>
      <c r="T2682" t="s">
        <v>11100</v>
      </c>
      <c r="U2682" t="s">
        <v>11100</v>
      </c>
      <c r="V2682" t="s">
        <v>11100</v>
      </c>
      <c r="W2682" t="s">
        <v>13739</v>
      </c>
      <c r="X2682">
        <v>4</v>
      </c>
      <c r="Y2682" t="s">
        <v>19198</v>
      </c>
      <c r="Z2682" t="s">
        <v>24687</v>
      </c>
      <c r="AA2682">
        <v>0.71513971075405069</v>
      </c>
      <c r="AB2682" t="str">
        <f>HYPERLINK("Melting_Curves/meltCurve_P78537_BLOC1S1.pdf", "Melting_Curves/meltCurve_P78537_BLOC1S1.pdf")</f>
        <v>Melting_Curves/meltCurve_P78537_BLOC1S1.pdf</v>
      </c>
    </row>
    <row r="2683" spans="1:28" x14ac:dyDescent="0.25">
      <c r="A2683" t="s">
        <v>2687</v>
      </c>
      <c r="B2683">
        <v>0.99299721793515405</v>
      </c>
      <c r="C2683">
        <v>0.79604215901466002</v>
      </c>
      <c r="D2683">
        <v>0.84880674673169798</v>
      </c>
      <c r="E2683">
        <v>0.78854816917552795</v>
      </c>
      <c r="F2683">
        <v>0.75165725942940198</v>
      </c>
      <c r="G2683">
        <v>0.58690298935493102</v>
      </c>
      <c r="H2683">
        <v>0.541008392520127</v>
      </c>
      <c r="I2683">
        <v>0.54308158421901997</v>
      </c>
      <c r="J2683">
        <v>0.46225051195389799</v>
      </c>
      <c r="K2683">
        <v>0.231661895784771</v>
      </c>
      <c r="L2683">
        <v>282.569111015575</v>
      </c>
      <c r="M2683">
        <v>4.777844295295</v>
      </c>
      <c r="N2683">
        <v>59.141551218476302</v>
      </c>
      <c r="O2683">
        <v>51.0538173130006</v>
      </c>
      <c r="P2683">
        <v>-2.3563474172263801E-2</v>
      </c>
      <c r="Q2683">
        <v>0</v>
      </c>
      <c r="R2683">
        <v>0.89858843906001895</v>
      </c>
      <c r="S2683" t="s">
        <v>8234</v>
      </c>
      <c r="T2683" t="s">
        <v>11100</v>
      </c>
      <c r="U2683" t="s">
        <v>11100</v>
      </c>
      <c r="V2683" t="s">
        <v>11100</v>
      </c>
      <c r="W2683" t="s">
        <v>13740</v>
      </c>
      <c r="X2683">
        <v>3</v>
      </c>
      <c r="Y2683" t="s">
        <v>19199</v>
      </c>
      <c r="Z2683" t="s">
        <v>24688</v>
      </c>
      <c r="AA2683">
        <v>0.65910099527796717</v>
      </c>
      <c r="AB2683" t="str">
        <f>HYPERLINK("Melting_Curves/meltCurve_P78540_ARG2.pdf", "Melting_Curves/meltCurve_P78540_ARG2.pdf")</f>
        <v>Melting_Curves/meltCurve_P78540_ARG2.pdf</v>
      </c>
    </row>
    <row r="2684" spans="1:28" x14ac:dyDescent="0.25">
      <c r="A2684" t="s">
        <v>2688</v>
      </c>
      <c r="B2684">
        <v>0.99299721793515405</v>
      </c>
      <c r="C2684">
        <v>1.0068104872402901</v>
      </c>
      <c r="D2684">
        <v>0.58481303619804403</v>
      </c>
      <c r="E2684">
        <v>0.88865432673215705</v>
      </c>
      <c r="F2684">
        <v>0.871745473460519</v>
      </c>
      <c r="G2684">
        <v>0.45331099888519599</v>
      </c>
      <c r="H2684">
        <v>0.47874965431246302</v>
      </c>
      <c r="I2684">
        <v>0.172298344925782</v>
      </c>
      <c r="J2684">
        <v>0.10552614100263601</v>
      </c>
      <c r="K2684">
        <v>0</v>
      </c>
      <c r="L2684">
        <v>652.31254194726398</v>
      </c>
      <c r="M2684">
        <v>11.9713574032649</v>
      </c>
      <c r="N2684">
        <v>54.489415007610901</v>
      </c>
      <c r="O2684">
        <v>53.035753612260798</v>
      </c>
      <c r="P2684">
        <v>-5.64443309210578E-2</v>
      </c>
      <c r="Q2684">
        <v>0</v>
      </c>
      <c r="R2684">
        <v>0.84686243866768396</v>
      </c>
      <c r="S2684" t="s">
        <v>8235</v>
      </c>
      <c r="T2684" t="s">
        <v>11100</v>
      </c>
      <c r="U2684" t="s">
        <v>11100</v>
      </c>
      <c r="V2684" t="s">
        <v>11100</v>
      </c>
      <c r="W2684" t="s">
        <v>13741</v>
      </c>
      <c r="X2684">
        <v>1</v>
      </c>
      <c r="Y2684" t="s">
        <v>19200</v>
      </c>
      <c r="Z2684" t="s">
        <v>24689</v>
      </c>
      <c r="AA2684">
        <v>0.59914467761379009</v>
      </c>
      <c r="AB2684" t="str">
        <f>HYPERLINK("Melting_Curves/meltCurve_P80217_IFI35.pdf", "Melting_Curves/meltCurve_P80217_IFI35.pdf")</f>
        <v>Melting_Curves/meltCurve_P80217_IFI35.pdf</v>
      </c>
    </row>
    <row r="2685" spans="1:28" x14ac:dyDescent="0.25">
      <c r="A2685" t="s">
        <v>2689</v>
      </c>
      <c r="B2685">
        <v>0.99299721793515405</v>
      </c>
      <c r="C2685">
        <v>0.83453196600068702</v>
      </c>
      <c r="D2685">
        <v>1.38013831413954</v>
      </c>
      <c r="E2685">
        <v>0.944718634394491</v>
      </c>
      <c r="F2685">
        <v>0.97876177377458196</v>
      </c>
      <c r="G2685">
        <v>0.75647630469162097</v>
      </c>
      <c r="H2685">
        <v>0.64139990668366298</v>
      </c>
      <c r="I2685">
        <v>0.91395884226202495</v>
      </c>
      <c r="J2685">
        <v>1.1193136822091601</v>
      </c>
      <c r="K2685">
        <v>1.21317525766298</v>
      </c>
      <c r="L2685">
        <v>15000</v>
      </c>
      <c r="M2685">
        <v>234.249156029761</v>
      </c>
      <c r="O2685">
        <v>64.029715007499405</v>
      </c>
      <c r="P2685">
        <v>0.19497945360639199</v>
      </c>
      <c r="Q2685">
        <v>1.2131829036855299</v>
      </c>
      <c r="R2685">
        <v>0.12844477881083999</v>
      </c>
      <c r="S2685" t="s">
        <v>8236</v>
      </c>
      <c r="T2685" t="s">
        <v>11100</v>
      </c>
      <c r="U2685" t="s">
        <v>11100</v>
      </c>
      <c r="V2685" t="s">
        <v>11100</v>
      </c>
      <c r="W2685" t="s">
        <v>13742</v>
      </c>
      <c r="X2685">
        <v>7</v>
      </c>
      <c r="Y2685" t="s">
        <v>19201</v>
      </c>
      <c r="Z2685" t="s">
        <v>24690</v>
      </c>
      <c r="AA2685">
        <v>1.021046745848883</v>
      </c>
      <c r="AB2685" t="str">
        <f>HYPERLINK("Melting_Curves/meltCurve_P80297_MT1X.pdf", "Melting_Curves/meltCurve_P80297_MT1X.pdf")</f>
        <v>Melting_Curves/meltCurve_P80297_MT1X.pdf</v>
      </c>
    </row>
    <row r="2686" spans="1:28" x14ac:dyDescent="0.25">
      <c r="A2686" t="s">
        <v>2690</v>
      </c>
      <c r="B2686">
        <v>0.99299721793515405</v>
      </c>
      <c r="C2686">
        <v>0.95982840270789505</v>
      </c>
      <c r="D2686">
        <v>0.97085019496106295</v>
      </c>
      <c r="E2686">
        <v>0.921382558764131</v>
      </c>
      <c r="F2686">
        <v>0.79657288812419302</v>
      </c>
      <c r="G2686">
        <v>0.57886585608923902</v>
      </c>
      <c r="H2686">
        <v>0.568884411721301</v>
      </c>
      <c r="I2686">
        <v>0.60764238544142701</v>
      </c>
      <c r="J2686">
        <v>0.68316091870835705</v>
      </c>
      <c r="K2686">
        <v>0.48838324708921499</v>
      </c>
      <c r="L2686">
        <v>1433.7134218122101</v>
      </c>
      <c r="M2686">
        <v>28.774661875308599</v>
      </c>
      <c r="O2686">
        <v>49.586763993321803</v>
      </c>
      <c r="P2686">
        <v>-6.1294017198268297E-2</v>
      </c>
      <c r="Q2686">
        <v>0.57749653390866795</v>
      </c>
      <c r="R2686">
        <v>0.92320323608891797</v>
      </c>
      <c r="S2686" t="s">
        <v>8237</v>
      </c>
      <c r="T2686" t="s">
        <v>11100</v>
      </c>
      <c r="U2686" t="s">
        <v>11100</v>
      </c>
      <c r="V2686" t="s">
        <v>11100</v>
      </c>
      <c r="W2686" t="s">
        <v>13743</v>
      </c>
      <c r="X2686">
        <v>16</v>
      </c>
      <c r="Y2686" t="s">
        <v>19202</v>
      </c>
      <c r="Z2686" t="s">
        <v>24691</v>
      </c>
      <c r="AA2686">
        <v>0.76093109702267492</v>
      </c>
      <c r="AB2686" t="str">
        <f>HYPERLINK("Melting_Curves/meltCurve_P80303_NUCB2.pdf", "Melting_Curves/meltCurve_P80303_NUCB2.pdf")</f>
        <v>Melting_Curves/meltCurve_P80303_NUCB2.pdf</v>
      </c>
    </row>
    <row r="2687" spans="1:28" x14ac:dyDescent="0.25">
      <c r="A2687" t="s">
        <v>2691</v>
      </c>
      <c r="B2687">
        <v>0.99299721793515405</v>
      </c>
      <c r="C2687">
        <v>1.09359431739279</v>
      </c>
      <c r="D2687">
        <v>1.30559134177418</v>
      </c>
      <c r="E2687">
        <v>0.99595611798119099</v>
      </c>
      <c r="F2687">
        <v>0.91953768429449401</v>
      </c>
      <c r="G2687">
        <v>0.85995090626391901</v>
      </c>
      <c r="H2687">
        <v>0.85337507423316505</v>
      </c>
      <c r="I2687">
        <v>1.0373414376162999</v>
      </c>
      <c r="J2687">
        <v>1.39155286551027</v>
      </c>
      <c r="K2687">
        <v>0.93958966646501296</v>
      </c>
      <c r="L2687">
        <v>15000</v>
      </c>
      <c r="M2687">
        <v>244.66899831645199</v>
      </c>
      <c r="O2687">
        <v>61.303215187932999</v>
      </c>
      <c r="P2687">
        <v>0.16519990208865801</v>
      </c>
      <c r="Q2687">
        <v>1.16556713374887</v>
      </c>
      <c r="R2687">
        <v>0.140110386802834</v>
      </c>
      <c r="S2687" t="s">
        <v>8238</v>
      </c>
      <c r="T2687" t="s">
        <v>11100</v>
      </c>
      <c r="U2687" t="s">
        <v>11100</v>
      </c>
      <c r="V2687" t="s">
        <v>11100</v>
      </c>
      <c r="W2687" t="s">
        <v>13744</v>
      </c>
      <c r="X2687">
        <v>19</v>
      </c>
      <c r="Y2687" t="s">
        <v>19203</v>
      </c>
      <c r="Z2687" t="s">
        <v>24692</v>
      </c>
      <c r="AA2687">
        <v>1.031398771128311</v>
      </c>
      <c r="AB2687" t="str">
        <f>HYPERLINK("Melting_Curves/meltCurve_P80723_BASP1.pdf", "Melting_Curves/meltCurve_P80723_BASP1.pdf")</f>
        <v>Melting_Curves/meltCurve_P80723_BASP1.pdf</v>
      </c>
    </row>
    <row r="2688" spans="1:28" x14ac:dyDescent="0.25">
      <c r="A2688" t="s">
        <v>2692</v>
      </c>
      <c r="B2688">
        <v>0.99299721793515405</v>
      </c>
      <c r="C2688">
        <v>0.96396571906036199</v>
      </c>
      <c r="D2688">
        <v>0.84582829458720699</v>
      </c>
      <c r="E2688">
        <v>0.72173124908998398</v>
      </c>
      <c r="F2688">
        <v>0.38444799915064198</v>
      </c>
      <c r="G2688">
        <v>0.305506403675531</v>
      </c>
      <c r="H2688">
        <v>0.23374772894200599</v>
      </c>
      <c r="I2688">
        <v>0.18760601548467501</v>
      </c>
      <c r="J2688">
        <v>0.18592845333326399</v>
      </c>
      <c r="K2688">
        <v>0.14401192638685401</v>
      </c>
      <c r="L2688">
        <v>743.63415520153796</v>
      </c>
      <c r="M2688">
        <v>15.5151522806001</v>
      </c>
      <c r="N2688">
        <v>49.125155015089803</v>
      </c>
      <c r="O2688">
        <v>47.154497607488899</v>
      </c>
      <c r="P2688">
        <v>-6.9328324957395299E-2</v>
      </c>
      <c r="Q2688">
        <v>0.157249134193892</v>
      </c>
      <c r="R2688">
        <v>0.99286047973816405</v>
      </c>
      <c r="S2688" t="s">
        <v>8239</v>
      </c>
      <c r="T2688" t="s">
        <v>11100</v>
      </c>
      <c r="U2688" t="s">
        <v>11100</v>
      </c>
      <c r="V2688" t="s">
        <v>11100</v>
      </c>
      <c r="W2688" t="s">
        <v>13745</v>
      </c>
      <c r="X2688">
        <v>5</v>
      </c>
      <c r="Y2688" t="s">
        <v>19204</v>
      </c>
      <c r="Z2688" t="s">
        <v>24693</v>
      </c>
      <c r="AA2688">
        <v>0.48182842164096668</v>
      </c>
      <c r="AB2688" t="str">
        <f>HYPERLINK("Melting_Curves/meltCurve_P81274_GPSM2.pdf", "Melting_Curves/meltCurve_P81274_GPSM2.pdf")</f>
        <v>Melting_Curves/meltCurve_P81274_GPSM2.pdf</v>
      </c>
    </row>
    <row r="2689" spans="1:28" x14ac:dyDescent="0.25">
      <c r="A2689" t="s">
        <v>2693</v>
      </c>
      <c r="B2689">
        <v>0.99299721793515405</v>
      </c>
      <c r="C2689">
        <v>0.99207059972828204</v>
      </c>
      <c r="D2689">
        <v>0.95017779133376601</v>
      </c>
      <c r="E2689">
        <v>0.87834394544206296</v>
      </c>
      <c r="F2689">
        <v>0.78666685864417796</v>
      </c>
      <c r="G2689">
        <v>0.56491683832596995</v>
      </c>
      <c r="H2689">
        <v>0.59521583041903903</v>
      </c>
      <c r="I2689">
        <v>0.68872425244922197</v>
      </c>
      <c r="J2689">
        <v>0.759576861179871</v>
      </c>
      <c r="K2689">
        <v>0.64488984338748401</v>
      </c>
      <c r="L2689">
        <v>1256.94289678929</v>
      </c>
      <c r="M2689">
        <v>26.251115749553499</v>
      </c>
      <c r="O2689">
        <v>47.606236292188399</v>
      </c>
      <c r="P2689">
        <v>-4.7656015573979998E-2</v>
      </c>
      <c r="Q2689">
        <v>0.65430827949214598</v>
      </c>
      <c r="R2689">
        <v>0.865035263973293</v>
      </c>
      <c r="S2689" t="s">
        <v>8240</v>
      </c>
      <c r="T2689" t="s">
        <v>11100</v>
      </c>
      <c r="U2689" t="s">
        <v>11100</v>
      </c>
      <c r="V2689" t="s">
        <v>11100</v>
      </c>
      <c r="W2689" t="s">
        <v>13746</v>
      </c>
      <c r="X2689">
        <v>40</v>
      </c>
      <c r="Y2689" t="s">
        <v>19205</v>
      </c>
      <c r="Z2689" t="s">
        <v>24694</v>
      </c>
      <c r="AA2689">
        <v>0.78236526557743646</v>
      </c>
      <c r="AB2689" t="str">
        <f>HYPERLINK("Melting_Curves/meltCurve_P82094_TMF1.pdf", "Melting_Curves/meltCurve_P82094_TMF1.pdf")</f>
        <v>Melting_Curves/meltCurve_P82094_TMF1.pdf</v>
      </c>
    </row>
    <row r="2690" spans="1:28" x14ac:dyDescent="0.25">
      <c r="A2690" t="s">
        <v>2694</v>
      </c>
      <c r="B2690">
        <v>0.99299721793515405</v>
      </c>
      <c r="C2690">
        <v>1.0869518034782699</v>
      </c>
      <c r="D2690">
        <v>0.96454066152506301</v>
      </c>
      <c r="E2690">
        <v>0.95024491474138795</v>
      </c>
      <c r="F2690">
        <v>0.82524913414928402</v>
      </c>
      <c r="G2690">
        <v>0.52447180328193399</v>
      </c>
      <c r="H2690">
        <v>0.50832492923580996</v>
      </c>
      <c r="I2690">
        <v>0.39629086658406198</v>
      </c>
      <c r="J2690">
        <v>0.39508632338046501</v>
      </c>
      <c r="K2690">
        <v>0.282581167010301</v>
      </c>
      <c r="L2690">
        <v>952.75422774603703</v>
      </c>
      <c r="M2690">
        <v>18.162366583150099</v>
      </c>
      <c r="N2690">
        <v>55.862832032456303</v>
      </c>
      <c r="O2690">
        <v>51.834070931505799</v>
      </c>
      <c r="P2690">
        <v>-5.8278128116827602E-2</v>
      </c>
      <c r="Q2690">
        <v>0.33474557123551901</v>
      </c>
      <c r="R2690">
        <v>0.97113684344645002</v>
      </c>
      <c r="S2690" t="s">
        <v>8241</v>
      </c>
      <c r="T2690" t="s">
        <v>11100</v>
      </c>
      <c r="U2690" t="s">
        <v>11100</v>
      </c>
      <c r="V2690" t="s">
        <v>11100</v>
      </c>
      <c r="W2690" t="s">
        <v>13747</v>
      </c>
      <c r="X2690">
        <v>2</v>
      </c>
      <c r="Y2690" t="s">
        <v>19206</v>
      </c>
      <c r="Z2690" t="s">
        <v>24695</v>
      </c>
      <c r="AA2690">
        <v>0.68729969009805025</v>
      </c>
      <c r="AB2690" t="str">
        <f>HYPERLINK("Melting_Curves/meltCurve_P82664_MRPS10.pdf", "Melting_Curves/meltCurve_P82664_MRPS10.pdf")</f>
        <v>Melting_Curves/meltCurve_P82664_MRPS10.pdf</v>
      </c>
    </row>
    <row r="2691" spans="1:28" x14ac:dyDescent="0.25">
      <c r="A2691" t="s">
        <v>2695</v>
      </c>
      <c r="B2691">
        <v>0.99299721793515405</v>
      </c>
      <c r="C2691">
        <v>0.92693263465028597</v>
      </c>
      <c r="D2691">
        <v>0.84928349886874499</v>
      </c>
      <c r="E2691">
        <v>0.85895016358223597</v>
      </c>
      <c r="F2691">
        <v>0.78291555461259899</v>
      </c>
      <c r="G2691">
        <v>0.56139314065108803</v>
      </c>
      <c r="H2691">
        <v>0.94127310694807997</v>
      </c>
      <c r="I2691">
        <v>1.15964235802127</v>
      </c>
      <c r="J2691">
        <v>1.29635905769602</v>
      </c>
      <c r="K2691">
        <v>1.2042453351067299</v>
      </c>
      <c r="L2691">
        <v>15000</v>
      </c>
      <c r="M2691">
        <v>246.467470923945</v>
      </c>
      <c r="O2691">
        <v>60.855957161499902</v>
      </c>
      <c r="P2691">
        <v>0.25343203720403001</v>
      </c>
      <c r="Q2691">
        <v>1.2503023643739599</v>
      </c>
      <c r="R2691">
        <v>0.31002812764117099</v>
      </c>
      <c r="S2691" t="s">
        <v>8242</v>
      </c>
      <c r="T2691" t="s">
        <v>11100</v>
      </c>
      <c r="U2691" t="s">
        <v>11100</v>
      </c>
      <c r="V2691" t="s">
        <v>11100</v>
      </c>
      <c r="W2691" t="s">
        <v>13748</v>
      </c>
      <c r="X2691">
        <v>7</v>
      </c>
      <c r="Y2691" t="s">
        <v>19207</v>
      </c>
      <c r="Z2691" t="s">
        <v>24696</v>
      </c>
      <c r="AA2691">
        <v>1.051201392208085</v>
      </c>
      <c r="AB2691" t="str">
        <f>HYPERLINK("Melting_Curves/meltCurve_P82909_MRPS36.pdf", "Melting_Curves/meltCurve_P82909_MRPS36.pdf")</f>
        <v>Melting_Curves/meltCurve_P82909_MRPS36.pdf</v>
      </c>
    </row>
    <row r="2692" spans="1:28" x14ac:dyDescent="0.25">
      <c r="A2692" t="s">
        <v>2696</v>
      </c>
      <c r="B2692">
        <v>0.99299721793515405</v>
      </c>
      <c r="C2692">
        <v>0.96643221521824096</v>
      </c>
      <c r="D2692">
        <v>1.0475945475978801</v>
      </c>
      <c r="E2692">
        <v>0.95818361533398499</v>
      </c>
      <c r="F2692">
        <v>0.83206614939581303</v>
      </c>
      <c r="G2692">
        <v>0.70805479296773199</v>
      </c>
      <c r="H2692">
        <v>0.89436245476905396</v>
      </c>
      <c r="I2692">
        <v>1.13715135231203</v>
      </c>
      <c r="J2692">
        <v>1.34874202924211</v>
      </c>
      <c r="K2692">
        <v>1.15705778039188</v>
      </c>
      <c r="L2692">
        <v>15000</v>
      </c>
      <c r="M2692">
        <v>246.07133932311299</v>
      </c>
      <c r="O2692">
        <v>60.953903362981499</v>
      </c>
      <c r="P2692">
        <v>0.25523952932638</v>
      </c>
      <c r="Q2692">
        <v>1.25289976833368</v>
      </c>
      <c r="R2692">
        <v>0.49726944242624899</v>
      </c>
      <c r="S2692" t="s">
        <v>8243</v>
      </c>
      <c r="T2692" t="s">
        <v>11100</v>
      </c>
      <c r="U2692" t="s">
        <v>11100</v>
      </c>
      <c r="V2692" t="s">
        <v>11100</v>
      </c>
      <c r="W2692" t="s">
        <v>13749</v>
      </c>
      <c r="X2692">
        <v>18</v>
      </c>
      <c r="Y2692" t="s">
        <v>19208</v>
      </c>
      <c r="Z2692" t="s">
        <v>24697</v>
      </c>
      <c r="AA2692">
        <v>1.050906659268795</v>
      </c>
      <c r="AB2692" t="str">
        <f>HYPERLINK("Melting_Curves/meltCurve_P82979_SARNP.pdf", "Melting_Curves/meltCurve_P82979_SARNP.pdf")</f>
        <v>Melting_Curves/meltCurve_P82979_SARNP.pdf</v>
      </c>
    </row>
    <row r="2693" spans="1:28" x14ac:dyDescent="0.25">
      <c r="A2693" t="s">
        <v>2697</v>
      </c>
      <c r="B2693">
        <v>0.99299721793515405</v>
      </c>
      <c r="C2693">
        <v>0.74952597084096895</v>
      </c>
      <c r="D2693">
        <v>0.78136908827336204</v>
      </c>
      <c r="E2693">
        <v>0.63126525636910902</v>
      </c>
      <c r="F2693">
        <v>0.46029240768569002</v>
      </c>
      <c r="G2693">
        <v>0.35542306467300699</v>
      </c>
      <c r="H2693">
        <v>0.217751832639833</v>
      </c>
      <c r="I2693">
        <v>0.221907324680505</v>
      </c>
      <c r="J2693">
        <v>0.18232404352224299</v>
      </c>
      <c r="K2693">
        <v>0.193934425366282</v>
      </c>
      <c r="L2693">
        <v>404.26803884463999</v>
      </c>
      <c r="M2693">
        <v>8.4357932303536103</v>
      </c>
      <c r="N2693">
        <v>49.073284084682101</v>
      </c>
      <c r="O2693">
        <v>45.457154142749403</v>
      </c>
      <c r="P2693">
        <v>-4.2271294201806399E-2</v>
      </c>
      <c r="Q2693">
        <v>8.9710800356050904E-2</v>
      </c>
      <c r="R2693">
        <v>0.97186663224431202</v>
      </c>
      <c r="S2693" t="s">
        <v>8244</v>
      </c>
      <c r="T2693" t="s">
        <v>11100</v>
      </c>
      <c r="U2693" t="s">
        <v>11100</v>
      </c>
      <c r="V2693" t="s">
        <v>11100</v>
      </c>
      <c r="W2693" t="s">
        <v>13750</v>
      </c>
      <c r="X2693">
        <v>6</v>
      </c>
      <c r="Y2693" t="s">
        <v>19209</v>
      </c>
      <c r="Z2693" t="s">
        <v>24698</v>
      </c>
      <c r="AA2693">
        <v>0.46614627277210618</v>
      </c>
      <c r="AB2693" t="str">
        <f>HYPERLINK("Melting_Curves/meltCurve_P83436_COG7.pdf", "Melting_Curves/meltCurve_P83436_COG7.pdf")</f>
        <v>Melting_Curves/meltCurve_P83436_COG7.pdf</v>
      </c>
    </row>
    <row r="2694" spans="1:28" x14ac:dyDescent="0.25">
      <c r="A2694" t="s">
        <v>2698</v>
      </c>
      <c r="B2694">
        <v>0.99299721793515405</v>
      </c>
      <c r="C2694">
        <v>1.04627545940686</v>
      </c>
      <c r="D2694">
        <v>0.62689417287176596</v>
      </c>
      <c r="E2694">
        <v>0.75862018362176098</v>
      </c>
      <c r="F2694">
        <v>0.72779559361322099</v>
      </c>
      <c r="G2694">
        <v>0.43674780314181599</v>
      </c>
      <c r="H2694">
        <v>0.54576022322414397</v>
      </c>
      <c r="I2694">
        <v>0.55508933353822498</v>
      </c>
      <c r="J2694">
        <v>0.418646062710893</v>
      </c>
      <c r="K2694">
        <v>0.26572717719980998</v>
      </c>
      <c r="L2694">
        <v>306.58583434949099</v>
      </c>
      <c r="M2694">
        <v>5.76686116187288</v>
      </c>
      <c r="N2694">
        <v>57.254856710334103</v>
      </c>
      <c r="O2694">
        <v>47.813069734563598</v>
      </c>
      <c r="P2694">
        <v>-2.5154543486035599E-2</v>
      </c>
      <c r="Q2694">
        <v>0.168872415442335</v>
      </c>
      <c r="R2694">
        <v>0.789464357608333</v>
      </c>
      <c r="S2694" t="s">
        <v>8245</v>
      </c>
      <c r="T2694" t="s">
        <v>11100</v>
      </c>
      <c r="U2694" t="s">
        <v>11100</v>
      </c>
      <c r="V2694" t="s">
        <v>11100</v>
      </c>
      <c r="W2694" t="s">
        <v>13751</v>
      </c>
      <c r="X2694">
        <v>2</v>
      </c>
      <c r="Y2694" t="s">
        <v>19210</v>
      </c>
      <c r="Z2694" t="s">
        <v>24699</v>
      </c>
      <c r="AA2694">
        <v>0.62912492740802672</v>
      </c>
      <c r="AB2694" t="str">
        <f>HYPERLINK("Melting_Curves/meltCurve_P84074_HPCA.pdf", "Melting_Curves/meltCurve_P84074_HPCA.pdf")</f>
        <v>Melting_Curves/meltCurve_P84074_HPCA.pdf</v>
      </c>
    </row>
    <row r="2695" spans="1:28" x14ac:dyDescent="0.25">
      <c r="A2695" t="s">
        <v>2699</v>
      </c>
      <c r="B2695">
        <v>0.99299721793515405</v>
      </c>
      <c r="C2695">
        <v>1.1235979359488699</v>
      </c>
      <c r="D2695">
        <v>1.1305563727329699</v>
      </c>
      <c r="E2695">
        <v>0.95359394267997799</v>
      </c>
      <c r="F2695">
        <v>0.91150931171928395</v>
      </c>
      <c r="G2695">
        <v>0.73468348300506703</v>
      </c>
      <c r="H2695">
        <v>0.618861980990012</v>
      </c>
      <c r="I2695">
        <v>0.542935798643426</v>
      </c>
      <c r="J2695">
        <v>0.39800853506391998</v>
      </c>
      <c r="K2695">
        <v>0.22647061318573999</v>
      </c>
      <c r="L2695">
        <v>635.35621188077801</v>
      </c>
      <c r="M2695">
        <v>10.4665122241958</v>
      </c>
      <c r="N2695">
        <v>60.703722647370199</v>
      </c>
      <c r="O2695">
        <v>58.6132773239963</v>
      </c>
      <c r="P2695">
        <v>-4.4660465116761298E-2</v>
      </c>
      <c r="Q2695">
        <v>0</v>
      </c>
      <c r="R2695">
        <v>0.94503408384590604</v>
      </c>
      <c r="S2695" t="s">
        <v>8246</v>
      </c>
      <c r="T2695" t="s">
        <v>11100</v>
      </c>
      <c r="U2695" t="s">
        <v>11100</v>
      </c>
      <c r="V2695" t="s">
        <v>11100</v>
      </c>
      <c r="W2695" t="s">
        <v>13752</v>
      </c>
      <c r="X2695">
        <v>8</v>
      </c>
      <c r="Y2695" t="s">
        <v>19211</v>
      </c>
      <c r="Z2695" t="s">
        <v>24700</v>
      </c>
      <c r="AA2695">
        <v>0.75897763905424342</v>
      </c>
      <c r="AB2695" t="str">
        <f>HYPERLINK("Melting_Curves/meltCurve_P84077_ARF1.pdf", "Melting_Curves/meltCurve_P84077_ARF1.pdf")</f>
        <v>Melting_Curves/meltCurve_P84077_ARF1.pdf</v>
      </c>
    </row>
    <row r="2696" spans="1:28" x14ac:dyDescent="0.25">
      <c r="A2696" t="s">
        <v>2700</v>
      </c>
      <c r="B2696">
        <v>0.99299721793515405</v>
      </c>
      <c r="C2696">
        <v>0.93710230599140998</v>
      </c>
      <c r="D2696">
        <v>1.0911427714095701</v>
      </c>
      <c r="E2696">
        <v>0.85804027536238203</v>
      </c>
      <c r="F2696">
        <v>0.874243808627027</v>
      </c>
      <c r="G2696">
        <v>0.67708666508388704</v>
      </c>
      <c r="H2696">
        <v>0.50990963715989301</v>
      </c>
      <c r="I2696">
        <v>0.35939043303790702</v>
      </c>
      <c r="J2696">
        <v>0.215204454305334</v>
      </c>
      <c r="K2696">
        <v>0.12835934010053399</v>
      </c>
      <c r="L2696">
        <v>685.88806870901396</v>
      </c>
      <c r="M2696">
        <v>11.9399744956558</v>
      </c>
      <c r="N2696">
        <v>57.444684676880698</v>
      </c>
      <c r="O2696">
        <v>55.904449507093901</v>
      </c>
      <c r="P2696">
        <v>-5.34076899638911E-2</v>
      </c>
      <c r="Q2696">
        <v>0</v>
      </c>
      <c r="R2696">
        <v>0.97662861673325596</v>
      </c>
      <c r="S2696" t="s">
        <v>8247</v>
      </c>
      <c r="T2696" t="s">
        <v>11100</v>
      </c>
      <c r="U2696" t="s">
        <v>11100</v>
      </c>
      <c r="V2696" t="s">
        <v>11100</v>
      </c>
      <c r="W2696" t="s">
        <v>13753</v>
      </c>
      <c r="X2696">
        <v>7</v>
      </c>
      <c r="Y2696" t="s">
        <v>19212</v>
      </c>
      <c r="Z2696" t="s">
        <v>24701</v>
      </c>
      <c r="AA2696">
        <v>0.6834450293301696</v>
      </c>
      <c r="AB2696" t="str">
        <f>HYPERLINK("Melting_Curves/meltCurve_P84085_ARF5.pdf", "Melting_Curves/meltCurve_P84085_ARF5.pdf")</f>
        <v>Melting_Curves/meltCurve_P84085_ARF5.pdf</v>
      </c>
    </row>
    <row r="2697" spans="1:28" x14ac:dyDescent="0.25">
      <c r="A2697" t="s">
        <v>2701</v>
      </c>
      <c r="B2697">
        <v>0.99299721793515405</v>
      </c>
      <c r="C2697">
        <v>0.98989335938281597</v>
      </c>
      <c r="D2697">
        <v>1.0178800545837099</v>
      </c>
      <c r="E2697">
        <v>0.92405081882040896</v>
      </c>
      <c r="F2697">
        <v>0.80575340613504398</v>
      </c>
      <c r="G2697">
        <v>0.77888321013755302</v>
      </c>
      <c r="H2697">
        <v>0.95011566340967801</v>
      </c>
      <c r="I2697">
        <v>1.38799619416422</v>
      </c>
      <c r="J2697">
        <v>1.72395095891487</v>
      </c>
      <c r="K2697">
        <v>1.5183742381777401</v>
      </c>
      <c r="L2697">
        <v>15000</v>
      </c>
      <c r="M2697">
        <v>247.14412901188001</v>
      </c>
      <c r="O2697">
        <v>60.689335517989498</v>
      </c>
      <c r="P2697">
        <v>0.50903516934308701</v>
      </c>
      <c r="Q2697">
        <v>1.5</v>
      </c>
      <c r="R2697">
        <v>0.84146048832221498</v>
      </c>
      <c r="S2697" t="s">
        <v>8248</v>
      </c>
      <c r="T2697" t="s">
        <v>11100</v>
      </c>
      <c r="U2697" t="s">
        <v>11100</v>
      </c>
      <c r="V2697" t="s">
        <v>11100</v>
      </c>
      <c r="W2697" t="s">
        <v>13754</v>
      </c>
      <c r="X2697">
        <v>9</v>
      </c>
      <c r="Y2697" t="s">
        <v>19213</v>
      </c>
      <c r="Z2697" t="s">
        <v>24702</v>
      </c>
      <c r="AA2697">
        <v>1.1050566826256949</v>
      </c>
      <c r="AB2697" t="str">
        <f>HYPERLINK("Melting_Curves/meltCurve_P84090_ERH.pdf", "Melting_Curves/meltCurve_P84090_ERH.pdf")</f>
        <v>Melting_Curves/meltCurve_P84090_ERH.pdf</v>
      </c>
    </row>
    <row r="2698" spans="1:28" x14ac:dyDescent="0.25">
      <c r="A2698" t="s">
        <v>2702</v>
      </c>
      <c r="B2698">
        <v>0.99299721793515405</v>
      </c>
      <c r="C2698">
        <v>1.03952581354011</v>
      </c>
      <c r="D2698">
        <v>0.92650290894656995</v>
      </c>
      <c r="E2698">
        <v>0.96319900051665197</v>
      </c>
      <c r="F2698">
        <v>0.77084630540089005</v>
      </c>
      <c r="G2698">
        <v>0.60193465343705599</v>
      </c>
      <c r="H2698">
        <v>0.48805603494858102</v>
      </c>
      <c r="I2698">
        <v>0.41218815222799599</v>
      </c>
      <c r="J2698">
        <v>0.22513817380774601</v>
      </c>
      <c r="K2698">
        <v>0.13276924352782599</v>
      </c>
      <c r="L2698">
        <v>580.54855600282599</v>
      </c>
      <c r="M2698">
        <v>10.198004468670399</v>
      </c>
      <c r="N2698">
        <v>56.927665565155003</v>
      </c>
      <c r="O2698">
        <v>54.868869936694402</v>
      </c>
      <c r="P2698">
        <v>-4.6486314371610098E-2</v>
      </c>
      <c r="Q2698">
        <v>0</v>
      </c>
      <c r="R2698">
        <v>0.98171701008305301</v>
      </c>
      <c r="S2698" t="s">
        <v>8249</v>
      </c>
      <c r="T2698" t="s">
        <v>11100</v>
      </c>
      <c r="U2698" t="s">
        <v>11100</v>
      </c>
      <c r="V2698" t="s">
        <v>11100</v>
      </c>
      <c r="W2698" t="s">
        <v>13755</v>
      </c>
      <c r="X2698">
        <v>10</v>
      </c>
      <c r="Y2698" t="s">
        <v>19214</v>
      </c>
      <c r="Z2698" t="s">
        <v>24703</v>
      </c>
      <c r="AA2698">
        <v>0.66464046003121513</v>
      </c>
      <c r="AB2698" t="str">
        <f>HYPERLINK("Melting_Curves/meltCurve_P84095_RHOG.pdf", "Melting_Curves/meltCurve_P84095_RHOG.pdf")</f>
        <v>Melting_Curves/meltCurve_P84095_RHOG.pdf</v>
      </c>
    </row>
    <row r="2699" spans="1:28" x14ac:dyDescent="0.25">
      <c r="A2699" t="s">
        <v>2703</v>
      </c>
      <c r="B2699">
        <v>0.99299721793515405</v>
      </c>
      <c r="C2699">
        <v>1.01822195029931</v>
      </c>
      <c r="D2699">
        <v>2.15716254513065</v>
      </c>
      <c r="E2699">
        <v>1.15959342699465</v>
      </c>
      <c r="F2699">
        <v>0.80032296309723105</v>
      </c>
      <c r="G2699">
        <v>1.28923003151983</v>
      </c>
      <c r="H2699">
        <v>0.53074412683104899</v>
      </c>
      <c r="I2699">
        <v>0.63506093880924297</v>
      </c>
      <c r="J2699">
        <v>0.560737466626679</v>
      </c>
      <c r="K2699">
        <v>0.71613757586175497</v>
      </c>
      <c r="L2699">
        <v>12387.1170389247</v>
      </c>
      <c r="M2699">
        <v>222.351243167767</v>
      </c>
      <c r="O2699">
        <v>55.7051752720118</v>
      </c>
      <c r="P2699">
        <v>-0.38896607757054302</v>
      </c>
      <c r="Q2699">
        <v>0.610212685375361</v>
      </c>
      <c r="R2699">
        <v>0.285887715461488</v>
      </c>
      <c r="S2699" t="s">
        <v>8250</v>
      </c>
      <c r="T2699" t="s">
        <v>11100</v>
      </c>
      <c r="U2699" t="s">
        <v>11100</v>
      </c>
      <c r="V2699" t="s">
        <v>11100</v>
      </c>
      <c r="W2699" t="s">
        <v>13756</v>
      </c>
      <c r="X2699">
        <v>4</v>
      </c>
      <c r="Y2699" t="s">
        <v>19215</v>
      </c>
      <c r="Z2699" t="s">
        <v>24704</v>
      </c>
      <c r="AA2699">
        <v>0.85335408726766859</v>
      </c>
      <c r="AB2699" t="str">
        <f>HYPERLINK("Melting_Curves/meltCurve_P84101_SERF2.pdf", "Melting_Curves/meltCurve_P84101_SERF2.pdf")</f>
        <v>Melting_Curves/meltCurve_P84101_SERF2.pdf</v>
      </c>
    </row>
    <row r="2700" spans="1:28" x14ac:dyDescent="0.25">
      <c r="A2700" t="s">
        <v>2704</v>
      </c>
      <c r="B2700">
        <v>0.99299721793515405</v>
      </c>
      <c r="C2700">
        <v>0.82670390675223304</v>
      </c>
      <c r="D2700">
        <v>0.88748853999239996</v>
      </c>
      <c r="E2700">
        <v>0.83663776888710395</v>
      </c>
      <c r="F2700">
        <v>0.72999460885624401</v>
      </c>
      <c r="G2700">
        <v>0.52196754571450099</v>
      </c>
      <c r="H2700">
        <v>0.53655657064512896</v>
      </c>
      <c r="I2700">
        <v>0.59678289301596699</v>
      </c>
      <c r="J2700">
        <v>0.73971769987887503</v>
      </c>
      <c r="K2700">
        <v>0.50386476934421898</v>
      </c>
      <c r="L2700">
        <v>488.58687977410301</v>
      </c>
      <c r="M2700">
        <v>10.557607837823101</v>
      </c>
      <c r="O2700">
        <v>44.710382241703599</v>
      </c>
      <c r="P2700">
        <v>-2.63110323338894E-2</v>
      </c>
      <c r="Q2700">
        <v>0.55447797100274798</v>
      </c>
      <c r="R2700">
        <v>0.74428252259200101</v>
      </c>
      <c r="S2700" t="s">
        <v>8251</v>
      </c>
      <c r="T2700" t="s">
        <v>11100</v>
      </c>
      <c r="U2700" t="s">
        <v>11100</v>
      </c>
      <c r="V2700" t="s">
        <v>11100</v>
      </c>
      <c r="W2700" t="s">
        <v>13757</v>
      </c>
      <c r="X2700">
        <v>3</v>
      </c>
      <c r="Y2700" t="s">
        <v>19216</v>
      </c>
      <c r="Z2700" t="s">
        <v>24705</v>
      </c>
      <c r="AA2700">
        <v>0.7108882160454908</v>
      </c>
      <c r="AB2700" t="str">
        <f>HYPERLINK("Melting_Curves/meltCurve_P84157_MXRA7.pdf", "Melting_Curves/meltCurve_P84157_MXRA7.pdf")</f>
        <v>Melting_Curves/meltCurve_P84157_MXRA7.pdf</v>
      </c>
    </row>
    <row r="2701" spans="1:28" x14ac:dyDescent="0.25">
      <c r="A2701" t="s">
        <v>2705</v>
      </c>
      <c r="B2701">
        <v>0.99299721793515405</v>
      </c>
      <c r="C2701">
        <v>0.93399240440873998</v>
      </c>
      <c r="D2701">
        <v>0.96416978018398203</v>
      </c>
      <c r="E2701">
        <v>1.23984960343933</v>
      </c>
      <c r="F2701">
        <v>0.95086197357786695</v>
      </c>
      <c r="G2701">
        <v>0.67867546150121705</v>
      </c>
      <c r="H2701">
        <v>0.76839532392716803</v>
      </c>
      <c r="I2701">
        <v>0.96993299185255</v>
      </c>
      <c r="J2701">
        <v>1.30827180571251</v>
      </c>
      <c r="K2701">
        <v>1.0284924122269301</v>
      </c>
      <c r="L2701">
        <v>1599.77046275779</v>
      </c>
      <c r="M2701">
        <v>25.2992420759489</v>
      </c>
      <c r="O2701">
        <v>62.842815655838997</v>
      </c>
      <c r="P2701">
        <v>1.6063514234874399E-2</v>
      </c>
      <c r="Q2701">
        <v>1.1596037561716901</v>
      </c>
      <c r="R2701">
        <v>8.0703387835756299E-2</v>
      </c>
      <c r="S2701" t="s">
        <v>8252</v>
      </c>
      <c r="T2701" t="s">
        <v>11100</v>
      </c>
      <c r="U2701" t="s">
        <v>11100</v>
      </c>
      <c r="V2701" t="s">
        <v>11100</v>
      </c>
      <c r="W2701" t="s">
        <v>13758</v>
      </c>
      <c r="X2701">
        <v>4</v>
      </c>
      <c r="Y2701" t="s">
        <v>19216</v>
      </c>
      <c r="Z2701" t="s">
        <v>24706</v>
      </c>
      <c r="AA2701">
        <v>1.021823395728535</v>
      </c>
      <c r="AB2701" t="str">
        <f>HYPERLINK("Melting_Curves/meltCurve_P84157_2_MXRA7.pdf", "Melting_Curves/meltCurve_P84157_2_MXRA7.pdf")</f>
        <v>Melting_Curves/meltCurve_P84157_2_MXRA7.pdf</v>
      </c>
    </row>
    <row r="2702" spans="1:28" x14ac:dyDescent="0.25">
      <c r="A2702" t="s">
        <v>2706</v>
      </c>
      <c r="B2702">
        <v>0.99299721793515405</v>
      </c>
      <c r="C2702">
        <v>0.89552029751800299</v>
      </c>
      <c r="D2702">
        <v>0.85660455148660097</v>
      </c>
      <c r="E2702">
        <v>0.87663788572489598</v>
      </c>
      <c r="F2702">
        <v>0.69781199131340599</v>
      </c>
      <c r="G2702">
        <v>0.54147564854640096</v>
      </c>
      <c r="H2702">
        <v>0.48166904835470098</v>
      </c>
      <c r="I2702">
        <v>0.36074795345105098</v>
      </c>
      <c r="J2702">
        <v>0.45013663604527099</v>
      </c>
      <c r="K2702">
        <v>0.25394784355549099</v>
      </c>
      <c r="L2702">
        <v>400.50651181733298</v>
      </c>
      <c r="M2702">
        <v>7.3804943595480301</v>
      </c>
      <c r="N2702">
        <v>56.705565217730097</v>
      </c>
      <c r="O2702">
        <v>50.7085802904394</v>
      </c>
      <c r="P2702">
        <v>-3.1484496985064399E-2</v>
      </c>
      <c r="Q2702">
        <v>0.13604602789673401</v>
      </c>
      <c r="R2702">
        <v>0.95595510458033595</v>
      </c>
      <c r="S2702" t="s">
        <v>8253</v>
      </c>
      <c r="T2702" t="s">
        <v>11100</v>
      </c>
      <c r="U2702" t="s">
        <v>11100</v>
      </c>
      <c r="V2702" t="s">
        <v>11100</v>
      </c>
      <c r="W2702" t="s">
        <v>13759</v>
      </c>
      <c r="X2702">
        <v>3</v>
      </c>
      <c r="Y2702" t="s">
        <v>19216</v>
      </c>
      <c r="Z2702" t="s">
        <v>24707</v>
      </c>
      <c r="AA2702">
        <v>0.642381991303005</v>
      </c>
      <c r="AB2702" t="str">
        <f>HYPERLINK("Melting_Curves/meltCurve_P84157_3_MXRA7.pdf", "Melting_Curves/meltCurve_P84157_3_MXRA7.pdf")</f>
        <v>Melting_Curves/meltCurve_P84157_3_MXRA7.pdf</v>
      </c>
    </row>
    <row r="2703" spans="1:28" x14ac:dyDescent="0.25">
      <c r="A2703" t="s">
        <v>2707</v>
      </c>
      <c r="B2703">
        <v>0.99299721793515405</v>
      </c>
      <c r="C2703">
        <v>1.0013913081855901</v>
      </c>
      <c r="D2703">
        <v>0.90884627109004701</v>
      </c>
      <c r="E2703">
        <v>0.79611922209749697</v>
      </c>
      <c r="F2703">
        <v>0.58704061792281204</v>
      </c>
      <c r="G2703">
        <v>0.29197118424687502</v>
      </c>
      <c r="H2703">
        <v>0.206641377668633</v>
      </c>
      <c r="I2703">
        <v>0.140690473244523</v>
      </c>
      <c r="J2703">
        <v>0.114090753469601</v>
      </c>
      <c r="K2703">
        <v>9.6700145543083593E-2</v>
      </c>
      <c r="L2703">
        <v>789.10703917016701</v>
      </c>
      <c r="M2703">
        <v>15.6569330201977</v>
      </c>
      <c r="N2703">
        <v>50.962743613565003</v>
      </c>
      <c r="O2703">
        <v>49.599147518035103</v>
      </c>
      <c r="P2703">
        <v>-7.2657069887817893E-2</v>
      </c>
      <c r="Q2703">
        <v>7.9405635681013803E-2</v>
      </c>
      <c r="R2703">
        <v>0.997041159796067</v>
      </c>
      <c r="S2703" t="s">
        <v>8254</v>
      </c>
      <c r="T2703" t="s">
        <v>11100</v>
      </c>
      <c r="U2703" t="s">
        <v>11100</v>
      </c>
      <c r="V2703" t="s">
        <v>11100</v>
      </c>
      <c r="W2703" t="s">
        <v>13760</v>
      </c>
      <c r="X2703">
        <v>12</v>
      </c>
      <c r="Y2703" t="s">
        <v>19217</v>
      </c>
      <c r="Z2703" t="s">
        <v>24708</v>
      </c>
      <c r="AA2703">
        <v>0.50845891038921753</v>
      </c>
      <c r="AB2703" t="str">
        <f>HYPERLINK("Melting_Curves/meltCurve_P85037_FOXK1.pdf", "Melting_Curves/meltCurve_P85037_FOXK1.pdf")</f>
        <v>Melting_Curves/meltCurve_P85037_FOXK1.pdf</v>
      </c>
    </row>
    <row r="2704" spans="1:28" x14ac:dyDescent="0.25">
      <c r="A2704" t="s">
        <v>2708</v>
      </c>
      <c r="B2704">
        <v>0.99299721793515405</v>
      </c>
      <c r="C2704">
        <v>0.69190492973497597</v>
      </c>
      <c r="D2704">
        <v>0.94333615898529499</v>
      </c>
      <c r="E2704">
        <v>0.85665323157045203</v>
      </c>
      <c r="F2704">
        <v>0.87370801508317797</v>
      </c>
      <c r="G2704">
        <v>0.67931285640767403</v>
      </c>
      <c r="H2704">
        <v>0.544905198686229</v>
      </c>
      <c r="I2704">
        <v>0.48492660202919002</v>
      </c>
      <c r="J2704">
        <v>0.206883818601026</v>
      </c>
      <c r="K2704">
        <v>0.21663860809772401</v>
      </c>
      <c r="L2704">
        <v>516.49773068758395</v>
      </c>
      <c r="M2704">
        <v>8.8684721146894301</v>
      </c>
      <c r="N2704">
        <v>58.239751412814499</v>
      </c>
      <c r="O2704">
        <v>55.506647964565197</v>
      </c>
      <c r="P2704">
        <v>-3.9973957177032601E-2</v>
      </c>
      <c r="Q2704">
        <v>0</v>
      </c>
      <c r="R2704">
        <v>0.84793319849944104</v>
      </c>
      <c r="S2704" t="s">
        <v>8255</v>
      </c>
      <c r="T2704" t="s">
        <v>11100</v>
      </c>
      <c r="U2704" t="s">
        <v>11100</v>
      </c>
      <c r="V2704" t="s">
        <v>11100</v>
      </c>
      <c r="W2704" t="s">
        <v>13761</v>
      </c>
      <c r="X2704">
        <v>3</v>
      </c>
      <c r="Y2704" t="s">
        <v>19218</v>
      </c>
      <c r="Z2704" t="s">
        <v>24709</v>
      </c>
      <c r="AA2704">
        <v>0.69097445348581943</v>
      </c>
      <c r="AB2704" t="str">
        <f>HYPERLINK("Melting_Curves/meltCurve_P86397_RPP14.pdf", "Melting_Curves/meltCurve_P86397_RPP14.pdf")</f>
        <v>Melting_Curves/meltCurve_P86397_RPP14.pdf</v>
      </c>
    </row>
    <row r="2705" spans="1:28" x14ac:dyDescent="0.25">
      <c r="A2705" t="s">
        <v>2709</v>
      </c>
      <c r="B2705">
        <v>0.99299721793515405</v>
      </c>
      <c r="C2705">
        <v>0.969765303258452</v>
      </c>
      <c r="D2705">
        <v>0.91725524973155403</v>
      </c>
      <c r="E2705">
        <v>0.81873499267973304</v>
      </c>
      <c r="F2705">
        <v>0.65909373585032605</v>
      </c>
      <c r="G2705">
        <v>0.45234390933986501</v>
      </c>
      <c r="H2705">
        <v>0.358080465719189</v>
      </c>
      <c r="I2705">
        <v>0.28476291770892798</v>
      </c>
      <c r="J2705">
        <v>0.21632196014157201</v>
      </c>
      <c r="K2705">
        <v>0.154266158517988</v>
      </c>
      <c r="L2705">
        <v>562.48984939686898</v>
      </c>
      <c r="M2705">
        <v>10.748235332023899</v>
      </c>
      <c r="N2705">
        <v>53.423167883921501</v>
      </c>
      <c r="O2705">
        <v>50.619284319664601</v>
      </c>
      <c r="P2705">
        <v>-4.7875054787088901E-2</v>
      </c>
      <c r="Q2705">
        <v>9.84538750691102E-2</v>
      </c>
      <c r="R2705">
        <v>0.99748859666741496</v>
      </c>
      <c r="S2705" t="s">
        <v>8256</v>
      </c>
      <c r="T2705" t="s">
        <v>11100</v>
      </c>
      <c r="U2705" t="s">
        <v>11100</v>
      </c>
      <c r="V2705" t="s">
        <v>11100</v>
      </c>
      <c r="W2705" t="s">
        <v>13762</v>
      </c>
      <c r="X2705">
        <v>7</v>
      </c>
      <c r="Y2705" t="s">
        <v>19219</v>
      </c>
      <c r="Z2705" t="s">
        <v>24710</v>
      </c>
      <c r="AA2705">
        <v>0.58132442577106536</v>
      </c>
      <c r="AB2705" t="str">
        <f>HYPERLINK("Melting_Curves/meltCurve_P86791_CCZ1.pdf", "Melting_Curves/meltCurve_P86791_CCZ1.pdf")</f>
        <v>Melting_Curves/meltCurve_P86791_CCZ1.pdf</v>
      </c>
    </row>
    <row r="2706" spans="1:28" x14ac:dyDescent="0.25">
      <c r="A2706" t="s">
        <v>2710</v>
      </c>
      <c r="B2706">
        <v>0.99299721793515405</v>
      </c>
      <c r="C2706">
        <v>0.943467594415205</v>
      </c>
      <c r="D2706">
        <v>0.89908480801007196</v>
      </c>
      <c r="E2706">
        <v>0.84277331406860401</v>
      </c>
      <c r="F2706">
        <v>0.65897402078886003</v>
      </c>
      <c r="G2706">
        <v>0.31678960739526302</v>
      </c>
      <c r="H2706">
        <v>0.27698187899210902</v>
      </c>
      <c r="I2706">
        <v>0.24315414160163701</v>
      </c>
      <c r="J2706">
        <v>0.24191969651984199</v>
      </c>
      <c r="K2706">
        <v>0.200688831413744</v>
      </c>
      <c r="L2706">
        <v>927.79579345329296</v>
      </c>
      <c r="M2706">
        <v>18.480673731146801</v>
      </c>
      <c r="N2706">
        <v>51.6615537054249</v>
      </c>
      <c r="O2706">
        <v>49.626819734666398</v>
      </c>
      <c r="P2706">
        <v>-7.4183710350342796E-2</v>
      </c>
      <c r="Q2706">
        <v>0.20320266225657199</v>
      </c>
      <c r="R2706">
        <v>0.98476866647446104</v>
      </c>
      <c r="S2706" t="s">
        <v>8257</v>
      </c>
      <c r="T2706" t="s">
        <v>11100</v>
      </c>
      <c r="U2706" t="s">
        <v>11100</v>
      </c>
      <c r="V2706" t="s">
        <v>11100</v>
      </c>
      <c r="W2706" t="s">
        <v>13763</v>
      </c>
      <c r="X2706">
        <v>5</v>
      </c>
      <c r="Y2706" t="s">
        <v>19220</v>
      </c>
      <c r="Z2706" t="s">
        <v>24711</v>
      </c>
      <c r="AA2706">
        <v>0.56587836988708418</v>
      </c>
      <c r="AB2706" t="str">
        <f>HYPERLINK("Melting_Curves/meltCurve_P98082_3_DAB2.pdf", "Melting_Curves/meltCurve_P98082_3_DAB2.pdf")</f>
        <v>Melting_Curves/meltCurve_P98082_3_DAB2.pdf</v>
      </c>
    </row>
    <row r="2707" spans="1:28" x14ac:dyDescent="0.25">
      <c r="A2707" t="s">
        <v>2711</v>
      </c>
      <c r="B2707">
        <v>0.99299721793515405</v>
      </c>
      <c r="C2707">
        <v>0.99046910232279495</v>
      </c>
      <c r="D2707">
        <v>0.94560662307100696</v>
      </c>
      <c r="E2707">
        <v>0.90667344417695706</v>
      </c>
      <c r="F2707">
        <v>0.70677274585799699</v>
      </c>
      <c r="G2707">
        <v>0.51766639344180299</v>
      </c>
      <c r="H2707">
        <v>0.49520108702710097</v>
      </c>
      <c r="I2707">
        <v>0.46833241974691298</v>
      </c>
      <c r="J2707">
        <v>0.39685639642917198</v>
      </c>
      <c r="K2707">
        <v>0.32102343462057698</v>
      </c>
      <c r="L2707">
        <v>746.83099265382702</v>
      </c>
      <c r="M2707">
        <v>14.6480202513593</v>
      </c>
      <c r="N2707">
        <v>55.820952297630903</v>
      </c>
      <c r="O2707">
        <v>50.063144087581499</v>
      </c>
      <c r="P2707">
        <v>-4.6860683867216001E-2</v>
      </c>
      <c r="Q2707">
        <v>0.35944024964291399</v>
      </c>
      <c r="R2707">
        <v>0.98249316120224595</v>
      </c>
      <c r="S2707" t="s">
        <v>8258</v>
      </c>
      <c r="T2707" t="s">
        <v>11100</v>
      </c>
      <c r="U2707" t="s">
        <v>11100</v>
      </c>
      <c r="V2707" t="s">
        <v>11100</v>
      </c>
      <c r="W2707" t="s">
        <v>13764</v>
      </c>
      <c r="X2707">
        <v>7</v>
      </c>
      <c r="Y2707" t="s">
        <v>19221</v>
      </c>
      <c r="Z2707" t="s">
        <v>24712</v>
      </c>
      <c r="AA2707">
        <v>0.67135720787556141</v>
      </c>
      <c r="AB2707" t="str">
        <f>HYPERLINK("Melting_Curves/meltCurve_P98172_EFNB1.pdf", "Melting_Curves/meltCurve_P98172_EFNB1.pdf")</f>
        <v>Melting_Curves/meltCurve_P98172_EFNB1.pdf</v>
      </c>
    </row>
    <row r="2708" spans="1:28" x14ac:dyDescent="0.25">
      <c r="A2708" t="s">
        <v>2712</v>
      </c>
      <c r="B2708">
        <v>0.99299721793515405</v>
      </c>
      <c r="C2708">
        <v>1.0006748911413199</v>
      </c>
      <c r="D2708">
        <v>0.87134484689820002</v>
      </c>
      <c r="E2708">
        <v>0.78400936569651503</v>
      </c>
      <c r="F2708">
        <v>0.78129233852604996</v>
      </c>
      <c r="G2708">
        <v>0.40805485958311599</v>
      </c>
      <c r="H2708">
        <v>0.41067844734214698</v>
      </c>
      <c r="I2708">
        <v>0.36886393415209801</v>
      </c>
      <c r="J2708">
        <v>0.30717809061513801</v>
      </c>
      <c r="K2708">
        <v>0.26288293635750698</v>
      </c>
      <c r="L2708">
        <v>581.79179777024103</v>
      </c>
      <c r="M2708">
        <v>11.3320120002602</v>
      </c>
      <c r="N2708">
        <v>54.213272482157699</v>
      </c>
      <c r="O2708">
        <v>49.819698444704301</v>
      </c>
      <c r="P2708">
        <v>-4.4042564729599699E-2</v>
      </c>
      <c r="Q2708">
        <v>0.22572358933867101</v>
      </c>
      <c r="R2708">
        <v>0.95972989238866402</v>
      </c>
      <c r="S2708" t="s">
        <v>8259</v>
      </c>
      <c r="T2708" t="s">
        <v>11100</v>
      </c>
      <c r="U2708" t="s">
        <v>11100</v>
      </c>
      <c r="V2708" t="s">
        <v>11100</v>
      </c>
      <c r="W2708" t="s">
        <v>13765</v>
      </c>
      <c r="X2708">
        <v>3</v>
      </c>
      <c r="Y2708" t="s">
        <v>19222</v>
      </c>
      <c r="Z2708" t="s">
        <v>24713</v>
      </c>
      <c r="AA2708">
        <v>0.61644583745444093</v>
      </c>
      <c r="AB2708" t="str">
        <f>HYPERLINK("Melting_Curves/meltCurve_P98173_3_FAM3A.pdf", "Melting_Curves/meltCurve_P98173_3_FAM3A.pdf")</f>
        <v>Melting_Curves/meltCurve_P98173_3_FAM3A.pdf</v>
      </c>
    </row>
    <row r="2709" spans="1:28" x14ac:dyDescent="0.25">
      <c r="A2709" t="s">
        <v>2713</v>
      </c>
      <c r="B2709">
        <v>0.99299721793515405</v>
      </c>
      <c r="C2709">
        <v>0.74600401471942202</v>
      </c>
      <c r="D2709">
        <v>0.768974276026544</v>
      </c>
      <c r="E2709">
        <v>0.66080475316843401</v>
      </c>
      <c r="F2709">
        <v>0.50528576035203998</v>
      </c>
      <c r="G2709">
        <v>0.33847914054052203</v>
      </c>
      <c r="H2709">
        <v>0.32515992762059598</v>
      </c>
      <c r="I2709">
        <v>0.27338195018434902</v>
      </c>
      <c r="J2709">
        <v>0.32590338566147498</v>
      </c>
      <c r="K2709">
        <v>0.25106426401174398</v>
      </c>
      <c r="L2709">
        <v>406.55634284720497</v>
      </c>
      <c r="M2709">
        <v>8.6843159504196503</v>
      </c>
      <c r="N2709">
        <v>49.787149030290202</v>
      </c>
      <c r="O2709">
        <v>44.531350534266899</v>
      </c>
      <c r="P2709">
        <v>-3.892473674889E-2</v>
      </c>
      <c r="Q2709">
        <v>0.20227146566857801</v>
      </c>
      <c r="R2709">
        <v>0.95552162957168196</v>
      </c>
      <c r="S2709" t="s">
        <v>8260</v>
      </c>
      <c r="T2709" t="s">
        <v>11100</v>
      </c>
      <c r="U2709" t="s">
        <v>11100</v>
      </c>
      <c r="V2709" t="s">
        <v>11100</v>
      </c>
      <c r="W2709" t="s">
        <v>13766</v>
      </c>
      <c r="X2709">
        <v>4</v>
      </c>
      <c r="Y2709" t="s">
        <v>19223</v>
      </c>
      <c r="Z2709" t="s">
        <v>24714</v>
      </c>
      <c r="AA2709">
        <v>0.50540031977639044</v>
      </c>
      <c r="AB2709" t="str">
        <f>HYPERLINK("Melting_Curves/meltCurve_P98175_2_RBM10.pdf", "Melting_Curves/meltCurve_P98175_2_RBM10.pdf")</f>
        <v>Melting_Curves/meltCurve_P98175_2_RBM10.pdf</v>
      </c>
    </row>
    <row r="2710" spans="1:28" x14ac:dyDescent="0.25">
      <c r="A2710" t="s">
        <v>2714</v>
      </c>
      <c r="B2710">
        <v>0.99299721793515405</v>
      </c>
      <c r="C2710">
        <v>0.93809090863364297</v>
      </c>
      <c r="D2710">
        <v>1.1566420854125601</v>
      </c>
      <c r="E2710">
        <v>0.844370485846894</v>
      </c>
      <c r="F2710">
        <v>0.57524332682669399</v>
      </c>
      <c r="G2710">
        <v>0.487557471390835</v>
      </c>
      <c r="H2710">
        <v>0.54373875381915904</v>
      </c>
      <c r="I2710">
        <v>0.56805036531508002</v>
      </c>
      <c r="J2710">
        <v>0.55509939939258801</v>
      </c>
      <c r="K2710">
        <v>0.50847186103065101</v>
      </c>
      <c r="L2710">
        <v>2744.5178338528199</v>
      </c>
      <c r="M2710">
        <v>58.160858505974502</v>
      </c>
      <c r="O2710">
        <v>47.132703852017698</v>
      </c>
      <c r="P2710">
        <v>-0.14282631552744399</v>
      </c>
      <c r="Q2710">
        <v>0.53702278322043695</v>
      </c>
      <c r="R2710">
        <v>0.93540507586182298</v>
      </c>
      <c r="S2710" t="s">
        <v>8261</v>
      </c>
      <c r="T2710" t="s">
        <v>11100</v>
      </c>
      <c r="U2710" t="s">
        <v>11100</v>
      </c>
      <c r="V2710" t="s">
        <v>11100</v>
      </c>
      <c r="W2710" t="s">
        <v>13767</v>
      </c>
      <c r="X2710">
        <v>2</v>
      </c>
      <c r="Y2710" t="s">
        <v>19224</v>
      </c>
      <c r="Z2710" t="s">
        <v>24715</v>
      </c>
      <c r="AA2710">
        <v>0.69496718982897865</v>
      </c>
      <c r="AB2710" t="str">
        <f>HYPERLINK("Melting_Curves/meltCurve_P98179_RBM3.pdf", "Melting_Curves/meltCurve_P98179_RBM3.pdf")</f>
        <v>Melting_Curves/meltCurve_P98179_RBM3.pdf</v>
      </c>
    </row>
    <row r="2711" spans="1:28" x14ac:dyDescent="0.25">
      <c r="A2711" t="s">
        <v>2715</v>
      </c>
      <c r="B2711">
        <v>0.99299721793515405</v>
      </c>
      <c r="C2711">
        <v>1.0263264374756</v>
      </c>
      <c r="D2711">
        <v>0.91044365125760096</v>
      </c>
      <c r="E2711">
        <v>0.92311970905651697</v>
      </c>
      <c r="F2711">
        <v>0.640194644008792</v>
      </c>
      <c r="G2711">
        <v>0.19669402732038399</v>
      </c>
      <c r="H2711">
        <v>0.120014925200692</v>
      </c>
      <c r="I2711">
        <v>0.12339984884235999</v>
      </c>
      <c r="J2711">
        <v>0.10225536087118201</v>
      </c>
      <c r="K2711">
        <v>6.07575353551933E-2</v>
      </c>
      <c r="L2711">
        <v>1600.6235447418301</v>
      </c>
      <c r="M2711">
        <v>31.541368041995401</v>
      </c>
      <c r="N2711">
        <v>51.070154266644899</v>
      </c>
      <c r="O2711">
        <v>50.544125562484503</v>
      </c>
      <c r="P2711">
        <v>-0.14188868157720499</v>
      </c>
      <c r="Q2711">
        <v>9.0514965150833404E-2</v>
      </c>
      <c r="R2711">
        <v>0.99281464000750497</v>
      </c>
      <c r="S2711" t="s">
        <v>8262</v>
      </c>
      <c r="T2711" t="s">
        <v>11100</v>
      </c>
      <c r="U2711" t="s">
        <v>11100</v>
      </c>
      <c r="V2711" t="s">
        <v>11100</v>
      </c>
      <c r="W2711" t="s">
        <v>13768</v>
      </c>
      <c r="X2711">
        <v>4</v>
      </c>
      <c r="Y2711" t="s">
        <v>19225</v>
      </c>
      <c r="Z2711" t="s">
        <v>24716</v>
      </c>
      <c r="AA2711">
        <v>0.51238167386639288</v>
      </c>
      <c r="AB2711" t="str">
        <f>HYPERLINK("Melting_Curves/meltCurve_Q00013_2_MPP1.pdf", "Melting_Curves/meltCurve_Q00013_2_MPP1.pdf")</f>
        <v>Melting_Curves/meltCurve_Q00013_2_MPP1.pdf</v>
      </c>
    </row>
    <row r="2712" spans="1:28" x14ac:dyDescent="0.25">
      <c r="A2712" t="s">
        <v>2716</v>
      </c>
      <c r="B2712">
        <v>0.99299721793515405</v>
      </c>
      <c r="C2712">
        <v>0.98833862449290999</v>
      </c>
      <c r="D2712">
        <v>0.973002496236128</v>
      </c>
      <c r="E2712">
        <v>0.78328519065097102</v>
      </c>
      <c r="F2712">
        <v>0.53910685521674295</v>
      </c>
      <c r="G2712">
        <v>0.30131756211905503</v>
      </c>
      <c r="H2712">
        <v>0.183110303089798</v>
      </c>
      <c r="I2712">
        <v>0.13985260334411301</v>
      </c>
      <c r="J2712">
        <v>0.110179308022068</v>
      </c>
      <c r="K2712">
        <v>0.107170659380959</v>
      </c>
      <c r="L2712">
        <v>861.88560439196704</v>
      </c>
      <c r="M2712">
        <v>17.237278953857999</v>
      </c>
      <c r="N2712">
        <v>50.624523712190502</v>
      </c>
      <c r="O2712">
        <v>49.342844595428602</v>
      </c>
      <c r="P2712">
        <v>-7.8989207877830203E-2</v>
      </c>
      <c r="Q2712">
        <v>9.5605746533640998E-2</v>
      </c>
      <c r="R2712">
        <v>0.99926024925798795</v>
      </c>
      <c r="S2712" t="s">
        <v>8263</v>
      </c>
      <c r="T2712" t="s">
        <v>11100</v>
      </c>
      <c r="U2712" t="s">
        <v>11100</v>
      </c>
      <c r="V2712" t="s">
        <v>11100</v>
      </c>
      <c r="W2712" t="s">
        <v>13769</v>
      </c>
      <c r="X2712">
        <v>11</v>
      </c>
      <c r="Y2712" t="s">
        <v>19226</v>
      </c>
      <c r="Z2712" t="s">
        <v>24717</v>
      </c>
      <c r="AA2712">
        <v>0.50283617448692575</v>
      </c>
      <c r="AB2712" t="str">
        <f>HYPERLINK("Melting_Curves/meltCurve_Q00059_TFAM.pdf", "Melting_Curves/meltCurve_Q00059_TFAM.pdf")</f>
        <v>Melting_Curves/meltCurve_Q00059_TFAM.pdf</v>
      </c>
    </row>
    <row r="2713" spans="1:28" x14ac:dyDescent="0.25">
      <c r="A2713" t="s">
        <v>2717</v>
      </c>
      <c r="B2713">
        <v>0.99299721793515405</v>
      </c>
      <c r="C2713">
        <v>0.99722020434760905</v>
      </c>
      <c r="D2713">
        <v>1.0811645623992301</v>
      </c>
      <c r="E2713">
        <v>0.86459391791923002</v>
      </c>
      <c r="F2713">
        <v>0.77035762169372701</v>
      </c>
      <c r="G2713">
        <v>0.65559460067666497</v>
      </c>
      <c r="H2713">
        <v>0.68331833399097597</v>
      </c>
      <c r="I2713">
        <v>0.79626498686731795</v>
      </c>
      <c r="J2713">
        <v>0.95783278125909399</v>
      </c>
      <c r="K2713">
        <v>1.31303838075568</v>
      </c>
      <c r="L2713">
        <v>15000</v>
      </c>
      <c r="M2713">
        <v>224.39591657275699</v>
      </c>
      <c r="O2713">
        <v>66.840823360830399</v>
      </c>
      <c r="P2713">
        <v>0.41964606055825698</v>
      </c>
      <c r="Q2713">
        <v>1.5</v>
      </c>
      <c r="R2713">
        <v>5.3475966547456698E-2</v>
      </c>
      <c r="S2713" t="s">
        <v>8264</v>
      </c>
      <c r="T2713" t="s">
        <v>11100</v>
      </c>
      <c r="U2713" t="s">
        <v>11100</v>
      </c>
      <c r="V2713" t="s">
        <v>11100</v>
      </c>
      <c r="W2713" t="s">
        <v>13770</v>
      </c>
      <c r="X2713">
        <v>14</v>
      </c>
      <c r="Y2713" t="s">
        <v>19227</v>
      </c>
      <c r="Z2713" t="s">
        <v>24718</v>
      </c>
      <c r="AA2713">
        <v>1.004851243716649</v>
      </c>
      <c r="AB2713" t="str">
        <f>HYPERLINK("Melting_Curves/meltCurve_Q00325_2_SLC25A3.pdf", "Melting_Curves/meltCurve_Q00325_2_SLC25A3.pdf")</f>
        <v>Melting_Curves/meltCurve_Q00325_2_SLC25A3.pdf</v>
      </c>
    </row>
    <row r="2714" spans="1:28" x14ac:dyDescent="0.25">
      <c r="A2714" t="s">
        <v>2718</v>
      </c>
      <c r="B2714">
        <v>0.99299721793515405</v>
      </c>
      <c r="C2714">
        <v>1.0817808216653899</v>
      </c>
      <c r="D2714">
        <v>1.19714669010478</v>
      </c>
      <c r="E2714">
        <v>0.92188177186396902</v>
      </c>
      <c r="F2714">
        <v>0.40164501330677099</v>
      </c>
      <c r="G2714">
        <v>0.21047837149434201</v>
      </c>
      <c r="H2714">
        <v>0.149851537444845</v>
      </c>
      <c r="I2714">
        <v>0.13013223495159301</v>
      </c>
      <c r="J2714">
        <v>0.117051963877257</v>
      </c>
      <c r="K2714">
        <v>9.7823600906805599E-2</v>
      </c>
      <c r="L2714">
        <v>1971.1938275524301</v>
      </c>
      <c r="M2714">
        <v>40.010538018488397</v>
      </c>
      <c r="N2714">
        <v>49.650541007521603</v>
      </c>
      <c r="O2714">
        <v>49.144273785660801</v>
      </c>
      <c r="P2714">
        <v>-0.176469949534586</v>
      </c>
      <c r="Q2714">
        <v>0.13298145130083799</v>
      </c>
      <c r="R2714">
        <v>0.97322693687482598</v>
      </c>
      <c r="S2714" t="s">
        <v>8265</v>
      </c>
      <c r="T2714" t="s">
        <v>11100</v>
      </c>
      <c r="U2714" t="s">
        <v>11100</v>
      </c>
      <c r="V2714" t="s">
        <v>11100</v>
      </c>
      <c r="W2714" t="s">
        <v>13771</v>
      </c>
      <c r="X2714">
        <v>52</v>
      </c>
      <c r="Y2714" t="s">
        <v>19228</v>
      </c>
      <c r="Z2714" t="s">
        <v>24719</v>
      </c>
      <c r="AA2714">
        <v>0.49045160799124599</v>
      </c>
      <c r="AB2714" t="str">
        <f>HYPERLINK("Melting_Curves/meltCurve_Q00341_HDLBP.pdf", "Melting_Curves/meltCurve_Q00341_HDLBP.pdf")</f>
        <v>Melting_Curves/meltCurve_Q00341_HDLBP.pdf</v>
      </c>
    </row>
    <row r="2715" spans="1:28" x14ac:dyDescent="0.25">
      <c r="A2715" t="s">
        <v>2719</v>
      </c>
      <c r="B2715">
        <v>0.99299721793515405</v>
      </c>
      <c r="C2715">
        <v>1.17316672934095</v>
      </c>
      <c r="D2715">
        <v>0.99096526798596196</v>
      </c>
      <c r="E2715">
        <v>0.92981298749029195</v>
      </c>
      <c r="F2715">
        <v>0.77635691684692298</v>
      </c>
      <c r="G2715">
        <v>0.28702252127220002</v>
      </c>
      <c r="H2715">
        <v>0.19493194476936301</v>
      </c>
      <c r="I2715">
        <v>0.19693718182997699</v>
      </c>
      <c r="J2715">
        <v>0.19687974599959701</v>
      </c>
      <c r="K2715">
        <v>0.111848349653003</v>
      </c>
      <c r="L2715">
        <v>1945.0770671164701</v>
      </c>
      <c r="M2715">
        <v>37.820991292048099</v>
      </c>
      <c r="N2715">
        <v>51.992305343408503</v>
      </c>
      <c r="O2715">
        <v>51.285373912932897</v>
      </c>
      <c r="P2715">
        <v>-0.153352390556246</v>
      </c>
      <c r="Q2715">
        <v>0.16821724270628099</v>
      </c>
      <c r="R2715">
        <v>0.97612824867707304</v>
      </c>
      <c r="S2715" t="s">
        <v>8266</v>
      </c>
      <c r="T2715" t="s">
        <v>11100</v>
      </c>
      <c r="U2715" t="s">
        <v>11100</v>
      </c>
      <c r="V2715" t="s">
        <v>11100</v>
      </c>
      <c r="W2715" t="s">
        <v>13772</v>
      </c>
      <c r="X2715">
        <v>8</v>
      </c>
      <c r="Y2715" t="s">
        <v>19229</v>
      </c>
      <c r="Z2715" t="s">
        <v>24720</v>
      </c>
      <c r="AA2715">
        <v>0.57156471358387151</v>
      </c>
      <c r="AB2715" t="str">
        <f>HYPERLINK("Melting_Curves/meltCurve_Q00403_GTF2B.pdf", "Melting_Curves/meltCurve_Q00403_GTF2B.pdf")</f>
        <v>Melting_Curves/meltCurve_Q00403_GTF2B.pdf</v>
      </c>
    </row>
    <row r="2716" spans="1:28" x14ac:dyDescent="0.25">
      <c r="A2716" t="s">
        <v>2720</v>
      </c>
      <c r="B2716">
        <v>0.99299721793515405</v>
      </c>
      <c r="C2716">
        <v>0.98359833061728397</v>
      </c>
      <c r="D2716">
        <v>0.97835247683194404</v>
      </c>
      <c r="E2716">
        <v>0.86955212383650804</v>
      </c>
      <c r="F2716">
        <v>0.72838688899339199</v>
      </c>
      <c r="G2716">
        <v>0.689508842359985</v>
      </c>
      <c r="H2716">
        <v>0.40208071182752297</v>
      </c>
      <c r="I2716">
        <v>0.31613097090071102</v>
      </c>
      <c r="J2716">
        <v>0.221953055998688</v>
      </c>
      <c r="K2716">
        <v>0.189590391464939</v>
      </c>
      <c r="L2716">
        <v>572.01018688794295</v>
      </c>
      <c r="M2716">
        <v>10.226110493857099</v>
      </c>
      <c r="N2716">
        <v>56.194041701934601</v>
      </c>
      <c r="O2716">
        <v>53.923754578375799</v>
      </c>
      <c r="P2716">
        <v>-4.6344252833313102E-2</v>
      </c>
      <c r="Q2716">
        <v>2.29165677710381E-2</v>
      </c>
      <c r="R2716">
        <v>0.98825328058015305</v>
      </c>
      <c r="S2716" t="s">
        <v>8267</v>
      </c>
      <c r="T2716" t="s">
        <v>11100</v>
      </c>
      <c r="U2716" t="s">
        <v>11100</v>
      </c>
      <c r="V2716" t="s">
        <v>11100</v>
      </c>
      <c r="W2716" t="s">
        <v>13773</v>
      </c>
      <c r="X2716">
        <v>20</v>
      </c>
      <c r="Y2716" t="s">
        <v>19230</v>
      </c>
      <c r="Z2716" t="s">
        <v>24721</v>
      </c>
      <c r="AA2716">
        <v>0.64653435609091936</v>
      </c>
      <c r="AB2716" t="str">
        <f>HYPERLINK("Melting_Curves/meltCurve_Q00534_CDK6.pdf", "Melting_Curves/meltCurve_Q00534_CDK6.pdf")</f>
        <v>Melting_Curves/meltCurve_Q00534_CDK6.pdf</v>
      </c>
    </row>
    <row r="2717" spans="1:28" x14ac:dyDescent="0.25">
      <c r="A2717" t="s">
        <v>2721</v>
      </c>
      <c r="B2717">
        <v>0.99299721793515405</v>
      </c>
      <c r="C2717">
        <v>1.00943914165912</v>
      </c>
      <c r="D2717">
        <v>0.96708940054217096</v>
      </c>
      <c r="E2717">
        <v>0.90614366940325997</v>
      </c>
      <c r="F2717">
        <v>0.66194970292775102</v>
      </c>
      <c r="G2717">
        <v>0.29526951543670199</v>
      </c>
      <c r="H2717">
        <v>0.179914317142297</v>
      </c>
      <c r="I2717">
        <v>0.14798347336435599</v>
      </c>
      <c r="J2717">
        <v>0.13766967316213899</v>
      </c>
      <c r="K2717">
        <v>0.11105787005283201</v>
      </c>
      <c r="L2717">
        <v>1256.01005475536</v>
      </c>
      <c r="M2717">
        <v>24.6330076225873</v>
      </c>
      <c r="N2717">
        <v>51.579874700824199</v>
      </c>
      <c r="O2717">
        <v>50.656426825622397</v>
      </c>
      <c r="P2717">
        <v>-0.10662363708316699</v>
      </c>
      <c r="Q2717">
        <v>0.12294992043243901</v>
      </c>
      <c r="R2717">
        <v>0.99865032770676299</v>
      </c>
      <c r="S2717" t="s">
        <v>8268</v>
      </c>
      <c r="T2717" t="s">
        <v>11100</v>
      </c>
      <c r="U2717" t="s">
        <v>11100</v>
      </c>
      <c r="V2717" t="s">
        <v>11100</v>
      </c>
      <c r="W2717" t="s">
        <v>13774</v>
      </c>
      <c r="X2717">
        <v>14</v>
      </c>
      <c r="Y2717" t="s">
        <v>19231</v>
      </c>
      <c r="Z2717" t="s">
        <v>24722</v>
      </c>
      <c r="AA2717">
        <v>0.53986784288220768</v>
      </c>
      <c r="AB2717" t="str">
        <f>HYPERLINK("Melting_Curves/meltCurve_Q00535_CDK5.pdf", "Melting_Curves/meltCurve_Q00535_CDK5.pdf")</f>
        <v>Melting_Curves/meltCurve_Q00535_CDK5.pdf</v>
      </c>
    </row>
    <row r="2718" spans="1:28" x14ac:dyDescent="0.25">
      <c r="A2718" t="s">
        <v>2722</v>
      </c>
      <c r="B2718">
        <v>0.99299721793515405</v>
      </c>
      <c r="C2718">
        <v>0.97910662255241798</v>
      </c>
      <c r="D2718">
        <v>0.92342270245776503</v>
      </c>
      <c r="E2718">
        <v>0.83103619779942195</v>
      </c>
      <c r="F2718">
        <v>0.67985925497685296</v>
      </c>
      <c r="G2718">
        <v>0.306310421308781</v>
      </c>
      <c r="H2718">
        <v>0.17421371612654801</v>
      </c>
      <c r="I2718">
        <v>0.16573016964618301</v>
      </c>
      <c r="J2718">
        <v>0.14367068521391499</v>
      </c>
      <c r="K2718">
        <v>8.6846648570975502E-2</v>
      </c>
      <c r="L2718">
        <v>937.42053392331297</v>
      </c>
      <c r="M2718">
        <v>18.368418056539401</v>
      </c>
      <c r="N2718">
        <v>51.630173228136201</v>
      </c>
      <c r="O2718">
        <v>50.441001929246603</v>
      </c>
      <c r="P2718">
        <v>-8.2348087663679695E-2</v>
      </c>
      <c r="Q2718">
        <v>9.5505703921102997E-2</v>
      </c>
      <c r="R2718">
        <v>0.99087540462591595</v>
      </c>
      <c r="S2718" t="s">
        <v>8269</v>
      </c>
      <c r="T2718" t="s">
        <v>11100</v>
      </c>
      <c r="U2718" t="s">
        <v>11100</v>
      </c>
      <c r="V2718" t="s">
        <v>11100</v>
      </c>
      <c r="W2718" t="s">
        <v>13775</v>
      </c>
      <c r="X2718">
        <v>9</v>
      </c>
      <c r="Y2718" t="s">
        <v>19232</v>
      </c>
      <c r="Z2718" t="s">
        <v>24723</v>
      </c>
      <c r="AA2718">
        <v>0.53222253902098271</v>
      </c>
      <c r="AB2718" t="str">
        <f>HYPERLINK("Melting_Curves/meltCurve_Q00536_CDK16.pdf", "Melting_Curves/meltCurve_Q00536_CDK16.pdf")</f>
        <v>Melting_Curves/meltCurve_Q00536_CDK16.pdf</v>
      </c>
    </row>
    <row r="2719" spans="1:28" x14ac:dyDescent="0.25">
      <c r="A2719" t="s">
        <v>2723</v>
      </c>
      <c r="B2719">
        <v>0.99299721793515405</v>
      </c>
      <c r="C2719">
        <v>1.1150006238316501</v>
      </c>
      <c r="D2719">
        <v>0.82475786015543895</v>
      </c>
      <c r="E2719">
        <v>0.89811523134580995</v>
      </c>
      <c r="F2719">
        <v>0.65170960930208299</v>
      </c>
      <c r="G2719">
        <v>0.40335457538743003</v>
      </c>
      <c r="H2719">
        <v>0.224377096573146</v>
      </c>
      <c r="I2719">
        <v>0.12922451900215501</v>
      </c>
      <c r="J2719">
        <v>4.0600463885636803E-2</v>
      </c>
      <c r="K2719">
        <v>4.3699123220425101E-2</v>
      </c>
      <c r="L2719">
        <v>752.65357612266303</v>
      </c>
      <c r="M2719">
        <v>14.364009638199001</v>
      </c>
      <c r="N2719">
        <v>52.398570428773603</v>
      </c>
      <c r="O2719">
        <v>51.414372820718398</v>
      </c>
      <c r="P2719">
        <v>-6.9852690096915193E-2</v>
      </c>
      <c r="Q2719">
        <v>0</v>
      </c>
      <c r="R2719">
        <v>0.976344718688962</v>
      </c>
      <c r="S2719" t="s">
        <v>8270</v>
      </c>
      <c r="T2719" t="s">
        <v>11100</v>
      </c>
      <c r="U2719" t="s">
        <v>11100</v>
      </c>
      <c r="V2719" t="s">
        <v>11100</v>
      </c>
      <c r="W2719" t="s">
        <v>13776</v>
      </c>
      <c r="X2719">
        <v>4</v>
      </c>
      <c r="Y2719" t="s">
        <v>19233</v>
      </c>
      <c r="Z2719" t="s">
        <v>24724</v>
      </c>
      <c r="AA2719">
        <v>0.53280975542198294</v>
      </c>
      <c r="AB2719" t="str">
        <f>HYPERLINK("Melting_Curves/meltCurve_Q00587_2_CDC42EP1.pdf", "Melting_Curves/meltCurve_Q00587_2_CDC42EP1.pdf")</f>
        <v>Melting_Curves/meltCurve_Q00587_2_CDC42EP1.pdf</v>
      </c>
    </row>
    <row r="2720" spans="1:28" x14ac:dyDescent="0.25">
      <c r="A2720" t="s">
        <v>2724</v>
      </c>
      <c r="B2720">
        <v>0.99299721793515405</v>
      </c>
      <c r="C2720">
        <v>0.98293988161355095</v>
      </c>
      <c r="D2720">
        <v>1.00071833355669</v>
      </c>
      <c r="E2720">
        <v>0.87490834829027497</v>
      </c>
      <c r="F2720">
        <v>0.72696155086356495</v>
      </c>
      <c r="G2720">
        <v>1.01154158618882</v>
      </c>
      <c r="H2720">
        <v>0.204298749664791</v>
      </c>
      <c r="I2720">
        <v>0.18590978379838799</v>
      </c>
      <c r="J2720">
        <v>0.16025079486591201</v>
      </c>
      <c r="K2720">
        <v>0.13562567998345501</v>
      </c>
      <c r="L2720">
        <v>14183.437273873</v>
      </c>
      <c r="M2720">
        <v>250</v>
      </c>
      <c r="N2720">
        <v>56.821790161729602</v>
      </c>
      <c r="O2720">
        <v>56.730119173428797</v>
      </c>
      <c r="P2720">
        <v>-0.92477847822447101</v>
      </c>
      <c r="Q2720">
        <v>0.160595318311955</v>
      </c>
      <c r="R2720">
        <v>0.93669059057905601</v>
      </c>
      <c r="S2720" t="s">
        <v>8271</v>
      </c>
      <c r="T2720" t="s">
        <v>11100</v>
      </c>
      <c r="U2720" t="s">
        <v>11100</v>
      </c>
      <c r="V2720" t="s">
        <v>11100</v>
      </c>
      <c r="W2720" t="s">
        <v>13777</v>
      </c>
      <c r="X2720">
        <v>69</v>
      </c>
      <c r="Y2720" t="s">
        <v>19234</v>
      </c>
      <c r="Z2720" t="s">
        <v>24725</v>
      </c>
      <c r="AA2720">
        <v>0.7128322744563147</v>
      </c>
      <c r="AB2720" t="str">
        <f>HYPERLINK("Melting_Curves/meltCurve_Q00610_2_CLTC.pdf", "Melting_Curves/meltCurve_Q00610_2_CLTC.pdf")</f>
        <v>Melting_Curves/meltCurve_Q00610_2_CLTC.pdf</v>
      </c>
    </row>
    <row r="2721" spans="1:28" x14ac:dyDescent="0.25">
      <c r="A2721" t="s">
        <v>2725</v>
      </c>
      <c r="B2721">
        <v>0.99299721793515405</v>
      </c>
      <c r="C2721">
        <v>0.94552718169402905</v>
      </c>
      <c r="D2721">
        <v>0.913448703674127</v>
      </c>
      <c r="E2721">
        <v>0.83018785328311295</v>
      </c>
      <c r="F2721">
        <v>0.51454429988233097</v>
      </c>
      <c r="G2721">
        <v>0.33786002145895</v>
      </c>
      <c r="H2721">
        <v>0.22926706488506099</v>
      </c>
      <c r="I2721">
        <v>0.218527112245371</v>
      </c>
      <c r="J2721">
        <v>0.173036454851134</v>
      </c>
      <c r="K2721">
        <v>0.14021423586694401</v>
      </c>
      <c r="L2721">
        <v>828.71568048397899</v>
      </c>
      <c r="M2721">
        <v>16.680267643359102</v>
      </c>
      <c r="N2721">
        <v>50.782729135486697</v>
      </c>
      <c r="O2721">
        <v>48.984792206353198</v>
      </c>
      <c r="P2721">
        <v>-7.22239595894342E-2</v>
      </c>
      <c r="Q2721">
        <v>0.15165867867277799</v>
      </c>
      <c r="R2721">
        <v>0.99450647544161297</v>
      </c>
      <c r="S2721" t="s">
        <v>8272</v>
      </c>
      <c r="T2721" t="s">
        <v>11100</v>
      </c>
      <c r="U2721" t="s">
        <v>11100</v>
      </c>
      <c r="V2721" t="s">
        <v>11100</v>
      </c>
      <c r="W2721" t="s">
        <v>13778</v>
      </c>
      <c r="X2721">
        <v>10</v>
      </c>
      <c r="Y2721" t="s">
        <v>19235</v>
      </c>
      <c r="Z2721" t="s">
        <v>24726</v>
      </c>
      <c r="AA2721">
        <v>0.52549061275072073</v>
      </c>
      <c r="AB2721" t="str">
        <f>HYPERLINK("Melting_Curves/meltCurve_Q00653_4_NFKB2.pdf", "Melting_Curves/meltCurve_Q00653_4_NFKB2.pdf")</f>
        <v>Melting_Curves/meltCurve_Q00653_4_NFKB2.pdf</v>
      </c>
    </row>
    <row r="2722" spans="1:28" x14ac:dyDescent="0.25">
      <c r="A2722" t="s">
        <v>2726</v>
      </c>
      <c r="B2722">
        <v>0.99299721793515405</v>
      </c>
      <c r="C2722">
        <v>1.07860734226193</v>
      </c>
      <c r="D2722">
        <v>1.1842873059313599</v>
      </c>
      <c r="E2722">
        <v>0.93496150868773198</v>
      </c>
      <c r="F2722">
        <v>0.74405828126782303</v>
      </c>
      <c r="G2722">
        <v>0.56300192796095105</v>
      </c>
      <c r="H2722">
        <v>0.40848693503609301</v>
      </c>
      <c r="I2722">
        <v>0.41730052140635199</v>
      </c>
      <c r="J2722">
        <v>0.46169539258839198</v>
      </c>
      <c r="K2722">
        <v>0.43246949553726899</v>
      </c>
      <c r="L2722">
        <v>1391.69400906953</v>
      </c>
      <c r="M2722">
        <v>27.418784605026801</v>
      </c>
      <c r="N2722">
        <v>54.626648533254397</v>
      </c>
      <c r="O2722">
        <v>50.489265631070303</v>
      </c>
      <c r="P2722">
        <v>-7.76158622350544E-2</v>
      </c>
      <c r="Q2722">
        <v>0.428314352865314</v>
      </c>
      <c r="R2722">
        <v>0.94371328653208797</v>
      </c>
      <c r="S2722" t="s">
        <v>8273</v>
      </c>
      <c r="T2722" t="s">
        <v>11100</v>
      </c>
      <c r="U2722" t="s">
        <v>11100</v>
      </c>
      <c r="V2722" t="s">
        <v>11100</v>
      </c>
      <c r="W2722" t="s">
        <v>13779</v>
      </c>
      <c r="X2722">
        <v>22</v>
      </c>
      <c r="Y2722" t="s">
        <v>19236</v>
      </c>
      <c r="Z2722" t="s">
        <v>24727</v>
      </c>
      <c r="AA2722">
        <v>0.69469532153714797</v>
      </c>
      <c r="AB2722" t="str">
        <f>HYPERLINK("Melting_Curves/meltCurve_Q00688_FKBP3.pdf", "Melting_Curves/meltCurve_Q00688_FKBP3.pdf")</f>
        <v>Melting_Curves/meltCurve_Q00688_FKBP3.pdf</v>
      </c>
    </row>
    <row r="2723" spans="1:28" x14ac:dyDescent="0.25">
      <c r="A2723" t="s">
        <v>2727</v>
      </c>
      <c r="B2723">
        <v>0.99299721793515405</v>
      </c>
      <c r="C2723">
        <v>1.11410205037763</v>
      </c>
      <c r="D2723">
        <v>1.7599991424999799</v>
      </c>
      <c r="E2723">
        <v>1.1209910363609501</v>
      </c>
      <c r="F2723">
        <v>0.78075780823115604</v>
      </c>
      <c r="G2723">
        <v>1.2288709812622101</v>
      </c>
      <c r="H2723">
        <v>0.72848153612323696</v>
      </c>
      <c r="I2723">
        <v>0.73728531038612499</v>
      </c>
      <c r="J2723">
        <v>0.85732036986406401</v>
      </c>
      <c r="K2723">
        <v>0.72191383191047598</v>
      </c>
      <c r="L2723">
        <v>7102.2367601741298</v>
      </c>
      <c r="M2723">
        <v>126.936482871595</v>
      </c>
      <c r="O2723">
        <v>55.937223167394698</v>
      </c>
      <c r="P2723">
        <v>-0.136399327432044</v>
      </c>
      <c r="Q2723">
        <v>0.75957110874794098</v>
      </c>
      <c r="R2723">
        <v>0.23938072048255099</v>
      </c>
      <c r="S2723" t="s">
        <v>8274</v>
      </c>
      <c r="T2723" t="s">
        <v>11100</v>
      </c>
      <c r="U2723" t="s">
        <v>11100</v>
      </c>
      <c r="V2723" t="s">
        <v>11100</v>
      </c>
      <c r="W2723" t="s">
        <v>13780</v>
      </c>
      <c r="X2723">
        <v>6</v>
      </c>
      <c r="Y2723" t="s">
        <v>19237</v>
      </c>
      <c r="Z2723" t="s">
        <v>24728</v>
      </c>
      <c r="AA2723">
        <v>0.91154253160005017</v>
      </c>
      <c r="AB2723" t="str">
        <f>HYPERLINK("Melting_Curves/meltCurve_Q00765_REEP5.pdf", "Melting_Curves/meltCurve_Q00765_REEP5.pdf")</f>
        <v>Melting_Curves/meltCurve_Q00765_REEP5.pdf</v>
      </c>
    </row>
    <row r="2724" spans="1:28" x14ac:dyDescent="0.25">
      <c r="A2724" t="s">
        <v>2728</v>
      </c>
      <c r="B2724">
        <v>0.99299721793515405</v>
      </c>
      <c r="C2724">
        <v>0.99576911221072295</v>
      </c>
      <c r="D2724">
        <v>0.92117192461821396</v>
      </c>
      <c r="E2724">
        <v>0.85354396741053495</v>
      </c>
      <c r="F2724">
        <v>0.756797958683886</v>
      </c>
      <c r="G2724">
        <v>0.74553765911968695</v>
      </c>
      <c r="H2724">
        <v>0.79804603405321894</v>
      </c>
      <c r="I2724">
        <v>0.835691371606195</v>
      </c>
      <c r="J2724">
        <v>0.47045523418883001</v>
      </c>
      <c r="K2724">
        <v>0.15295547914523</v>
      </c>
      <c r="L2724">
        <v>547.47679422120495</v>
      </c>
      <c r="M2724">
        <v>8.66282942595093</v>
      </c>
      <c r="N2724">
        <v>63.198379090914997</v>
      </c>
      <c r="O2724">
        <v>60.101439421139602</v>
      </c>
      <c r="P2724">
        <v>-3.60644305367794E-2</v>
      </c>
      <c r="Q2724">
        <v>0</v>
      </c>
      <c r="R2724">
        <v>0.72149796677602296</v>
      </c>
      <c r="S2724" t="s">
        <v>8275</v>
      </c>
      <c r="T2724" t="s">
        <v>11100</v>
      </c>
      <c r="U2724" t="s">
        <v>11100</v>
      </c>
      <c r="V2724" t="s">
        <v>11100</v>
      </c>
      <c r="W2724" t="s">
        <v>13781</v>
      </c>
      <c r="X2724">
        <v>19</v>
      </c>
      <c r="Y2724" t="s">
        <v>19238</v>
      </c>
      <c r="Z2724" t="s">
        <v>24729</v>
      </c>
      <c r="AA2724">
        <v>0.79449797126277233</v>
      </c>
      <c r="AB2724" t="str">
        <f>HYPERLINK("Melting_Curves/meltCurve_Q00796_SORD.pdf", "Melting_Curves/meltCurve_Q00796_SORD.pdf")</f>
        <v>Melting_Curves/meltCurve_Q00796_SORD.pdf</v>
      </c>
    </row>
    <row r="2725" spans="1:28" x14ac:dyDescent="0.25">
      <c r="A2725" t="s">
        <v>2729</v>
      </c>
      <c r="B2725">
        <v>0.99299721793515405</v>
      </c>
      <c r="C2725">
        <v>0.95948280537632902</v>
      </c>
      <c r="D2725">
        <v>0.97764672244161299</v>
      </c>
      <c r="E2725">
        <v>0.9263464388332</v>
      </c>
      <c r="F2725">
        <v>0.58983759024409999</v>
      </c>
      <c r="G2725">
        <v>0.294105982192781</v>
      </c>
      <c r="H2725">
        <v>0.24733796608569</v>
      </c>
      <c r="I2725">
        <v>0.22824425084476199</v>
      </c>
      <c r="J2725">
        <v>0.21576036728263301</v>
      </c>
      <c r="K2725">
        <v>0.182438403364414</v>
      </c>
      <c r="L2725">
        <v>1475.9886379326001</v>
      </c>
      <c r="M2725">
        <v>29.479639234109001</v>
      </c>
      <c r="N2725">
        <v>51.0161459693309</v>
      </c>
      <c r="O2725">
        <v>49.839362262351898</v>
      </c>
      <c r="P2725">
        <v>-0.11668719531471899</v>
      </c>
      <c r="Q2725">
        <v>0.21090269626005501</v>
      </c>
      <c r="R2725">
        <v>0.99717994471189397</v>
      </c>
      <c r="S2725" t="s">
        <v>8276</v>
      </c>
      <c r="T2725" t="s">
        <v>11100</v>
      </c>
      <c r="U2725" t="s">
        <v>11100</v>
      </c>
      <c r="V2725" t="s">
        <v>11100</v>
      </c>
      <c r="W2725" t="s">
        <v>13782</v>
      </c>
      <c r="X2725">
        <v>20</v>
      </c>
      <c r="Y2725" t="s">
        <v>19239</v>
      </c>
      <c r="Z2725" t="s">
        <v>24730</v>
      </c>
      <c r="AA2725">
        <v>0.5596523539313587</v>
      </c>
      <c r="AB2725" t="str">
        <f>HYPERLINK("Melting_Curves/meltCurve_Q00839_2_HNRNPU.pdf", "Melting_Curves/meltCurve_Q00839_2_HNRNPU.pdf")</f>
        <v>Melting_Curves/meltCurve_Q00839_2_HNRNPU.pdf</v>
      </c>
    </row>
    <row r="2726" spans="1:28" x14ac:dyDescent="0.25">
      <c r="A2726" t="s">
        <v>2730</v>
      </c>
      <c r="B2726">
        <v>0.99299721793515405</v>
      </c>
      <c r="C2726">
        <v>0.91988839952939605</v>
      </c>
      <c r="D2726">
        <v>0.93101778111963496</v>
      </c>
      <c r="E2726">
        <v>0.66297670754259197</v>
      </c>
      <c r="F2726">
        <v>0.49634586854829399</v>
      </c>
      <c r="G2726">
        <v>0.16386654707210899</v>
      </c>
      <c r="H2726">
        <v>0.104585990724181</v>
      </c>
      <c r="I2726">
        <v>8.4255390261563798E-2</v>
      </c>
      <c r="J2726">
        <v>7.7435048793834393E-2</v>
      </c>
      <c r="K2726">
        <v>5.8930400049485097E-2</v>
      </c>
      <c r="L2726">
        <v>781.03288296524101</v>
      </c>
      <c r="M2726">
        <v>15.9563629502612</v>
      </c>
      <c r="N2726">
        <v>49.192737458160998</v>
      </c>
      <c r="O2726">
        <v>48.198597277655701</v>
      </c>
      <c r="P2726">
        <v>-7.9612536089084293E-2</v>
      </c>
      <c r="Q2726">
        <v>3.8149638528608303E-2</v>
      </c>
      <c r="R2726">
        <v>0.98973014331119602</v>
      </c>
      <c r="S2726" t="s">
        <v>8277</v>
      </c>
      <c r="T2726" t="s">
        <v>11100</v>
      </c>
      <c r="U2726" t="s">
        <v>11100</v>
      </c>
      <c r="V2726" t="s">
        <v>11100</v>
      </c>
      <c r="W2726" t="s">
        <v>13783</v>
      </c>
      <c r="X2726">
        <v>8</v>
      </c>
      <c r="Y2726" t="s">
        <v>19240</v>
      </c>
      <c r="Z2726" t="s">
        <v>24731</v>
      </c>
      <c r="AA2726">
        <v>0.43998497560220501</v>
      </c>
      <c r="AB2726" t="str">
        <f>HYPERLINK("Melting_Curves/meltCurve_Q01081_U2AF1.pdf", "Melting_Curves/meltCurve_Q01081_U2AF1.pdf")</f>
        <v>Melting_Curves/meltCurve_Q01081_U2AF1.pdf</v>
      </c>
    </row>
    <row r="2727" spans="1:28" x14ac:dyDescent="0.25">
      <c r="A2727" t="s">
        <v>2731</v>
      </c>
      <c r="B2727">
        <v>0.99299721793515405</v>
      </c>
      <c r="C2727">
        <v>0.89249654785833099</v>
      </c>
      <c r="D2727">
        <v>0.93786293643569396</v>
      </c>
      <c r="E2727">
        <v>0.82352822204875098</v>
      </c>
      <c r="F2727">
        <v>0.64706402958933096</v>
      </c>
      <c r="G2727">
        <v>1.3987280499797199</v>
      </c>
      <c r="H2727">
        <v>1.58520217994663</v>
      </c>
      <c r="I2727">
        <v>0.559969983062239</v>
      </c>
      <c r="J2727">
        <v>0.42208678146748102</v>
      </c>
      <c r="K2727">
        <v>0.34277588237886603</v>
      </c>
      <c r="L2727">
        <v>15000</v>
      </c>
      <c r="M2727">
        <v>246.809270240979</v>
      </c>
      <c r="N2727">
        <v>61.134249807529798</v>
      </c>
      <c r="O2727">
        <v>60.771684605250002</v>
      </c>
      <c r="P2727">
        <v>-0.62702735460091896</v>
      </c>
      <c r="Q2727">
        <v>0.38242986524633299</v>
      </c>
      <c r="R2727">
        <v>0.52971707488611597</v>
      </c>
      <c r="S2727" t="s">
        <v>8278</v>
      </c>
      <c r="T2727" t="s">
        <v>11100</v>
      </c>
      <c r="U2727" t="s">
        <v>11100</v>
      </c>
      <c r="V2727" t="s">
        <v>11100</v>
      </c>
      <c r="W2727" t="s">
        <v>13784</v>
      </c>
      <c r="X2727">
        <v>15</v>
      </c>
      <c r="Y2727" t="s">
        <v>19241</v>
      </c>
      <c r="Z2727" t="s">
        <v>24732</v>
      </c>
      <c r="AA2727">
        <v>0.87193567755395529</v>
      </c>
      <c r="AB2727" t="str">
        <f>HYPERLINK("Melting_Curves/meltCurve_Q01082_SPTBN1.pdf", "Melting_Curves/meltCurve_Q01082_SPTBN1.pdf")</f>
        <v>Melting_Curves/meltCurve_Q01082_SPTBN1.pdf</v>
      </c>
    </row>
    <row r="2728" spans="1:28" x14ac:dyDescent="0.25">
      <c r="A2728" t="s">
        <v>2732</v>
      </c>
      <c r="B2728">
        <v>0.99299721793515405</v>
      </c>
      <c r="C2728">
        <v>0.89382381584386705</v>
      </c>
      <c r="D2728">
        <v>0.83938130608129002</v>
      </c>
      <c r="E2728">
        <v>0.70463258759291703</v>
      </c>
      <c r="F2728">
        <v>0.64931788811083602</v>
      </c>
      <c r="G2728">
        <v>0.49102350667586397</v>
      </c>
      <c r="H2728">
        <v>0.23141231384064501</v>
      </c>
      <c r="I2728">
        <v>0.20364278781341899</v>
      </c>
      <c r="J2728">
        <v>0.167164196443084</v>
      </c>
      <c r="K2728">
        <v>8.2725636002712793E-2</v>
      </c>
      <c r="L2728">
        <v>469.65971884138798</v>
      </c>
      <c r="M2728">
        <v>9.0183541290892393</v>
      </c>
      <c r="N2728">
        <v>52.0782076049545</v>
      </c>
      <c r="O2728">
        <v>49.708837942257396</v>
      </c>
      <c r="P2728">
        <v>-4.5388574434787901E-2</v>
      </c>
      <c r="Q2728">
        <v>0</v>
      </c>
      <c r="R2728">
        <v>0.98070635540594797</v>
      </c>
      <c r="S2728" t="s">
        <v>8279</v>
      </c>
      <c r="T2728" t="s">
        <v>11100</v>
      </c>
      <c r="U2728" t="s">
        <v>11100</v>
      </c>
      <c r="V2728" t="s">
        <v>11100</v>
      </c>
      <c r="W2728" t="s">
        <v>13785</v>
      </c>
      <c r="X2728">
        <v>3</v>
      </c>
      <c r="Y2728" t="s">
        <v>19242</v>
      </c>
      <c r="Z2728" t="s">
        <v>24733</v>
      </c>
      <c r="AA2728">
        <v>0.5299932237667645</v>
      </c>
      <c r="AB2728" t="str">
        <f>HYPERLINK("Melting_Curves/meltCurve_Q01085_2_TIAL1.pdf", "Melting_Curves/meltCurve_Q01085_2_TIAL1.pdf")</f>
        <v>Melting_Curves/meltCurve_Q01085_2_TIAL1.pdf</v>
      </c>
    </row>
    <row r="2729" spans="1:28" x14ac:dyDescent="0.25">
      <c r="A2729" t="s">
        <v>2733</v>
      </c>
      <c r="B2729">
        <v>0.99299721793515405</v>
      </c>
      <c r="C2729">
        <v>1.0415013575001699</v>
      </c>
      <c r="D2729">
        <v>1.3533657568733699</v>
      </c>
      <c r="E2729">
        <v>1.0471374229717201</v>
      </c>
      <c r="F2729">
        <v>1.0023842087993799</v>
      </c>
      <c r="G2729">
        <v>1.3994312949429399</v>
      </c>
      <c r="H2729">
        <v>0.99029366467871804</v>
      </c>
      <c r="I2729">
        <v>1.2786542944530099</v>
      </c>
      <c r="J2729">
        <v>1.3164187980295901</v>
      </c>
      <c r="K2729">
        <v>0.51297028338370798</v>
      </c>
      <c r="L2729">
        <v>15000</v>
      </c>
      <c r="M2729">
        <v>223.82851214866599</v>
      </c>
      <c r="Q2729">
        <v>0</v>
      </c>
      <c r="R2729">
        <v>0.243047653948396</v>
      </c>
      <c r="S2729" t="s">
        <v>8280</v>
      </c>
      <c r="T2729" t="s">
        <v>11100</v>
      </c>
      <c r="U2729" t="s">
        <v>11100</v>
      </c>
      <c r="V2729" t="s">
        <v>11100</v>
      </c>
      <c r="W2729" t="s">
        <v>13786</v>
      </c>
      <c r="X2729">
        <v>20</v>
      </c>
      <c r="Y2729" t="s">
        <v>19243</v>
      </c>
      <c r="Z2729" t="s">
        <v>24734</v>
      </c>
      <c r="AA2729">
        <v>0.99341100619810907</v>
      </c>
      <c r="AB2729" t="str">
        <f>HYPERLINK("Melting_Curves/meltCurve_Q01105_SET.pdf", "Melting_Curves/meltCurve_Q01105_SET.pdf")</f>
        <v>Melting_Curves/meltCurve_Q01105_SET.pdf</v>
      </c>
    </row>
    <row r="2730" spans="1:28" x14ac:dyDescent="0.25">
      <c r="A2730" t="s">
        <v>2734</v>
      </c>
      <c r="B2730">
        <v>0.99299721793515405</v>
      </c>
      <c r="C2730">
        <v>0.97213533664208196</v>
      </c>
      <c r="D2730">
        <v>0.85563608465489105</v>
      </c>
      <c r="E2730">
        <v>0.69895937467256397</v>
      </c>
      <c r="F2730">
        <v>0.48382824433491101</v>
      </c>
      <c r="G2730">
        <v>0.13213256311264099</v>
      </c>
      <c r="H2730">
        <v>5.6920526468210997E-2</v>
      </c>
      <c r="I2730">
        <v>0.16345335804824301</v>
      </c>
      <c r="J2730">
        <v>6.3376030335026506E-2</v>
      </c>
      <c r="K2730">
        <v>3.3347346144945299E-2</v>
      </c>
      <c r="L2730">
        <v>800.92535226031305</v>
      </c>
      <c r="M2730">
        <v>16.4051037919237</v>
      </c>
      <c r="N2730">
        <v>49.057129778912497</v>
      </c>
      <c r="O2730">
        <v>48.1135654066859</v>
      </c>
      <c r="P2730">
        <v>-8.2020815559747495E-2</v>
      </c>
      <c r="Q2730">
        <v>3.78522715741813E-2</v>
      </c>
      <c r="R2730">
        <v>0.98241597848064699</v>
      </c>
      <c r="S2730" t="s">
        <v>8281</v>
      </c>
      <c r="T2730" t="s">
        <v>11100</v>
      </c>
      <c r="U2730" t="s">
        <v>11100</v>
      </c>
      <c r="V2730" t="s">
        <v>11100</v>
      </c>
      <c r="W2730" t="s">
        <v>13787</v>
      </c>
      <c r="X2730">
        <v>4</v>
      </c>
      <c r="Y2730" t="s">
        <v>19244</v>
      </c>
      <c r="Z2730" t="s">
        <v>24735</v>
      </c>
      <c r="AA2730">
        <v>0.4349548199073921</v>
      </c>
      <c r="AB2730" t="str">
        <f>HYPERLINK("Melting_Curves/meltCurve_Q01167_FOXK2.pdf", "Melting_Curves/meltCurve_Q01167_FOXK2.pdf")</f>
        <v>Melting_Curves/meltCurve_Q01167_FOXK2.pdf</v>
      </c>
    </row>
    <row r="2731" spans="1:28" x14ac:dyDescent="0.25">
      <c r="A2731" t="s">
        <v>2735</v>
      </c>
      <c r="B2731">
        <v>0.99299721793515405</v>
      </c>
      <c r="C2731">
        <v>1.1167994775416501</v>
      </c>
      <c r="D2731">
        <v>0.85465950664633905</v>
      </c>
      <c r="E2731">
        <v>0.99942989056697695</v>
      </c>
      <c r="F2731">
        <v>0.73364668998266902</v>
      </c>
      <c r="G2731">
        <v>0.62989446042905595</v>
      </c>
      <c r="H2731">
        <v>0.47860326535353798</v>
      </c>
      <c r="I2731">
        <v>0.34895992467253001</v>
      </c>
      <c r="J2731">
        <v>0.15520761080404299</v>
      </c>
      <c r="K2731">
        <v>5.1727185330444403E-2</v>
      </c>
      <c r="L2731">
        <v>670.71749103663296</v>
      </c>
      <c r="M2731">
        <v>11.921786107825501</v>
      </c>
      <c r="N2731">
        <v>56.259815929158101</v>
      </c>
      <c r="O2731">
        <v>54.746938970725601</v>
      </c>
      <c r="P2731">
        <v>-5.4453878606634198E-2</v>
      </c>
      <c r="Q2731">
        <v>0</v>
      </c>
      <c r="R2731">
        <v>0.95574227802085399</v>
      </c>
      <c r="S2731" t="s">
        <v>8282</v>
      </c>
      <c r="T2731" t="s">
        <v>11100</v>
      </c>
      <c r="U2731" t="s">
        <v>11100</v>
      </c>
      <c r="V2731" t="s">
        <v>11100</v>
      </c>
      <c r="W2731" t="s">
        <v>13788</v>
      </c>
      <c r="X2731">
        <v>4</v>
      </c>
      <c r="Y2731" t="s">
        <v>19245</v>
      </c>
      <c r="Z2731" t="s">
        <v>24736</v>
      </c>
      <c r="AA2731">
        <v>0.65041610402049532</v>
      </c>
      <c r="AB2731" t="str">
        <f>HYPERLINK("Melting_Curves/meltCurve_Q01415_GALK2.pdf", "Melting_Curves/meltCurve_Q01415_GALK2.pdf")</f>
        <v>Melting_Curves/meltCurve_Q01415_GALK2.pdf</v>
      </c>
    </row>
    <row r="2732" spans="1:28" x14ac:dyDescent="0.25">
      <c r="A2732" t="s">
        <v>2736</v>
      </c>
      <c r="B2732">
        <v>0.99299721793515405</v>
      </c>
      <c r="C2732">
        <v>0.98660782458659602</v>
      </c>
      <c r="D2732">
        <v>0.88134154113151597</v>
      </c>
      <c r="E2732">
        <v>0.83978424959237996</v>
      </c>
      <c r="F2732">
        <v>0.71943303684868798</v>
      </c>
      <c r="G2732">
        <v>0.59249180452382499</v>
      </c>
      <c r="H2732">
        <v>0.51897837583788997</v>
      </c>
      <c r="I2732">
        <v>0.57238334061001805</v>
      </c>
      <c r="J2732">
        <v>0.356949863264648</v>
      </c>
      <c r="K2732">
        <v>0.21924126166486499</v>
      </c>
      <c r="L2732">
        <v>372.17992995627799</v>
      </c>
      <c r="M2732">
        <v>6.3727363971662498</v>
      </c>
      <c r="N2732">
        <v>58.401879664987803</v>
      </c>
      <c r="O2732">
        <v>53.445244815680397</v>
      </c>
      <c r="P2732">
        <v>-2.9887417186849102E-2</v>
      </c>
      <c r="Q2732">
        <v>0</v>
      </c>
      <c r="R2732">
        <v>0.94907834453725504</v>
      </c>
      <c r="S2732" t="s">
        <v>8283</v>
      </c>
      <c r="T2732" t="s">
        <v>11100</v>
      </c>
      <c r="U2732" t="s">
        <v>11100</v>
      </c>
      <c r="V2732" t="s">
        <v>11100</v>
      </c>
      <c r="W2732" t="s">
        <v>13789</v>
      </c>
      <c r="X2732">
        <v>23</v>
      </c>
      <c r="Y2732" t="s">
        <v>19246</v>
      </c>
      <c r="Z2732" t="s">
        <v>24737</v>
      </c>
      <c r="AA2732">
        <v>0.67126230110180651</v>
      </c>
      <c r="AB2732" t="str">
        <f>HYPERLINK("Melting_Curves/meltCurve_Q01469_FABP5.pdf", "Melting_Curves/meltCurve_Q01469_FABP5.pdf")</f>
        <v>Melting_Curves/meltCurve_Q01469_FABP5.pdf</v>
      </c>
    </row>
    <row r="2733" spans="1:28" x14ac:dyDescent="0.25">
      <c r="A2733" t="s">
        <v>2737</v>
      </c>
      <c r="B2733">
        <v>0.99299721793515405</v>
      </c>
      <c r="C2733">
        <v>0.97613936727707595</v>
      </c>
      <c r="D2733">
        <v>0.88725288787811996</v>
      </c>
      <c r="E2733">
        <v>0.80784400410923796</v>
      </c>
      <c r="F2733">
        <v>0.78232330802634198</v>
      </c>
      <c r="G2733">
        <v>1.90057647734692</v>
      </c>
      <c r="H2733">
        <v>2.05245810505048</v>
      </c>
      <c r="I2733">
        <v>0.27681992723017801</v>
      </c>
      <c r="J2733">
        <v>0.18506349346821199</v>
      </c>
      <c r="K2733">
        <v>0.17042453836315</v>
      </c>
      <c r="L2733">
        <v>15000</v>
      </c>
      <c r="M2733">
        <v>247.88918266912901</v>
      </c>
      <c r="N2733">
        <v>60.618335683667702</v>
      </c>
      <c r="O2733">
        <v>60.506971454373499</v>
      </c>
      <c r="P2733">
        <v>-0.84217512775451797</v>
      </c>
      <c r="Q2733">
        <v>0.177737959328338</v>
      </c>
      <c r="R2733">
        <v>0.46906493881502598</v>
      </c>
      <c r="S2733" t="s">
        <v>8284</v>
      </c>
      <c r="T2733" t="s">
        <v>11100</v>
      </c>
      <c r="U2733" t="s">
        <v>11100</v>
      </c>
      <c r="V2733" t="s">
        <v>11100</v>
      </c>
      <c r="W2733" t="s">
        <v>13790</v>
      </c>
      <c r="X2733">
        <v>13</v>
      </c>
      <c r="Y2733" t="s">
        <v>19247</v>
      </c>
      <c r="Z2733" t="s">
        <v>24738</v>
      </c>
      <c r="AA2733">
        <v>0.82223106579740168</v>
      </c>
      <c r="AB2733" t="str">
        <f>HYPERLINK("Melting_Curves/meltCurve_Q01518_2_CAP1.pdf", "Melting_Curves/meltCurve_Q01518_2_CAP1.pdf")</f>
        <v>Melting_Curves/meltCurve_Q01518_2_CAP1.pdf</v>
      </c>
    </row>
    <row r="2734" spans="1:28" x14ac:dyDescent="0.25">
      <c r="A2734" t="s">
        <v>2738</v>
      </c>
      <c r="B2734">
        <v>0.99299721793515405</v>
      </c>
      <c r="C2734">
        <v>0.87476950292762401</v>
      </c>
      <c r="D2734">
        <v>0.86184848632090705</v>
      </c>
      <c r="E2734">
        <v>0.78240620660080495</v>
      </c>
      <c r="F2734">
        <v>0.56783038218222304</v>
      </c>
      <c r="G2734">
        <v>0.40095736484455502</v>
      </c>
      <c r="H2734">
        <v>0.326512477928114</v>
      </c>
      <c r="I2734">
        <v>0.189209844044814</v>
      </c>
      <c r="J2734">
        <v>0.262655138267752</v>
      </c>
      <c r="K2734">
        <v>0.17739004167713401</v>
      </c>
      <c r="L2734">
        <v>514.09239633432401</v>
      </c>
      <c r="M2734">
        <v>10.194461184303099</v>
      </c>
      <c r="N2734">
        <v>51.784026216820699</v>
      </c>
      <c r="O2734">
        <v>48.603642984319798</v>
      </c>
      <c r="P2734">
        <v>-4.6317270066469601E-2</v>
      </c>
      <c r="Q2734">
        <v>0.117100250574251</v>
      </c>
      <c r="R2734">
        <v>0.98362203148287497</v>
      </c>
      <c r="S2734" t="s">
        <v>8285</v>
      </c>
      <c r="T2734" t="s">
        <v>11100</v>
      </c>
      <c r="U2734" t="s">
        <v>11100</v>
      </c>
      <c r="V2734" t="s">
        <v>11100</v>
      </c>
      <c r="W2734" t="s">
        <v>13791</v>
      </c>
      <c r="X2734">
        <v>2</v>
      </c>
      <c r="Y2734" t="s">
        <v>19248</v>
      </c>
      <c r="Z2734" t="s">
        <v>24739</v>
      </c>
      <c r="AA2734">
        <v>0.54051279681373154</v>
      </c>
      <c r="AB2734" t="str">
        <f>HYPERLINK("Melting_Curves/meltCurve_Q01543_2_FLI1.pdf", "Melting_Curves/meltCurve_Q01543_2_FLI1.pdf")</f>
        <v>Melting_Curves/meltCurve_Q01543_2_FLI1.pdf</v>
      </c>
    </row>
    <row r="2735" spans="1:28" x14ac:dyDescent="0.25">
      <c r="A2735" t="s">
        <v>2739</v>
      </c>
      <c r="B2735">
        <v>0.99299721793515405</v>
      </c>
      <c r="C2735">
        <v>0.95964801465191596</v>
      </c>
      <c r="D2735">
        <v>0.86157492262384805</v>
      </c>
      <c r="E2735">
        <v>0.81820794031329203</v>
      </c>
      <c r="F2735">
        <v>0.71947990865325595</v>
      </c>
      <c r="G2735">
        <v>0.571850482873275</v>
      </c>
      <c r="H2735">
        <v>0.56818965288261203</v>
      </c>
      <c r="I2735">
        <v>0.448899421544384</v>
      </c>
      <c r="J2735">
        <v>0.11990633179495599</v>
      </c>
      <c r="K2735">
        <v>4.6136464200764102E-2</v>
      </c>
      <c r="L2735">
        <v>506.26832971736599</v>
      </c>
      <c r="M2735">
        <v>9.0541126308741493</v>
      </c>
      <c r="N2735">
        <v>55.915840233843802</v>
      </c>
      <c r="O2735">
        <v>53.390453091463797</v>
      </c>
      <c r="P2735">
        <v>-4.2425845129139703E-2</v>
      </c>
      <c r="Q2735">
        <v>0</v>
      </c>
      <c r="R2735">
        <v>0.924144903354432</v>
      </c>
      <c r="S2735" t="s">
        <v>8286</v>
      </c>
      <c r="T2735" t="s">
        <v>11100</v>
      </c>
      <c r="U2735" t="s">
        <v>11100</v>
      </c>
      <c r="V2735" t="s">
        <v>11100</v>
      </c>
      <c r="W2735" t="s">
        <v>13792</v>
      </c>
      <c r="X2735">
        <v>17</v>
      </c>
      <c r="Y2735" t="s">
        <v>19249</v>
      </c>
      <c r="Z2735" t="s">
        <v>24740</v>
      </c>
      <c r="AA2735">
        <v>0.63418295600895036</v>
      </c>
      <c r="AB2735" t="str">
        <f>HYPERLINK("Melting_Curves/meltCurve_Q01581_HMGCS1.pdf", "Melting_Curves/meltCurve_Q01581_HMGCS1.pdf")</f>
        <v>Melting_Curves/meltCurve_Q01581_HMGCS1.pdf</v>
      </c>
    </row>
    <row r="2736" spans="1:28" x14ac:dyDescent="0.25">
      <c r="A2736" t="s">
        <v>2740</v>
      </c>
      <c r="B2736">
        <v>0.99299721793515405</v>
      </c>
      <c r="C2736">
        <v>0.97697301531220304</v>
      </c>
      <c r="D2736">
        <v>0.88659226201908703</v>
      </c>
      <c r="E2736">
        <v>0.84857937569527697</v>
      </c>
      <c r="F2736">
        <v>0.79799641200063998</v>
      </c>
      <c r="G2736">
        <v>0.61418023339932104</v>
      </c>
      <c r="H2736">
        <v>0.755587635535656</v>
      </c>
      <c r="I2736">
        <v>0.84987690198925203</v>
      </c>
      <c r="J2736">
        <v>0.75021807719740996</v>
      </c>
      <c r="K2736">
        <v>0.45592791394262799</v>
      </c>
      <c r="L2736">
        <v>209.40528336605399</v>
      </c>
      <c r="M2736">
        <v>2.6674578753628402</v>
      </c>
      <c r="O2736">
        <v>54.7149149154531</v>
      </c>
      <c r="P2736">
        <v>-1.2711611060496401E-2</v>
      </c>
      <c r="Q2736">
        <v>0</v>
      </c>
      <c r="R2736">
        <v>0.60399689308361704</v>
      </c>
      <c r="S2736" t="s">
        <v>8287</v>
      </c>
      <c r="T2736" t="s">
        <v>11100</v>
      </c>
      <c r="U2736" t="s">
        <v>11100</v>
      </c>
      <c r="V2736" t="s">
        <v>11100</v>
      </c>
      <c r="W2736" t="s">
        <v>13793</v>
      </c>
      <c r="X2736">
        <v>6</v>
      </c>
      <c r="Y2736" t="s">
        <v>19250</v>
      </c>
      <c r="Z2736" t="s">
        <v>24741</v>
      </c>
      <c r="AA2736">
        <v>0.7915929420106127</v>
      </c>
      <c r="AB2736" t="str">
        <f>HYPERLINK("Melting_Curves/meltCurve_Q01650_SLC7A5.pdf", "Melting_Curves/meltCurve_Q01650_SLC7A5.pdf")</f>
        <v>Melting_Curves/meltCurve_Q01650_SLC7A5.pdf</v>
      </c>
    </row>
    <row r="2737" spans="1:28" x14ac:dyDescent="0.25">
      <c r="A2737" t="s">
        <v>2741</v>
      </c>
      <c r="B2737">
        <v>0.99299721793515405</v>
      </c>
      <c r="C2737">
        <v>0.92731379598529295</v>
      </c>
      <c r="D2737">
        <v>1.01767958006082</v>
      </c>
      <c r="E2737">
        <v>0.79837134415914601</v>
      </c>
      <c r="F2737">
        <v>0.72180697166296903</v>
      </c>
      <c r="G2737">
        <v>0.52236058282310605</v>
      </c>
      <c r="H2737">
        <v>0.37238801328384502</v>
      </c>
      <c r="I2737">
        <v>0.43609556627611801</v>
      </c>
      <c r="J2737">
        <v>0.515986294666681</v>
      </c>
      <c r="K2737">
        <v>0.55469213661499395</v>
      </c>
      <c r="L2737">
        <v>1026.8457813175701</v>
      </c>
      <c r="M2737">
        <v>21.0520673573116</v>
      </c>
      <c r="N2737">
        <v>56.032512052448503</v>
      </c>
      <c r="O2737">
        <v>48.342750911983899</v>
      </c>
      <c r="P2737">
        <v>-5.7999720385948403E-2</v>
      </c>
      <c r="Q2737">
        <v>0.46726523345985899</v>
      </c>
      <c r="R2737">
        <v>0.92364201571243099</v>
      </c>
      <c r="S2737" t="s">
        <v>8288</v>
      </c>
      <c r="T2737" t="s">
        <v>11100</v>
      </c>
      <c r="U2737" t="s">
        <v>11100</v>
      </c>
      <c r="V2737" t="s">
        <v>11100</v>
      </c>
      <c r="W2737" t="s">
        <v>13794</v>
      </c>
      <c r="X2737">
        <v>6</v>
      </c>
      <c r="Y2737" t="s">
        <v>19251</v>
      </c>
      <c r="Z2737" t="s">
        <v>24742</v>
      </c>
      <c r="AA2737">
        <v>0.68276896180098534</v>
      </c>
      <c r="AB2737" t="str">
        <f>HYPERLINK("Melting_Curves/meltCurve_Q01658_DR1.pdf", "Melting_Curves/meltCurve_Q01658_DR1.pdf")</f>
        <v>Melting_Curves/meltCurve_Q01658_DR1.pdf</v>
      </c>
    </row>
    <row r="2738" spans="1:28" x14ac:dyDescent="0.25">
      <c r="A2738" t="s">
        <v>2742</v>
      </c>
      <c r="B2738">
        <v>0.99299721793515405</v>
      </c>
      <c r="C2738">
        <v>0.946446796367854</v>
      </c>
      <c r="D2738">
        <v>0.98721098991398404</v>
      </c>
      <c r="E2738">
        <v>0.912506855455673</v>
      </c>
      <c r="F2738">
        <v>0.77209383221176298</v>
      </c>
      <c r="G2738">
        <v>0.78378021758625305</v>
      </c>
      <c r="H2738">
        <v>0.708735855819562</v>
      </c>
      <c r="I2738">
        <v>0.77895615099482496</v>
      </c>
      <c r="J2738">
        <v>0.74536720791063704</v>
      </c>
      <c r="K2738">
        <v>0.59326081032451194</v>
      </c>
      <c r="L2738">
        <v>499.50106989865799</v>
      </c>
      <c r="M2738">
        <v>9.9334449680899208</v>
      </c>
      <c r="O2738">
        <v>48.374167550105803</v>
      </c>
      <c r="P2738">
        <v>-1.77275420925746E-2</v>
      </c>
      <c r="Q2738">
        <v>0.65485189624614104</v>
      </c>
      <c r="R2738">
        <v>0.853879692933457</v>
      </c>
      <c r="S2738" t="s">
        <v>8289</v>
      </c>
      <c r="T2738" t="s">
        <v>11100</v>
      </c>
      <c r="U2738" t="s">
        <v>11100</v>
      </c>
      <c r="V2738" t="s">
        <v>11100</v>
      </c>
      <c r="W2738" t="s">
        <v>13795</v>
      </c>
      <c r="X2738">
        <v>44</v>
      </c>
      <c r="Y2738" t="s">
        <v>19252</v>
      </c>
      <c r="Z2738" t="s">
        <v>24743</v>
      </c>
      <c r="AA2738">
        <v>0.81914403134675784</v>
      </c>
      <c r="AB2738" t="str">
        <f>HYPERLINK("Melting_Curves/meltCurve_Q01813_PFKP.pdf", "Melting_Curves/meltCurve_Q01813_PFKP.pdf")</f>
        <v>Melting_Curves/meltCurve_Q01813_PFKP.pdf</v>
      </c>
    </row>
    <row r="2739" spans="1:28" x14ac:dyDescent="0.25">
      <c r="A2739" t="s">
        <v>2743</v>
      </c>
      <c r="B2739">
        <v>0.99299721793515405</v>
      </c>
      <c r="C2739">
        <v>1.00954662747777</v>
      </c>
      <c r="D2739">
        <v>0.99207620946058905</v>
      </c>
      <c r="E2739">
        <v>0.92720949243435902</v>
      </c>
      <c r="F2739">
        <v>0.73437373001329997</v>
      </c>
      <c r="G2739">
        <v>0.53991160475841904</v>
      </c>
      <c r="H2739">
        <v>0.26705570490072</v>
      </c>
      <c r="I2739">
        <v>0.18864507804978201</v>
      </c>
      <c r="J2739">
        <v>0.16476657526237401</v>
      </c>
      <c r="K2739">
        <v>0.135112446438374</v>
      </c>
      <c r="L2739">
        <v>919.69886765593503</v>
      </c>
      <c r="M2739">
        <v>17.335101518457101</v>
      </c>
      <c r="N2739">
        <v>53.821608920611098</v>
      </c>
      <c r="O2739">
        <v>52.363225812499103</v>
      </c>
      <c r="P2739">
        <v>-7.3705132309391297E-2</v>
      </c>
      <c r="Q2739">
        <v>0.109502304640808</v>
      </c>
      <c r="R2739">
        <v>0.99732416690575998</v>
      </c>
      <c r="S2739" t="s">
        <v>8290</v>
      </c>
      <c r="T2739" t="s">
        <v>11100</v>
      </c>
      <c r="U2739" t="s">
        <v>11100</v>
      </c>
      <c r="V2739" t="s">
        <v>11100</v>
      </c>
      <c r="W2739" t="s">
        <v>13796</v>
      </c>
      <c r="X2739">
        <v>10</v>
      </c>
      <c r="Y2739" t="s">
        <v>19253</v>
      </c>
      <c r="Z2739" t="s">
        <v>24744</v>
      </c>
      <c r="AA2739">
        <v>0.59957340151219662</v>
      </c>
      <c r="AB2739" t="str">
        <f>HYPERLINK("Melting_Curves/meltCurve_Q01968_OCRL.pdf", "Melting_Curves/meltCurve_Q01968_OCRL.pdf")</f>
        <v>Melting_Curves/meltCurve_Q01968_OCRL.pdf</v>
      </c>
    </row>
    <row r="2740" spans="1:28" x14ac:dyDescent="0.25">
      <c r="A2740" t="s">
        <v>2744</v>
      </c>
      <c r="B2740">
        <v>0.99299721793515405</v>
      </c>
      <c r="C2740">
        <v>0.961509269353093</v>
      </c>
      <c r="D2740">
        <v>0.97227486408248498</v>
      </c>
      <c r="E2740">
        <v>0.804428505927545</v>
      </c>
      <c r="F2740">
        <v>0.73385708037365205</v>
      </c>
      <c r="G2740">
        <v>0.65899493417449995</v>
      </c>
      <c r="H2740">
        <v>0.27083101375406499</v>
      </c>
      <c r="I2740">
        <v>0.23302556724802301</v>
      </c>
      <c r="J2740">
        <v>0.14801334941811101</v>
      </c>
      <c r="K2740">
        <v>0.12975352090091799</v>
      </c>
      <c r="L2740">
        <v>623.69854232466002</v>
      </c>
      <c r="M2740">
        <v>11.4154848329208</v>
      </c>
      <c r="N2740">
        <v>54.636170916008702</v>
      </c>
      <c r="O2740">
        <v>53.040152916867797</v>
      </c>
      <c r="P2740">
        <v>-5.3821597706451597E-2</v>
      </c>
      <c r="Q2740">
        <v>0</v>
      </c>
      <c r="R2740">
        <v>0.97496265641296298</v>
      </c>
      <c r="S2740" t="s">
        <v>8291</v>
      </c>
      <c r="T2740" t="s">
        <v>11100</v>
      </c>
      <c r="U2740" t="s">
        <v>11100</v>
      </c>
      <c r="V2740" t="s">
        <v>11100</v>
      </c>
      <c r="W2740" t="s">
        <v>13797</v>
      </c>
      <c r="X2740">
        <v>5</v>
      </c>
      <c r="Y2740" t="s">
        <v>19254</v>
      </c>
      <c r="Z2740" t="s">
        <v>24745</v>
      </c>
      <c r="AA2740">
        <v>0.60329987529390261</v>
      </c>
      <c r="AB2740" t="str">
        <f>HYPERLINK("Melting_Curves/meltCurve_Q01970_PLCB3.pdf", "Melting_Curves/meltCurve_Q01970_PLCB3.pdf")</f>
        <v>Melting_Curves/meltCurve_Q01970_PLCB3.pdf</v>
      </c>
    </row>
    <row r="2741" spans="1:28" x14ac:dyDescent="0.25">
      <c r="A2741" t="s">
        <v>2745</v>
      </c>
      <c r="B2741">
        <v>0.99299721793515405</v>
      </c>
      <c r="C2741">
        <v>0.97315366829352201</v>
      </c>
      <c r="D2741">
        <v>0.90142750301851904</v>
      </c>
      <c r="E2741">
        <v>0.90511415315732402</v>
      </c>
      <c r="F2741">
        <v>0.74019924788691505</v>
      </c>
      <c r="G2741">
        <v>0.53624324141773805</v>
      </c>
      <c r="H2741">
        <v>0.35237368698308902</v>
      </c>
      <c r="I2741">
        <v>0.221314548903178</v>
      </c>
      <c r="J2741">
        <v>9.4948740279319502E-2</v>
      </c>
      <c r="K2741">
        <v>8.7847240671870497E-2</v>
      </c>
      <c r="L2741">
        <v>673.83734973740695</v>
      </c>
      <c r="M2741">
        <v>12.3869806680393</v>
      </c>
      <c r="N2741">
        <v>54.398854293050903</v>
      </c>
      <c r="O2741">
        <v>53.039388397468301</v>
      </c>
      <c r="P2741">
        <v>-5.8398208973771099E-2</v>
      </c>
      <c r="Q2741">
        <v>0</v>
      </c>
      <c r="R2741">
        <v>0.99493449175446402</v>
      </c>
      <c r="S2741" t="s">
        <v>8292</v>
      </c>
      <c r="T2741" t="s">
        <v>11100</v>
      </c>
      <c r="U2741" t="s">
        <v>11100</v>
      </c>
      <c r="V2741" t="s">
        <v>11100</v>
      </c>
      <c r="W2741" t="s">
        <v>13798</v>
      </c>
      <c r="X2741">
        <v>2</v>
      </c>
      <c r="Y2741" t="s">
        <v>19255</v>
      </c>
      <c r="Z2741" t="s">
        <v>24746</v>
      </c>
      <c r="AA2741">
        <v>0.59644650268545829</v>
      </c>
      <c r="AB2741" t="str">
        <f>HYPERLINK("Melting_Curves/meltCurve_Q02078_3_MEF2A.pdf", "Melting_Curves/meltCurve_Q02078_3_MEF2A.pdf")</f>
        <v>Melting_Curves/meltCurve_Q02078_3_MEF2A.pdf</v>
      </c>
    </row>
    <row r="2742" spans="1:28" x14ac:dyDescent="0.25">
      <c r="A2742" t="s">
        <v>2746</v>
      </c>
      <c r="B2742">
        <v>0.99299721793515405</v>
      </c>
      <c r="C2742">
        <v>1.1451292203216099</v>
      </c>
      <c r="D2742">
        <v>1.0212604041984401</v>
      </c>
      <c r="E2742">
        <v>0.85878121262457296</v>
      </c>
      <c r="F2742">
        <v>0.84192424710091496</v>
      </c>
      <c r="G2742">
        <v>0.68229609854451501</v>
      </c>
      <c r="H2742">
        <v>0.50619064125847602</v>
      </c>
      <c r="I2742">
        <v>0.56988663956831698</v>
      </c>
      <c r="J2742">
        <v>0.54912971873616301</v>
      </c>
      <c r="K2742">
        <v>0.42725358552572701</v>
      </c>
      <c r="L2742">
        <v>832.24750233282998</v>
      </c>
      <c r="M2742">
        <v>15.9957431329002</v>
      </c>
      <c r="N2742">
        <v>63.554796914392803</v>
      </c>
      <c r="O2742">
        <v>51.236479964167899</v>
      </c>
      <c r="P2742">
        <v>-4.1173081830689101E-2</v>
      </c>
      <c r="Q2742">
        <v>0.47250993551234099</v>
      </c>
      <c r="R2742">
        <v>0.92211669538171204</v>
      </c>
      <c r="S2742" t="s">
        <v>8293</v>
      </c>
      <c r="T2742" t="s">
        <v>11100</v>
      </c>
      <c r="U2742" t="s">
        <v>11100</v>
      </c>
      <c r="V2742" t="s">
        <v>11100</v>
      </c>
      <c r="W2742" t="s">
        <v>13799</v>
      </c>
      <c r="X2742">
        <v>2</v>
      </c>
      <c r="Y2742" t="s">
        <v>19256</v>
      </c>
      <c r="Z2742" t="s">
        <v>24747</v>
      </c>
      <c r="AA2742">
        <v>0.74610031708535252</v>
      </c>
      <c r="AB2742" t="str">
        <f>HYPERLINK("Melting_Curves/meltCurve_Q02083_2_NAAA.pdf", "Melting_Curves/meltCurve_Q02083_2_NAAA.pdf")</f>
        <v>Melting_Curves/meltCurve_Q02083_2_NAAA.pdf</v>
      </c>
    </row>
    <row r="2743" spans="1:28" x14ac:dyDescent="0.25">
      <c r="A2743" t="s">
        <v>2747</v>
      </c>
      <c r="B2743">
        <v>0.99299721793515405</v>
      </c>
      <c r="C2743">
        <v>0.72707821202703005</v>
      </c>
      <c r="D2743">
        <v>0.75721924272442698</v>
      </c>
      <c r="E2743">
        <v>0.69579240080398497</v>
      </c>
      <c r="F2743">
        <v>0.53992065174039505</v>
      </c>
      <c r="G2743">
        <v>0.36549910392068002</v>
      </c>
      <c r="H2743">
        <v>0.23474311369818099</v>
      </c>
      <c r="I2743">
        <v>0.197490233910046</v>
      </c>
      <c r="J2743">
        <v>0.13956124682589</v>
      </c>
      <c r="K2743">
        <v>3.8074457122869998E-2</v>
      </c>
      <c r="L2743">
        <v>393.54449428473703</v>
      </c>
      <c r="M2743">
        <v>7.89774231118977</v>
      </c>
      <c r="N2743">
        <v>49.829997794292701</v>
      </c>
      <c r="O2743">
        <v>46.938816613431101</v>
      </c>
      <c r="P2743">
        <v>-4.21139382015705E-2</v>
      </c>
      <c r="Q2743">
        <v>0</v>
      </c>
      <c r="R2743">
        <v>0.95657566622866497</v>
      </c>
      <c r="S2743" t="s">
        <v>8294</v>
      </c>
      <c r="T2743" t="s">
        <v>11100</v>
      </c>
      <c r="U2743" t="s">
        <v>11100</v>
      </c>
      <c r="V2743" t="s">
        <v>11100</v>
      </c>
      <c r="W2743" t="s">
        <v>13800</v>
      </c>
      <c r="X2743">
        <v>3</v>
      </c>
      <c r="Y2743" t="s">
        <v>19257</v>
      </c>
      <c r="Z2743" t="s">
        <v>24748</v>
      </c>
      <c r="AA2743">
        <v>0.46978264471886899</v>
      </c>
      <c r="AB2743" t="str">
        <f>HYPERLINK("Melting_Curves/meltCurve_Q02086_2_SP2.pdf", "Melting_Curves/meltCurve_Q02086_2_SP2.pdf")</f>
        <v>Melting_Curves/meltCurve_Q02086_2_SP2.pdf</v>
      </c>
    </row>
    <row r="2744" spans="1:28" x14ac:dyDescent="0.25">
      <c r="A2744" t="s">
        <v>2748</v>
      </c>
      <c r="B2744">
        <v>0.99299721793515405</v>
      </c>
      <c r="C2744">
        <v>0.93593015200461505</v>
      </c>
      <c r="D2744">
        <v>0.900417581469527</v>
      </c>
      <c r="E2744">
        <v>0.81493726259997301</v>
      </c>
      <c r="F2744">
        <v>0.706313639007907</v>
      </c>
      <c r="G2744">
        <v>0.48084736324795602</v>
      </c>
      <c r="H2744">
        <v>0.46348141265792098</v>
      </c>
      <c r="I2744">
        <v>0.51372890025503704</v>
      </c>
      <c r="J2744">
        <v>0.46977329644764898</v>
      </c>
      <c r="K2744">
        <v>0.27690716148435901</v>
      </c>
      <c r="L2744">
        <v>507.98210716399302</v>
      </c>
      <c r="M2744">
        <v>10.0539098054766</v>
      </c>
      <c r="N2744">
        <v>56.416187543047698</v>
      </c>
      <c r="O2744">
        <v>48.6489874296349</v>
      </c>
      <c r="P2744">
        <v>-3.4891789069884098E-2</v>
      </c>
      <c r="Q2744">
        <v>0.32498198269329698</v>
      </c>
      <c r="R2744">
        <v>0.941683204847651</v>
      </c>
      <c r="S2744" t="s">
        <v>8295</v>
      </c>
      <c r="T2744" t="s">
        <v>11100</v>
      </c>
      <c r="U2744" t="s">
        <v>11100</v>
      </c>
      <c r="V2744" t="s">
        <v>11100</v>
      </c>
      <c r="W2744" t="s">
        <v>13801</v>
      </c>
      <c r="X2744">
        <v>16</v>
      </c>
      <c r="Y2744" t="s">
        <v>19258</v>
      </c>
      <c r="Z2744" t="s">
        <v>24749</v>
      </c>
      <c r="AA2744">
        <v>0.65092972723085984</v>
      </c>
      <c r="AB2744" t="str">
        <f>HYPERLINK("Melting_Curves/meltCurve_Q02127_DHODH.pdf", "Melting_Curves/meltCurve_Q02127_DHODH.pdf")</f>
        <v>Melting_Curves/meltCurve_Q02127_DHODH.pdf</v>
      </c>
    </row>
    <row r="2745" spans="1:28" x14ac:dyDescent="0.25">
      <c r="A2745" t="s">
        <v>2749</v>
      </c>
      <c r="B2745">
        <v>0.99299721793515405</v>
      </c>
      <c r="C2745">
        <v>0.84789243312811702</v>
      </c>
      <c r="D2745">
        <v>1.27797823441912</v>
      </c>
      <c r="E2745">
        <v>0.82543206624142795</v>
      </c>
      <c r="F2745">
        <v>0.70874754772249104</v>
      </c>
      <c r="G2745">
        <v>0.20695051128873099</v>
      </c>
      <c r="H2745">
        <v>0.15087617165553699</v>
      </c>
      <c r="I2745">
        <v>0.17511824964393699</v>
      </c>
      <c r="J2745">
        <v>0.20766541720063</v>
      </c>
      <c r="K2745">
        <v>0.15093943124994599</v>
      </c>
      <c r="L2745">
        <v>1917.7547538377801</v>
      </c>
      <c r="M2745">
        <v>37.759456903726999</v>
      </c>
      <c r="N2745">
        <v>51.315550414195101</v>
      </c>
      <c r="O2745">
        <v>50.646904786423399</v>
      </c>
      <c r="P2745">
        <v>-0.15643779529169599</v>
      </c>
      <c r="Q2745">
        <v>0.16067975688340599</v>
      </c>
      <c r="R2745">
        <v>0.91996929756841594</v>
      </c>
      <c r="S2745" t="s">
        <v>8296</v>
      </c>
      <c r="T2745" t="s">
        <v>11100</v>
      </c>
      <c r="U2745" t="s">
        <v>11100</v>
      </c>
      <c r="V2745" t="s">
        <v>11100</v>
      </c>
      <c r="W2745" t="s">
        <v>13802</v>
      </c>
      <c r="X2745">
        <v>6</v>
      </c>
      <c r="Y2745" t="s">
        <v>19259</v>
      </c>
      <c r="Z2745" t="s">
        <v>24750</v>
      </c>
      <c r="AA2745">
        <v>0.549755286732866</v>
      </c>
      <c r="AB2745" t="str">
        <f>HYPERLINK("Melting_Curves/meltCurve_Q02156_PRKCE.pdf", "Melting_Curves/meltCurve_Q02156_PRKCE.pdf")</f>
        <v>Melting_Curves/meltCurve_Q02156_PRKCE.pdf</v>
      </c>
    </row>
    <row r="2746" spans="1:28" x14ac:dyDescent="0.25">
      <c r="A2746" t="s">
        <v>2750</v>
      </c>
      <c r="B2746">
        <v>0.99299721793515405</v>
      </c>
      <c r="C2746">
        <v>0.78030597340805097</v>
      </c>
      <c r="D2746">
        <v>0.98081669610813504</v>
      </c>
      <c r="E2746">
        <v>0.73196706224339303</v>
      </c>
      <c r="F2746">
        <v>0.57279448810599498</v>
      </c>
      <c r="G2746">
        <v>0.49051675433965303</v>
      </c>
      <c r="H2746">
        <v>0.46283265380581001</v>
      </c>
      <c r="I2746">
        <v>0.17160419241235</v>
      </c>
      <c r="J2746">
        <v>8.2705600677158306E-2</v>
      </c>
      <c r="K2746">
        <v>8.0210210644828306E-2</v>
      </c>
      <c r="L2746">
        <v>479.93552850291599</v>
      </c>
      <c r="M2746">
        <v>9.1049811480380107</v>
      </c>
      <c r="N2746">
        <v>52.711314901838101</v>
      </c>
      <c r="O2746">
        <v>50.355250820120602</v>
      </c>
      <c r="P2746">
        <v>-4.5235149760537302E-2</v>
      </c>
      <c r="Q2746">
        <v>0</v>
      </c>
      <c r="R2746">
        <v>0.93094334225755504</v>
      </c>
      <c r="S2746" t="s">
        <v>8297</v>
      </c>
      <c r="T2746" t="s">
        <v>11100</v>
      </c>
      <c r="U2746" t="s">
        <v>11100</v>
      </c>
      <c r="V2746" t="s">
        <v>11100</v>
      </c>
      <c r="W2746" t="s">
        <v>13803</v>
      </c>
      <c r="X2746">
        <v>1</v>
      </c>
      <c r="Y2746" t="s">
        <v>19260</v>
      </c>
      <c r="Z2746" t="s">
        <v>24751</v>
      </c>
      <c r="AA2746">
        <v>0.54773798170659471</v>
      </c>
      <c r="AB2746" t="str">
        <f>HYPERLINK("Melting_Curves/meltCurve_Q02241_KIF23.pdf", "Melting_Curves/meltCurve_Q02241_KIF23.pdf")</f>
        <v>Melting_Curves/meltCurve_Q02241_KIF23.pdf</v>
      </c>
    </row>
    <row r="2747" spans="1:28" x14ac:dyDescent="0.25">
      <c r="A2747" t="s">
        <v>2751</v>
      </c>
      <c r="B2747">
        <v>0.99299721793515405</v>
      </c>
      <c r="C2747">
        <v>1.08367125523373</v>
      </c>
      <c r="D2747">
        <v>1.10392919250623</v>
      </c>
      <c r="E2747">
        <v>0.95416931564929297</v>
      </c>
      <c r="F2747">
        <v>0.75574515145157595</v>
      </c>
      <c r="G2747">
        <v>0.50176743391767098</v>
      </c>
      <c r="H2747">
        <v>0.56506491904026701</v>
      </c>
      <c r="I2747">
        <v>0.33961477339289098</v>
      </c>
      <c r="J2747">
        <v>0.79368286990665404</v>
      </c>
      <c r="K2747">
        <v>0.22381035972392799</v>
      </c>
      <c r="L2747">
        <v>1748.6295200023401</v>
      </c>
      <c r="M2747">
        <v>34.736535659391997</v>
      </c>
      <c r="N2747">
        <v>54.993234862548498</v>
      </c>
      <c r="O2747">
        <v>50.173831825884399</v>
      </c>
      <c r="P2747">
        <v>-9.1118778747547396E-2</v>
      </c>
      <c r="Q2747">
        <v>0.473550225880569</v>
      </c>
      <c r="R2747">
        <v>0.76165392930341502</v>
      </c>
      <c r="S2747" t="s">
        <v>8298</v>
      </c>
      <c r="T2747" t="s">
        <v>11100</v>
      </c>
      <c r="U2747" t="s">
        <v>11100</v>
      </c>
      <c r="V2747" t="s">
        <v>11100</v>
      </c>
      <c r="W2747" t="s">
        <v>13804</v>
      </c>
      <c r="X2747">
        <v>3</v>
      </c>
      <c r="Y2747" t="s">
        <v>19261</v>
      </c>
      <c r="Z2747" t="s">
        <v>24752</v>
      </c>
      <c r="AA2747">
        <v>0.71006923766543129</v>
      </c>
      <c r="AB2747" t="str">
        <f>HYPERLINK("Melting_Curves/meltCurve_Q02446_SP4.pdf", "Melting_Curves/meltCurve_Q02446_SP4.pdf")</f>
        <v>Melting_Curves/meltCurve_Q02446_SP4.pdf</v>
      </c>
    </row>
    <row r="2748" spans="1:28" x14ac:dyDescent="0.25">
      <c r="A2748" t="s">
        <v>2752</v>
      </c>
      <c r="B2748">
        <v>0.99299721793515405</v>
      </c>
      <c r="C2748">
        <v>0.95857390905967299</v>
      </c>
      <c r="D2748">
        <v>1.1195315169225799</v>
      </c>
      <c r="E2748">
        <v>0.87377623403790805</v>
      </c>
      <c r="F2748">
        <v>0.804614421361732</v>
      </c>
      <c r="G2748">
        <v>0.70522337441303495</v>
      </c>
      <c r="H2748">
        <v>0.46034307584800699</v>
      </c>
      <c r="I2748">
        <v>0.24269475022200401</v>
      </c>
      <c r="J2748">
        <v>0.23517580974042901</v>
      </c>
      <c r="K2748">
        <v>0.24606147182413399</v>
      </c>
      <c r="L2748">
        <v>833.93589757623704</v>
      </c>
      <c r="M2748">
        <v>15.150171448519201</v>
      </c>
      <c r="N2748">
        <v>56.393056801337003</v>
      </c>
      <c r="O2748">
        <v>54.112344371134597</v>
      </c>
      <c r="P2748">
        <v>-5.9364320113116598E-2</v>
      </c>
      <c r="Q2748">
        <v>0.151948747537136</v>
      </c>
      <c r="R2748">
        <v>0.96637848943826299</v>
      </c>
      <c r="S2748" t="s">
        <v>8299</v>
      </c>
      <c r="T2748" t="s">
        <v>11100</v>
      </c>
      <c r="U2748" t="s">
        <v>11100</v>
      </c>
      <c r="V2748" t="s">
        <v>11100</v>
      </c>
      <c r="W2748" t="s">
        <v>13805</v>
      </c>
      <c r="X2748">
        <v>2</v>
      </c>
      <c r="Y2748" t="s">
        <v>19262</v>
      </c>
      <c r="Z2748" t="s">
        <v>24753</v>
      </c>
      <c r="AA2748">
        <v>0.673865695658597</v>
      </c>
      <c r="AB2748" t="str">
        <f>HYPERLINK("Melting_Curves/meltCurve_Q02487_2_DSC2.pdf", "Melting_Curves/meltCurve_Q02487_2_DSC2.pdf")</f>
        <v>Melting_Curves/meltCurve_Q02487_2_DSC2.pdf</v>
      </c>
    </row>
    <row r="2749" spans="1:28" x14ac:dyDescent="0.25">
      <c r="A2749" t="s">
        <v>2753</v>
      </c>
      <c r="B2749">
        <v>0.99299721793515405</v>
      </c>
      <c r="C2749">
        <v>0.83833516855724599</v>
      </c>
      <c r="D2749">
        <v>0.858473572972833</v>
      </c>
      <c r="E2749">
        <v>0.73944886069109494</v>
      </c>
      <c r="F2749">
        <v>0.44098418849494703</v>
      </c>
      <c r="G2749">
        <v>0.27735667449457302</v>
      </c>
      <c r="H2749">
        <v>0.22945257663433399</v>
      </c>
      <c r="I2749">
        <v>0.17276960450969001</v>
      </c>
      <c r="J2749">
        <v>0.177645694465804</v>
      </c>
      <c r="K2749">
        <v>0.16251494971876099</v>
      </c>
      <c r="L2749">
        <v>630.81609122731504</v>
      </c>
      <c r="M2749">
        <v>13.036576645288701</v>
      </c>
      <c r="N2749">
        <v>49.502094097717602</v>
      </c>
      <c r="O2749">
        <v>47.292032595009204</v>
      </c>
      <c r="P2749">
        <v>-6.0165213779891299E-2</v>
      </c>
      <c r="Q2749">
        <v>0.127120721609395</v>
      </c>
      <c r="R2749">
        <v>0.98064388457762197</v>
      </c>
      <c r="S2749" t="s">
        <v>8300</v>
      </c>
      <c r="T2749" t="s">
        <v>11100</v>
      </c>
      <c r="U2749" t="s">
        <v>11100</v>
      </c>
      <c r="V2749" t="s">
        <v>11100</v>
      </c>
      <c r="W2749" t="s">
        <v>13806</v>
      </c>
      <c r="X2749">
        <v>2</v>
      </c>
      <c r="Y2749" t="s">
        <v>19263</v>
      </c>
      <c r="Z2749" t="s">
        <v>24754</v>
      </c>
      <c r="AA2749">
        <v>0.48222539565986039</v>
      </c>
      <c r="AB2749" t="str">
        <f>HYPERLINK("Melting_Curves/meltCurve_Q02535_ID3.pdf", "Melting_Curves/meltCurve_Q02535_ID3.pdf")</f>
        <v>Melting_Curves/meltCurve_Q02535_ID3.pdf</v>
      </c>
    </row>
    <row r="2750" spans="1:28" x14ac:dyDescent="0.25">
      <c r="A2750" t="s">
        <v>2754</v>
      </c>
      <c r="B2750">
        <v>0.99299721793515405</v>
      </c>
      <c r="C2750">
        <v>0.96714127263194105</v>
      </c>
      <c r="D2750">
        <v>0.879225230114554</v>
      </c>
      <c r="E2750">
        <v>0.84950801373110496</v>
      </c>
      <c r="F2750">
        <v>0.75409096168412004</v>
      </c>
      <c r="G2750">
        <v>0.53044491647846903</v>
      </c>
      <c r="H2750">
        <v>0.281684797130557</v>
      </c>
      <c r="I2750">
        <v>0.183041703670002</v>
      </c>
      <c r="J2750">
        <v>0.174748368844104</v>
      </c>
      <c r="K2750">
        <v>0.143139068395158</v>
      </c>
      <c r="L2750">
        <v>673.46963436471901</v>
      </c>
      <c r="M2750">
        <v>12.6189258256339</v>
      </c>
      <c r="N2750">
        <v>53.851659781204603</v>
      </c>
      <c r="O2750">
        <v>52.082746582031</v>
      </c>
      <c r="P2750">
        <v>-5.7349318461542599E-2</v>
      </c>
      <c r="Q2750">
        <v>5.3384903101953797E-2</v>
      </c>
      <c r="R2750">
        <v>0.98734356881827401</v>
      </c>
      <c r="S2750" t="s">
        <v>8301</v>
      </c>
      <c r="T2750" t="s">
        <v>11100</v>
      </c>
      <c r="U2750" t="s">
        <v>11100</v>
      </c>
      <c r="V2750" t="s">
        <v>11100</v>
      </c>
      <c r="W2750" t="s">
        <v>13807</v>
      </c>
      <c r="X2750">
        <v>12</v>
      </c>
      <c r="Y2750" t="s">
        <v>19264</v>
      </c>
      <c r="Z2750" t="s">
        <v>24755</v>
      </c>
      <c r="AA2750">
        <v>0.58838487090427027</v>
      </c>
      <c r="AB2750" t="str">
        <f>HYPERLINK("Melting_Curves/meltCurve_Q02750_MAP2K1.pdf", "Melting_Curves/meltCurve_Q02750_MAP2K1.pdf")</f>
        <v>Melting_Curves/meltCurve_Q02750_MAP2K1.pdf</v>
      </c>
    </row>
    <row r="2751" spans="1:28" x14ac:dyDescent="0.25">
      <c r="A2751" t="s">
        <v>2755</v>
      </c>
      <c r="B2751">
        <v>0.99299721793515405</v>
      </c>
      <c r="C2751">
        <v>0.891345848909045</v>
      </c>
      <c r="D2751">
        <v>0.97452633567512104</v>
      </c>
      <c r="E2751">
        <v>0.76708898010075399</v>
      </c>
      <c r="F2751">
        <v>0.68002269409251104</v>
      </c>
      <c r="G2751">
        <v>0.45430848148121999</v>
      </c>
      <c r="H2751">
        <v>0.380053799105811</v>
      </c>
      <c r="I2751">
        <v>0.24030792222336</v>
      </c>
      <c r="J2751">
        <v>0.146089301178388</v>
      </c>
      <c r="K2751">
        <v>0.12913611741285899</v>
      </c>
      <c r="L2751">
        <v>509.24570002720901</v>
      </c>
      <c r="M2751">
        <v>9.5162936526880504</v>
      </c>
      <c r="N2751">
        <v>53.5130418234288</v>
      </c>
      <c r="O2751">
        <v>51.3098448870876</v>
      </c>
      <c r="P2751">
        <v>-4.6394049080845101E-2</v>
      </c>
      <c r="Q2751">
        <v>0</v>
      </c>
      <c r="R2751">
        <v>0.98605314571775904</v>
      </c>
      <c r="S2751" t="s">
        <v>8302</v>
      </c>
      <c r="T2751" t="s">
        <v>11100</v>
      </c>
      <c r="U2751" t="s">
        <v>11100</v>
      </c>
      <c r="V2751" t="s">
        <v>11100</v>
      </c>
      <c r="W2751" t="s">
        <v>13808</v>
      </c>
      <c r="X2751">
        <v>1</v>
      </c>
      <c r="Y2751" t="s">
        <v>19265</v>
      </c>
      <c r="Z2751" t="s">
        <v>24756</v>
      </c>
      <c r="AA2751">
        <v>0.57026919215810912</v>
      </c>
      <c r="AB2751" t="str">
        <f>HYPERLINK("Melting_Curves/meltCurve_Q02763_2_TEK.pdf", "Melting_Curves/meltCurve_Q02763_2_TEK.pdf")</f>
        <v>Melting_Curves/meltCurve_Q02763_2_TEK.pdf</v>
      </c>
    </row>
    <row r="2752" spans="1:28" x14ac:dyDescent="0.25">
      <c r="A2752" t="s">
        <v>2756</v>
      </c>
      <c r="B2752">
        <v>0.99299721793515405</v>
      </c>
      <c r="C2752">
        <v>0.98784801512461495</v>
      </c>
      <c r="D2752">
        <v>0.95684353895773699</v>
      </c>
      <c r="E2752">
        <v>0.86733561905318901</v>
      </c>
      <c r="F2752">
        <v>0.73020769230640203</v>
      </c>
      <c r="G2752">
        <v>0.33511346117741603</v>
      </c>
      <c r="H2752">
        <v>0.18108828674243799</v>
      </c>
      <c r="I2752">
        <v>0.14669158843463201</v>
      </c>
      <c r="J2752">
        <v>0.13392241055272799</v>
      </c>
      <c r="K2752">
        <v>0.108864200127247</v>
      </c>
      <c r="L2752">
        <v>1139.9766788250899</v>
      </c>
      <c r="M2752">
        <v>22.113375624530299</v>
      </c>
      <c r="N2752">
        <v>52.127872727022101</v>
      </c>
      <c r="O2752">
        <v>51.135428024005201</v>
      </c>
      <c r="P2752">
        <v>-9.6388046711876799E-2</v>
      </c>
      <c r="Q2752">
        <v>0.108460650780242</v>
      </c>
      <c r="R2752">
        <v>0.99454844565940803</v>
      </c>
      <c r="S2752" t="s">
        <v>8303</v>
      </c>
      <c r="T2752" t="s">
        <v>11100</v>
      </c>
      <c r="U2752" t="s">
        <v>11100</v>
      </c>
      <c r="V2752" t="s">
        <v>11100</v>
      </c>
      <c r="W2752" t="s">
        <v>13809</v>
      </c>
      <c r="X2752">
        <v>32</v>
      </c>
      <c r="Y2752" t="s">
        <v>19266</v>
      </c>
      <c r="Z2752" t="s">
        <v>24757</v>
      </c>
      <c r="AA2752">
        <v>0.55070958877001541</v>
      </c>
      <c r="AB2752" t="str">
        <f>HYPERLINK("Melting_Curves/meltCurve_Q02790_FKBP4.pdf", "Melting_Curves/meltCurve_Q02790_FKBP4.pdf")</f>
        <v>Melting_Curves/meltCurve_Q02790_FKBP4.pdf</v>
      </c>
    </row>
    <row r="2753" spans="1:28" x14ac:dyDescent="0.25">
      <c r="A2753" t="s">
        <v>2757</v>
      </c>
      <c r="B2753">
        <v>0.99299721793515405</v>
      </c>
      <c r="C2753">
        <v>1.00683824021866</v>
      </c>
      <c r="D2753">
        <v>0.972345443072406</v>
      </c>
      <c r="E2753">
        <v>0.86672077706109596</v>
      </c>
      <c r="F2753">
        <v>0.76267636903358604</v>
      </c>
      <c r="G2753">
        <v>0.67897976883364497</v>
      </c>
      <c r="H2753">
        <v>0.716403971079277</v>
      </c>
      <c r="I2753">
        <v>0.43702614971978598</v>
      </c>
      <c r="J2753">
        <v>0.40845141391574702</v>
      </c>
      <c r="K2753">
        <v>0.33581995790444302</v>
      </c>
      <c r="L2753">
        <v>419.07524815846199</v>
      </c>
      <c r="M2753">
        <v>6.9044030583155802</v>
      </c>
      <c r="N2753">
        <v>60.696810724133698</v>
      </c>
      <c r="O2753">
        <v>56.218108315033298</v>
      </c>
      <c r="P2753">
        <v>-3.07635198574603E-2</v>
      </c>
      <c r="Q2753">
        <v>0</v>
      </c>
      <c r="R2753">
        <v>0.96057733315234795</v>
      </c>
      <c r="S2753" t="s">
        <v>8304</v>
      </c>
      <c r="T2753" t="s">
        <v>11100</v>
      </c>
      <c r="U2753" t="s">
        <v>11100</v>
      </c>
      <c r="V2753" t="s">
        <v>11100</v>
      </c>
      <c r="W2753" t="s">
        <v>13810</v>
      </c>
      <c r="X2753">
        <v>5</v>
      </c>
      <c r="Y2753" t="s">
        <v>19267</v>
      </c>
      <c r="Z2753" t="s">
        <v>24758</v>
      </c>
      <c r="AA2753">
        <v>0.72417142936833134</v>
      </c>
      <c r="AB2753" t="str">
        <f>HYPERLINK("Melting_Curves/meltCurve_Q02809_PLOD1.pdf", "Melting_Curves/meltCurve_Q02809_PLOD1.pdf")</f>
        <v>Melting_Curves/meltCurve_Q02809_PLOD1.pdf</v>
      </c>
    </row>
    <row r="2754" spans="1:28" x14ac:dyDescent="0.25">
      <c r="A2754" t="s">
        <v>2758</v>
      </c>
      <c r="B2754">
        <v>0.99299721793515405</v>
      </c>
      <c r="C2754">
        <v>0.96758566743293495</v>
      </c>
      <c r="D2754">
        <v>0.97850069466921596</v>
      </c>
      <c r="E2754">
        <v>0.87696655148404101</v>
      </c>
      <c r="F2754">
        <v>0.75572182242999697</v>
      </c>
      <c r="G2754">
        <v>0.59259332872855097</v>
      </c>
      <c r="H2754">
        <v>0.53138289794827198</v>
      </c>
      <c r="I2754">
        <v>0.59334550166362099</v>
      </c>
      <c r="J2754">
        <v>0.65633364377567505</v>
      </c>
      <c r="K2754">
        <v>0.55208419312698198</v>
      </c>
      <c r="L2754">
        <v>1129.27324979182</v>
      </c>
      <c r="M2754">
        <v>23.138277917364899</v>
      </c>
      <c r="O2754">
        <v>48.445249645309701</v>
      </c>
      <c r="P2754">
        <v>-5.0543196030168998E-2</v>
      </c>
      <c r="Q2754">
        <v>0.57671301036707701</v>
      </c>
      <c r="R2754">
        <v>0.95807290540526402</v>
      </c>
      <c r="S2754" t="s">
        <v>8305</v>
      </c>
      <c r="T2754" t="s">
        <v>11100</v>
      </c>
      <c r="U2754" t="s">
        <v>11100</v>
      </c>
      <c r="V2754" t="s">
        <v>11100</v>
      </c>
      <c r="W2754" t="s">
        <v>13811</v>
      </c>
      <c r="X2754">
        <v>32</v>
      </c>
      <c r="Y2754" t="s">
        <v>19268</v>
      </c>
      <c r="Z2754" t="s">
        <v>24759</v>
      </c>
      <c r="AA2754">
        <v>0.74752020962459798</v>
      </c>
      <c r="AB2754" t="str">
        <f>HYPERLINK("Melting_Curves/meltCurve_Q02818_NUCB1.pdf", "Melting_Curves/meltCurve_Q02818_NUCB1.pdf")</f>
        <v>Melting_Curves/meltCurve_Q02818_NUCB1.pdf</v>
      </c>
    </row>
    <row r="2755" spans="1:28" x14ac:dyDescent="0.25">
      <c r="A2755" t="s">
        <v>2759</v>
      </c>
      <c r="B2755">
        <v>0.99299721793515405</v>
      </c>
      <c r="C2755">
        <v>0.98298684396338298</v>
      </c>
      <c r="D2755">
        <v>0.94399544316511697</v>
      </c>
      <c r="E2755">
        <v>0.84120610311598298</v>
      </c>
      <c r="F2755">
        <v>0.76551484548150395</v>
      </c>
      <c r="G2755">
        <v>0.50690544458343001</v>
      </c>
      <c r="H2755">
        <v>0.59473898435191197</v>
      </c>
      <c r="I2755">
        <v>0.67270288604691297</v>
      </c>
      <c r="J2755">
        <v>0.76636839588710903</v>
      </c>
      <c r="K2755">
        <v>0.65236998395249302</v>
      </c>
      <c r="L2755">
        <v>1198.36117707159</v>
      </c>
      <c r="M2755">
        <v>25.493036970762098</v>
      </c>
      <c r="O2755">
        <v>46.721001575177901</v>
      </c>
      <c r="P2755">
        <v>-4.8322207624523598E-2</v>
      </c>
      <c r="Q2755">
        <v>0.64576462649856303</v>
      </c>
      <c r="R2755">
        <v>0.81852679907637604</v>
      </c>
      <c r="S2755" t="s">
        <v>8306</v>
      </c>
      <c r="T2755" t="s">
        <v>11100</v>
      </c>
      <c r="U2755" t="s">
        <v>11100</v>
      </c>
      <c r="V2755" t="s">
        <v>11100</v>
      </c>
      <c r="W2755" t="s">
        <v>13812</v>
      </c>
      <c r="X2755">
        <v>48</v>
      </c>
      <c r="Y2755" t="s">
        <v>19269</v>
      </c>
      <c r="Z2755" t="s">
        <v>24760</v>
      </c>
      <c r="AA2755">
        <v>0.76679095076931325</v>
      </c>
      <c r="AB2755" t="str">
        <f>HYPERLINK("Melting_Curves/meltCurve_Q02952_3_AKAP12.pdf", "Melting_Curves/meltCurve_Q02952_3_AKAP12.pdf")</f>
        <v>Melting_Curves/meltCurve_Q02952_3_AKAP12.pdf</v>
      </c>
    </row>
    <row r="2756" spans="1:28" x14ac:dyDescent="0.25">
      <c r="A2756" t="s">
        <v>2760</v>
      </c>
      <c r="B2756">
        <v>0.99299721793515405</v>
      </c>
      <c r="C2756">
        <v>0.98122772545208303</v>
      </c>
      <c r="D2756">
        <v>0.96148252944228996</v>
      </c>
      <c r="E2756">
        <v>0.846772066279466</v>
      </c>
      <c r="F2756">
        <v>0.75992218144429202</v>
      </c>
      <c r="G2756">
        <v>0.56362171964802499</v>
      </c>
      <c r="H2756">
        <v>0.59578953362948395</v>
      </c>
      <c r="I2756">
        <v>0.64659502731524199</v>
      </c>
      <c r="J2756">
        <v>0.63519735494519203</v>
      </c>
      <c r="K2756">
        <v>0.48350389529571097</v>
      </c>
      <c r="L2756">
        <v>884.38565373909</v>
      </c>
      <c r="M2756">
        <v>18.261507327374499</v>
      </c>
      <c r="O2756">
        <v>47.8594145932923</v>
      </c>
      <c r="P2756">
        <v>-4.0929170603732599E-2</v>
      </c>
      <c r="Q2756">
        <v>0.57095438860165204</v>
      </c>
      <c r="R2756">
        <v>0.92975450084676303</v>
      </c>
      <c r="S2756" t="s">
        <v>8307</v>
      </c>
      <c r="T2756" t="s">
        <v>11100</v>
      </c>
      <c r="U2756" t="s">
        <v>11100</v>
      </c>
      <c r="V2756" t="s">
        <v>11100</v>
      </c>
      <c r="W2756" t="s">
        <v>13813</v>
      </c>
      <c r="X2756">
        <v>19</v>
      </c>
      <c r="Y2756" t="s">
        <v>19270</v>
      </c>
      <c r="Z2756" t="s">
        <v>24761</v>
      </c>
      <c r="AA2756">
        <v>0.74107491347570964</v>
      </c>
      <c r="AB2756" t="str">
        <f>HYPERLINK("Melting_Curves/meltCurve_Q03154_ACY1.pdf", "Melting_Curves/meltCurve_Q03154_ACY1.pdf")</f>
        <v>Melting_Curves/meltCurve_Q03154_ACY1.pdf</v>
      </c>
    </row>
    <row r="2757" spans="1:28" x14ac:dyDescent="0.25">
      <c r="A2757" t="s">
        <v>2761</v>
      </c>
      <c r="B2757">
        <v>0.99299721793515405</v>
      </c>
      <c r="C2757">
        <v>0.84441153547326897</v>
      </c>
      <c r="D2757">
        <v>1.0894425001402199</v>
      </c>
      <c r="E2757">
        <v>0.79714975265438404</v>
      </c>
      <c r="F2757">
        <v>0.65697947636293896</v>
      </c>
      <c r="G2757">
        <v>0.36419754540879101</v>
      </c>
      <c r="H2757">
        <v>0.26305181307633602</v>
      </c>
      <c r="I2757">
        <v>0.13230602723263701</v>
      </c>
      <c r="J2757">
        <v>0.165289088659518</v>
      </c>
      <c r="K2757">
        <v>0.16907024511001101</v>
      </c>
      <c r="L2757">
        <v>892.51230312855603</v>
      </c>
      <c r="M2757">
        <v>17.511333167645599</v>
      </c>
      <c r="N2757">
        <v>51.891605901082002</v>
      </c>
      <c r="O2757">
        <v>50.316974287197802</v>
      </c>
      <c r="P2757">
        <v>-7.5356707206613305E-2</v>
      </c>
      <c r="Q2757">
        <v>0.13392961297106701</v>
      </c>
      <c r="R2757">
        <v>0.96295230400512899</v>
      </c>
      <c r="S2757" t="s">
        <v>8308</v>
      </c>
      <c r="T2757" t="s">
        <v>11100</v>
      </c>
      <c r="U2757" t="s">
        <v>11100</v>
      </c>
      <c r="V2757" t="s">
        <v>11100</v>
      </c>
      <c r="W2757" t="s">
        <v>13814</v>
      </c>
      <c r="X2757">
        <v>2</v>
      </c>
      <c r="Y2757" t="s">
        <v>19271</v>
      </c>
      <c r="Z2757" t="s">
        <v>24762</v>
      </c>
      <c r="AA2757">
        <v>0.55118331863889691</v>
      </c>
      <c r="AB2757" t="str">
        <f>HYPERLINK("Melting_Curves/meltCurve_Q03519_TAP2.pdf", "Melting_Curves/meltCurve_Q03519_TAP2.pdf")</f>
        <v>Melting_Curves/meltCurve_Q03519_TAP2.pdf</v>
      </c>
    </row>
    <row r="2758" spans="1:28" x14ac:dyDescent="0.25">
      <c r="A2758" t="s">
        <v>2762</v>
      </c>
      <c r="B2758">
        <v>0.99299721793515405</v>
      </c>
      <c r="C2758">
        <v>0.97042576292043703</v>
      </c>
      <c r="D2758">
        <v>1.0638628933832299</v>
      </c>
      <c r="E2758">
        <v>0.84800006430070796</v>
      </c>
      <c r="F2758">
        <v>0.78325150093766704</v>
      </c>
      <c r="G2758">
        <v>0.28293538288893699</v>
      </c>
      <c r="H2758">
        <v>0.16281397577300399</v>
      </c>
      <c r="I2758">
        <v>0.140495974104767</v>
      </c>
      <c r="J2758">
        <v>0.118502932276412</v>
      </c>
      <c r="K2758">
        <v>0.10556393222800101</v>
      </c>
      <c r="L2758">
        <v>1589.34878906419</v>
      </c>
      <c r="M2758">
        <v>30.7810244219292</v>
      </c>
      <c r="N2758">
        <v>52.0783776252145</v>
      </c>
      <c r="O2758">
        <v>51.417579270892503</v>
      </c>
      <c r="P2758">
        <v>-0.13237896898736701</v>
      </c>
      <c r="Q2758">
        <v>0.115485433303506</v>
      </c>
      <c r="R2758">
        <v>0.98503923809040395</v>
      </c>
      <c r="S2758" t="s">
        <v>8309</v>
      </c>
      <c r="T2758" t="s">
        <v>11100</v>
      </c>
      <c r="U2758" t="s">
        <v>11100</v>
      </c>
      <c r="V2758" t="s">
        <v>11100</v>
      </c>
      <c r="W2758" t="s">
        <v>13815</v>
      </c>
      <c r="X2758">
        <v>16</v>
      </c>
      <c r="Y2758" t="s">
        <v>19272</v>
      </c>
      <c r="Z2758" t="s">
        <v>24763</v>
      </c>
      <c r="AA2758">
        <v>0.55224045307984204</v>
      </c>
      <c r="AB2758" t="str">
        <f>HYPERLINK("Melting_Curves/meltCurve_Q04446_GBE1.pdf", "Melting_Curves/meltCurve_Q04446_GBE1.pdf")</f>
        <v>Melting_Curves/meltCurve_Q04446_GBE1.pdf</v>
      </c>
    </row>
    <row r="2759" spans="1:28" x14ac:dyDescent="0.25">
      <c r="A2759" t="s">
        <v>2763</v>
      </c>
      <c r="B2759">
        <v>0.99299721793515405</v>
      </c>
      <c r="C2759">
        <v>0.971555363036263</v>
      </c>
      <c r="D2759">
        <v>0.84741091099437305</v>
      </c>
      <c r="E2759">
        <v>0.84139077025359199</v>
      </c>
      <c r="F2759">
        <v>0.66623880990252005</v>
      </c>
      <c r="G2759">
        <v>0.51106859416497097</v>
      </c>
      <c r="H2759">
        <v>0.626946484745868</v>
      </c>
      <c r="I2759">
        <v>0.72284476189404601</v>
      </c>
      <c r="J2759">
        <v>0.77802993094119099</v>
      </c>
      <c r="K2759">
        <v>0.59922106435769495</v>
      </c>
      <c r="L2759">
        <v>863.63209449030001</v>
      </c>
      <c r="M2759">
        <v>19.2507402264342</v>
      </c>
      <c r="O2759">
        <v>44.386589967763101</v>
      </c>
      <c r="P2759">
        <v>-3.8169731931189499E-2</v>
      </c>
      <c r="Q2759">
        <v>0.64798026676567599</v>
      </c>
      <c r="R2759">
        <v>0.75367466257080595</v>
      </c>
      <c r="S2759" t="s">
        <v>8310</v>
      </c>
      <c r="T2759" t="s">
        <v>11100</v>
      </c>
      <c r="U2759" t="s">
        <v>11100</v>
      </c>
      <c r="V2759" t="s">
        <v>11100</v>
      </c>
      <c r="W2759" t="s">
        <v>13816</v>
      </c>
      <c r="X2759">
        <v>12</v>
      </c>
      <c r="Y2759" t="s">
        <v>19273</v>
      </c>
      <c r="Z2759" t="s">
        <v>24764</v>
      </c>
      <c r="AA2759">
        <v>0.74525875748227333</v>
      </c>
      <c r="AB2759" t="str">
        <f>HYPERLINK("Melting_Curves/meltCurve_Q04721_NOTCH2.pdf", "Melting_Curves/meltCurve_Q04721_NOTCH2.pdf")</f>
        <v>Melting_Curves/meltCurve_Q04721_NOTCH2.pdf</v>
      </c>
    </row>
    <row r="2760" spans="1:28" x14ac:dyDescent="0.25">
      <c r="A2760" t="s">
        <v>2764</v>
      </c>
      <c r="B2760">
        <v>0.99299721793515405</v>
      </c>
      <c r="C2760">
        <v>1.04505813542625</v>
      </c>
      <c r="D2760">
        <v>0.94378569816647295</v>
      </c>
      <c r="E2760">
        <v>0.90048156073764096</v>
      </c>
      <c r="F2760">
        <v>0.72815413494535797</v>
      </c>
      <c r="G2760">
        <v>0.58347251949577095</v>
      </c>
      <c r="H2760">
        <v>0.59071185810165605</v>
      </c>
      <c r="I2760">
        <v>0.51931179653855997</v>
      </c>
      <c r="J2760">
        <v>0.35102552643124302</v>
      </c>
      <c r="K2760">
        <v>0.20412477138718099</v>
      </c>
      <c r="L2760">
        <v>440.60077368015101</v>
      </c>
      <c r="M2760">
        <v>7.5162532701632401</v>
      </c>
      <c r="N2760">
        <v>58.619733970812703</v>
      </c>
      <c r="O2760">
        <v>54.900830959699</v>
      </c>
      <c r="P2760">
        <v>-3.4275310798133403E-2</v>
      </c>
      <c r="Q2760">
        <v>0</v>
      </c>
      <c r="R2760">
        <v>0.956152617367238</v>
      </c>
      <c r="S2760" t="s">
        <v>8311</v>
      </c>
      <c r="T2760" t="s">
        <v>11100</v>
      </c>
      <c r="U2760" t="s">
        <v>11100</v>
      </c>
      <c r="V2760" t="s">
        <v>11100</v>
      </c>
      <c r="W2760" t="s">
        <v>13817</v>
      </c>
      <c r="X2760">
        <v>17</v>
      </c>
      <c r="Y2760" t="s">
        <v>19274</v>
      </c>
      <c r="Z2760" t="s">
        <v>24765</v>
      </c>
      <c r="AA2760">
        <v>0.68868681236269269</v>
      </c>
      <c r="AB2760" t="str">
        <f>HYPERLINK("Melting_Curves/meltCurve_Q04724_TLE1.pdf", "Melting_Curves/meltCurve_Q04724_TLE1.pdf")</f>
        <v>Melting_Curves/meltCurve_Q04724_TLE1.pdf</v>
      </c>
    </row>
    <row r="2761" spans="1:28" x14ac:dyDescent="0.25">
      <c r="A2761" t="s">
        <v>2765</v>
      </c>
      <c r="B2761">
        <v>0.99299721793515405</v>
      </c>
      <c r="C2761">
        <v>1.0145542089389501</v>
      </c>
      <c r="D2761">
        <v>0.89666049453448804</v>
      </c>
      <c r="E2761">
        <v>0.85303928352528202</v>
      </c>
      <c r="F2761">
        <v>0.70528736105469503</v>
      </c>
      <c r="G2761">
        <v>0.54335960042251397</v>
      </c>
      <c r="H2761">
        <v>0.54187808842697405</v>
      </c>
      <c r="I2761">
        <v>0.57614305677845501</v>
      </c>
      <c r="J2761">
        <v>0.410919602807647</v>
      </c>
      <c r="K2761">
        <v>0.22365724506769799</v>
      </c>
      <c r="L2761">
        <v>359.99523936265501</v>
      </c>
      <c r="M2761">
        <v>6.1289492128267797</v>
      </c>
      <c r="N2761">
        <v>58.7368621088807</v>
      </c>
      <c r="O2761">
        <v>53.405814852147998</v>
      </c>
      <c r="P2761">
        <v>-2.8776567237540799E-2</v>
      </c>
      <c r="Q2761">
        <v>0</v>
      </c>
      <c r="R2761">
        <v>0.92943362804575502</v>
      </c>
      <c r="S2761" t="s">
        <v>8312</v>
      </c>
      <c r="T2761" t="s">
        <v>11100</v>
      </c>
      <c r="U2761" t="s">
        <v>11100</v>
      </c>
      <c r="V2761" t="s">
        <v>11100</v>
      </c>
      <c r="W2761" t="s">
        <v>13818</v>
      </c>
      <c r="X2761">
        <v>14</v>
      </c>
      <c r="Y2761" t="s">
        <v>19275</v>
      </c>
      <c r="Z2761" t="s">
        <v>24766</v>
      </c>
      <c r="AA2761">
        <v>0.67471928348984023</v>
      </c>
      <c r="AB2761" t="str">
        <f>HYPERLINK("Melting_Curves/meltCurve_Q04760_GLO1.pdf", "Melting_Curves/meltCurve_Q04760_GLO1.pdf")</f>
        <v>Melting_Curves/meltCurve_Q04760_GLO1.pdf</v>
      </c>
    </row>
    <row r="2762" spans="1:28" x14ac:dyDescent="0.25">
      <c r="A2762" t="s">
        <v>2766</v>
      </c>
      <c r="B2762">
        <v>0.99299721793515405</v>
      </c>
      <c r="C2762">
        <v>0.95384639938933202</v>
      </c>
      <c r="D2762">
        <v>0.93616222870770904</v>
      </c>
      <c r="E2762">
        <v>0.79528811384485898</v>
      </c>
      <c r="F2762">
        <v>0.57067169068141999</v>
      </c>
      <c r="G2762">
        <v>0.34468522254404899</v>
      </c>
      <c r="H2762">
        <v>0.24899047135660701</v>
      </c>
      <c r="I2762">
        <v>0.23731223472403301</v>
      </c>
      <c r="J2762">
        <v>0.233585298259574</v>
      </c>
      <c r="K2762">
        <v>0.19263216892627599</v>
      </c>
      <c r="L2762">
        <v>843.78119703979405</v>
      </c>
      <c r="M2762">
        <v>17.031711976055401</v>
      </c>
      <c r="N2762">
        <v>51.023793409991697</v>
      </c>
      <c r="O2762">
        <v>48.873916367313001</v>
      </c>
      <c r="P2762">
        <v>-7.0125765070813695E-2</v>
      </c>
      <c r="Q2762">
        <v>0.19512241580602699</v>
      </c>
      <c r="R2762">
        <v>0.99726217601850198</v>
      </c>
      <c r="S2762" t="s">
        <v>8313</v>
      </c>
      <c r="T2762" t="s">
        <v>11100</v>
      </c>
      <c r="U2762" t="s">
        <v>11100</v>
      </c>
      <c r="V2762" t="s">
        <v>11100</v>
      </c>
      <c r="W2762" t="s">
        <v>13819</v>
      </c>
      <c r="X2762">
        <v>6</v>
      </c>
      <c r="Y2762" t="s">
        <v>19276</v>
      </c>
      <c r="Z2762" t="s">
        <v>24767</v>
      </c>
      <c r="AA2762">
        <v>0.54558085277547419</v>
      </c>
      <c r="AB2762" t="str">
        <f>HYPERLINK("Melting_Curves/meltCurve_Q04828_AKR1C1.pdf", "Melting_Curves/meltCurve_Q04828_AKR1C1.pdf")</f>
        <v>Melting_Curves/meltCurve_Q04828_AKR1C1.pdf</v>
      </c>
    </row>
    <row r="2763" spans="1:28" x14ac:dyDescent="0.25">
      <c r="A2763" t="s">
        <v>2767</v>
      </c>
      <c r="B2763">
        <v>0.99299721793515405</v>
      </c>
      <c r="C2763">
        <v>0.96899850354342898</v>
      </c>
      <c r="D2763">
        <v>0.91616600379078506</v>
      </c>
      <c r="E2763">
        <v>0.88123666892587804</v>
      </c>
      <c r="F2763">
        <v>0.75738890089630495</v>
      </c>
      <c r="G2763">
        <v>0.49783170549764699</v>
      </c>
      <c r="H2763">
        <v>0.51786122019487502</v>
      </c>
      <c r="I2763">
        <v>0.64418357657403202</v>
      </c>
      <c r="J2763">
        <v>0.75072970041907705</v>
      </c>
      <c r="K2763">
        <v>0.71560956471829196</v>
      </c>
      <c r="L2763">
        <v>1387.6189638424401</v>
      </c>
      <c r="M2763">
        <v>29.044554178257101</v>
      </c>
      <c r="O2763">
        <v>47.550770145964599</v>
      </c>
      <c r="P2763">
        <v>-5.6335354008718801E-2</v>
      </c>
      <c r="Q2763">
        <v>0.63108133637166697</v>
      </c>
      <c r="R2763">
        <v>0.76662703168211499</v>
      </c>
      <c r="S2763" t="s">
        <v>8314</v>
      </c>
      <c r="T2763" t="s">
        <v>11100</v>
      </c>
      <c r="U2763" t="s">
        <v>11100</v>
      </c>
      <c r="V2763" t="s">
        <v>11100</v>
      </c>
      <c r="W2763" t="s">
        <v>13820</v>
      </c>
      <c r="X2763">
        <v>14</v>
      </c>
      <c r="Y2763" t="s">
        <v>19277</v>
      </c>
      <c r="Z2763" t="s">
        <v>24768</v>
      </c>
      <c r="AA2763">
        <v>0.76591316299717171</v>
      </c>
      <c r="AB2763" t="str">
        <f>HYPERLINK("Melting_Curves/meltCurve_Q04837_SSBP1.pdf", "Melting_Curves/meltCurve_Q04837_SSBP1.pdf")</f>
        <v>Melting_Curves/meltCurve_Q04837_SSBP1.pdf</v>
      </c>
    </row>
    <row r="2764" spans="1:28" x14ac:dyDescent="0.25">
      <c r="A2764" t="s">
        <v>2768</v>
      </c>
      <c r="B2764">
        <v>0.99299721793515405</v>
      </c>
      <c r="C2764">
        <v>1.0085187279177901</v>
      </c>
      <c r="D2764">
        <v>0.88038406664314295</v>
      </c>
      <c r="E2764">
        <v>0.84800285479528004</v>
      </c>
      <c r="F2764">
        <v>0.73220455531574502</v>
      </c>
      <c r="G2764">
        <v>0.59584371970456795</v>
      </c>
      <c r="H2764">
        <v>0.48145418277741697</v>
      </c>
      <c r="I2764">
        <v>0.34153658991496899</v>
      </c>
      <c r="J2764">
        <v>0.181382496025985</v>
      </c>
      <c r="K2764">
        <v>0.13581077246574499</v>
      </c>
      <c r="L2764">
        <v>521.67308296127703</v>
      </c>
      <c r="M2764">
        <v>9.3466953272416298</v>
      </c>
      <c r="N2764">
        <v>55.813636564161499</v>
      </c>
      <c r="O2764">
        <v>53.437427465175098</v>
      </c>
      <c r="P2764">
        <v>-4.3754798886487603E-2</v>
      </c>
      <c r="Q2764">
        <v>0</v>
      </c>
      <c r="R2764">
        <v>0.987319798137541</v>
      </c>
      <c r="S2764" t="s">
        <v>8315</v>
      </c>
      <c r="T2764" t="s">
        <v>11100</v>
      </c>
      <c r="U2764" t="s">
        <v>11100</v>
      </c>
      <c r="V2764" t="s">
        <v>11100</v>
      </c>
      <c r="W2764" t="s">
        <v>13821</v>
      </c>
      <c r="X2764">
        <v>20</v>
      </c>
      <c r="Y2764" t="s">
        <v>19278</v>
      </c>
      <c r="Z2764" t="s">
        <v>24769</v>
      </c>
      <c r="AA2764">
        <v>0.63251755334225213</v>
      </c>
      <c r="AB2764" t="str">
        <f>HYPERLINK("Melting_Curves/meltCurve_Q04917_YWHAH.pdf", "Melting_Curves/meltCurve_Q04917_YWHAH.pdf")</f>
        <v>Melting_Curves/meltCurve_Q04917_YWHAH.pdf</v>
      </c>
    </row>
    <row r="2765" spans="1:28" x14ac:dyDescent="0.25">
      <c r="A2765" t="s">
        <v>2769</v>
      </c>
      <c r="B2765">
        <v>0.99299721793515405</v>
      </c>
      <c r="C2765">
        <v>0.81341788831946105</v>
      </c>
      <c r="D2765">
        <v>0.82907517541299802</v>
      </c>
      <c r="E2765">
        <v>0.79038625950109398</v>
      </c>
      <c r="F2765">
        <v>0.69702170819518805</v>
      </c>
      <c r="G2765">
        <v>0.48200209443180603</v>
      </c>
      <c r="H2765">
        <v>0.48910432164429302</v>
      </c>
      <c r="I2765">
        <v>0.54228133964626901</v>
      </c>
      <c r="J2765">
        <v>0.66058017057028695</v>
      </c>
      <c r="K2765">
        <v>0.58488095283020802</v>
      </c>
      <c r="L2765">
        <v>491.01955145247899</v>
      </c>
      <c r="M2765">
        <v>11.000627504282599</v>
      </c>
      <c r="O2765">
        <v>43.236654577964103</v>
      </c>
      <c r="P2765">
        <v>-2.9218229816247301E-2</v>
      </c>
      <c r="Q2765">
        <v>0.54079982405860705</v>
      </c>
      <c r="R2765">
        <v>0.796341379253793</v>
      </c>
      <c r="S2765" t="s">
        <v>8316</v>
      </c>
      <c r="T2765" t="s">
        <v>11100</v>
      </c>
      <c r="U2765" t="s">
        <v>11100</v>
      </c>
      <c r="V2765" t="s">
        <v>11100</v>
      </c>
      <c r="W2765" t="s">
        <v>13822</v>
      </c>
      <c r="X2765">
        <v>1</v>
      </c>
      <c r="Y2765" t="s">
        <v>19279</v>
      </c>
      <c r="Z2765" t="s">
        <v>24770</v>
      </c>
      <c r="AA2765">
        <v>0.67758877300828957</v>
      </c>
      <c r="AB2765" t="str">
        <f>HYPERLINK("Melting_Curves/meltCurve_Q04941_PLP2.pdf", "Melting_Curves/meltCurve_Q04941_PLP2.pdf")</f>
        <v>Melting_Curves/meltCurve_Q04941_PLP2.pdf</v>
      </c>
    </row>
    <row r="2766" spans="1:28" x14ac:dyDescent="0.25">
      <c r="A2766" t="s">
        <v>2770</v>
      </c>
      <c r="B2766">
        <v>0.99299721793515405</v>
      </c>
      <c r="C2766">
        <v>0.99746126387289502</v>
      </c>
      <c r="D2766">
        <v>0.83482901346245797</v>
      </c>
      <c r="E2766">
        <v>0.86966980582212505</v>
      </c>
      <c r="F2766">
        <v>0.720095691100612</v>
      </c>
      <c r="G2766">
        <v>0.63385513805594695</v>
      </c>
      <c r="H2766">
        <v>0.78204453232708504</v>
      </c>
      <c r="I2766">
        <v>0.76716917376423399</v>
      </c>
      <c r="J2766">
        <v>0.66744040208300703</v>
      </c>
      <c r="K2766">
        <v>0.33693690070251597</v>
      </c>
      <c r="L2766">
        <v>252.48451053513801</v>
      </c>
      <c r="M2766">
        <v>3.64810190033772</v>
      </c>
      <c r="O2766">
        <v>55.085282113007601</v>
      </c>
      <c r="P2766">
        <v>-1.6841276235179E-2</v>
      </c>
      <c r="Q2766">
        <v>0</v>
      </c>
      <c r="R2766">
        <v>0.68359321226248004</v>
      </c>
      <c r="S2766" t="s">
        <v>8317</v>
      </c>
      <c r="T2766" t="s">
        <v>11100</v>
      </c>
      <c r="U2766" t="s">
        <v>11100</v>
      </c>
      <c r="V2766" t="s">
        <v>11100</v>
      </c>
      <c r="W2766" t="s">
        <v>13823</v>
      </c>
      <c r="X2766">
        <v>10</v>
      </c>
      <c r="Y2766" t="s">
        <v>19280</v>
      </c>
      <c r="Z2766" t="s">
        <v>24771</v>
      </c>
      <c r="AA2766">
        <v>0.76180222021843613</v>
      </c>
      <c r="AB2766" t="str">
        <f>HYPERLINK("Melting_Curves/meltCurve_Q05048_CSTF1.pdf", "Melting_Curves/meltCurve_Q05048_CSTF1.pdf")</f>
        <v>Melting_Curves/meltCurve_Q05048_CSTF1.pdf</v>
      </c>
    </row>
    <row r="2767" spans="1:28" x14ac:dyDescent="0.25">
      <c r="A2767" t="s">
        <v>2771</v>
      </c>
      <c r="B2767">
        <v>0.99299721793515405</v>
      </c>
      <c r="C2767">
        <v>0.95307873880404104</v>
      </c>
      <c r="D2767">
        <v>0.96582738874135499</v>
      </c>
      <c r="E2767">
        <v>0.83379267405982105</v>
      </c>
      <c r="F2767">
        <v>0.75630749382699103</v>
      </c>
      <c r="G2767">
        <v>0.57462875956427395</v>
      </c>
      <c r="H2767">
        <v>0.44053800337964399</v>
      </c>
      <c r="I2767">
        <v>0.19331269983966701</v>
      </c>
      <c r="J2767">
        <v>0.20411950667593101</v>
      </c>
      <c r="K2767">
        <v>0.128235748057836</v>
      </c>
      <c r="L2767">
        <v>588.70601854832205</v>
      </c>
      <c r="M2767">
        <v>10.6762082438983</v>
      </c>
      <c r="N2767">
        <v>55.141851159556502</v>
      </c>
      <c r="O2767">
        <v>53.312814162066999</v>
      </c>
      <c r="P2767">
        <v>-5.0082935936888201E-2</v>
      </c>
      <c r="Q2767">
        <v>0</v>
      </c>
      <c r="R2767">
        <v>0.99007405536134196</v>
      </c>
      <c r="S2767" t="s">
        <v>8318</v>
      </c>
      <c r="T2767" t="s">
        <v>11100</v>
      </c>
      <c r="U2767" t="s">
        <v>11100</v>
      </c>
      <c r="V2767" t="s">
        <v>11100</v>
      </c>
      <c r="W2767" t="s">
        <v>13824</v>
      </c>
      <c r="X2767">
        <v>8</v>
      </c>
      <c r="Y2767" t="s">
        <v>19281</v>
      </c>
      <c r="Z2767" t="s">
        <v>24772</v>
      </c>
      <c r="AA2767">
        <v>0.61713100269052246</v>
      </c>
      <c r="AB2767" t="str">
        <f>HYPERLINK("Melting_Curves/meltCurve_Q05086_3_UBE3A.pdf", "Melting_Curves/meltCurve_Q05086_3_UBE3A.pdf")</f>
        <v>Melting_Curves/meltCurve_Q05086_3_UBE3A.pdf</v>
      </c>
    </row>
    <row r="2768" spans="1:28" x14ac:dyDescent="0.25">
      <c r="A2768" t="s">
        <v>2772</v>
      </c>
      <c r="B2768">
        <v>0.99299721793515405</v>
      </c>
      <c r="C2768">
        <v>1.0278041398431399</v>
      </c>
      <c r="D2768">
        <v>0.95853585079971004</v>
      </c>
      <c r="E2768">
        <v>0.91430947265620799</v>
      </c>
      <c r="F2768">
        <v>0.68870567693333395</v>
      </c>
      <c r="G2768">
        <v>0.27316494949935999</v>
      </c>
      <c r="H2768">
        <v>0.17616987995170599</v>
      </c>
      <c r="I2768">
        <v>0.14613087434774499</v>
      </c>
      <c r="J2768">
        <v>0.13079973149204799</v>
      </c>
      <c r="K2768">
        <v>0.113158515715478</v>
      </c>
      <c r="L2768">
        <v>1422.7341352614101</v>
      </c>
      <c r="M2768">
        <v>27.853347562895799</v>
      </c>
      <c r="N2768">
        <v>51.612710086316604</v>
      </c>
      <c r="O2768">
        <v>50.818346577490999</v>
      </c>
      <c r="P2768">
        <v>-0.11989256008803099</v>
      </c>
      <c r="Q2768">
        <v>0.125033238753398</v>
      </c>
      <c r="R2768">
        <v>0.99693981223921802</v>
      </c>
      <c r="S2768" t="s">
        <v>8319</v>
      </c>
      <c r="T2768" t="s">
        <v>11100</v>
      </c>
      <c r="U2768" t="s">
        <v>11100</v>
      </c>
      <c r="V2768" t="s">
        <v>11100</v>
      </c>
      <c r="W2768" t="s">
        <v>13825</v>
      </c>
      <c r="X2768">
        <v>14</v>
      </c>
      <c r="Y2768" t="s">
        <v>19282</v>
      </c>
      <c r="Z2768" t="s">
        <v>24773</v>
      </c>
      <c r="AA2768">
        <v>0.541967838096583</v>
      </c>
      <c r="AB2768" t="str">
        <f>HYPERLINK("Melting_Curves/meltCurve_Q05209_PTPN12.pdf", "Melting_Curves/meltCurve_Q05209_PTPN12.pdf")</f>
        <v>Melting_Curves/meltCurve_Q05209_PTPN12.pdf</v>
      </c>
    </row>
    <row r="2769" spans="1:28" x14ac:dyDescent="0.25">
      <c r="A2769" t="s">
        <v>2773</v>
      </c>
      <c r="B2769">
        <v>0.99299721793515405</v>
      </c>
      <c r="C2769">
        <v>1.0057647435522401</v>
      </c>
      <c r="D2769">
        <v>0.90604990359773496</v>
      </c>
      <c r="E2769">
        <v>0.79018367615524698</v>
      </c>
      <c r="F2769">
        <v>0.62213768434132799</v>
      </c>
      <c r="G2769">
        <v>0.377812377201248</v>
      </c>
      <c r="H2769">
        <v>0.20639251849328799</v>
      </c>
      <c r="I2769">
        <v>0.15940260662234801</v>
      </c>
      <c r="J2769">
        <v>0.13891069774217499</v>
      </c>
      <c r="K2769">
        <v>0.123789470882125</v>
      </c>
      <c r="L2769">
        <v>718.16727939695204</v>
      </c>
      <c r="M2769">
        <v>14.092705999706199</v>
      </c>
      <c r="N2769">
        <v>51.610623917787699</v>
      </c>
      <c r="O2769">
        <v>49.967018317919702</v>
      </c>
      <c r="P2769">
        <v>-6.4781460113928199E-2</v>
      </c>
      <c r="Q2769">
        <v>8.1363362186218896E-2</v>
      </c>
      <c r="R2769">
        <v>0.99669309210222101</v>
      </c>
      <c r="S2769" t="s">
        <v>8320</v>
      </c>
      <c r="T2769" t="s">
        <v>11100</v>
      </c>
      <c r="U2769" t="s">
        <v>11100</v>
      </c>
      <c r="V2769" t="s">
        <v>11100</v>
      </c>
      <c r="W2769" t="s">
        <v>13826</v>
      </c>
      <c r="X2769">
        <v>7</v>
      </c>
      <c r="Y2769" t="s">
        <v>19283</v>
      </c>
      <c r="Z2769" t="s">
        <v>24774</v>
      </c>
      <c r="AA2769">
        <v>0.52889783610684471</v>
      </c>
      <c r="AB2769" t="str">
        <f>HYPERLINK("Melting_Curves/meltCurve_Q05519_2_SRSF11.pdf", "Melting_Curves/meltCurve_Q05519_2_SRSF11.pdf")</f>
        <v>Melting_Curves/meltCurve_Q05519_2_SRSF11.pdf</v>
      </c>
    </row>
    <row r="2770" spans="1:28" x14ac:dyDescent="0.25">
      <c r="A2770" t="s">
        <v>2774</v>
      </c>
      <c r="B2770">
        <v>0.99299721793515405</v>
      </c>
      <c r="C2770">
        <v>1.0422889038490899</v>
      </c>
      <c r="D2770">
        <v>1.1455893245509601</v>
      </c>
      <c r="E2770">
        <v>0.96125651209649798</v>
      </c>
      <c r="F2770">
        <v>0.87455373442690099</v>
      </c>
      <c r="G2770">
        <v>1.0241596789390399</v>
      </c>
      <c r="H2770">
        <v>0.63051906974774297</v>
      </c>
      <c r="I2770">
        <v>0.457783336202427</v>
      </c>
      <c r="J2770">
        <v>0.24083539926766601</v>
      </c>
      <c r="K2770">
        <v>0.13104554943213201</v>
      </c>
      <c r="L2770">
        <v>1187.372171255</v>
      </c>
      <c r="M2770">
        <v>19.8701388629466</v>
      </c>
      <c r="N2770">
        <v>60.010316713146601</v>
      </c>
      <c r="O2770">
        <v>59.1612327271583</v>
      </c>
      <c r="P2770">
        <v>-8.0586025800978497E-2</v>
      </c>
      <c r="Q2770">
        <v>4.0286581781981301E-2</v>
      </c>
      <c r="R2770">
        <v>0.952065641303801</v>
      </c>
      <c r="S2770" t="s">
        <v>8321</v>
      </c>
      <c r="T2770" t="s">
        <v>11100</v>
      </c>
      <c r="U2770" t="s">
        <v>11100</v>
      </c>
      <c r="V2770" t="s">
        <v>11100</v>
      </c>
      <c r="W2770" t="s">
        <v>13827</v>
      </c>
      <c r="X2770">
        <v>25</v>
      </c>
      <c r="Y2770" t="s">
        <v>19284</v>
      </c>
      <c r="Z2770" t="s">
        <v>24775</v>
      </c>
      <c r="AA2770">
        <v>0.76956816102857384</v>
      </c>
      <c r="AB2770" t="str">
        <f>HYPERLINK("Melting_Curves/meltCurve_Q05639_EEF1A2.pdf", "Melting_Curves/meltCurve_Q05639_EEF1A2.pdf")</f>
        <v>Melting_Curves/meltCurve_Q05639_EEF1A2.pdf</v>
      </c>
    </row>
    <row r="2771" spans="1:28" x14ac:dyDescent="0.25">
      <c r="A2771" t="s">
        <v>2775</v>
      </c>
      <c r="B2771">
        <v>0.99299721793515405</v>
      </c>
      <c r="C2771">
        <v>1.01122731612234</v>
      </c>
      <c r="D2771">
        <v>1.06613059237078</v>
      </c>
      <c r="E2771">
        <v>0.91366259908178304</v>
      </c>
      <c r="F2771">
        <v>0.76682987279204895</v>
      </c>
      <c r="G2771">
        <v>0.51811340296499198</v>
      </c>
      <c r="H2771">
        <v>0.20528287108101301</v>
      </c>
      <c r="I2771">
        <v>0.17370050095186901</v>
      </c>
      <c r="J2771">
        <v>0.13635027774889599</v>
      </c>
      <c r="K2771">
        <v>0.14034377033510401</v>
      </c>
      <c r="L2771">
        <v>1111.2425117226801</v>
      </c>
      <c r="M2771">
        <v>21.025348945182301</v>
      </c>
      <c r="N2771">
        <v>53.517454754678198</v>
      </c>
      <c r="O2771">
        <v>52.381369114509603</v>
      </c>
      <c r="P2771">
        <v>-8.88148801902581E-2</v>
      </c>
      <c r="Q2771">
        <v>0.11495010467470899</v>
      </c>
      <c r="R2771">
        <v>0.99188301771946996</v>
      </c>
      <c r="S2771" t="s">
        <v>8322</v>
      </c>
      <c r="T2771" t="s">
        <v>11100</v>
      </c>
      <c r="U2771" t="s">
        <v>11100</v>
      </c>
      <c r="V2771" t="s">
        <v>11100</v>
      </c>
      <c r="W2771" t="s">
        <v>13828</v>
      </c>
      <c r="X2771">
        <v>22</v>
      </c>
      <c r="Y2771" t="s">
        <v>19285</v>
      </c>
      <c r="Z2771" t="s">
        <v>24776</v>
      </c>
      <c r="AA2771">
        <v>0.59301733720213234</v>
      </c>
      <c r="AB2771" t="str">
        <f>HYPERLINK("Melting_Curves/meltCurve_Q05655_PRKCD.pdf", "Melting_Curves/meltCurve_Q05655_PRKCD.pdf")</f>
        <v>Melting_Curves/meltCurve_Q05655_PRKCD.pdf</v>
      </c>
    </row>
    <row r="2772" spans="1:28" x14ac:dyDescent="0.25">
      <c r="A2772" t="s">
        <v>2776</v>
      </c>
      <c r="B2772">
        <v>0.99299721793515405</v>
      </c>
      <c r="C2772">
        <v>0.97029681500533504</v>
      </c>
      <c r="D2772">
        <v>1.0157182127675599</v>
      </c>
      <c r="E2772">
        <v>0.88562531877583395</v>
      </c>
      <c r="F2772">
        <v>0.78659911023366003</v>
      </c>
      <c r="G2772">
        <v>0.58582436304165197</v>
      </c>
      <c r="H2772">
        <v>0.60825233988847305</v>
      </c>
      <c r="I2772">
        <v>0.71346163031015997</v>
      </c>
      <c r="J2772">
        <v>0.76771406235694495</v>
      </c>
      <c r="K2772">
        <v>0.79671731852967698</v>
      </c>
      <c r="L2772">
        <v>1623.9026434232101</v>
      </c>
      <c r="M2772">
        <v>34.137433390515703</v>
      </c>
      <c r="O2772">
        <v>47.407216031914899</v>
      </c>
      <c r="P2772">
        <v>-5.39891838122986E-2</v>
      </c>
      <c r="Q2772">
        <v>0.70009853851116199</v>
      </c>
      <c r="R2772">
        <v>0.80641693648917601</v>
      </c>
      <c r="S2772" t="s">
        <v>8323</v>
      </c>
      <c r="T2772" t="s">
        <v>11100</v>
      </c>
      <c r="U2772" t="s">
        <v>11100</v>
      </c>
      <c r="V2772" t="s">
        <v>11100</v>
      </c>
      <c r="W2772" t="s">
        <v>13829</v>
      </c>
      <c r="X2772">
        <v>50</v>
      </c>
      <c r="Y2772" t="s">
        <v>19286</v>
      </c>
      <c r="Z2772" t="s">
        <v>24777</v>
      </c>
      <c r="AA2772">
        <v>0.80711719258167147</v>
      </c>
      <c r="AB2772" t="str">
        <f>HYPERLINK("Melting_Curves/meltCurve_Q05682_4_CALD1.pdf", "Melting_Curves/meltCurve_Q05682_4_CALD1.pdf")</f>
        <v>Melting_Curves/meltCurve_Q05682_4_CALD1.pdf</v>
      </c>
    </row>
    <row r="2773" spans="1:28" x14ac:dyDescent="0.25">
      <c r="A2773" t="s">
        <v>2777</v>
      </c>
      <c r="B2773">
        <v>0.99299721793515405</v>
      </c>
      <c r="C2773">
        <v>0.94394128536656696</v>
      </c>
      <c r="D2773">
        <v>0.89534878758558101</v>
      </c>
      <c r="E2773">
        <v>0.85158500621300903</v>
      </c>
      <c r="F2773">
        <v>0.71336613013705297</v>
      </c>
      <c r="G2773">
        <v>0.52292190695343199</v>
      </c>
      <c r="H2773">
        <v>0.50308071987991498</v>
      </c>
      <c r="I2773">
        <v>0.59039954361507596</v>
      </c>
      <c r="J2773">
        <v>0.68471269983209204</v>
      </c>
      <c r="K2773">
        <v>0.61660128818376903</v>
      </c>
      <c r="L2773">
        <v>956.67759826755696</v>
      </c>
      <c r="M2773">
        <v>20.284585402953699</v>
      </c>
      <c r="O2773">
        <v>46.711592851261102</v>
      </c>
      <c r="P2773">
        <v>-4.5328393880940898E-2</v>
      </c>
      <c r="Q2773">
        <v>0.58248171571035001</v>
      </c>
      <c r="R2773">
        <v>0.87717541652129105</v>
      </c>
      <c r="S2773" t="s">
        <v>8324</v>
      </c>
      <c r="T2773" t="s">
        <v>11100</v>
      </c>
      <c r="U2773" t="s">
        <v>11100</v>
      </c>
      <c r="V2773" t="s">
        <v>11100</v>
      </c>
      <c r="W2773" t="s">
        <v>13830</v>
      </c>
      <c r="X2773">
        <v>50</v>
      </c>
      <c r="Y2773" t="s">
        <v>19286</v>
      </c>
      <c r="Z2773" t="s">
        <v>24778</v>
      </c>
      <c r="AA2773">
        <v>0.72924034014768868</v>
      </c>
      <c r="AB2773" t="str">
        <f>HYPERLINK("Melting_Curves/meltCurve_Q05682_5_CALD1.pdf", "Melting_Curves/meltCurve_Q05682_5_CALD1.pdf")</f>
        <v>Melting_Curves/meltCurve_Q05682_5_CALD1.pdf</v>
      </c>
    </row>
    <row r="2774" spans="1:28" x14ac:dyDescent="0.25">
      <c r="A2774" t="s">
        <v>2778</v>
      </c>
      <c r="B2774">
        <v>0.99299721793515405</v>
      </c>
      <c r="C2774">
        <v>0.93500114715747096</v>
      </c>
      <c r="D2774">
        <v>0.90282182131394295</v>
      </c>
      <c r="E2774">
        <v>0.76068856745908497</v>
      </c>
      <c r="F2774">
        <v>0.83026152094393502</v>
      </c>
      <c r="G2774">
        <v>0.51379944850258097</v>
      </c>
      <c r="H2774">
        <v>0.42463895169988503</v>
      </c>
      <c r="I2774">
        <v>0.39560500637046297</v>
      </c>
      <c r="J2774">
        <v>0.39080357815143602</v>
      </c>
      <c r="K2774">
        <v>0.32193928887194001</v>
      </c>
      <c r="L2774">
        <v>496.67497376932999</v>
      </c>
      <c r="M2774">
        <v>9.4981639191387597</v>
      </c>
      <c r="N2774">
        <v>56.211261477441099</v>
      </c>
      <c r="O2774">
        <v>50.131110552008401</v>
      </c>
      <c r="P2774">
        <v>-3.5917170384234802E-2</v>
      </c>
      <c r="Q2774">
        <v>0.24216828134891699</v>
      </c>
      <c r="R2774">
        <v>0.95252103826304702</v>
      </c>
      <c r="S2774" t="s">
        <v>8325</v>
      </c>
      <c r="T2774" t="s">
        <v>11100</v>
      </c>
      <c r="U2774" t="s">
        <v>11100</v>
      </c>
      <c r="V2774" t="s">
        <v>11100</v>
      </c>
      <c r="W2774" t="s">
        <v>13831</v>
      </c>
      <c r="X2774">
        <v>3</v>
      </c>
      <c r="Y2774" t="s">
        <v>19287</v>
      </c>
      <c r="Z2774" t="s">
        <v>24779</v>
      </c>
      <c r="AA2774">
        <v>0.64810149550996421</v>
      </c>
      <c r="AB2774" t="str">
        <f>HYPERLINK("Melting_Curves/meltCurve_Q05932_3_FPGS.pdf", "Melting_Curves/meltCurve_Q05932_3_FPGS.pdf")</f>
        <v>Melting_Curves/meltCurve_Q05932_3_FPGS.pdf</v>
      </c>
    </row>
    <row r="2775" spans="1:28" x14ac:dyDescent="0.25">
      <c r="A2775" t="s">
        <v>2779</v>
      </c>
      <c r="B2775">
        <v>0.99299721793515405</v>
      </c>
      <c r="C2775">
        <v>0.95391408827032698</v>
      </c>
      <c r="D2775">
        <v>1.06960496067691</v>
      </c>
      <c r="E2775">
        <v>0.86090394772959</v>
      </c>
      <c r="F2775">
        <v>0.723021110610229</v>
      </c>
      <c r="G2775">
        <v>0.61531718564784599</v>
      </c>
      <c r="H2775">
        <v>0.185290068678126</v>
      </c>
      <c r="I2775">
        <v>0.13792911604871799</v>
      </c>
      <c r="J2775">
        <v>0.12273308806002201</v>
      </c>
      <c r="K2775">
        <v>0.106118808168887</v>
      </c>
      <c r="L2775">
        <v>899.20812569751195</v>
      </c>
      <c r="M2775">
        <v>16.808248403190198</v>
      </c>
      <c r="N2775">
        <v>53.829948358413802</v>
      </c>
      <c r="O2775">
        <v>52.757980489433201</v>
      </c>
      <c r="P2775">
        <v>-7.5732058207369501E-2</v>
      </c>
      <c r="Q2775">
        <v>4.9225788807119197E-2</v>
      </c>
      <c r="R2775">
        <v>0.97349299849330495</v>
      </c>
      <c r="S2775" t="s">
        <v>8326</v>
      </c>
      <c r="T2775" t="s">
        <v>11100</v>
      </c>
      <c r="U2775" t="s">
        <v>11100</v>
      </c>
      <c r="V2775" t="s">
        <v>11100</v>
      </c>
      <c r="W2775" t="s">
        <v>13832</v>
      </c>
      <c r="X2775">
        <v>35</v>
      </c>
      <c r="Y2775" t="s">
        <v>19288</v>
      </c>
      <c r="Z2775" t="s">
        <v>24780</v>
      </c>
      <c r="AA2775">
        <v>0.58664256269452997</v>
      </c>
      <c r="AB2775" t="str">
        <f>HYPERLINK("Melting_Curves/meltCurve_Q06124_PTPN11.pdf", "Melting_Curves/meltCurve_Q06124_PTPN11.pdf")</f>
        <v>Melting_Curves/meltCurve_Q06124_PTPN11.pdf</v>
      </c>
    </row>
    <row r="2776" spans="1:28" x14ac:dyDescent="0.25">
      <c r="A2776" t="s">
        <v>2780</v>
      </c>
      <c r="B2776">
        <v>0.99299721793515405</v>
      </c>
      <c r="C2776">
        <v>0.933318713089203</v>
      </c>
      <c r="D2776">
        <v>0.82320792845479096</v>
      </c>
      <c r="E2776">
        <v>0.79241204882672001</v>
      </c>
      <c r="F2776">
        <v>0.71816321382551296</v>
      </c>
      <c r="G2776">
        <v>0.84259032290823199</v>
      </c>
      <c r="H2776">
        <v>1.2399221913176599</v>
      </c>
      <c r="I2776">
        <v>1.50475779260107</v>
      </c>
      <c r="J2776">
        <v>1.5693489667593801</v>
      </c>
      <c r="K2776">
        <v>1.38031916237024</v>
      </c>
      <c r="L2776">
        <v>14351.175566505501</v>
      </c>
      <c r="M2776">
        <v>250</v>
      </c>
      <c r="O2776">
        <v>57.401035876899698</v>
      </c>
      <c r="P2776">
        <v>0.52787457730924203</v>
      </c>
      <c r="Q2776">
        <v>1.4848087001294701</v>
      </c>
      <c r="R2776">
        <v>0.77625945829473897</v>
      </c>
      <c r="S2776" t="s">
        <v>8327</v>
      </c>
      <c r="T2776" t="s">
        <v>11100</v>
      </c>
      <c r="U2776" t="s">
        <v>11100</v>
      </c>
      <c r="V2776" t="s">
        <v>11100</v>
      </c>
      <c r="W2776" t="s">
        <v>13833</v>
      </c>
      <c r="X2776">
        <v>28</v>
      </c>
      <c r="Y2776" t="s">
        <v>19289</v>
      </c>
      <c r="Z2776" t="s">
        <v>24781</v>
      </c>
      <c r="AA2776">
        <v>1.155013952317075</v>
      </c>
      <c r="AB2776" t="str">
        <f>HYPERLINK("Melting_Curves/meltCurve_Q06203_PPAT.pdf", "Melting_Curves/meltCurve_Q06203_PPAT.pdf")</f>
        <v>Melting_Curves/meltCurve_Q06203_PPAT.pdf</v>
      </c>
    </row>
    <row r="2777" spans="1:28" x14ac:dyDescent="0.25">
      <c r="A2777" t="s">
        <v>2781</v>
      </c>
      <c r="B2777">
        <v>0.99299721793515405</v>
      </c>
      <c r="C2777">
        <v>1.05406743762296</v>
      </c>
      <c r="D2777">
        <v>0.86212110366358996</v>
      </c>
      <c r="E2777">
        <v>0.88055787104502203</v>
      </c>
      <c r="F2777">
        <v>0.84292291130513997</v>
      </c>
      <c r="G2777">
        <v>1.0759117466292101</v>
      </c>
      <c r="H2777">
        <v>1.1991179939283101</v>
      </c>
      <c r="I2777">
        <v>0.61766781407071703</v>
      </c>
      <c r="J2777">
        <v>0.20175294077755199</v>
      </c>
      <c r="K2777">
        <v>0.14876046202548601</v>
      </c>
      <c r="L2777">
        <v>8528.5923328840909</v>
      </c>
      <c r="M2777">
        <v>139.66444455523001</v>
      </c>
      <c r="N2777">
        <v>61.2533242028545</v>
      </c>
      <c r="O2777">
        <v>61.052360891733599</v>
      </c>
      <c r="P2777">
        <v>-0.47202673917448001</v>
      </c>
      <c r="Q2777">
        <v>0.17464043574904201</v>
      </c>
      <c r="R2777">
        <v>0.90738469285312795</v>
      </c>
      <c r="S2777" t="s">
        <v>8328</v>
      </c>
      <c r="T2777" t="s">
        <v>11100</v>
      </c>
      <c r="U2777" t="s">
        <v>11100</v>
      </c>
      <c r="V2777" t="s">
        <v>11100</v>
      </c>
      <c r="W2777" t="s">
        <v>13834</v>
      </c>
      <c r="X2777">
        <v>15</v>
      </c>
      <c r="Y2777" t="s">
        <v>19290</v>
      </c>
      <c r="Z2777" t="s">
        <v>24782</v>
      </c>
      <c r="AA2777">
        <v>0.83699650933332059</v>
      </c>
      <c r="AB2777" t="str">
        <f>HYPERLINK("Melting_Curves/meltCurve_Q06210_2_GFPT1.pdf", "Melting_Curves/meltCurve_Q06210_2_GFPT1.pdf")</f>
        <v>Melting_Curves/meltCurve_Q06210_2_GFPT1.pdf</v>
      </c>
    </row>
    <row r="2778" spans="1:28" x14ac:dyDescent="0.25">
      <c r="A2778" t="s">
        <v>2782</v>
      </c>
      <c r="B2778">
        <v>0.99299721793515405</v>
      </c>
      <c r="C2778">
        <v>0.95848946358309595</v>
      </c>
      <c r="D2778">
        <v>0.963691968604799</v>
      </c>
      <c r="E2778">
        <v>0.86798979743053095</v>
      </c>
      <c r="F2778">
        <v>0.81274905888470395</v>
      </c>
      <c r="G2778">
        <v>1.2737199201079401</v>
      </c>
      <c r="H2778">
        <v>1.2742577432741999</v>
      </c>
      <c r="I2778">
        <v>1.29814074415429</v>
      </c>
      <c r="J2778">
        <v>0.86098330016558999</v>
      </c>
      <c r="K2778">
        <v>0.50196466510434601</v>
      </c>
      <c r="L2778">
        <v>15000</v>
      </c>
      <c r="M2778">
        <v>233.060397101821</v>
      </c>
      <c r="O2778">
        <v>64.356259815538493</v>
      </c>
      <c r="P2778">
        <v>-0.45094429080223197</v>
      </c>
      <c r="Q2778">
        <v>0.50191300909649805</v>
      </c>
      <c r="R2778">
        <v>0.47218791574350399</v>
      </c>
      <c r="S2778" t="s">
        <v>8329</v>
      </c>
      <c r="T2778" t="s">
        <v>11100</v>
      </c>
      <c r="U2778" t="s">
        <v>11100</v>
      </c>
      <c r="V2778" t="s">
        <v>11100</v>
      </c>
      <c r="W2778" t="s">
        <v>13835</v>
      </c>
      <c r="X2778">
        <v>8</v>
      </c>
      <c r="Y2778" t="s">
        <v>19291</v>
      </c>
      <c r="Z2778" t="s">
        <v>24783</v>
      </c>
      <c r="AA2778">
        <v>0.9562491532140408</v>
      </c>
      <c r="AB2778" t="str">
        <f>HYPERLINK("Melting_Curves/meltCurve_Q06265_EXOSC9.pdf", "Melting_Curves/meltCurve_Q06265_EXOSC9.pdf")</f>
        <v>Melting_Curves/meltCurve_Q06265_EXOSC9.pdf</v>
      </c>
    </row>
    <row r="2779" spans="1:28" x14ac:dyDescent="0.25">
      <c r="A2779" t="s">
        <v>2783</v>
      </c>
      <c r="B2779">
        <v>0.99299721793515405</v>
      </c>
      <c r="C2779">
        <v>1.04821550077285</v>
      </c>
      <c r="D2779">
        <v>1.0049159479910801</v>
      </c>
      <c r="E2779">
        <v>0.96672259794692805</v>
      </c>
      <c r="F2779">
        <v>0.91852677357274104</v>
      </c>
      <c r="G2779">
        <v>0.97124072171081499</v>
      </c>
      <c r="H2779">
        <v>0.76156986669415905</v>
      </c>
      <c r="I2779">
        <v>0.63790592966858595</v>
      </c>
      <c r="J2779">
        <v>0.55063619609202097</v>
      </c>
      <c r="K2779">
        <v>0.50630708591277396</v>
      </c>
      <c r="L2779">
        <v>1160.0959586235999</v>
      </c>
      <c r="M2779">
        <v>19.827663261523099</v>
      </c>
      <c r="O2779">
        <v>57.923556197956898</v>
      </c>
      <c r="P2779">
        <v>-4.5496371009925402E-2</v>
      </c>
      <c r="Q2779">
        <v>0.46837449277566501</v>
      </c>
      <c r="R2779">
        <v>0.97245734799271999</v>
      </c>
      <c r="S2779" t="s">
        <v>8330</v>
      </c>
      <c r="T2779" t="s">
        <v>11100</v>
      </c>
      <c r="U2779" t="s">
        <v>11100</v>
      </c>
      <c r="V2779" t="s">
        <v>11100</v>
      </c>
      <c r="W2779" t="s">
        <v>13836</v>
      </c>
      <c r="X2779">
        <v>15</v>
      </c>
      <c r="Y2779" t="s">
        <v>19292</v>
      </c>
      <c r="Z2779" t="s">
        <v>24784</v>
      </c>
      <c r="AA2779">
        <v>0.85242162959828727</v>
      </c>
      <c r="AB2779" t="str">
        <f>HYPERLINK("Melting_Curves/meltCurve_Q06323_PSME1.pdf", "Melting_Curves/meltCurve_Q06323_PSME1.pdf")</f>
        <v>Melting_Curves/meltCurve_Q06323_PSME1.pdf</v>
      </c>
    </row>
    <row r="2780" spans="1:28" x14ac:dyDescent="0.25">
      <c r="A2780" t="s">
        <v>2784</v>
      </c>
      <c r="B2780">
        <v>0.99299721793515405</v>
      </c>
      <c r="C2780">
        <v>0.86149948675282695</v>
      </c>
      <c r="D2780">
        <v>1.07000265100785</v>
      </c>
      <c r="E2780">
        <v>0.79661469288740105</v>
      </c>
      <c r="F2780">
        <v>0.73168171344529098</v>
      </c>
      <c r="G2780">
        <v>0.66826317998143403</v>
      </c>
      <c r="H2780">
        <v>0.44847388031126301</v>
      </c>
      <c r="I2780">
        <v>0.35411731154058701</v>
      </c>
      <c r="J2780">
        <v>0.192262343753651</v>
      </c>
      <c r="K2780">
        <v>0.238459776939034</v>
      </c>
      <c r="L2780">
        <v>500.13970936462198</v>
      </c>
      <c r="M2780">
        <v>8.8585029675377598</v>
      </c>
      <c r="N2780">
        <v>56.458713943418502</v>
      </c>
      <c r="O2780">
        <v>53.8036591686473</v>
      </c>
      <c r="P2780">
        <v>-4.1192976846980998E-2</v>
      </c>
      <c r="Q2780">
        <v>0</v>
      </c>
      <c r="R2780">
        <v>0.94857721366271697</v>
      </c>
      <c r="S2780" t="s">
        <v>8331</v>
      </c>
      <c r="T2780" t="s">
        <v>11100</v>
      </c>
      <c r="U2780" t="s">
        <v>11100</v>
      </c>
      <c r="V2780" t="s">
        <v>11100</v>
      </c>
      <c r="W2780" t="s">
        <v>13837</v>
      </c>
      <c r="X2780">
        <v>1</v>
      </c>
      <c r="Y2780" t="s">
        <v>19293</v>
      </c>
      <c r="Z2780" t="s">
        <v>24785</v>
      </c>
      <c r="AA2780">
        <v>0.64725831931587419</v>
      </c>
      <c r="AB2780" t="str">
        <f>HYPERLINK("Melting_Curves/meltCurve_Q06330_5_RBPJ.pdf", "Melting_Curves/meltCurve_Q06330_5_RBPJ.pdf")</f>
        <v>Melting_Curves/meltCurve_Q06330_5_RBPJ.pdf</v>
      </c>
    </row>
    <row r="2781" spans="1:28" x14ac:dyDescent="0.25">
      <c r="A2781" t="s">
        <v>2785</v>
      </c>
      <c r="B2781">
        <v>0.99299721793515405</v>
      </c>
      <c r="C2781">
        <v>0.79056309715695805</v>
      </c>
      <c r="D2781">
        <v>0.90627267238614495</v>
      </c>
      <c r="E2781">
        <v>0.87954483467720002</v>
      </c>
      <c r="F2781">
        <v>0.81097376210308103</v>
      </c>
      <c r="G2781">
        <v>0.50008815312945498</v>
      </c>
      <c r="H2781">
        <v>0.62112002643057196</v>
      </c>
      <c r="I2781">
        <v>0.58938928981738004</v>
      </c>
      <c r="J2781">
        <v>0.48705378179109199</v>
      </c>
      <c r="K2781">
        <v>0.403554289519306</v>
      </c>
      <c r="L2781">
        <v>263.83542680577602</v>
      </c>
      <c r="M2781">
        <v>4.2090354334495199</v>
      </c>
      <c r="N2781">
        <v>62.6831090473854</v>
      </c>
      <c r="O2781">
        <v>52.271521335463497</v>
      </c>
      <c r="P2781">
        <v>-2.0350084465719499E-2</v>
      </c>
      <c r="Q2781">
        <v>0</v>
      </c>
      <c r="R2781">
        <v>0.83368990835076495</v>
      </c>
      <c r="S2781" t="s">
        <v>8332</v>
      </c>
      <c r="T2781" t="s">
        <v>11100</v>
      </c>
      <c r="U2781" t="s">
        <v>11100</v>
      </c>
      <c r="V2781" t="s">
        <v>11100</v>
      </c>
      <c r="W2781" t="s">
        <v>13838</v>
      </c>
      <c r="X2781">
        <v>7</v>
      </c>
      <c r="Y2781" t="s">
        <v>19294</v>
      </c>
      <c r="Z2781" t="s">
        <v>24786</v>
      </c>
      <c r="AA2781">
        <v>0.70044039545958336</v>
      </c>
      <c r="AB2781" t="str">
        <f>HYPERLINK("Melting_Curves/meltCurve_Q06481_APLP2.pdf", "Melting_Curves/meltCurve_Q06481_APLP2.pdf")</f>
        <v>Melting_Curves/meltCurve_Q06481_APLP2.pdf</v>
      </c>
    </row>
    <row r="2782" spans="1:28" x14ac:dyDescent="0.25">
      <c r="A2782" t="s">
        <v>2786</v>
      </c>
      <c r="B2782">
        <v>0.99299721793515405</v>
      </c>
      <c r="C2782">
        <v>1.31916792534994</v>
      </c>
      <c r="D2782">
        <v>1.4539700249576</v>
      </c>
      <c r="E2782">
        <v>1.18314036839544</v>
      </c>
      <c r="F2782">
        <v>0.73463653035763699</v>
      </c>
      <c r="G2782">
        <v>0.34873073376779801</v>
      </c>
      <c r="H2782">
        <v>0.208799026683642</v>
      </c>
      <c r="I2782">
        <v>0.182208743326253</v>
      </c>
      <c r="J2782">
        <v>0.131481495542106</v>
      </c>
      <c r="K2782">
        <v>0.10053947374137399</v>
      </c>
      <c r="L2782">
        <v>1807.2852814384401</v>
      </c>
      <c r="M2782">
        <v>34.931134541540402</v>
      </c>
      <c r="N2782">
        <v>52.272147118073597</v>
      </c>
      <c r="O2782">
        <v>51.5698358411396</v>
      </c>
      <c r="P2782">
        <v>-0.143942638110203</v>
      </c>
      <c r="Q2782">
        <v>0.14997646640673601</v>
      </c>
      <c r="R2782">
        <v>0.86158957358252197</v>
      </c>
      <c r="S2782" t="s">
        <v>8333</v>
      </c>
      <c r="T2782" t="s">
        <v>11100</v>
      </c>
      <c r="U2782" t="s">
        <v>11100</v>
      </c>
      <c r="V2782" t="s">
        <v>11100</v>
      </c>
      <c r="W2782" t="s">
        <v>13839</v>
      </c>
      <c r="X2782">
        <v>5</v>
      </c>
      <c r="Y2782" t="s">
        <v>19295</v>
      </c>
      <c r="Z2782" t="s">
        <v>24787</v>
      </c>
      <c r="AA2782">
        <v>0.5715512998497746</v>
      </c>
      <c r="AB2782" t="str">
        <f>HYPERLINK("Melting_Curves/meltCurve_Q06546_GABPA.pdf", "Melting_Curves/meltCurve_Q06546_GABPA.pdf")</f>
        <v>Melting_Curves/meltCurve_Q06546_GABPA.pdf</v>
      </c>
    </row>
    <row r="2783" spans="1:28" x14ac:dyDescent="0.25">
      <c r="A2783" t="s">
        <v>2787</v>
      </c>
      <c r="B2783">
        <v>0.99299721793515405</v>
      </c>
      <c r="C2783">
        <v>0.87562172719536602</v>
      </c>
      <c r="D2783">
        <v>0.89177147142950897</v>
      </c>
      <c r="E2783">
        <v>0.69529110021622798</v>
      </c>
      <c r="F2783">
        <v>0.49872983056398701</v>
      </c>
      <c r="G2783">
        <v>0.24785011729189199</v>
      </c>
      <c r="H2783">
        <v>0.19155367150230901</v>
      </c>
      <c r="I2783">
        <v>0.162829905647283</v>
      </c>
      <c r="J2783">
        <v>0.13200466207175299</v>
      </c>
      <c r="K2783">
        <v>0.14453836642797399</v>
      </c>
      <c r="L2783">
        <v>671.33276331243201</v>
      </c>
      <c r="M2783">
        <v>13.773696377873501</v>
      </c>
      <c r="N2783">
        <v>49.567571313197803</v>
      </c>
      <c r="O2783">
        <v>47.747277205061202</v>
      </c>
      <c r="P2783">
        <v>-6.4720680157321797E-2</v>
      </c>
      <c r="Q2783">
        <v>0.102695622695003</v>
      </c>
      <c r="R2783">
        <v>0.98959070056373699</v>
      </c>
      <c r="S2783" t="s">
        <v>8334</v>
      </c>
      <c r="T2783" t="s">
        <v>11100</v>
      </c>
      <c r="U2783" t="s">
        <v>11100</v>
      </c>
      <c r="V2783" t="s">
        <v>11100</v>
      </c>
      <c r="W2783" t="s">
        <v>13840</v>
      </c>
      <c r="X2783">
        <v>2</v>
      </c>
      <c r="Y2783" t="s">
        <v>17531</v>
      </c>
      <c r="Z2783" t="s">
        <v>24788</v>
      </c>
      <c r="AA2783">
        <v>0.4760322326021782</v>
      </c>
      <c r="AB2783" t="str">
        <f>HYPERLINK("Melting_Curves/meltCurve_Q06547_2_GABPB1.pdf", "Melting_Curves/meltCurve_Q06547_2_GABPB1.pdf")</f>
        <v>Melting_Curves/meltCurve_Q06547_2_GABPB1.pdf</v>
      </c>
    </row>
    <row r="2784" spans="1:28" x14ac:dyDescent="0.25">
      <c r="A2784" t="s">
        <v>2788</v>
      </c>
      <c r="B2784">
        <v>0.99299721793515405</v>
      </c>
      <c r="C2784">
        <v>1.10288393714147</v>
      </c>
      <c r="D2784">
        <v>0.94334174411956095</v>
      </c>
      <c r="E2784">
        <v>0.89380596685210401</v>
      </c>
      <c r="F2784">
        <v>0.73106964811052899</v>
      </c>
      <c r="G2784">
        <v>0.44681001766577499</v>
      </c>
      <c r="H2784">
        <v>0.21425698281854</v>
      </c>
      <c r="I2784">
        <v>0.14698693469697799</v>
      </c>
      <c r="J2784">
        <v>0.12280404072723</v>
      </c>
      <c r="K2784">
        <v>0.13754541900539499</v>
      </c>
      <c r="L2784">
        <v>998.14337708508697</v>
      </c>
      <c r="M2784">
        <v>19.093982859653298</v>
      </c>
      <c r="N2784">
        <v>52.900150409394499</v>
      </c>
      <c r="O2784">
        <v>51.712016126540398</v>
      </c>
      <c r="P2784">
        <v>-8.2993133130988994E-2</v>
      </c>
      <c r="Q2784">
        <v>0.10095772135686</v>
      </c>
      <c r="R2784">
        <v>0.98942833131238195</v>
      </c>
      <c r="S2784" t="s">
        <v>8335</v>
      </c>
      <c r="T2784" t="s">
        <v>11100</v>
      </c>
      <c r="U2784" t="s">
        <v>11100</v>
      </c>
      <c r="V2784" t="s">
        <v>11100</v>
      </c>
      <c r="W2784" t="s">
        <v>13841</v>
      </c>
      <c r="X2784">
        <v>3</v>
      </c>
      <c r="Y2784" t="s">
        <v>19296</v>
      </c>
      <c r="Z2784" t="s">
        <v>24789</v>
      </c>
      <c r="AA2784">
        <v>0.57110787246625994</v>
      </c>
      <c r="AB2784" t="str">
        <f>HYPERLINK("Melting_Curves/meltCurve_Q06609_3_RAD51.pdf", "Melting_Curves/meltCurve_Q06609_3_RAD51.pdf")</f>
        <v>Melting_Curves/meltCurve_Q06609_3_RAD51.pdf</v>
      </c>
    </row>
    <row r="2785" spans="1:28" x14ac:dyDescent="0.25">
      <c r="A2785" t="s">
        <v>2789</v>
      </c>
      <c r="B2785">
        <v>0.99299721793515405</v>
      </c>
      <c r="C2785">
        <v>1.0816606993626501</v>
      </c>
      <c r="D2785">
        <v>1.06819776470983</v>
      </c>
      <c r="E2785">
        <v>0.97663266017386297</v>
      </c>
      <c r="F2785">
        <v>0.84116659368721602</v>
      </c>
      <c r="G2785">
        <v>1.15565327137538</v>
      </c>
      <c r="H2785">
        <v>0.65330995625134602</v>
      </c>
      <c r="I2785">
        <v>0.39962091738571598</v>
      </c>
      <c r="J2785">
        <v>0.28437222492484998</v>
      </c>
      <c r="K2785">
        <v>0.207204435432711</v>
      </c>
      <c r="L2785">
        <v>2865.1825795538002</v>
      </c>
      <c r="M2785">
        <v>49.619068856115703</v>
      </c>
      <c r="N2785">
        <v>58.680320350528604</v>
      </c>
      <c r="O2785">
        <v>57.650027614568899</v>
      </c>
      <c r="P2785">
        <v>-0.156312622264348</v>
      </c>
      <c r="Q2785">
        <v>0.27355206460736198</v>
      </c>
      <c r="R2785">
        <v>0.93008544372347002</v>
      </c>
      <c r="S2785" t="s">
        <v>8336</v>
      </c>
      <c r="T2785" t="s">
        <v>11100</v>
      </c>
      <c r="U2785" t="s">
        <v>11100</v>
      </c>
      <c r="V2785" t="s">
        <v>11100</v>
      </c>
      <c r="W2785" t="s">
        <v>13842</v>
      </c>
      <c r="X2785">
        <v>25</v>
      </c>
      <c r="Y2785" t="s">
        <v>19297</v>
      </c>
      <c r="Z2785" t="s">
        <v>24790</v>
      </c>
      <c r="AA2785">
        <v>0.77769341487250687</v>
      </c>
      <c r="AB2785" t="str">
        <f>HYPERLINK("Melting_Curves/meltCurve_Q06830_PRDX1.pdf", "Melting_Curves/meltCurve_Q06830_PRDX1.pdf")</f>
        <v>Melting_Curves/meltCurve_Q06830_PRDX1.pdf</v>
      </c>
    </row>
    <row r="2786" spans="1:28" x14ac:dyDescent="0.25">
      <c r="A2786" t="s">
        <v>2790</v>
      </c>
      <c r="B2786">
        <v>0.99299721793515405</v>
      </c>
      <c r="C2786">
        <v>0.99211818324509304</v>
      </c>
      <c r="D2786">
        <v>0.99645363209332805</v>
      </c>
      <c r="E2786">
        <v>1.0798837572042299</v>
      </c>
      <c r="F2786">
        <v>0.83741409679259904</v>
      </c>
      <c r="G2786">
        <v>0.66491469312217</v>
      </c>
      <c r="H2786">
        <v>0.32816509828746299</v>
      </c>
      <c r="I2786">
        <v>0.247117443163823</v>
      </c>
      <c r="J2786">
        <v>0.23168865158027199</v>
      </c>
      <c r="K2786">
        <v>0.18579654610320401</v>
      </c>
      <c r="L2786">
        <v>1314.27714959282</v>
      </c>
      <c r="M2786">
        <v>24.2615684107748</v>
      </c>
      <c r="N2786">
        <v>55.274133402759297</v>
      </c>
      <c r="O2786">
        <v>53.807148744537997</v>
      </c>
      <c r="P2786">
        <v>-9.1095947208267095E-2</v>
      </c>
      <c r="Q2786">
        <v>0.191884244743875</v>
      </c>
      <c r="R2786">
        <v>0.98748853283976001</v>
      </c>
      <c r="S2786" t="s">
        <v>8337</v>
      </c>
      <c r="T2786" t="s">
        <v>11100</v>
      </c>
      <c r="U2786" t="s">
        <v>11100</v>
      </c>
      <c r="V2786" t="s">
        <v>11100</v>
      </c>
      <c r="W2786" t="s">
        <v>13843</v>
      </c>
      <c r="X2786">
        <v>8</v>
      </c>
      <c r="Y2786" t="s">
        <v>19298</v>
      </c>
      <c r="Z2786" t="s">
        <v>24791</v>
      </c>
      <c r="AA2786">
        <v>0.66179871153979841</v>
      </c>
      <c r="AB2786" t="str">
        <f>HYPERLINK("Melting_Curves/meltCurve_Q07021_C1QBP.pdf", "Melting_Curves/meltCurve_Q07021_C1QBP.pdf")</f>
        <v>Melting_Curves/meltCurve_Q07021_C1QBP.pdf</v>
      </c>
    </row>
    <row r="2787" spans="1:28" x14ac:dyDescent="0.25">
      <c r="A2787" t="s">
        <v>2791</v>
      </c>
      <c r="B2787">
        <v>0.99299721793515405</v>
      </c>
      <c r="C2787">
        <v>0.97137357785772804</v>
      </c>
      <c r="D2787">
        <v>0.97110502458787196</v>
      </c>
      <c r="E2787">
        <v>0.79135678323731795</v>
      </c>
      <c r="F2787">
        <v>0.62347703703366797</v>
      </c>
      <c r="G2787">
        <v>0.43112116646918303</v>
      </c>
      <c r="H2787">
        <v>0.44214021479779497</v>
      </c>
      <c r="I2787">
        <v>0.39611806739488298</v>
      </c>
      <c r="J2787">
        <v>0.39048554078412601</v>
      </c>
      <c r="K2787">
        <v>0.34249297585631</v>
      </c>
      <c r="L2787">
        <v>877.80892335824899</v>
      </c>
      <c r="M2787">
        <v>18.013951066805099</v>
      </c>
      <c r="N2787">
        <v>52.663640477940604</v>
      </c>
      <c r="O2787">
        <v>48.140783561336598</v>
      </c>
      <c r="P2787">
        <v>-5.8954606616407203E-2</v>
      </c>
      <c r="Q2787">
        <v>0.36982589781013198</v>
      </c>
      <c r="R2787">
        <v>0.99207336662786105</v>
      </c>
      <c r="S2787" t="s">
        <v>8338</v>
      </c>
      <c r="T2787" t="s">
        <v>11100</v>
      </c>
      <c r="U2787" t="s">
        <v>11100</v>
      </c>
      <c r="V2787" t="s">
        <v>11100</v>
      </c>
      <c r="W2787" t="s">
        <v>13844</v>
      </c>
      <c r="X2787">
        <v>31</v>
      </c>
      <c r="Y2787" t="s">
        <v>19299</v>
      </c>
      <c r="Z2787" t="s">
        <v>24792</v>
      </c>
      <c r="AA2787">
        <v>0.62623384829186246</v>
      </c>
      <c r="AB2787" t="str">
        <f>HYPERLINK("Melting_Curves/meltCurve_Q07065_CKAP4.pdf", "Melting_Curves/meltCurve_Q07065_CKAP4.pdf")</f>
        <v>Melting_Curves/meltCurve_Q07065_CKAP4.pdf</v>
      </c>
    </row>
    <row r="2788" spans="1:28" x14ac:dyDescent="0.25">
      <c r="A2788" t="s">
        <v>2792</v>
      </c>
      <c r="B2788">
        <v>0.99299721793515405</v>
      </c>
      <c r="C2788">
        <v>1.0140208783812299</v>
      </c>
      <c r="D2788">
        <v>0.86861140680633497</v>
      </c>
      <c r="E2788">
        <v>0.84323584074723601</v>
      </c>
      <c r="F2788">
        <v>0.64687614735706001</v>
      </c>
      <c r="G2788">
        <v>0.61238780720229002</v>
      </c>
      <c r="H2788">
        <v>0.64909273440951198</v>
      </c>
      <c r="I2788">
        <v>0.78379076544837301</v>
      </c>
      <c r="J2788">
        <v>0.67991144596535502</v>
      </c>
      <c r="K2788">
        <v>0.47407212747767802</v>
      </c>
      <c r="L2788">
        <v>865.86500739753296</v>
      </c>
      <c r="M2788">
        <v>18.8750890075058</v>
      </c>
      <c r="O2788">
        <v>45.367819449776803</v>
      </c>
      <c r="P2788">
        <v>-3.8482809816197797E-2</v>
      </c>
      <c r="Q2788">
        <v>0.63002882780936298</v>
      </c>
      <c r="R2788">
        <v>0.78069795754451898</v>
      </c>
      <c r="S2788" t="s">
        <v>8339</v>
      </c>
      <c r="T2788" t="s">
        <v>11100</v>
      </c>
      <c r="U2788" t="s">
        <v>11100</v>
      </c>
      <c r="V2788" t="s">
        <v>11100</v>
      </c>
      <c r="W2788" t="s">
        <v>13845</v>
      </c>
      <c r="X2788">
        <v>8</v>
      </c>
      <c r="Y2788" t="s">
        <v>19300</v>
      </c>
      <c r="Z2788" t="s">
        <v>24793</v>
      </c>
      <c r="AA2788">
        <v>0.74490029642529465</v>
      </c>
      <c r="AB2788" t="str">
        <f>HYPERLINK("Melting_Curves/meltCurve_Q07075_ENPEP.pdf", "Melting_Curves/meltCurve_Q07075_ENPEP.pdf")</f>
        <v>Melting_Curves/meltCurve_Q07075_ENPEP.pdf</v>
      </c>
    </row>
    <row r="2789" spans="1:28" x14ac:dyDescent="0.25">
      <c r="A2789" t="s">
        <v>2793</v>
      </c>
      <c r="B2789">
        <v>0.99299721793515405</v>
      </c>
      <c r="C2789">
        <v>0.86991430454622798</v>
      </c>
      <c r="D2789">
        <v>1.1092330429992601</v>
      </c>
      <c r="E2789">
        <v>0.70150142847997699</v>
      </c>
      <c r="F2789">
        <v>0.57488709465571897</v>
      </c>
      <c r="G2789">
        <v>0.328890450597287</v>
      </c>
      <c r="H2789">
        <v>0.17523529447133299</v>
      </c>
      <c r="I2789">
        <v>0.115470737397565</v>
      </c>
      <c r="J2789">
        <v>0.127120959863604</v>
      </c>
      <c r="K2789">
        <v>0.104086118552425</v>
      </c>
      <c r="L2789">
        <v>814.41470451196699</v>
      </c>
      <c r="M2789">
        <v>16.22490732056</v>
      </c>
      <c r="N2789">
        <v>50.781199633036998</v>
      </c>
      <c r="O2789">
        <v>49.451386093121101</v>
      </c>
      <c r="P2789">
        <v>-7.5028844766155206E-2</v>
      </c>
      <c r="Q2789">
        <v>8.5355446241929506E-2</v>
      </c>
      <c r="R2789">
        <v>0.96199233737061896</v>
      </c>
      <c r="S2789" t="s">
        <v>8340</v>
      </c>
      <c r="T2789" t="s">
        <v>11100</v>
      </c>
      <c r="U2789" t="s">
        <v>11100</v>
      </c>
      <c r="V2789" t="s">
        <v>11100</v>
      </c>
      <c r="W2789" t="s">
        <v>13846</v>
      </c>
      <c r="X2789">
        <v>4</v>
      </c>
      <c r="Y2789" t="s">
        <v>19301</v>
      </c>
      <c r="Z2789" t="s">
        <v>24794</v>
      </c>
      <c r="AA2789">
        <v>0.50458336709826557</v>
      </c>
      <c r="AB2789" t="str">
        <f>HYPERLINK("Melting_Curves/meltCurve_Q07666_KHDRBS1.pdf", "Melting_Curves/meltCurve_Q07666_KHDRBS1.pdf")</f>
        <v>Melting_Curves/meltCurve_Q07666_KHDRBS1.pdf</v>
      </c>
    </row>
    <row r="2790" spans="1:28" x14ac:dyDescent="0.25">
      <c r="A2790" t="s">
        <v>2794</v>
      </c>
      <c r="B2790">
        <v>0.99299721793515405</v>
      </c>
      <c r="C2790">
        <v>0.99494478622637095</v>
      </c>
      <c r="D2790">
        <v>1.01151798809258</v>
      </c>
      <c r="E2790">
        <v>0.97540672865349898</v>
      </c>
      <c r="F2790">
        <v>0.835539960940198</v>
      </c>
      <c r="G2790">
        <v>0.71933374127473204</v>
      </c>
      <c r="H2790">
        <v>0.57300609625893795</v>
      </c>
      <c r="I2790">
        <v>0.69696262035701195</v>
      </c>
      <c r="J2790">
        <v>0.83987164838551998</v>
      </c>
      <c r="K2790">
        <v>0.69247741124038997</v>
      </c>
      <c r="L2790">
        <v>2204.1365341204601</v>
      </c>
      <c r="M2790">
        <v>44.1523288042834</v>
      </c>
      <c r="O2790">
        <v>49.819101443791297</v>
      </c>
      <c r="P2790">
        <v>-6.6028345883418105E-2</v>
      </c>
      <c r="Q2790">
        <v>0.70198915458838695</v>
      </c>
      <c r="R2790">
        <v>0.83659370844911896</v>
      </c>
      <c r="S2790" t="s">
        <v>8341</v>
      </c>
      <c r="T2790" t="s">
        <v>11100</v>
      </c>
      <c r="U2790" t="s">
        <v>11100</v>
      </c>
      <c r="V2790" t="s">
        <v>11100</v>
      </c>
      <c r="W2790" t="s">
        <v>13847</v>
      </c>
      <c r="X2790">
        <v>9</v>
      </c>
      <c r="Y2790" t="s">
        <v>19302</v>
      </c>
      <c r="Z2790" t="s">
        <v>24795</v>
      </c>
      <c r="AA2790">
        <v>0.83118689305241311</v>
      </c>
      <c r="AB2790" t="str">
        <f>HYPERLINK("Melting_Curves/meltCurve_Q07812_5_BAX.pdf", "Melting_Curves/meltCurve_Q07812_5_BAX.pdf")</f>
        <v>Melting_Curves/meltCurve_Q07812_5_BAX.pdf</v>
      </c>
    </row>
    <row r="2791" spans="1:28" x14ac:dyDescent="0.25">
      <c r="A2791" t="s">
        <v>2795</v>
      </c>
      <c r="B2791">
        <v>0.99299721793515405</v>
      </c>
      <c r="C2791">
        <v>0.87357934103285995</v>
      </c>
      <c r="D2791">
        <v>0.85778517142375799</v>
      </c>
      <c r="E2791">
        <v>0.83524566169540904</v>
      </c>
      <c r="F2791">
        <v>0.76608382135472297</v>
      </c>
      <c r="G2791">
        <v>0.506102712731198</v>
      </c>
      <c r="H2791">
        <v>0.45487324575782501</v>
      </c>
      <c r="I2791">
        <v>0.48520404651888599</v>
      </c>
      <c r="J2791">
        <v>0.567758897708738</v>
      </c>
      <c r="K2791">
        <v>0.40028643079632298</v>
      </c>
      <c r="L2791">
        <v>474.62844762591601</v>
      </c>
      <c r="M2791">
        <v>9.5765633573795199</v>
      </c>
      <c r="N2791">
        <v>59.3361530680558</v>
      </c>
      <c r="O2791">
        <v>47.544877627019503</v>
      </c>
      <c r="P2791">
        <v>-3.03936323622126E-2</v>
      </c>
      <c r="Q2791">
        <v>0.396763703774905</v>
      </c>
      <c r="R2791">
        <v>0.89780848291293802</v>
      </c>
      <c r="S2791" t="s">
        <v>8342</v>
      </c>
      <c r="T2791" t="s">
        <v>11100</v>
      </c>
      <c r="U2791" t="s">
        <v>11100</v>
      </c>
      <c r="V2791" t="s">
        <v>11100</v>
      </c>
      <c r="W2791" t="s">
        <v>13848</v>
      </c>
      <c r="X2791">
        <v>5</v>
      </c>
      <c r="Y2791" t="s">
        <v>19303</v>
      </c>
      <c r="Z2791" t="s">
        <v>24796</v>
      </c>
      <c r="AA2791">
        <v>0.67162349792372378</v>
      </c>
      <c r="AB2791" t="str">
        <f>HYPERLINK("Melting_Curves/meltCurve_Q07820_2_MCL1.pdf", "Melting_Curves/meltCurve_Q07820_2_MCL1.pdf")</f>
        <v>Melting_Curves/meltCurve_Q07820_2_MCL1.pdf</v>
      </c>
    </row>
    <row r="2792" spans="1:28" x14ac:dyDescent="0.25">
      <c r="A2792" t="s">
        <v>2796</v>
      </c>
      <c r="B2792">
        <v>0.99299721793515405</v>
      </c>
      <c r="C2792">
        <v>0.91292475464277401</v>
      </c>
      <c r="D2792">
        <v>0.89045807491204299</v>
      </c>
      <c r="E2792">
        <v>0.80556850812511205</v>
      </c>
      <c r="F2792">
        <v>0.69885126309813705</v>
      </c>
      <c r="G2792">
        <v>0.82177499440430801</v>
      </c>
      <c r="H2792">
        <v>0.30097088492566099</v>
      </c>
      <c r="I2792">
        <v>0.21698546820308701</v>
      </c>
      <c r="J2792">
        <v>0.15808859865004299</v>
      </c>
      <c r="K2792">
        <v>0.130648719073993</v>
      </c>
      <c r="L2792">
        <v>613.72663943132295</v>
      </c>
      <c r="M2792">
        <v>11.0873156873855</v>
      </c>
      <c r="N2792">
        <v>55.353958937291601</v>
      </c>
      <c r="O2792">
        <v>53.644728583951</v>
      </c>
      <c r="P2792">
        <v>-5.1687017743826898E-2</v>
      </c>
      <c r="Q2792">
        <v>0</v>
      </c>
      <c r="R2792">
        <v>0.91508167360868797</v>
      </c>
      <c r="S2792" t="s">
        <v>8343</v>
      </c>
      <c r="T2792" t="s">
        <v>11100</v>
      </c>
      <c r="U2792" t="s">
        <v>11100</v>
      </c>
      <c r="V2792" t="s">
        <v>11100</v>
      </c>
      <c r="W2792" t="s">
        <v>13849</v>
      </c>
      <c r="X2792">
        <v>19</v>
      </c>
      <c r="Y2792" t="s">
        <v>17032</v>
      </c>
      <c r="Z2792" t="s">
        <v>24797</v>
      </c>
      <c r="AA2792">
        <v>0.62363733779271791</v>
      </c>
      <c r="AB2792" t="str">
        <f>HYPERLINK("Melting_Curves/meltCurve_Q07866_6_KLC1.pdf", "Melting_Curves/meltCurve_Q07866_6_KLC1.pdf")</f>
        <v>Melting_Curves/meltCurve_Q07866_6_KLC1.pdf</v>
      </c>
    </row>
    <row r="2793" spans="1:28" x14ac:dyDescent="0.25">
      <c r="A2793" t="s">
        <v>2797</v>
      </c>
      <c r="B2793">
        <v>0.99299721793515405</v>
      </c>
      <c r="C2793">
        <v>0.70561749561431097</v>
      </c>
      <c r="D2793">
        <v>0.928161585605628</v>
      </c>
      <c r="E2793">
        <v>0.80466491151812303</v>
      </c>
      <c r="F2793">
        <v>0.59708124085623804</v>
      </c>
      <c r="G2793">
        <v>0.50992078754771797</v>
      </c>
      <c r="H2793">
        <v>0.28370427300483098</v>
      </c>
      <c r="I2793">
        <v>0.18760995611568199</v>
      </c>
      <c r="J2793">
        <v>0.25874452914143098</v>
      </c>
      <c r="K2793">
        <v>0.320057673862014</v>
      </c>
      <c r="L2793">
        <v>469.73142374798402</v>
      </c>
      <c r="M2793">
        <v>9.2547643509631801</v>
      </c>
      <c r="N2793">
        <v>52.638598355669203</v>
      </c>
      <c r="O2793">
        <v>48.5546739809012</v>
      </c>
      <c r="P2793">
        <v>-4.09630073721362E-2</v>
      </c>
      <c r="Q2793">
        <v>0.14091947783939099</v>
      </c>
      <c r="R2793">
        <v>0.88285066991191896</v>
      </c>
      <c r="S2793" t="s">
        <v>8344</v>
      </c>
      <c r="T2793" t="s">
        <v>11100</v>
      </c>
      <c r="U2793" t="s">
        <v>11100</v>
      </c>
      <c r="V2793" t="s">
        <v>11100</v>
      </c>
      <c r="W2793" t="s">
        <v>13850</v>
      </c>
      <c r="X2793">
        <v>1</v>
      </c>
      <c r="Y2793" t="s">
        <v>19304</v>
      </c>
      <c r="Z2793" t="s">
        <v>24798</v>
      </c>
      <c r="AA2793">
        <v>0.56335979032235484</v>
      </c>
      <c r="AB2793" t="str">
        <f>HYPERLINK("Melting_Curves/meltCurve_Q07912_TNK2.pdf", "Melting_Curves/meltCurve_Q07912_TNK2.pdf")</f>
        <v>Melting_Curves/meltCurve_Q07912_TNK2.pdf</v>
      </c>
    </row>
    <row r="2794" spans="1:28" x14ac:dyDescent="0.25">
      <c r="A2794" t="s">
        <v>2798</v>
      </c>
      <c r="B2794">
        <v>0.99299721793515405</v>
      </c>
      <c r="C2794">
        <v>1.0396333027723801</v>
      </c>
      <c r="D2794">
        <v>0.99567698151767303</v>
      </c>
      <c r="E2794">
        <v>0.938616055715771</v>
      </c>
      <c r="F2794">
        <v>0.74008086497471304</v>
      </c>
      <c r="G2794">
        <v>0.52890772041884004</v>
      </c>
      <c r="H2794">
        <v>0.27862545399974198</v>
      </c>
      <c r="I2794">
        <v>0.24148439702063801</v>
      </c>
      <c r="J2794">
        <v>0.18639392769775201</v>
      </c>
      <c r="K2794">
        <v>0.132941714759202</v>
      </c>
      <c r="L2794">
        <v>930.37410354215399</v>
      </c>
      <c r="M2794">
        <v>17.577330928181201</v>
      </c>
      <c r="N2794">
        <v>53.8946197373701</v>
      </c>
      <c r="O2794">
        <v>52.259503063949701</v>
      </c>
      <c r="P2794">
        <v>-7.2745699657321403E-2</v>
      </c>
      <c r="Q2794">
        <v>0.134920280215229</v>
      </c>
      <c r="R2794">
        <v>0.99561147349895596</v>
      </c>
      <c r="S2794" t="s">
        <v>8345</v>
      </c>
      <c r="T2794" t="s">
        <v>11100</v>
      </c>
      <c r="U2794" t="s">
        <v>11100</v>
      </c>
      <c r="V2794" t="s">
        <v>11100</v>
      </c>
      <c r="W2794" t="s">
        <v>13851</v>
      </c>
      <c r="X2794">
        <v>12</v>
      </c>
      <c r="Y2794" t="s">
        <v>19305</v>
      </c>
      <c r="Z2794" t="s">
        <v>24799</v>
      </c>
      <c r="AA2794">
        <v>0.60729504648838939</v>
      </c>
      <c r="AB2794" t="str">
        <f>HYPERLINK("Melting_Curves/meltCurve_Q07960_ARHGAP1.pdf", "Melting_Curves/meltCurve_Q07960_ARHGAP1.pdf")</f>
        <v>Melting_Curves/meltCurve_Q07960_ARHGAP1.pdf</v>
      </c>
    </row>
    <row r="2795" spans="1:28" x14ac:dyDescent="0.25">
      <c r="A2795" t="s">
        <v>2799</v>
      </c>
      <c r="B2795">
        <v>0.99299721793515405</v>
      </c>
      <c r="C2795">
        <v>1.04077818865678</v>
      </c>
      <c r="D2795">
        <v>0.96341809425602698</v>
      </c>
      <c r="E2795">
        <v>0.91089327065917602</v>
      </c>
      <c r="F2795">
        <v>0.82905690342347904</v>
      </c>
      <c r="G2795">
        <v>0.72269975861331703</v>
      </c>
      <c r="H2795">
        <v>0.651318077587279</v>
      </c>
      <c r="I2795">
        <v>0.48316796968445702</v>
      </c>
      <c r="J2795">
        <v>0.19577048026652</v>
      </c>
      <c r="K2795">
        <v>0.15089434393160001</v>
      </c>
      <c r="L2795">
        <v>689.20405256838899</v>
      </c>
      <c r="M2795">
        <v>11.6953527824639</v>
      </c>
      <c r="N2795">
        <v>58.929736110260698</v>
      </c>
      <c r="O2795">
        <v>57.285953127565001</v>
      </c>
      <c r="P2795">
        <v>-5.1052948436377497E-2</v>
      </c>
      <c r="Q2795">
        <v>0</v>
      </c>
      <c r="R2795">
        <v>0.96810217916713903</v>
      </c>
      <c r="S2795" t="s">
        <v>8346</v>
      </c>
      <c r="T2795" t="s">
        <v>11100</v>
      </c>
      <c r="U2795" t="s">
        <v>11100</v>
      </c>
      <c r="V2795" t="s">
        <v>11100</v>
      </c>
      <c r="W2795" t="s">
        <v>13852</v>
      </c>
      <c r="X2795">
        <v>18</v>
      </c>
      <c r="Y2795" t="s">
        <v>19306</v>
      </c>
      <c r="Z2795" t="s">
        <v>24800</v>
      </c>
      <c r="AA2795">
        <v>0.72213735831855963</v>
      </c>
      <c r="AB2795" t="str">
        <f>HYPERLINK("Melting_Curves/meltCurve_Q08209_2_PPP3CA.pdf", "Melting_Curves/meltCurve_Q08209_2_PPP3CA.pdf")</f>
        <v>Melting_Curves/meltCurve_Q08209_2_PPP3CA.pdf</v>
      </c>
    </row>
    <row r="2796" spans="1:28" x14ac:dyDescent="0.25">
      <c r="A2796" t="s">
        <v>2800</v>
      </c>
      <c r="B2796">
        <v>0.99299721793515405</v>
      </c>
      <c r="C2796">
        <v>1.07287889496212</v>
      </c>
      <c r="D2796">
        <v>1.00149898165498</v>
      </c>
      <c r="E2796">
        <v>0.90747532509272699</v>
      </c>
      <c r="F2796">
        <v>0.80240115615539898</v>
      </c>
      <c r="G2796">
        <v>0.84105379948953596</v>
      </c>
      <c r="H2796">
        <v>0.66752461560493503</v>
      </c>
      <c r="I2796">
        <v>0.405761943022106</v>
      </c>
      <c r="J2796">
        <v>0.137676192821092</v>
      </c>
      <c r="K2796">
        <v>0.11440981803083999</v>
      </c>
      <c r="L2796">
        <v>951.05670064158699</v>
      </c>
      <c r="M2796">
        <v>16.117226874079101</v>
      </c>
      <c r="N2796">
        <v>59.008706431153399</v>
      </c>
      <c r="O2796">
        <v>58.122709787803899</v>
      </c>
      <c r="P2796">
        <v>-6.9329420988548093E-2</v>
      </c>
      <c r="Q2796">
        <v>0</v>
      </c>
      <c r="R2796">
        <v>0.96220722216649601</v>
      </c>
      <c r="S2796" t="s">
        <v>8347</v>
      </c>
      <c r="T2796" t="s">
        <v>11100</v>
      </c>
      <c r="U2796" t="s">
        <v>11100</v>
      </c>
      <c r="V2796" t="s">
        <v>11100</v>
      </c>
      <c r="W2796" t="s">
        <v>13853</v>
      </c>
      <c r="X2796">
        <v>15</v>
      </c>
      <c r="Y2796" t="s">
        <v>19307</v>
      </c>
      <c r="Z2796" t="s">
        <v>24801</v>
      </c>
      <c r="AA2796">
        <v>0.73447300795392556</v>
      </c>
      <c r="AB2796" t="str">
        <f>HYPERLINK("Melting_Curves/meltCurve_Q08257_CRYZ.pdf", "Melting_Curves/meltCurve_Q08257_CRYZ.pdf")</f>
        <v>Melting_Curves/meltCurve_Q08257_CRYZ.pdf</v>
      </c>
    </row>
    <row r="2797" spans="1:28" x14ac:dyDescent="0.25">
      <c r="A2797" t="s">
        <v>2801</v>
      </c>
      <c r="B2797">
        <v>0.99299721793515405</v>
      </c>
      <c r="C2797">
        <v>0.88583638996027203</v>
      </c>
      <c r="D2797">
        <v>0.99475578600473702</v>
      </c>
      <c r="E2797">
        <v>0.70651921615867697</v>
      </c>
      <c r="F2797">
        <v>0.73940730792114095</v>
      </c>
      <c r="G2797">
        <v>0.547983370703092</v>
      </c>
      <c r="H2797">
        <v>0.48025467420364898</v>
      </c>
      <c r="I2797">
        <v>0.30970358382951602</v>
      </c>
      <c r="J2797">
        <v>0.24912203348666001</v>
      </c>
      <c r="K2797">
        <v>0.182071536942639</v>
      </c>
      <c r="L2797">
        <v>431.78179679736502</v>
      </c>
      <c r="M2797">
        <v>7.7980109675901002</v>
      </c>
      <c r="N2797">
        <v>55.370760817649</v>
      </c>
      <c r="O2797">
        <v>52.083341785055502</v>
      </c>
      <c r="P2797">
        <v>-3.7477016186751901E-2</v>
      </c>
      <c r="Q2797">
        <v>0</v>
      </c>
      <c r="R2797">
        <v>0.96344253991312301</v>
      </c>
      <c r="S2797" t="s">
        <v>8348</v>
      </c>
      <c r="T2797" t="s">
        <v>11100</v>
      </c>
      <c r="U2797" t="s">
        <v>11100</v>
      </c>
      <c r="V2797" t="s">
        <v>11100</v>
      </c>
      <c r="W2797" t="s">
        <v>13854</v>
      </c>
      <c r="X2797">
        <v>7</v>
      </c>
      <c r="Y2797" t="s">
        <v>19308</v>
      </c>
      <c r="Z2797" t="s">
        <v>24802</v>
      </c>
      <c r="AA2797">
        <v>0.6151340853534174</v>
      </c>
      <c r="AB2797" t="str">
        <f>HYPERLINK("Melting_Curves/meltCurve_Q08289_6_CACNB2.pdf", "Melting_Curves/meltCurve_Q08289_6_CACNB2.pdf")</f>
        <v>Melting_Curves/meltCurve_Q08289_6_CACNB2.pdf</v>
      </c>
    </row>
    <row r="2798" spans="1:28" x14ac:dyDescent="0.25">
      <c r="A2798" t="s">
        <v>2802</v>
      </c>
      <c r="B2798">
        <v>0.99299721793515405</v>
      </c>
      <c r="C2798">
        <v>0.87960468698892702</v>
      </c>
      <c r="D2798">
        <v>0.82137627331795704</v>
      </c>
      <c r="E2798">
        <v>0.93371789260173699</v>
      </c>
      <c r="F2798">
        <v>0.76943101801029801</v>
      </c>
      <c r="G2798">
        <v>0.42974261917420398</v>
      </c>
      <c r="H2798">
        <v>0.55879994526636501</v>
      </c>
      <c r="I2798">
        <v>0.72844541660625095</v>
      </c>
      <c r="J2798">
        <v>0.856968445954986</v>
      </c>
      <c r="K2798">
        <v>0.68588446049663998</v>
      </c>
      <c r="L2798">
        <v>595.76869140932399</v>
      </c>
      <c r="M2798">
        <v>13.436281027999399</v>
      </c>
      <c r="O2798">
        <v>43.3926777127134</v>
      </c>
      <c r="P2798">
        <v>-2.5814659458628601E-2</v>
      </c>
      <c r="Q2798">
        <v>0.66657647096576</v>
      </c>
      <c r="R2798">
        <v>0.42369349286883401</v>
      </c>
      <c r="S2798" t="s">
        <v>8349</v>
      </c>
      <c r="T2798" t="s">
        <v>11100</v>
      </c>
      <c r="U2798" t="s">
        <v>11100</v>
      </c>
      <c r="V2798" t="s">
        <v>11100</v>
      </c>
      <c r="W2798" t="s">
        <v>13855</v>
      </c>
      <c r="X2798">
        <v>4</v>
      </c>
      <c r="Y2798" t="s">
        <v>19309</v>
      </c>
      <c r="Z2798" t="s">
        <v>24803</v>
      </c>
      <c r="AA2798">
        <v>0.7583191487067924</v>
      </c>
      <c r="AB2798" t="str">
        <f>HYPERLINK("Melting_Curves/meltCurve_Q08357_SLC20A2.pdf", "Melting_Curves/meltCurve_Q08357_SLC20A2.pdf")</f>
        <v>Melting_Curves/meltCurve_Q08357_SLC20A2.pdf</v>
      </c>
    </row>
    <row r="2799" spans="1:28" x14ac:dyDescent="0.25">
      <c r="A2799" t="s">
        <v>2803</v>
      </c>
      <c r="B2799">
        <v>0.99299721793515405</v>
      </c>
      <c r="C2799">
        <v>0.93157768881541703</v>
      </c>
      <c r="D2799">
        <v>0.77832077756156504</v>
      </c>
      <c r="E2799">
        <v>0.76872315196297003</v>
      </c>
      <c r="F2799">
        <v>0.69310392350980898</v>
      </c>
      <c r="G2799">
        <v>0.76074581089271198</v>
      </c>
      <c r="H2799">
        <v>0.80271800382518499</v>
      </c>
      <c r="I2799">
        <v>0.57011161992888404</v>
      </c>
      <c r="J2799">
        <v>0.41835071377070998</v>
      </c>
      <c r="K2799">
        <v>0.290575068970019</v>
      </c>
      <c r="L2799">
        <v>288.62902978671798</v>
      </c>
      <c r="M2799">
        <v>4.6143546537285598</v>
      </c>
      <c r="N2799">
        <v>62.550243220170998</v>
      </c>
      <c r="O2799">
        <v>53.5177104523518</v>
      </c>
      <c r="P2799">
        <v>-2.1728640395314601E-2</v>
      </c>
      <c r="Q2799">
        <v>0</v>
      </c>
      <c r="R2799">
        <v>0.788391437663434</v>
      </c>
      <c r="S2799" t="s">
        <v>8350</v>
      </c>
      <c r="T2799" t="s">
        <v>11100</v>
      </c>
      <c r="U2799" t="s">
        <v>11100</v>
      </c>
      <c r="V2799" t="s">
        <v>11100</v>
      </c>
      <c r="W2799" t="s">
        <v>13856</v>
      </c>
      <c r="X2799">
        <v>9</v>
      </c>
      <c r="Y2799" t="s">
        <v>19310</v>
      </c>
      <c r="Z2799" t="s">
        <v>24804</v>
      </c>
      <c r="AA2799">
        <v>0.71020646719377167</v>
      </c>
      <c r="AB2799" t="str">
        <f>HYPERLINK("Melting_Curves/meltCurve_Q08378_2_GOLGA3.pdf", "Melting_Curves/meltCurve_Q08378_2_GOLGA3.pdf")</f>
        <v>Melting_Curves/meltCurve_Q08378_2_GOLGA3.pdf</v>
      </c>
    </row>
    <row r="2800" spans="1:28" x14ac:dyDescent="0.25">
      <c r="A2800" t="s">
        <v>2804</v>
      </c>
      <c r="B2800">
        <v>0.99299721793515405</v>
      </c>
      <c r="C2800">
        <v>1.0071112807364999</v>
      </c>
      <c r="D2800">
        <v>1.2132226185608099</v>
      </c>
      <c r="E2800">
        <v>0.91350187145245698</v>
      </c>
      <c r="F2800">
        <v>0.68737199456120401</v>
      </c>
      <c r="G2800">
        <v>0.47475864920161898</v>
      </c>
      <c r="H2800">
        <v>0.240865377517402</v>
      </c>
      <c r="I2800">
        <v>0.209264498523791</v>
      </c>
      <c r="J2800">
        <v>0.172157963494463</v>
      </c>
      <c r="K2800">
        <v>0.14595310442835499</v>
      </c>
      <c r="L2800">
        <v>1071.4405785758499</v>
      </c>
      <c r="M2800">
        <v>20.600414982128601</v>
      </c>
      <c r="N2800">
        <v>52.951130257294402</v>
      </c>
      <c r="O2800">
        <v>51.527967884151501</v>
      </c>
      <c r="P2800">
        <v>-8.46368988787711E-2</v>
      </c>
      <c r="Q2800">
        <v>0.153213005443883</v>
      </c>
      <c r="R2800">
        <v>0.96329884385091902</v>
      </c>
      <c r="S2800" t="s">
        <v>8351</v>
      </c>
      <c r="T2800" t="s">
        <v>11100</v>
      </c>
      <c r="U2800" t="s">
        <v>11100</v>
      </c>
      <c r="V2800" t="s">
        <v>11100</v>
      </c>
      <c r="W2800" t="s">
        <v>13857</v>
      </c>
      <c r="X2800">
        <v>11</v>
      </c>
      <c r="Y2800" t="s">
        <v>19311</v>
      </c>
      <c r="Z2800" t="s">
        <v>24805</v>
      </c>
      <c r="AA2800">
        <v>0.58734009956763777</v>
      </c>
      <c r="AB2800" t="str">
        <f>HYPERLINK("Melting_Curves/meltCurve_Q08379_GOLGA2.pdf", "Melting_Curves/meltCurve_Q08379_GOLGA2.pdf")</f>
        <v>Melting_Curves/meltCurve_Q08379_GOLGA2.pdf</v>
      </c>
    </row>
    <row r="2801" spans="1:28" x14ac:dyDescent="0.25">
      <c r="A2801" t="s">
        <v>2805</v>
      </c>
      <c r="B2801">
        <v>0.99299721793515405</v>
      </c>
      <c r="C2801">
        <v>0.819242429819382</v>
      </c>
      <c r="D2801">
        <v>1.2784610920213699</v>
      </c>
      <c r="E2801">
        <v>0.919110469266749</v>
      </c>
      <c r="F2801">
        <v>0.97928349102476098</v>
      </c>
      <c r="G2801">
        <v>0.53932881545074496</v>
      </c>
      <c r="H2801">
        <v>0.31449290692065501</v>
      </c>
      <c r="I2801">
        <v>0.28968551893878602</v>
      </c>
      <c r="J2801">
        <v>0.312422937574311</v>
      </c>
      <c r="K2801">
        <v>0.207810790329996</v>
      </c>
      <c r="L2801">
        <v>2634.50448665145</v>
      </c>
      <c r="M2801">
        <v>49.495797889187699</v>
      </c>
      <c r="N2801">
        <v>54.100333273527298</v>
      </c>
      <c r="O2801">
        <v>53.140160365618598</v>
      </c>
      <c r="P2801">
        <v>-0.16878512077784599</v>
      </c>
      <c r="Q2801">
        <v>0.27514974504878198</v>
      </c>
      <c r="R2801">
        <v>0.90386854919008197</v>
      </c>
      <c r="S2801" t="s">
        <v>8352</v>
      </c>
      <c r="T2801" t="s">
        <v>11100</v>
      </c>
      <c r="U2801" t="s">
        <v>11100</v>
      </c>
      <c r="V2801" t="s">
        <v>11100</v>
      </c>
      <c r="W2801" t="s">
        <v>13858</v>
      </c>
      <c r="X2801">
        <v>9</v>
      </c>
      <c r="Y2801" t="s">
        <v>19312</v>
      </c>
      <c r="Z2801" t="s">
        <v>24806</v>
      </c>
      <c r="AA2801">
        <v>0.66895241339470179</v>
      </c>
      <c r="AB2801" t="str">
        <f>HYPERLINK("Melting_Curves/meltCurve_Q08426_EHHADH.pdf", "Melting_Curves/meltCurve_Q08426_EHHADH.pdf")</f>
        <v>Melting_Curves/meltCurve_Q08426_EHHADH.pdf</v>
      </c>
    </row>
    <row r="2802" spans="1:28" x14ac:dyDescent="0.25">
      <c r="A2802" t="s">
        <v>2806</v>
      </c>
      <c r="B2802">
        <v>0.99299721793515405</v>
      </c>
      <c r="C2802">
        <v>1.02444375174117</v>
      </c>
      <c r="D2802">
        <v>0.921920436592084</v>
      </c>
      <c r="E2802">
        <v>0.92578554032258797</v>
      </c>
      <c r="F2802">
        <v>0.87880142696403496</v>
      </c>
      <c r="G2802">
        <v>0.816346896272242</v>
      </c>
      <c r="H2802">
        <v>0.64570452373918297</v>
      </c>
      <c r="I2802">
        <v>0.59928018939391103</v>
      </c>
      <c r="J2802">
        <v>0.73635980963781</v>
      </c>
      <c r="K2802">
        <v>0.60273196201447599</v>
      </c>
      <c r="L2802">
        <v>705.33614820196897</v>
      </c>
      <c r="M2802">
        <v>13.4476702827604</v>
      </c>
      <c r="O2802">
        <v>51.331313898091103</v>
      </c>
      <c r="P2802">
        <v>-2.57099914772424E-2</v>
      </c>
      <c r="Q2802">
        <v>0.60750872219337304</v>
      </c>
      <c r="R2802">
        <v>0.89677406611505694</v>
      </c>
      <c r="S2802" t="s">
        <v>8353</v>
      </c>
      <c r="T2802" t="s">
        <v>11100</v>
      </c>
      <c r="U2802" t="s">
        <v>11100</v>
      </c>
      <c r="V2802" t="s">
        <v>11100</v>
      </c>
      <c r="W2802" t="s">
        <v>13859</v>
      </c>
      <c r="X2802">
        <v>2</v>
      </c>
      <c r="Y2802" t="s">
        <v>19313</v>
      </c>
      <c r="Z2802" t="s">
        <v>24807</v>
      </c>
      <c r="AA2802">
        <v>0.81776728878003668</v>
      </c>
      <c r="AB2802" t="str">
        <f>HYPERLINK("Melting_Curves/meltCurve_Q08722_2_CD47.pdf", "Melting_Curves/meltCurve_Q08722_2_CD47.pdf")</f>
        <v>Melting_Curves/meltCurve_Q08722_2_CD47.pdf</v>
      </c>
    </row>
    <row r="2803" spans="1:28" x14ac:dyDescent="0.25">
      <c r="A2803" t="s">
        <v>2807</v>
      </c>
      <c r="B2803">
        <v>0.99299721793515405</v>
      </c>
      <c r="C2803">
        <v>1.05359797257134</v>
      </c>
      <c r="D2803">
        <v>1.0884519798179899</v>
      </c>
      <c r="E2803">
        <v>0.99058684129334496</v>
      </c>
      <c r="F2803">
        <v>0.64828534722125897</v>
      </c>
      <c r="G2803">
        <v>0.210375161969624</v>
      </c>
      <c r="H2803">
        <v>0.15513966844712501</v>
      </c>
      <c r="I2803">
        <v>0.134228975864182</v>
      </c>
      <c r="J2803">
        <v>0.12554896184412201</v>
      </c>
      <c r="K2803">
        <v>9.8163919568809294E-2</v>
      </c>
      <c r="L2803">
        <v>2026.23888403968</v>
      </c>
      <c r="M2803">
        <v>39.948992378142997</v>
      </c>
      <c r="N2803">
        <v>51.093111713735503</v>
      </c>
      <c r="O2803">
        <v>50.594053614780897</v>
      </c>
      <c r="P2803">
        <v>-0.17246315677148399</v>
      </c>
      <c r="Q2803">
        <v>0.12632669895152401</v>
      </c>
      <c r="R2803">
        <v>0.99300349893066597</v>
      </c>
      <c r="S2803" t="s">
        <v>8354</v>
      </c>
      <c r="T2803" t="s">
        <v>11100</v>
      </c>
      <c r="U2803" t="s">
        <v>11100</v>
      </c>
      <c r="V2803" t="s">
        <v>11100</v>
      </c>
      <c r="W2803" t="s">
        <v>13860</v>
      </c>
      <c r="X2803">
        <v>17</v>
      </c>
      <c r="Y2803" t="s">
        <v>19314</v>
      </c>
      <c r="Z2803" t="s">
        <v>24808</v>
      </c>
      <c r="AA2803">
        <v>0.52897320173303664</v>
      </c>
      <c r="AB2803" t="str">
        <f>HYPERLINK("Melting_Curves/meltCurve_Q08752_PPID.pdf", "Melting_Curves/meltCurve_Q08752_PPID.pdf")</f>
        <v>Melting_Curves/meltCurve_Q08752_PPID.pdf</v>
      </c>
    </row>
    <row r="2804" spans="1:28" x14ac:dyDescent="0.25">
      <c r="A2804" t="s">
        <v>2808</v>
      </c>
      <c r="B2804">
        <v>0.99299721793515405</v>
      </c>
      <c r="C2804">
        <v>0.97713089759694305</v>
      </c>
      <c r="D2804">
        <v>0.92700397818520397</v>
      </c>
      <c r="E2804">
        <v>0.81528694131129498</v>
      </c>
      <c r="F2804">
        <v>0.62733800771003001</v>
      </c>
      <c r="G2804">
        <v>0.68401668203662702</v>
      </c>
      <c r="H2804">
        <v>0.46029457125913198</v>
      </c>
      <c r="I2804">
        <v>0.34950096227797101</v>
      </c>
      <c r="J2804">
        <v>0.23458745606547601</v>
      </c>
      <c r="K2804">
        <v>0.17998403296961599</v>
      </c>
      <c r="L2804">
        <v>453.28144301135802</v>
      </c>
      <c r="M2804">
        <v>8.0994146536912393</v>
      </c>
      <c r="N2804">
        <v>55.964716251117302</v>
      </c>
      <c r="O2804">
        <v>52.862950920864797</v>
      </c>
      <c r="P2804">
        <v>-3.83451999374212E-2</v>
      </c>
      <c r="Q2804">
        <v>0</v>
      </c>
      <c r="R2804">
        <v>0.97471215755295104</v>
      </c>
      <c r="S2804" t="s">
        <v>8355</v>
      </c>
      <c r="T2804" t="s">
        <v>11100</v>
      </c>
      <c r="U2804" t="s">
        <v>11100</v>
      </c>
      <c r="V2804" t="s">
        <v>11100</v>
      </c>
      <c r="W2804" t="s">
        <v>13861</v>
      </c>
      <c r="X2804">
        <v>4</v>
      </c>
      <c r="Y2804" t="s">
        <v>19315</v>
      </c>
      <c r="Z2804" t="s">
        <v>24809</v>
      </c>
      <c r="AA2804">
        <v>0.63126696476139788</v>
      </c>
      <c r="AB2804" t="str">
        <f>HYPERLINK("Melting_Curves/meltCurve_Q08945_SSRP1.pdf", "Melting_Curves/meltCurve_Q08945_SSRP1.pdf")</f>
        <v>Melting_Curves/meltCurve_Q08945_SSRP1.pdf</v>
      </c>
    </row>
    <row r="2805" spans="1:28" x14ac:dyDescent="0.25">
      <c r="A2805" t="s">
        <v>2809</v>
      </c>
      <c r="B2805">
        <v>0.99299721793515405</v>
      </c>
      <c r="C2805">
        <v>0.83647233255530995</v>
      </c>
      <c r="D2805">
        <v>1.0805971271209101</v>
      </c>
      <c r="E2805">
        <v>0.71334676732920599</v>
      </c>
      <c r="F2805">
        <v>0.83999559792159595</v>
      </c>
      <c r="G2805">
        <v>0.58752984898145599</v>
      </c>
      <c r="H2805">
        <v>0.19948549743960001</v>
      </c>
      <c r="I2805">
        <v>0.184185117406923</v>
      </c>
      <c r="J2805">
        <v>9.7614956654263799E-2</v>
      </c>
      <c r="K2805">
        <v>7.8819958535030404E-2</v>
      </c>
      <c r="L2805">
        <v>762.73348341566202</v>
      </c>
      <c r="M2805">
        <v>14.1036027032861</v>
      </c>
      <c r="N2805">
        <v>54.080755104356903</v>
      </c>
      <c r="O2805">
        <v>53.028319341146101</v>
      </c>
      <c r="P2805">
        <v>-6.6499448723554205E-2</v>
      </c>
      <c r="Q2805">
        <v>0</v>
      </c>
      <c r="R2805">
        <v>0.927459757522203</v>
      </c>
      <c r="S2805" t="s">
        <v>8356</v>
      </c>
      <c r="T2805" t="s">
        <v>11100</v>
      </c>
      <c r="U2805" t="s">
        <v>11100</v>
      </c>
      <c r="V2805" t="s">
        <v>11100</v>
      </c>
      <c r="W2805" t="s">
        <v>13862</v>
      </c>
      <c r="X2805">
        <v>3</v>
      </c>
      <c r="Y2805" t="s">
        <v>19316</v>
      </c>
      <c r="Z2805" t="s">
        <v>24810</v>
      </c>
      <c r="AA2805">
        <v>0.58603372337430504</v>
      </c>
      <c r="AB2805" t="str">
        <f>HYPERLINK("Melting_Curves/meltCurve_Q08AD1_2_CAMSAP2.pdf", "Melting_Curves/meltCurve_Q08AD1_2_CAMSAP2.pdf")</f>
        <v>Melting_Curves/meltCurve_Q08AD1_2_CAMSAP2.pdf</v>
      </c>
    </row>
    <row r="2806" spans="1:28" x14ac:dyDescent="0.25">
      <c r="A2806" t="s">
        <v>2810</v>
      </c>
      <c r="B2806">
        <v>0.99299721793515405</v>
      </c>
      <c r="C2806">
        <v>0.98845627941514003</v>
      </c>
      <c r="D2806">
        <v>1.012197460955</v>
      </c>
      <c r="E2806">
        <v>0.76072995958932998</v>
      </c>
      <c r="F2806">
        <v>0.66962192794238795</v>
      </c>
      <c r="G2806">
        <v>0.16736231120203299</v>
      </c>
      <c r="H2806">
        <v>0.137849782881657</v>
      </c>
      <c r="I2806">
        <v>9.4662797669761697E-2</v>
      </c>
      <c r="J2806">
        <v>6.9642150570721401E-2</v>
      </c>
      <c r="K2806">
        <v>4.1040155208462201E-2</v>
      </c>
      <c r="L2806">
        <v>1048.24972655242</v>
      </c>
      <c r="M2806">
        <v>20.710863438132399</v>
      </c>
      <c r="N2806">
        <v>50.847299202654298</v>
      </c>
      <c r="O2806">
        <v>50.148741080881301</v>
      </c>
      <c r="P2806">
        <v>-9.8561305681315603E-2</v>
      </c>
      <c r="Q2806">
        <v>4.5412032763377803E-2</v>
      </c>
      <c r="R2806">
        <v>0.97988126353129101</v>
      </c>
      <c r="S2806" t="s">
        <v>8357</v>
      </c>
      <c r="T2806" t="s">
        <v>11100</v>
      </c>
      <c r="U2806" t="s">
        <v>11100</v>
      </c>
      <c r="V2806" t="s">
        <v>11100</v>
      </c>
      <c r="W2806" t="s">
        <v>13863</v>
      </c>
      <c r="X2806">
        <v>1</v>
      </c>
      <c r="Y2806" t="s">
        <v>19317</v>
      </c>
      <c r="Z2806" t="s">
        <v>24811</v>
      </c>
      <c r="AA2806">
        <v>0.49039534622624892</v>
      </c>
      <c r="AB2806" t="str">
        <f>HYPERLINK("Melting_Curves/meltCurve_Q08AE8_2_SPIRE1.pdf", "Melting_Curves/meltCurve_Q08AE8_2_SPIRE1.pdf")</f>
        <v>Melting_Curves/meltCurve_Q08AE8_2_SPIRE1.pdf</v>
      </c>
    </row>
    <row r="2807" spans="1:28" x14ac:dyDescent="0.25">
      <c r="A2807" t="s">
        <v>2811</v>
      </c>
      <c r="B2807">
        <v>0.99299721793515405</v>
      </c>
      <c r="C2807">
        <v>0.93929610724326096</v>
      </c>
      <c r="D2807">
        <v>0.87151879035051205</v>
      </c>
      <c r="E2807">
        <v>0.90886094001373496</v>
      </c>
      <c r="F2807">
        <v>0.81280405125895305</v>
      </c>
      <c r="G2807">
        <v>0.478734776174492</v>
      </c>
      <c r="H2807">
        <v>0.74857547689512605</v>
      </c>
      <c r="I2807">
        <v>1.0996077188700999</v>
      </c>
      <c r="J2807">
        <v>1.18814252926653</v>
      </c>
      <c r="K2807">
        <v>0.92614822054261303</v>
      </c>
      <c r="L2807">
        <v>1.0000000000000001E-5</v>
      </c>
      <c r="M2807">
        <v>1.0000000000000001E-5</v>
      </c>
      <c r="Q2807">
        <v>0.79333817880522495</v>
      </c>
      <c r="R2807">
        <v>-1.0748082424072401E-9</v>
      </c>
      <c r="S2807" t="s">
        <v>8358</v>
      </c>
      <c r="T2807" t="s">
        <v>11100</v>
      </c>
      <c r="U2807" t="s">
        <v>11100</v>
      </c>
      <c r="V2807" t="s">
        <v>11100</v>
      </c>
      <c r="W2807" t="s">
        <v>13864</v>
      </c>
      <c r="X2807">
        <v>5</v>
      </c>
      <c r="Y2807" t="s">
        <v>19318</v>
      </c>
      <c r="Z2807" t="s">
        <v>24812</v>
      </c>
      <c r="AA2807">
        <v>0.89666858297393981</v>
      </c>
      <c r="AB2807" t="str">
        <f>HYPERLINK("Melting_Curves/meltCurve_Q08AG7_MZT1.pdf", "Melting_Curves/meltCurve_Q08AG7_MZT1.pdf")</f>
        <v>Melting_Curves/meltCurve_Q08AG7_MZT1.pdf</v>
      </c>
    </row>
    <row r="2808" spans="1:28" x14ac:dyDescent="0.25">
      <c r="A2808" t="s">
        <v>2812</v>
      </c>
      <c r="B2808">
        <v>0.99299721793515405</v>
      </c>
      <c r="C2808">
        <v>0.97761214983963396</v>
      </c>
      <c r="D2808">
        <v>0.86181204761915697</v>
      </c>
      <c r="E2808">
        <v>0.88965729934062698</v>
      </c>
      <c r="F2808">
        <v>0.94988616790389802</v>
      </c>
      <c r="G2808">
        <v>1.43552447632154</v>
      </c>
      <c r="H2808">
        <v>1.5613055466318599</v>
      </c>
      <c r="I2808">
        <v>0.54543548650628104</v>
      </c>
      <c r="J2808">
        <v>0.426379697862106</v>
      </c>
      <c r="K2808">
        <v>0.23039093276342501</v>
      </c>
      <c r="L2808">
        <v>14796.677373654</v>
      </c>
      <c r="M2808">
        <v>243.30766131605401</v>
      </c>
      <c r="N2808">
        <v>61.083127727106003</v>
      </c>
      <c r="O2808">
        <v>60.810570562626097</v>
      </c>
      <c r="P2808">
        <v>-0.67179757924083305</v>
      </c>
      <c r="Q2808">
        <v>0.32838294101758397</v>
      </c>
      <c r="R2808">
        <v>0.63737932864804903</v>
      </c>
      <c r="S2808" t="s">
        <v>8359</v>
      </c>
      <c r="T2808" t="s">
        <v>11100</v>
      </c>
      <c r="U2808" t="s">
        <v>11100</v>
      </c>
      <c r="V2808" t="s">
        <v>11100</v>
      </c>
      <c r="W2808" t="s">
        <v>13865</v>
      </c>
      <c r="X2808">
        <v>4</v>
      </c>
      <c r="Y2808" t="s">
        <v>19319</v>
      </c>
      <c r="Z2808" t="s">
        <v>24813</v>
      </c>
      <c r="AA2808">
        <v>0.86160344751702467</v>
      </c>
      <c r="AB2808" t="str">
        <f>HYPERLINK("Melting_Curves/meltCurve_Q08AM6_VAC14.pdf", "Melting_Curves/meltCurve_Q08AM6_VAC14.pdf")</f>
        <v>Melting_Curves/meltCurve_Q08AM6_VAC14.pdf</v>
      </c>
    </row>
    <row r="2809" spans="1:28" x14ac:dyDescent="0.25">
      <c r="A2809" t="s">
        <v>2813</v>
      </c>
      <c r="B2809">
        <v>0.99299721793515405</v>
      </c>
      <c r="C2809">
        <v>1.0008221791932901</v>
      </c>
      <c r="D2809">
        <v>0.70766651400848701</v>
      </c>
      <c r="E2809">
        <v>0.75075991452756996</v>
      </c>
      <c r="F2809">
        <v>0.62124909386959803</v>
      </c>
      <c r="G2809">
        <v>0.32918523102376401</v>
      </c>
      <c r="H2809">
        <v>0.23893878585349901</v>
      </c>
      <c r="I2809">
        <v>0.13646407230955199</v>
      </c>
      <c r="J2809">
        <v>0.17303108673377701</v>
      </c>
      <c r="K2809">
        <v>0.118081694072478</v>
      </c>
      <c r="L2809">
        <v>489.59082671179198</v>
      </c>
      <c r="M2809">
        <v>9.6411835951071492</v>
      </c>
      <c r="N2809">
        <v>50.963333064943498</v>
      </c>
      <c r="O2809">
        <v>48.740767565494899</v>
      </c>
      <c r="P2809">
        <v>-4.86410595998528E-2</v>
      </c>
      <c r="Q2809">
        <v>1.6934965972691701E-2</v>
      </c>
      <c r="R2809">
        <v>0.96186212659562598</v>
      </c>
      <c r="S2809" t="s">
        <v>8360</v>
      </c>
      <c r="T2809" t="s">
        <v>11100</v>
      </c>
      <c r="U2809" t="s">
        <v>11100</v>
      </c>
      <c r="V2809" t="s">
        <v>11100</v>
      </c>
      <c r="W2809" t="s">
        <v>13866</v>
      </c>
      <c r="X2809">
        <v>1</v>
      </c>
      <c r="Y2809" t="s">
        <v>19320</v>
      </c>
      <c r="Z2809" t="s">
        <v>24814</v>
      </c>
      <c r="AA2809">
        <v>0.50013303554033639</v>
      </c>
      <c r="AB2809" t="str">
        <f>HYPERLINK("Melting_Curves/meltCurve_Q08E86_KIAA0100.pdf", "Melting_Curves/meltCurve_Q08E86_KIAA0100.pdf")</f>
        <v>Melting_Curves/meltCurve_Q08E86_KIAA0100.pdf</v>
      </c>
    </row>
    <row r="2810" spans="1:28" x14ac:dyDescent="0.25">
      <c r="A2810" t="s">
        <v>2814</v>
      </c>
      <c r="B2810">
        <v>0.99299721793515405</v>
      </c>
      <c r="C2810">
        <v>1.0142287594942401</v>
      </c>
      <c r="D2810">
        <v>0.92758802514433902</v>
      </c>
      <c r="E2810">
        <v>0.86834352277910498</v>
      </c>
      <c r="F2810">
        <v>0.70852440570255404</v>
      </c>
      <c r="G2810">
        <v>0.50968763478517698</v>
      </c>
      <c r="H2810">
        <v>0.296932585120808</v>
      </c>
      <c r="I2810">
        <v>0.17957148354240801</v>
      </c>
      <c r="J2810">
        <v>0.13733522968447001</v>
      </c>
      <c r="K2810">
        <v>0.102079161444463</v>
      </c>
      <c r="L2810">
        <v>687.05483787477397</v>
      </c>
      <c r="M2810">
        <v>12.8587802172033</v>
      </c>
      <c r="N2810">
        <v>53.675157662821597</v>
      </c>
      <c r="O2810">
        <v>52.188057900903502</v>
      </c>
      <c r="P2810">
        <v>-5.98580790191406E-2</v>
      </c>
      <c r="Q2810">
        <v>2.84303965106616E-2</v>
      </c>
      <c r="R2810">
        <v>0.99802272683726201</v>
      </c>
      <c r="S2810" t="s">
        <v>8361</v>
      </c>
      <c r="T2810" t="s">
        <v>11100</v>
      </c>
      <c r="U2810" t="s">
        <v>11100</v>
      </c>
      <c r="V2810" t="s">
        <v>11100</v>
      </c>
      <c r="W2810" t="s">
        <v>13867</v>
      </c>
      <c r="X2810">
        <v>39</v>
      </c>
      <c r="Y2810" t="s">
        <v>19321</v>
      </c>
      <c r="Z2810" t="s">
        <v>24815</v>
      </c>
      <c r="AA2810">
        <v>0.57916499314171155</v>
      </c>
      <c r="AB2810" t="str">
        <f>HYPERLINK("Melting_Curves/meltCurve_Q08J23_NSUN2.pdf", "Melting_Curves/meltCurve_Q08J23_NSUN2.pdf")</f>
        <v>Melting_Curves/meltCurve_Q08J23_NSUN2.pdf</v>
      </c>
    </row>
    <row r="2811" spans="1:28" x14ac:dyDescent="0.25">
      <c r="A2811" t="s">
        <v>2815</v>
      </c>
      <c r="B2811">
        <v>0.99299721793515405</v>
      </c>
      <c r="C2811">
        <v>0.94599015648343099</v>
      </c>
      <c r="D2811">
        <v>0.83867495156821203</v>
      </c>
      <c r="E2811">
        <v>0.804336866901328</v>
      </c>
      <c r="F2811">
        <v>0.76588434023294605</v>
      </c>
      <c r="G2811">
        <v>0.65133981727336299</v>
      </c>
      <c r="H2811">
        <v>0.75585946015060501</v>
      </c>
      <c r="I2811">
        <v>0.73446116084931401</v>
      </c>
      <c r="J2811">
        <v>0.26309732085344201</v>
      </c>
      <c r="K2811">
        <v>0.18185274127845799</v>
      </c>
      <c r="L2811">
        <v>401.293674751102</v>
      </c>
      <c r="M2811">
        <v>6.6260226729691301</v>
      </c>
      <c r="N2811">
        <v>60.563281110227102</v>
      </c>
      <c r="O2811">
        <v>55.759757960426597</v>
      </c>
      <c r="P2811">
        <v>-2.9775200199666899E-2</v>
      </c>
      <c r="Q2811">
        <v>0</v>
      </c>
      <c r="R2811">
        <v>0.75946349351573506</v>
      </c>
      <c r="S2811" t="s">
        <v>8362</v>
      </c>
      <c r="T2811" t="s">
        <v>11100</v>
      </c>
      <c r="U2811" t="s">
        <v>11100</v>
      </c>
      <c r="V2811" t="s">
        <v>11100</v>
      </c>
      <c r="W2811" t="s">
        <v>13868</v>
      </c>
      <c r="X2811">
        <v>10</v>
      </c>
      <c r="Y2811" t="s">
        <v>19322</v>
      </c>
      <c r="Z2811" t="s">
        <v>24816</v>
      </c>
      <c r="AA2811">
        <v>0.71756087563147763</v>
      </c>
      <c r="AB2811" t="str">
        <f>HYPERLINK("Melting_Curves/meltCurve_Q09028_3_RBBP4.pdf", "Melting_Curves/meltCurve_Q09028_3_RBBP4.pdf")</f>
        <v>Melting_Curves/meltCurve_Q09028_3_RBBP4.pdf</v>
      </c>
    </row>
    <row r="2812" spans="1:28" x14ac:dyDescent="0.25">
      <c r="A2812" t="s">
        <v>2816</v>
      </c>
      <c r="B2812">
        <v>0.99299721793515405</v>
      </c>
      <c r="C2812">
        <v>0.90901697742326404</v>
      </c>
      <c r="D2812">
        <v>0.98209219476241305</v>
      </c>
      <c r="E2812">
        <v>0.88558065321944701</v>
      </c>
      <c r="F2812">
        <v>0.88945775434348595</v>
      </c>
      <c r="G2812">
        <v>0.63582551799843501</v>
      </c>
      <c r="H2812">
        <v>0.49668872062384101</v>
      </c>
      <c r="I2812">
        <v>0.36301077068366799</v>
      </c>
      <c r="J2812">
        <v>0.33523155225081502</v>
      </c>
      <c r="K2812">
        <v>0.29512853290738</v>
      </c>
      <c r="L2812">
        <v>777.54735941103399</v>
      </c>
      <c r="M2812">
        <v>14.2539503228975</v>
      </c>
      <c r="N2812">
        <v>57.215142732967799</v>
      </c>
      <c r="O2812">
        <v>53.509620525853101</v>
      </c>
      <c r="P2812">
        <v>-5.0444003856352497E-2</v>
      </c>
      <c r="Q2812">
        <v>0.242622143989597</v>
      </c>
      <c r="R2812">
        <v>0.979443558614564</v>
      </c>
      <c r="S2812" t="s">
        <v>8363</v>
      </c>
      <c r="T2812" t="s">
        <v>11100</v>
      </c>
      <c r="U2812" t="s">
        <v>11100</v>
      </c>
      <c r="V2812" t="s">
        <v>11100</v>
      </c>
      <c r="W2812" t="s">
        <v>13869</v>
      </c>
      <c r="X2812">
        <v>4</v>
      </c>
      <c r="Y2812" t="s">
        <v>19323</v>
      </c>
      <c r="Z2812" t="s">
        <v>24817</v>
      </c>
      <c r="AA2812">
        <v>0.69740604565074904</v>
      </c>
      <c r="AB2812" t="str">
        <f>HYPERLINK("Melting_Curves/meltCurve_Q09161_NCBP1.pdf", "Melting_Curves/meltCurve_Q09161_NCBP1.pdf")</f>
        <v>Melting_Curves/meltCurve_Q09161_NCBP1.pdf</v>
      </c>
    </row>
    <row r="2813" spans="1:28" x14ac:dyDescent="0.25">
      <c r="A2813" t="s">
        <v>2817</v>
      </c>
      <c r="B2813">
        <v>0.99299721793515405</v>
      </c>
      <c r="C2813">
        <v>0.902967306633913</v>
      </c>
      <c r="D2813">
        <v>1.0055142625575</v>
      </c>
      <c r="E2813">
        <v>0.80401429913098699</v>
      </c>
      <c r="F2813">
        <v>0.71394907688709097</v>
      </c>
      <c r="G2813">
        <v>0.32975706795540499</v>
      </c>
      <c r="H2813">
        <v>0.32593687736140198</v>
      </c>
      <c r="I2813">
        <v>0.28014658824502198</v>
      </c>
      <c r="J2813">
        <v>0.31263648783880199</v>
      </c>
      <c r="K2813">
        <v>0.20307989175895999</v>
      </c>
      <c r="L2813">
        <v>964.25827333370603</v>
      </c>
      <c r="M2813">
        <v>19.162950809027699</v>
      </c>
      <c r="N2813">
        <v>52.140109411740198</v>
      </c>
      <c r="O2813">
        <v>49.7805259714291</v>
      </c>
      <c r="P2813">
        <v>-7.27600646963555E-2</v>
      </c>
      <c r="Q2813">
        <v>0.243979819332973</v>
      </c>
      <c r="R2813">
        <v>0.96519621839370995</v>
      </c>
      <c r="S2813" t="s">
        <v>8364</v>
      </c>
      <c r="T2813" t="s">
        <v>11100</v>
      </c>
      <c r="U2813" t="s">
        <v>11100</v>
      </c>
      <c r="V2813" t="s">
        <v>11100</v>
      </c>
      <c r="W2813" t="s">
        <v>13870</v>
      </c>
      <c r="X2813">
        <v>11</v>
      </c>
      <c r="Y2813" t="s">
        <v>19324</v>
      </c>
      <c r="Z2813" t="s">
        <v>24818</v>
      </c>
      <c r="AA2813">
        <v>0.5903208003609357</v>
      </c>
      <c r="AB2813" t="str">
        <f>HYPERLINK("Melting_Curves/meltCurve_Q09472_EP300.pdf", "Melting_Curves/meltCurve_Q09472_EP300.pdf")</f>
        <v>Melting_Curves/meltCurve_Q09472_EP300.pdf</v>
      </c>
    </row>
    <row r="2814" spans="1:28" x14ac:dyDescent="0.25">
      <c r="A2814" t="s">
        <v>2818</v>
      </c>
      <c r="B2814">
        <v>0.99299721793515405</v>
      </c>
      <c r="C2814">
        <v>0.98684821189218097</v>
      </c>
      <c r="D2814">
        <v>0.94966183893156997</v>
      </c>
      <c r="E2814">
        <v>0.85325380336560197</v>
      </c>
      <c r="F2814">
        <v>0.71094642517235795</v>
      </c>
      <c r="G2814">
        <v>0.58633437068517902</v>
      </c>
      <c r="H2814">
        <v>0.64948228765159599</v>
      </c>
      <c r="I2814">
        <v>0.81713244144654196</v>
      </c>
      <c r="J2814">
        <v>0.90624187433246794</v>
      </c>
      <c r="K2814">
        <v>0.75233545017149395</v>
      </c>
      <c r="L2814">
        <v>1781.09624877327</v>
      </c>
      <c r="M2814">
        <v>38.715547888464897</v>
      </c>
      <c r="O2814">
        <v>45.882450011963797</v>
      </c>
      <c r="P2814">
        <v>-5.5495896638004E-2</v>
      </c>
      <c r="Q2814">
        <v>0.73692412179072597</v>
      </c>
      <c r="R2814">
        <v>0.62412530531050503</v>
      </c>
      <c r="S2814" t="s">
        <v>8365</v>
      </c>
      <c r="T2814" t="s">
        <v>11100</v>
      </c>
      <c r="U2814" t="s">
        <v>11100</v>
      </c>
      <c r="V2814" t="s">
        <v>11100</v>
      </c>
      <c r="W2814" t="s">
        <v>13871</v>
      </c>
      <c r="X2814">
        <v>182</v>
      </c>
      <c r="Y2814" t="s">
        <v>19325</v>
      </c>
      <c r="Z2814" t="s">
        <v>24819</v>
      </c>
      <c r="AA2814">
        <v>0.81678208794672413</v>
      </c>
      <c r="AB2814" t="str">
        <f>HYPERLINK("Melting_Curves/meltCurve_Q09666_AHNAK.pdf", "Melting_Curves/meltCurve_Q09666_AHNAK.pdf")</f>
        <v>Melting_Curves/meltCurve_Q09666_AHNAK.pdf</v>
      </c>
    </row>
    <row r="2815" spans="1:28" x14ac:dyDescent="0.25">
      <c r="A2815" t="s">
        <v>2819</v>
      </c>
      <c r="B2815">
        <v>0.99299721793515405</v>
      </c>
      <c r="C2815">
        <v>0.82458677710302097</v>
      </c>
      <c r="D2815">
        <v>0.92536870234190804</v>
      </c>
      <c r="E2815">
        <v>0.82630252321852604</v>
      </c>
      <c r="F2815">
        <v>0.77041240960065704</v>
      </c>
      <c r="G2815">
        <v>0.42267144583675997</v>
      </c>
      <c r="H2815">
        <v>0.44558706139038101</v>
      </c>
      <c r="I2815">
        <v>0.387731283100611</v>
      </c>
      <c r="J2815">
        <v>0.23462317032555799</v>
      </c>
      <c r="K2815">
        <v>0.25706598308058598</v>
      </c>
      <c r="L2815">
        <v>445.58821345053002</v>
      </c>
      <c r="M2815">
        <v>8.2751362404662494</v>
      </c>
      <c r="N2815">
        <v>55.131420599316399</v>
      </c>
      <c r="O2815">
        <v>50.976824737957202</v>
      </c>
      <c r="P2815">
        <v>-3.7060820809400298E-2</v>
      </c>
      <c r="Q2815">
        <v>8.7694993752542194E-2</v>
      </c>
      <c r="R2815">
        <v>0.93721408658834304</v>
      </c>
      <c r="S2815" t="s">
        <v>8366</v>
      </c>
      <c r="T2815" t="s">
        <v>11100</v>
      </c>
      <c r="U2815" t="s">
        <v>11100</v>
      </c>
      <c r="V2815" t="s">
        <v>11100</v>
      </c>
      <c r="W2815" t="s">
        <v>13872</v>
      </c>
      <c r="X2815">
        <v>2</v>
      </c>
      <c r="Y2815" t="s">
        <v>19326</v>
      </c>
      <c r="Z2815" t="s">
        <v>24820</v>
      </c>
      <c r="AA2815">
        <v>0.61489909283377386</v>
      </c>
      <c r="AB2815" t="str">
        <f>HYPERLINK("Melting_Curves/meltCurve_Q0JRZ9_3_FCHO2.pdf", "Melting_Curves/meltCurve_Q0JRZ9_3_FCHO2.pdf")</f>
        <v>Melting_Curves/meltCurve_Q0JRZ9_3_FCHO2.pdf</v>
      </c>
    </row>
    <row r="2816" spans="1:28" x14ac:dyDescent="0.25">
      <c r="A2816" t="s">
        <v>2820</v>
      </c>
      <c r="B2816">
        <v>0.99299721793515405</v>
      </c>
      <c r="C2816">
        <v>0.98257847118132202</v>
      </c>
      <c r="D2816">
        <v>0.98074383267613796</v>
      </c>
      <c r="E2816">
        <v>0.76532951953477202</v>
      </c>
      <c r="F2816">
        <v>0.41190679771258998</v>
      </c>
      <c r="G2816">
        <v>0.23447622898045001</v>
      </c>
      <c r="H2816">
        <v>0.14789393479694499</v>
      </c>
      <c r="I2816">
        <v>0.13470418389830799</v>
      </c>
      <c r="J2816">
        <v>0.123726974911278</v>
      </c>
      <c r="K2816">
        <v>0.12367312580760401</v>
      </c>
      <c r="L2816">
        <v>1104.14766128256</v>
      </c>
      <c r="M2816">
        <v>22.6704730237586</v>
      </c>
      <c r="N2816">
        <v>49.329085219648</v>
      </c>
      <c r="O2816">
        <v>48.329982174311802</v>
      </c>
      <c r="P2816">
        <v>-0.102634878954457</v>
      </c>
      <c r="Q2816">
        <v>0.12480945920466099</v>
      </c>
      <c r="R2816">
        <v>0.99920260011892303</v>
      </c>
      <c r="S2816" t="s">
        <v>8367</v>
      </c>
      <c r="T2816" t="s">
        <v>11100</v>
      </c>
      <c r="U2816" t="s">
        <v>11100</v>
      </c>
      <c r="V2816" t="s">
        <v>11100</v>
      </c>
      <c r="W2816" t="s">
        <v>13873</v>
      </c>
      <c r="X2816">
        <v>12</v>
      </c>
      <c r="Y2816" t="s">
        <v>19327</v>
      </c>
      <c r="Z2816" t="s">
        <v>24821</v>
      </c>
      <c r="AA2816">
        <v>0.47535985181714441</v>
      </c>
      <c r="AB2816" t="str">
        <f>HYPERLINK("Melting_Curves/meltCurve_Q0VDF9_HSPA14.pdf", "Melting_Curves/meltCurve_Q0VDF9_HSPA14.pdf")</f>
        <v>Melting_Curves/meltCurve_Q0VDF9_HSPA14.pdf</v>
      </c>
    </row>
    <row r="2817" spans="1:28" x14ac:dyDescent="0.25">
      <c r="A2817" t="s">
        <v>2821</v>
      </c>
      <c r="B2817">
        <v>0.99299721793515405</v>
      </c>
      <c r="C2817">
        <v>0.95884441748206195</v>
      </c>
      <c r="D2817">
        <v>0.86691531113322495</v>
      </c>
      <c r="E2817">
        <v>0.80431256003078699</v>
      </c>
      <c r="F2817">
        <v>0.69213334857564801</v>
      </c>
      <c r="G2817">
        <v>0.50862215191622195</v>
      </c>
      <c r="H2817">
        <v>0.336459415755541</v>
      </c>
      <c r="I2817">
        <v>0.18394059294776099</v>
      </c>
      <c r="J2817">
        <v>0.15499880486018799</v>
      </c>
      <c r="K2817">
        <v>0.118305523035974</v>
      </c>
      <c r="L2817">
        <v>539.535717876224</v>
      </c>
      <c r="M2817">
        <v>10.085362293986201</v>
      </c>
      <c r="N2817">
        <v>53.496913650916397</v>
      </c>
      <c r="O2817">
        <v>51.521356821880602</v>
      </c>
      <c r="P2817">
        <v>-4.89608155616428E-2</v>
      </c>
      <c r="Q2817">
        <v>0</v>
      </c>
      <c r="R2817">
        <v>0.993970782153204</v>
      </c>
      <c r="S2817" t="s">
        <v>8368</v>
      </c>
      <c r="T2817" t="s">
        <v>11100</v>
      </c>
      <c r="U2817" t="s">
        <v>11100</v>
      </c>
      <c r="V2817" t="s">
        <v>11100</v>
      </c>
      <c r="W2817" t="s">
        <v>13874</v>
      </c>
      <c r="X2817">
        <v>9</v>
      </c>
      <c r="Y2817" t="s">
        <v>19328</v>
      </c>
      <c r="Z2817" t="s">
        <v>24822</v>
      </c>
      <c r="AA2817">
        <v>0.56998896376967034</v>
      </c>
      <c r="AB2817" t="str">
        <f>HYPERLINK("Melting_Curves/meltCurve_Q0VDG4_SCRN3.pdf", "Melting_Curves/meltCurve_Q0VDG4_SCRN3.pdf")</f>
        <v>Melting_Curves/meltCurve_Q0VDG4_SCRN3.pdf</v>
      </c>
    </row>
    <row r="2818" spans="1:28" x14ac:dyDescent="0.25">
      <c r="A2818" t="s">
        <v>2822</v>
      </c>
      <c r="B2818">
        <v>0.99299721793515405</v>
      </c>
      <c r="C2818">
        <v>0.98092112423473499</v>
      </c>
      <c r="D2818">
        <v>0.82208877471006503</v>
      </c>
      <c r="E2818">
        <v>0.91453074085668196</v>
      </c>
      <c r="F2818">
        <v>0.71321343551064698</v>
      </c>
      <c r="G2818">
        <v>0.606593916834544</v>
      </c>
      <c r="H2818">
        <v>0.39285625421269899</v>
      </c>
      <c r="I2818">
        <v>0.194950809390528</v>
      </c>
      <c r="J2818">
        <v>0.13706552208507999</v>
      </c>
      <c r="K2818">
        <v>3.9569528383703201E-2</v>
      </c>
      <c r="L2818">
        <v>659.73937770382202</v>
      </c>
      <c r="M2818">
        <v>12.057332682871801</v>
      </c>
      <c r="N2818">
        <v>54.716866996112202</v>
      </c>
      <c r="O2818">
        <v>53.2769518178157</v>
      </c>
      <c r="P2818">
        <v>-5.6591949052674999E-2</v>
      </c>
      <c r="Q2818">
        <v>0</v>
      </c>
      <c r="R2818">
        <v>0.97454079233756796</v>
      </c>
      <c r="S2818" t="s">
        <v>8369</v>
      </c>
      <c r="T2818" t="s">
        <v>11100</v>
      </c>
      <c r="U2818" t="s">
        <v>11100</v>
      </c>
      <c r="V2818" t="s">
        <v>11100</v>
      </c>
      <c r="W2818" t="s">
        <v>13875</v>
      </c>
      <c r="X2818">
        <v>5</v>
      </c>
      <c r="Y2818" t="s">
        <v>19329</v>
      </c>
      <c r="Z2818" t="s">
        <v>24823</v>
      </c>
      <c r="AA2818">
        <v>0.60587943719637161</v>
      </c>
      <c r="AB2818" t="str">
        <f>HYPERLINK("Melting_Curves/meltCurve_Q10469_MGAT2.pdf", "Melting_Curves/meltCurve_Q10469_MGAT2.pdf")</f>
        <v>Melting_Curves/meltCurve_Q10469_MGAT2.pdf</v>
      </c>
    </row>
    <row r="2819" spans="1:28" x14ac:dyDescent="0.25">
      <c r="A2819" t="s">
        <v>2823</v>
      </c>
      <c r="B2819">
        <v>0.99299721793515405</v>
      </c>
      <c r="C2819">
        <v>1.0510216499871601</v>
      </c>
      <c r="D2819">
        <v>1.1591825640431299</v>
      </c>
      <c r="E2819">
        <v>0.92471281912794401</v>
      </c>
      <c r="F2819">
        <v>0.72926016674271799</v>
      </c>
      <c r="G2819">
        <v>0.66456540407638898</v>
      </c>
      <c r="H2819">
        <v>0.44993449003441</v>
      </c>
      <c r="I2819">
        <v>0.39670256270229998</v>
      </c>
      <c r="J2819">
        <v>0.19072028681328701</v>
      </c>
      <c r="K2819">
        <v>0.15202386039399801</v>
      </c>
      <c r="L2819">
        <v>652.09554982581005</v>
      </c>
      <c r="M2819">
        <v>11.5486308259926</v>
      </c>
      <c r="N2819">
        <v>56.763870430733597</v>
      </c>
      <c r="O2819">
        <v>54.851760961570498</v>
      </c>
      <c r="P2819">
        <v>-5.1098265256036397E-2</v>
      </c>
      <c r="Q2819">
        <v>2.9479285287236201E-2</v>
      </c>
      <c r="R2819">
        <v>0.95510014923146602</v>
      </c>
      <c r="S2819" t="s">
        <v>8370</v>
      </c>
      <c r="T2819" t="s">
        <v>11100</v>
      </c>
      <c r="U2819" t="s">
        <v>11100</v>
      </c>
      <c r="V2819" t="s">
        <v>11100</v>
      </c>
      <c r="W2819" t="s">
        <v>13876</v>
      </c>
      <c r="X2819">
        <v>19</v>
      </c>
      <c r="Y2819" t="s">
        <v>19330</v>
      </c>
      <c r="Z2819" t="s">
        <v>24824</v>
      </c>
      <c r="AA2819">
        <v>0.66573260688462033</v>
      </c>
      <c r="AB2819" t="str">
        <f>HYPERLINK("Melting_Curves/meltCurve_Q10567_2_AP1B1.pdf", "Melting_Curves/meltCurve_Q10567_2_AP1B1.pdf")</f>
        <v>Melting_Curves/meltCurve_Q10567_2_AP1B1.pdf</v>
      </c>
    </row>
    <row r="2820" spans="1:28" x14ac:dyDescent="0.25">
      <c r="A2820" t="s">
        <v>2824</v>
      </c>
      <c r="B2820">
        <v>0.99299721793515405</v>
      </c>
      <c r="C2820">
        <v>1.01328551918211</v>
      </c>
      <c r="D2820">
        <v>0.95962135751271505</v>
      </c>
      <c r="E2820">
        <v>0.90497225044235596</v>
      </c>
      <c r="F2820">
        <v>0.79817094458444204</v>
      </c>
      <c r="G2820">
        <v>0.66189635524244295</v>
      </c>
      <c r="H2820">
        <v>0.37132326824782602</v>
      </c>
      <c r="I2820">
        <v>0.197705770051922</v>
      </c>
      <c r="J2820">
        <v>0.144576985295542</v>
      </c>
      <c r="K2820">
        <v>0.111522217800298</v>
      </c>
      <c r="L2820">
        <v>778.24817595297702</v>
      </c>
      <c r="M2820">
        <v>14.0392507926185</v>
      </c>
      <c r="N2820">
        <v>55.536148302307197</v>
      </c>
      <c r="O2820">
        <v>54.345383430174401</v>
      </c>
      <c r="P2820">
        <v>-6.3766553709202103E-2</v>
      </c>
      <c r="Q2820">
        <v>1.2778007439948899E-2</v>
      </c>
      <c r="R2820">
        <v>0.99490242738775403</v>
      </c>
      <c r="S2820" t="s">
        <v>8371</v>
      </c>
      <c r="T2820" t="s">
        <v>11100</v>
      </c>
      <c r="U2820" t="s">
        <v>11100</v>
      </c>
      <c r="V2820" t="s">
        <v>11100</v>
      </c>
      <c r="W2820" t="s">
        <v>13877</v>
      </c>
      <c r="X2820">
        <v>28</v>
      </c>
      <c r="Y2820" t="s">
        <v>19331</v>
      </c>
      <c r="Z2820" t="s">
        <v>24825</v>
      </c>
      <c r="AA2820">
        <v>0.63231943712970873</v>
      </c>
      <c r="AB2820" t="str">
        <f>HYPERLINK("Melting_Curves/meltCurve_Q10713_PMPCA.pdf", "Melting_Curves/meltCurve_Q10713_PMPCA.pdf")</f>
        <v>Melting_Curves/meltCurve_Q10713_PMPCA.pdf</v>
      </c>
    </row>
    <row r="2821" spans="1:28" x14ac:dyDescent="0.25">
      <c r="A2821" t="s">
        <v>2825</v>
      </c>
      <c r="B2821">
        <v>0.99299721793515405</v>
      </c>
      <c r="C2821">
        <v>0.91588809145359695</v>
      </c>
      <c r="D2821">
        <v>1.0114370471438401</v>
      </c>
      <c r="E2821">
        <v>0.80991052520271301</v>
      </c>
      <c r="F2821">
        <v>0.765342639568662</v>
      </c>
      <c r="G2821">
        <v>0.51147132191401201</v>
      </c>
      <c r="H2821">
        <v>0.181324202984808</v>
      </c>
      <c r="I2821">
        <v>0.163928992772083</v>
      </c>
      <c r="J2821">
        <v>0.153235075407682</v>
      </c>
      <c r="K2821">
        <v>0.135082779566045</v>
      </c>
      <c r="L2821">
        <v>890.45897194390795</v>
      </c>
      <c r="M2821">
        <v>16.919275828762</v>
      </c>
      <c r="N2821">
        <v>53.248111240701903</v>
      </c>
      <c r="O2821">
        <v>51.911114937146003</v>
      </c>
      <c r="P2821">
        <v>-7.4220203434633203E-2</v>
      </c>
      <c r="Q2821">
        <v>8.9178152776457298E-2</v>
      </c>
      <c r="R2821">
        <v>0.97628006601770601</v>
      </c>
      <c r="S2821" t="s">
        <v>8372</v>
      </c>
      <c r="T2821" t="s">
        <v>11100</v>
      </c>
      <c r="U2821" t="s">
        <v>11100</v>
      </c>
      <c r="V2821" t="s">
        <v>11100</v>
      </c>
      <c r="W2821" t="s">
        <v>13878</v>
      </c>
      <c r="X2821">
        <v>10</v>
      </c>
      <c r="Y2821" t="s">
        <v>19332</v>
      </c>
      <c r="Z2821" t="s">
        <v>24826</v>
      </c>
      <c r="AA2821">
        <v>0.57829341567170423</v>
      </c>
      <c r="AB2821" t="str">
        <f>HYPERLINK("Melting_Curves/meltCurve_Q12765_SCRN1.pdf", "Melting_Curves/meltCurve_Q12765_SCRN1.pdf")</f>
        <v>Melting_Curves/meltCurve_Q12765_SCRN1.pdf</v>
      </c>
    </row>
    <row r="2822" spans="1:28" x14ac:dyDescent="0.25">
      <c r="A2822" t="s">
        <v>2826</v>
      </c>
      <c r="B2822">
        <v>0.99299721793515405</v>
      </c>
      <c r="C2822">
        <v>0.922638913669237</v>
      </c>
      <c r="D2822">
        <v>0.86264809750844795</v>
      </c>
      <c r="E2822">
        <v>0.65350012476469899</v>
      </c>
      <c r="F2822">
        <v>0.59501599628309898</v>
      </c>
      <c r="G2822">
        <v>0.95297510182553702</v>
      </c>
      <c r="H2822">
        <v>0.99651744884686599</v>
      </c>
      <c r="I2822">
        <v>0.196825907635685</v>
      </c>
      <c r="J2822">
        <v>0.16994684900403101</v>
      </c>
      <c r="K2822">
        <v>0.14942905035686699</v>
      </c>
      <c r="L2822">
        <v>8285.0005086483197</v>
      </c>
      <c r="M2822">
        <v>138.89172068004399</v>
      </c>
      <c r="N2822">
        <v>59.816440548484003</v>
      </c>
      <c r="O2822">
        <v>59.638426910128103</v>
      </c>
      <c r="P2822">
        <v>-0.48927380183496899</v>
      </c>
      <c r="Q2822">
        <v>0.159647028198002</v>
      </c>
      <c r="R2822">
        <v>0.72648377956302101</v>
      </c>
      <c r="S2822" t="s">
        <v>8373</v>
      </c>
      <c r="T2822" t="s">
        <v>11100</v>
      </c>
      <c r="U2822" t="s">
        <v>11100</v>
      </c>
      <c r="V2822" t="s">
        <v>11100</v>
      </c>
      <c r="W2822" t="s">
        <v>13879</v>
      </c>
      <c r="X2822">
        <v>1</v>
      </c>
      <c r="Y2822" t="s">
        <v>19333</v>
      </c>
      <c r="Z2822" t="s">
        <v>24827</v>
      </c>
      <c r="AA2822">
        <v>0.79442073948069791</v>
      </c>
      <c r="AB2822" t="str">
        <f>HYPERLINK("Melting_Curves/meltCurve_Q12769_NUP160.pdf", "Melting_Curves/meltCurve_Q12769_NUP160.pdf")</f>
        <v>Melting_Curves/meltCurve_Q12769_NUP160.pdf</v>
      </c>
    </row>
    <row r="2823" spans="1:28" x14ac:dyDescent="0.25">
      <c r="A2823" t="s">
        <v>2827</v>
      </c>
      <c r="B2823">
        <v>0.99299721793515405</v>
      </c>
      <c r="C2823">
        <v>0.97442417572706996</v>
      </c>
      <c r="D2823">
        <v>0.88101915527030805</v>
      </c>
      <c r="E2823">
        <v>0.84857058634860305</v>
      </c>
      <c r="F2823">
        <v>0.581711668381373</v>
      </c>
      <c r="G2823">
        <v>0.42541200399770801</v>
      </c>
      <c r="H2823">
        <v>0.36428789099763498</v>
      </c>
      <c r="I2823">
        <v>0.32782975500341099</v>
      </c>
      <c r="J2823">
        <v>0.270442817662704</v>
      </c>
      <c r="K2823">
        <v>0.15794828296699101</v>
      </c>
      <c r="L2823">
        <v>594.39178033429005</v>
      </c>
      <c r="M2823">
        <v>11.694884637287799</v>
      </c>
      <c r="N2823">
        <v>52.763477957497301</v>
      </c>
      <c r="O2823">
        <v>49.407121390133199</v>
      </c>
      <c r="P2823">
        <v>-4.88546812422989E-2</v>
      </c>
      <c r="Q2823">
        <v>0.17463865197914599</v>
      </c>
      <c r="R2823">
        <v>0.98355441693202295</v>
      </c>
      <c r="S2823" t="s">
        <v>8374</v>
      </c>
      <c r="T2823" t="s">
        <v>11100</v>
      </c>
      <c r="U2823" t="s">
        <v>11100</v>
      </c>
      <c r="V2823" t="s">
        <v>11100</v>
      </c>
      <c r="W2823" t="s">
        <v>13880</v>
      </c>
      <c r="X2823">
        <v>8</v>
      </c>
      <c r="Y2823" t="s">
        <v>19334</v>
      </c>
      <c r="Z2823" t="s">
        <v>24828</v>
      </c>
      <c r="AA2823">
        <v>0.5773505254000395</v>
      </c>
      <c r="AB2823" t="str">
        <f>HYPERLINK("Melting_Curves/meltCurve_Q12788_TBL3.pdf", "Melting_Curves/meltCurve_Q12788_TBL3.pdf")</f>
        <v>Melting_Curves/meltCurve_Q12788_TBL3.pdf</v>
      </c>
    </row>
    <row r="2824" spans="1:28" x14ac:dyDescent="0.25">
      <c r="A2824" t="s">
        <v>2828</v>
      </c>
      <c r="B2824">
        <v>0.99299721793515405</v>
      </c>
      <c r="C2824">
        <v>0.96844882091612094</v>
      </c>
      <c r="D2824">
        <v>0.87658340347323205</v>
      </c>
      <c r="E2824">
        <v>0.87234524195084995</v>
      </c>
      <c r="F2824">
        <v>0.70522789625872295</v>
      </c>
      <c r="G2824">
        <v>0.76844734205732801</v>
      </c>
      <c r="H2824">
        <v>0.69152830737086601</v>
      </c>
      <c r="I2824">
        <v>0.29167981071337001</v>
      </c>
      <c r="J2824">
        <v>0.21498268502481899</v>
      </c>
      <c r="K2824">
        <v>0.16335106356547499</v>
      </c>
      <c r="L2824">
        <v>592.44350452410401</v>
      </c>
      <c r="M2824">
        <v>10.2306711456224</v>
      </c>
      <c r="N2824">
        <v>57.908566926031298</v>
      </c>
      <c r="O2824">
        <v>55.826866949717498</v>
      </c>
      <c r="P2824">
        <v>-4.5834702435846301E-2</v>
      </c>
      <c r="Q2824">
        <v>0</v>
      </c>
      <c r="R2824">
        <v>0.91749574867586703</v>
      </c>
      <c r="S2824" t="s">
        <v>8375</v>
      </c>
      <c r="T2824" t="s">
        <v>11100</v>
      </c>
      <c r="U2824" t="s">
        <v>11100</v>
      </c>
      <c r="V2824" t="s">
        <v>11100</v>
      </c>
      <c r="W2824" t="s">
        <v>13881</v>
      </c>
      <c r="X2824">
        <v>9</v>
      </c>
      <c r="Y2824" t="s">
        <v>19335</v>
      </c>
      <c r="Z2824" t="s">
        <v>24829</v>
      </c>
      <c r="AA2824">
        <v>0.69014622129308689</v>
      </c>
      <c r="AB2824" t="str">
        <f>HYPERLINK("Melting_Curves/meltCurve_Q12792_TWF1.pdf", "Melting_Curves/meltCurve_Q12792_TWF1.pdf")</f>
        <v>Melting_Curves/meltCurve_Q12792_TWF1.pdf</v>
      </c>
    </row>
    <row r="2825" spans="1:28" x14ac:dyDescent="0.25">
      <c r="A2825" t="s">
        <v>2829</v>
      </c>
      <c r="B2825">
        <v>0.99299721793515405</v>
      </c>
      <c r="C2825">
        <v>0.82650164381285596</v>
      </c>
      <c r="D2825">
        <v>1.1316502757620199</v>
      </c>
      <c r="E2825">
        <v>0.62098055456740198</v>
      </c>
      <c r="F2825">
        <v>0.63982049551317699</v>
      </c>
      <c r="G2825">
        <v>0.24473441479646599</v>
      </c>
      <c r="H2825">
        <v>0.16804882831339199</v>
      </c>
      <c r="I2825">
        <v>2.6733682120669601E-2</v>
      </c>
      <c r="J2825">
        <v>4.6034625816324198E-2</v>
      </c>
      <c r="K2825">
        <v>6.2038461880357797E-2</v>
      </c>
      <c r="L2825">
        <v>749.92167452482704</v>
      </c>
      <c r="M2825">
        <v>14.8251783593801</v>
      </c>
      <c r="N2825">
        <v>50.598463502878801</v>
      </c>
      <c r="O2825">
        <v>49.690699381838698</v>
      </c>
      <c r="P2825">
        <v>-7.4441042160927007E-2</v>
      </c>
      <c r="Q2825">
        <v>2.0662976563519302E-3</v>
      </c>
      <c r="R2825">
        <v>0.93141327635598803</v>
      </c>
      <c r="S2825" t="s">
        <v>8376</v>
      </c>
      <c r="T2825" t="s">
        <v>11100</v>
      </c>
      <c r="U2825" t="s">
        <v>11100</v>
      </c>
      <c r="V2825" t="s">
        <v>11100</v>
      </c>
      <c r="W2825" t="s">
        <v>13882</v>
      </c>
      <c r="X2825">
        <v>2</v>
      </c>
      <c r="Y2825" t="s">
        <v>19336</v>
      </c>
      <c r="Z2825" t="s">
        <v>24830</v>
      </c>
      <c r="AA2825">
        <v>0.47470381029305769</v>
      </c>
      <c r="AB2825" t="str">
        <f>HYPERLINK("Melting_Curves/meltCurve_Q12834_CDC20.pdf", "Melting_Curves/meltCurve_Q12834_CDC20.pdf")</f>
        <v>Melting_Curves/meltCurve_Q12834_CDC20.pdf</v>
      </c>
    </row>
    <row r="2826" spans="1:28" x14ac:dyDescent="0.25">
      <c r="A2826" t="s">
        <v>2830</v>
      </c>
      <c r="B2826">
        <v>0.99299721793515405</v>
      </c>
      <c r="C2826">
        <v>1.0002999186953501</v>
      </c>
      <c r="D2826">
        <v>0.98761551306060102</v>
      </c>
      <c r="E2826">
        <v>0.785315819719825</v>
      </c>
      <c r="F2826">
        <v>0.70173773717961196</v>
      </c>
      <c r="G2826">
        <v>0.48847948302431898</v>
      </c>
      <c r="H2826">
        <v>0.60817055558470901</v>
      </c>
      <c r="I2826">
        <v>0.71214689708881695</v>
      </c>
      <c r="J2826">
        <v>0.84041472271610695</v>
      </c>
      <c r="K2826">
        <v>0.80722335563296399</v>
      </c>
      <c r="L2826">
        <v>2405.0689883032801</v>
      </c>
      <c r="M2826">
        <v>52.458472382290502</v>
      </c>
      <c r="O2826">
        <v>45.780624641831302</v>
      </c>
      <c r="P2826">
        <v>-8.8081773684525799E-2</v>
      </c>
      <c r="Q2826">
        <v>0.69252359243069395</v>
      </c>
      <c r="R2826">
        <v>0.68197614230626302</v>
      </c>
      <c r="S2826" t="s">
        <v>8377</v>
      </c>
      <c r="T2826" t="s">
        <v>11100</v>
      </c>
      <c r="U2826" t="s">
        <v>11100</v>
      </c>
      <c r="V2826" t="s">
        <v>11100</v>
      </c>
      <c r="W2826" t="s">
        <v>13883</v>
      </c>
      <c r="X2826">
        <v>9</v>
      </c>
      <c r="Y2826" t="s">
        <v>19337</v>
      </c>
      <c r="Z2826" t="s">
        <v>24831</v>
      </c>
      <c r="AA2826">
        <v>0.78376407175401508</v>
      </c>
      <c r="AB2826" t="str">
        <f>HYPERLINK("Melting_Curves/meltCurve_Q12841_FSTL1.pdf", "Melting_Curves/meltCurve_Q12841_FSTL1.pdf")</f>
        <v>Melting_Curves/meltCurve_Q12841_FSTL1.pdf</v>
      </c>
    </row>
    <row r="2827" spans="1:28" x14ac:dyDescent="0.25">
      <c r="A2827" t="s">
        <v>2831</v>
      </c>
      <c r="B2827">
        <v>0.99299721793515405</v>
      </c>
      <c r="C2827">
        <v>0.91857504981088201</v>
      </c>
      <c r="D2827">
        <v>0.95639233964271397</v>
      </c>
      <c r="E2827">
        <v>0.90319854074958394</v>
      </c>
      <c r="F2827">
        <v>0.83921978720613899</v>
      </c>
      <c r="G2827">
        <v>0.352323238333482</v>
      </c>
      <c r="H2827">
        <v>0.23455592925024599</v>
      </c>
      <c r="I2827">
        <v>0.19742985278333999</v>
      </c>
      <c r="J2827">
        <v>0.13852956672105299</v>
      </c>
      <c r="K2827">
        <v>0.110504804665744</v>
      </c>
      <c r="L2827">
        <v>1625.0689098739899</v>
      </c>
      <c r="M2827">
        <v>31.167079368418001</v>
      </c>
      <c r="N2827">
        <v>52.746822721693199</v>
      </c>
      <c r="O2827">
        <v>51.927314426516702</v>
      </c>
      <c r="P2827">
        <v>-0.12746267473544401</v>
      </c>
      <c r="Q2827">
        <v>0.150545066209062</v>
      </c>
      <c r="R2827">
        <v>0.98390404894233296</v>
      </c>
      <c r="S2827" t="s">
        <v>8378</v>
      </c>
      <c r="T2827" t="s">
        <v>11100</v>
      </c>
      <c r="U2827" t="s">
        <v>11100</v>
      </c>
      <c r="V2827" t="s">
        <v>11100</v>
      </c>
      <c r="W2827" t="s">
        <v>13884</v>
      </c>
      <c r="X2827">
        <v>10</v>
      </c>
      <c r="Y2827" t="s">
        <v>19338</v>
      </c>
      <c r="Z2827" t="s">
        <v>24832</v>
      </c>
      <c r="AA2827">
        <v>0.58424100557777714</v>
      </c>
      <c r="AB2827" t="str">
        <f>HYPERLINK("Melting_Curves/meltCurve_Q12846_STX4.pdf", "Melting_Curves/meltCurve_Q12846_STX4.pdf")</f>
        <v>Melting_Curves/meltCurve_Q12846_STX4.pdf</v>
      </c>
    </row>
    <row r="2828" spans="1:28" x14ac:dyDescent="0.25">
      <c r="A2828" t="s">
        <v>2832</v>
      </c>
      <c r="B2828">
        <v>0.99299721793515405</v>
      </c>
      <c r="C2828">
        <v>0.93736371049870604</v>
      </c>
      <c r="D2828">
        <v>0.95239225875145095</v>
      </c>
      <c r="E2828">
        <v>0.82551406498331703</v>
      </c>
      <c r="F2828">
        <v>0.64951346636373297</v>
      </c>
      <c r="G2828">
        <v>0.166388281851618</v>
      </c>
      <c r="H2828">
        <v>0.14945826662324699</v>
      </c>
      <c r="I2828">
        <v>0.157039192017041</v>
      </c>
      <c r="J2828">
        <v>0.163139594553489</v>
      </c>
      <c r="K2828">
        <v>0.17510472220880099</v>
      </c>
      <c r="L2828">
        <v>1444.0955973524001</v>
      </c>
      <c r="M2828">
        <v>28.743108596397501</v>
      </c>
      <c r="N2828">
        <v>50.829658473894199</v>
      </c>
      <c r="O2828">
        <v>50.0001487836753</v>
      </c>
      <c r="P2828">
        <v>-0.123383253630918</v>
      </c>
      <c r="Q2828">
        <v>0.14148000141466899</v>
      </c>
      <c r="R2828">
        <v>0.97838046880029295</v>
      </c>
      <c r="S2828" t="s">
        <v>8379</v>
      </c>
      <c r="T2828" t="s">
        <v>11100</v>
      </c>
      <c r="U2828" t="s">
        <v>11100</v>
      </c>
      <c r="V2828" t="s">
        <v>11100</v>
      </c>
      <c r="W2828" t="s">
        <v>13885</v>
      </c>
      <c r="X2828">
        <v>6</v>
      </c>
      <c r="Y2828" t="s">
        <v>19339</v>
      </c>
      <c r="Z2828" t="s">
        <v>24833</v>
      </c>
      <c r="AA2828">
        <v>0.52616662047880647</v>
      </c>
      <c r="AB2828" t="str">
        <f>HYPERLINK("Melting_Curves/meltCurve_Q12849_GRSF1.pdf", "Melting_Curves/meltCurve_Q12849_GRSF1.pdf")</f>
        <v>Melting_Curves/meltCurve_Q12849_GRSF1.pdf</v>
      </c>
    </row>
    <row r="2829" spans="1:28" x14ac:dyDescent="0.25">
      <c r="A2829" t="s">
        <v>2833</v>
      </c>
      <c r="B2829">
        <v>0.99299721793515405</v>
      </c>
      <c r="C2829">
        <v>1.07140587102148</v>
      </c>
      <c r="D2829">
        <v>0.883396757009839</v>
      </c>
      <c r="E2829">
        <v>0.97202604709140505</v>
      </c>
      <c r="F2829">
        <v>0.846739754667997</v>
      </c>
      <c r="G2829">
        <v>0.75306882238783801</v>
      </c>
      <c r="H2829">
        <v>0.76051487688197605</v>
      </c>
      <c r="I2829">
        <v>0.50145805124593201</v>
      </c>
      <c r="J2829">
        <v>0.488725532723292</v>
      </c>
      <c r="K2829">
        <v>0.31087606904019999</v>
      </c>
      <c r="L2829">
        <v>520.57159496518602</v>
      </c>
      <c r="M2829">
        <v>8.3543351140053499</v>
      </c>
      <c r="N2829">
        <v>62.3115500290453</v>
      </c>
      <c r="O2829">
        <v>59.047923276979098</v>
      </c>
      <c r="P2829">
        <v>-3.5404996447096902E-2</v>
      </c>
      <c r="Q2829">
        <v>0</v>
      </c>
      <c r="R2829">
        <v>0.94141677968023396</v>
      </c>
      <c r="S2829" t="s">
        <v>8380</v>
      </c>
      <c r="T2829" t="s">
        <v>11100</v>
      </c>
      <c r="U2829" t="s">
        <v>11100</v>
      </c>
      <c r="V2829" t="s">
        <v>11100</v>
      </c>
      <c r="W2829" t="s">
        <v>13886</v>
      </c>
      <c r="X2829">
        <v>1</v>
      </c>
      <c r="Y2829" t="s">
        <v>19340</v>
      </c>
      <c r="Z2829" t="s">
        <v>24834</v>
      </c>
      <c r="AA2829">
        <v>0.77409040259531947</v>
      </c>
      <c r="AB2829" t="str">
        <f>HYPERLINK("Melting_Curves/meltCurve_Q12860_2_CNTN1.pdf", "Melting_Curves/meltCurve_Q12860_2_CNTN1.pdf")</f>
        <v>Melting_Curves/meltCurve_Q12860_2_CNTN1.pdf</v>
      </c>
    </row>
    <row r="2830" spans="1:28" x14ac:dyDescent="0.25">
      <c r="A2830" t="s">
        <v>2834</v>
      </c>
      <c r="B2830">
        <v>0.99299721793515405</v>
      </c>
      <c r="C2830">
        <v>1.02064509773713</v>
      </c>
      <c r="D2830">
        <v>0.94569565558318203</v>
      </c>
      <c r="E2830">
        <v>0.88250139278505002</v>
      </c>
      <c r="F2830">
        <v>0.65134182992588996</v>
      </c>
      <c r="G2830">
        <v>0.51076228059315099</v>
      </c>
      <c r="H2830">
        <v>0.32230538261629599</v>
      </c>
      <c r="I2830">
        <v>0.30973980303348497</v>
      </c>
      <c r="J2830">
        <v>0.282782793306112</v>
      </c>
      <c r="K2830">
        <v>0.21408570743823499</v>
      </c>
      <c r="L2830">
        <v>773.26361564429101</v>
      </c>
      <c r="M2830">
        <v>15.0543418729058</v>
      </c>
      <c r="N2830">
        <v>53.436329365387799</v>
      </c>
      <c r="O2830">
        <v>50.484047442414699</v>
      </c>
      <c r="P2830">
        <v>-5.8075996050712397E-2</v>
      </c>
      <c r="Q2830">
        <v>0.22105679432779499</v>
      </c>
      <c r="R2830">
        <v>0.99363202748156199</v>
      </c>
      <c r="S2830" t="s">
        <v>8381</v>
      </c>
      <c r="T2830" t="s">
        <v>11100</v>
      </c>
      <c r="U2830" t="s">
        <v>11100</v>
      </c>
      <c r="V2830" t="s">
        <v>11100</v>
      </c>
      <c r="W2830" t="s">
        <v>13887</v>
      </c>
      <c r="X2830">
        <v>4</v>
      </c>
      <c r="Y2830" t="s">
        <v>19341</v>
      </c>
      <c r="Z2830" t="s">
        <v>24835</v>
      </c>
      <c r="AA2830">
        <v>0.60938753005571367</v>
      </c>
      <c r="AB2830" t="str">
        <f>HYPERLINK("Melting_Curves/meltCurve_Q12872_SFSWAP.pdf", "Melting_Curves/meltCurve_Q12872_SFSWAP.pdf")</f>
        <v>Melting_Curves/meltCurve_Q12872_SFSWAP.pdf</v>
      </c>
    </row>
    <row r="2831" spans="1:28" x14ac:dyDescent="0.25">
      <c r="A2831" t="s">
        <v>2835</v>
      </c>
      <c r="B2831">
        <v>0.99299721793515405</v>
      </c>
      <c r="C2831">
        <v>1.07527864956193</v>
      </c>
      <c r="D2831">
        <v>1.0779687013967001</v>
      </c>
      <c r="E2831">
        <v>0.97677447611143098</v>
      </c>
      <c r="F2831">
        <v>0.56880557500138396</v>
      </c>
      <c r="G2831">
        <v>0.29704457089845299</v>
      </c>
      <c r="H2831">
        <v>0.18137326939081899</v>
      </c>
      <c r="I2831">
        <v>0.146975260183588</v>
      </c>
      <c r="J2831">
        <v>0.149410697165272</v>
      </c>
      <c r="K2831">
        <v>0.110639712491019</v>
      </c>
      <c r="L2831">
        <v>1508.6245355956601</v>
      </c>
      <c r="M2831">
        <v>29.911959861239101</v>
      </c>
      <c r="N2831">
        <v>51.020058467847598</v>
      </c>
      <c r="O2831">
        <v>50.211690806624802</v>
      </c>
      <c r="P2831">
        <v>-0.12732406083768599</v>
      </c>
      <c r="Q2831">
        <v>0.14507598595794799</v>
      </c>
      <c r="R2831">
        <v>0.98874403330771898</v>
      </c>
      <c r="S2831" t="s">
        <v>8382</v>
      </c>
      <c r="T2831" t="s">
        <v>11100</v>
      </c>
      <c r="U2831" t="s">
        <v>11100</v>
      </c>
      <c r="V2831" t="s">
        <v>11100</v>
      </c>
      <c r="W2831" t="s">
        <v>13888</v>
      </c>
      <c r="X2831">
        <v>18</v>
      </c>
      <c r="Y2831" t="s">
        <v>19342</v>
      </c>
      <c r="Z2831" t="s">
        <v>24836</v>
      </c>
      <c r="AA2831">
        <v>0.53326611484128572</v>
      </c>
      <c r="AB2831" t="str">
        <f>HYPERLINK("Melting_Curves/meltCurve_Q12874_SF3A3.pdf", "Melting_Curves/meltCurve_Q12874_SF3A3.pdf")</f>
        <v>Melting_Curves/meltCurve_Q12874_SF3A3.pdf</v>
      </c>
    </row>
    <row r="2832" spans="1:28" x14ac:dyDescent="0.25">
      <c r="A2832" t="s">
        <v>2836</v>
      </c>
      <c r="B2832">
        <v>0.99299721793515405</v>
      </c>
      <c r="C2832">
        <v>0.98716586242374604</v>
      </c>
      <c r="D2832">
        <v>0.891510146010282</v>
      </c>
      <c r="E2832">
        <v>0.81855286608479005</v>
      </c>
      <c r="F2832">
        <v>0.59378195073408901</v>
      </c>
      <c r="G2832">
        <v>0.30888274559162199</v>
      </c>
      <c r="H2832">
        <v>0.27919016835882898</v>
      </c>
      <c r="I2832">
        <v>0.23411269283366301</v>
      </c>
      <c r="J2832">
        <v>0.22891545784805001</v>
      </c>
      <c r="K2832">
        <v>0.13264087448571399</v>
      </c>
      <c r="L2832">
        <v>795.45234254939805</v>
      </c>
      <c r="M2832">
        <v>15.9299049157959</v>
      </c>
      <c r="N2832">
        <v>51.240002569927803</v>
      </c>
      <c r="O2832">
        <v>49.167495415750501</v>
      </c>
      <c r="P2832">
        <v>-6.7493164229161198E-2</v>
      </c>
      <c r="Q2832">
        <v>0.166798527101258</v>
      </c>
      <c r="R2832">
        <v>0.98909969674846998</v>
      </c>
      <c r="S2832" t="s">
        <v>8383</v>
      </c>
      <c r="T2832" t="s">
        <v>11100</v>
      </c>
      <c r="U2832" t="s">
        <v>11100</v>
      </c>
      <c r="V2832" t="s">
        <v>11100</v>
      </c>
      <c r="W2832" t="s">
        <v>13889</v>
      </c>
      <c r="X2832">
        <v>17</v>
      </c>
      <c r="Y2832" t="s">
        <v>19343</v>
      </c>
      <c r="Z2832" t="s">
        <v>24837</v>
      </c>
      <c r="AA2832">
        <v>0.5419913659577984</v>
      </c>
      <c r="AB2832" t="str">
        <f>HYPERLINK("Melting_Curves/meltCurve_Q12888_TP53BP1.pdf", "Melting_Curves/meltCurve_Q12888_TP53BP1.pdf")</f>
        <v>Melting_Curves/meltCurve_Q12888_TP53BP1.pdf</v>
      </c>
    </row>
    <row r="2833" spans="1:28" x14ac:dyDescent="0.25">
      <c r="A2833" t="s">
        <v>2837</v>
      </c>
      <c r="B2833">
        <v>0.99299721793515405</v>
      </c>
      <c r="C2833">
        <v>0.87353852726841297</v>
      </c>
      <c r="D2833">
        <v>0.73554298337945501</v>
      </c>
      <c r="E2833">
        <v>0.70367187556139998</v>
      </c>
      <c r="F2833">
        <v>0.64510007462828001</v>
      </c>
      <c r="G2833">
        <v>0.40795828267609302</v>
      </c>
      <c r="H2833">
        <v>0.57081843001103105</v>
      </c>
      <c r="I2833">
        <v>0.53971052145881604</v>
      </c>
      <c r="J2833">
        <v>0.51540926014654498</v>
      </c>
      <c r="K2833">
        <v>0.30214512063037302</v>
      </c>
      <c r="L2833">
        <v>389.54098546074601</v>
      </c>
      <c r="M2833">
        <v>8.4219073426846993</v>
      </c>
      <c r="N2833">
        <v>56.651790042844297</v>
      </c>
      <c r="O2833">
        <v>43.866219011876296</v>
      </c>
      <c r="P2833">
        <v>-2.91408905216025E-2</v>
      </c>
      <c r="Q2833">
        <v>0.39343462924891298</v>
      </c>
      <c r="R2833">
        <v>0.84718761392477704</v>
      </c>
      <c r="S2833" t="s">
        <v>8384</v>
      </c>
      <c r="T2833" t="s">
        <v>11100</v>
      </c>
      <c r="U2833" t="s">
        <v>11100</v>
      </c>
      <c r="V2833" t="s">
        <v>11100</v>
      </c>
      <c r="W2833" t="s">
        <v>13890</v>
      </c>
      <c r="X2833">
        <v>3</v>
      </c>
      <c r="Y2833" t="s">
        <v>19344</v>
      </c>
      <c r="Z2833" t="s">
        <v>24838</v>
      </c>
      <c r="AA2833">
        <v>0.61548959967308037</v>
      </c>
      <c r="AB2833" t="str">
        <f>HYPERLINK("Melting_Curves/meltCurve_Q12893_TMEM115.pdf", "Melting_Curves/meltCurve_Q12893_TMEM115.pdf")</f>
        <v>Melting_Curves/meltCurve_Q12893_TMEM115.pdf</v>
      </c>
    </row>
    <row r="2834" spans="1:28" x14ac:dyDescent="0.25">
      <c r="A2834" t="s">
        <v>2838</v>
      </c>
      <c r="B2834">
        <v>0.99299721793515405</v>
      </c>
      <c r="C2834">
        <v>1.02354251875277</v>
      </c>
      <c r="D2834">
        <v>1.1431055687215299</v>
      </c>
      <c r="E2834">
        <v>0.74556683868589402</v>
      </c>
      <c r="F2834">
        <v>0.59798969039592698</v>
      </c>
      <c r="G2834">
        <v>0.47274821820344698</v>
      </c>
      <c r="H2834">
        <v>0.58543612564833802</v>
      </c>
      <c r="I2834">
        <v>0.37631324106825698</v>
      </c>
      <c r="J2834">
        <v>0.38139783475802003</v>
      </c>
      <c r="K2834">
        <v>0.51954800234839005</v>
      </c>
      <c r="L2834">
        <v>1550.13397113564</v>
      </c>
      <c r="M2834">
        <v>32.784316765685404</v>
      </c>
      <c r="N2834">
        <v>51.835714545117497</v>
      </c>
      <c r="O2834">
        <v>47.107907183664899</v>
      </c>
      <c r="P2834">
        <v>-9.1878442156724097E-2</v>
      </c>
      <c r="Q2834">
        <v>0.47192051109233102</v>
      </c>
      <c r="R2834">
        <v>0.90654589559911503</v>
      </c>
      <c r="S2834" t="s">
        <v>8385</v>
      </c>
      <c r="T2834" t="s">
        <v>11100</v>
      </c>
      <c r="U2834" t="s">
        <v>11100</v>
      </c>
      <c r="V2834" t="s">
        <v>11100</v>
      </c>
      <c r="W2834" t="s">
        <v>13891</v>
      </c>
      <c r="X2834">
        <v>6</v>
      </c>
      <c r="Y2834" t="s">
        <v>19345</v>
      </c>
      <c r="Z2834" t="s">
        <v>24839</v>
      </c>
      <c r="AA2834">
        <v>0.65550421806995662</v>
      </c>
      <c r="AB2834" t="str">
        <f>HYPERLINK("Melting_Curves/meltCurve_Q12904_AIMP1.pdf", "Melting_Curves/meltCurve_Q12904_AIMP1.pdf")</f>
        <v>Melting_Curves/meltCurve_Q12904_AIMP1.pdf</v>
      </c>
    </row>
    <row r="2835" spans="1:28" x14ac:dyDescent="0.25">
      <c r="A2835" t="s">
        <v>2839</v>
      </c>
      <c r="B2835">
        <v>0.99299721793515405</v>
      </c>
      <c r="C2835">
        <v>0.90398369935765299</v>
      </c>
      <c r="D2835">
        <v>0.79633841361649504</v>
      </c>
      <c r="E2835">
        <v>0.65693445345675405</v>
      </c>
      <c r="F2835">
        <v>0.50103779194778697</v>
      </c>
      <c r="G2835">
        <v>0.43642879370408499</v>
      </c>
      <c r="H2835">
        <v>0.53458484590666999</v>
      </c>
      <c r="I2835">
        <v>0.45147407566078501</v>
      </c>
      <c r="J2835">
        <v>0.29149628491969998</v>
      </c>
      <c r="K2835">
        <v>0.115890049209558</v>
      </c>
      <c r="L2835">
        <v>299.80798197032499</v>
      </c>
      <c r="M2835">
        <v>5.6054594256648498</v>
      </c>
      <c r="N2835">
        <v>53.484997246405698</v>
      </c>
      <c r="O2835">
        <v>47.8403882274322</v>
      </c>
      <c r="P2835">
        <v>-2.94132128070652E-2</v>
      </c>
      <c r="Q2835">
        <v>0</v>
      </c>
      <c r="R2835">
        <v>0.90245149145678705</v>
      </c>
      <c r="S2835" t="s">
        <v>8386</v>
      </c>
      <c r="T2835" t="s">
        <v>11100</v>
      </c>
      <c r="U2835" t="s">
        <v>11100</v>
      </c>
      <c r="V2835" t="s">
        <v>11100</v>
      </c>
      <c r="W2835" t="s">
        <v>13892</v>
      </c>
      <c r="X2835">
        <v>4</v>
      </c>
      <c r="Y2835" t="s">
        <v>19346</v>
      </c>
      <c r="Z2835" t="s">
        <v>24840</v>
      </c>
      <c r="AA2835">
        <v>0.56004650413167589</v>
      </c>
      <c r="AB2835" t="str">
        <f>HYPERLINK("Melting_Curves/meltCurve_Q12905_ILF2.pdf", "Melting_Curves/meltCurve_Q12905_ILF2.pdf")</f>
        <v>Melting_Curves/meltCurve_Q12905_ILF2.pdf</v>
      </c>
    </row>
    <row r="2836" spans="1:28" x14ac:dyDescent="0.25">
      <c r="A2836" t="s">
        <v>2840</v>
      </c>
      <c r="B2836">
        <v>0.99299721793515405</v>
      </c>
      <c r="C2836">
        <v>0.91050032723824403</v>
      </c>
      <c r="D2836">
        <v>0.88872075245679905</v>
      </c>
      <c r="E2836">
        <v>0.76662805440633597</v>
      </c>
      <c r="F2836">
        <v>0.74470861151107903</v>
      </c>
      <c r="G2836">
        <v>0.72253089050249297</v>
      </c>
      <c r="H2836">
        <v>0.85317364240105198</v>
      </c>
      <c r="I2836">
        <v>0.74310898880072696</v>
      </c>
      <c r="J2836">
        <v>0.29189184731221302</v>
      </c>
      <c r="K2836">
        <v>0.220471468652335</v>
      </c>
      <c r="L2836">
        <v>408.30828340715902</v>
      </c>
      <c r="M2836">
        <v>6.5832740000508503</v>
      </c>
      <c r="N2836">
        <v>62.022070255882099</v>
      </c>
      <c r="O2836">
        <v>57.046984305173702</v>
      </c>
      <c r="P2836">
        <v>-2.89171355080972E-2</v>
      </c>
      <c r="Q2836">
        <v>0</v>
      </c>
      <c r="R2836">
        <v>0.70041760613994597</v>
      </c>
      <c r="S2836" t="s">
        <v>8387</v>
      </c>
      <c r="T2836" t="s">
        <v>11100</v>
      </c>
      <c r="U2836" t="s">
        <v>11100</v>
      </c>
      <c r="V2836" t="s">
        <v>11100</v>
      </c>
      <c r="W2836" t="s">
        <v>13893</v>
      </c>
      <c r="X2836">
        <v>13</v>
      </c>
      <c r="Y2836" t="s">
        <v>19347</v>
      </c>
      <c r="Z2836" t="s">
        <v>24841</v>
      </c>
      <c r="AA2836">
        <v>0.74396330029742308</v>
      </c>
      <c r="AB2836" t="str">
        <f>HYPERLINK("Melting_Curves/meltCurve_Q12906_ILF3.pdf", "Melting_Curves/meltCurve_Q12906_ILF3.pdf")</f>
        <v>Melting_Curves/meltCurve_Q12906_ILF3.pdf</v>
      </c>
    </row>
    <row r="2837" spans="1:28" x14ac:dyDescent="0.25">
      <c r="A2837" t="s">
        <v>2841</v>
      </c>
      <c r="B2837">
        <v>0.99299721793515405</v>
      </c>
      <c r="C2837">
        <v>1.24148403722778</v>
      </c>
      <c r="D2837">
        <v>0.99334751853135195</v>
      </c>
      <c r="E2837">
        <v>1.0318984756116101</v>
      </c>
      <c r="F2837">
        <v>0.88932055999875503</v>
      </c>
      <c r="G2837">
        <v>0.60548006856712899</v>
      </c>
      <c r="H2837">
        <v>0.34817919840564698</v>
      </c>
      <c r="I2837">
        <v>0.23692506140744099</v>
      </c>
      <c r="J2837">
        <v>0.18874727411485401</v>
      </c>
      <c r="K2837">
        <v>0.12530692570495999</v>
      </c>
      <c r="L2837">
        <v>1230.5037674571299</v>
      </c>
      <c r="M2837">
        <v>22.645633143404002</v>
      </c>
      <c r="N2837">
        <v>55.1902873121483</v>
      </c>
      <c r="O2837">
        <v>53.918968387893102</v>
      </c>
      <c r="P2837">
        <v>-8.9497529220717395E-2</v>
      </c>
      <c r="Q2837">
        <v>0.14764722054949</v>
      </c>
      <c r="R2837">
        <v>0.95881945972454996</v>
      </c>
      <c r="S2837" t="s">
        <v>8388</v>
      </c>
      <c r="T2837" t="s">
        <v>11100</v>
      </c>
      <c r="U2837" t="s">
        <v>11100</v>
      </c>
      <c r="V2837" t="s">
        <v>11100</v>
      </c>
      <c r="W2837" t="s">
        <v>13894</v>
      </c>
      <c r="X2837">
        <v>14</v>
      </c>
      <c r="Y2837" t="s">
        <v>19348</v>
      </c>
      <c r="Z2837" t="s">
        <v>24842</v>
      </c>
      <c r="AA2837">
        <v>0.64880769352625878</v>
      </c>
      <c r="AB2837" t="str">
        <f>HYPERLINK("Melting_Curves/meltCurve_Q12907_LMAN2.pdf", "Melting_Curves/meltCurve_Q12907_LMAN2.pdf")</f>
        <v>Melting_Curves/meltCurve_Q12907_LMAN2.pdf</v>
      </c>
    </row>
    <row r="2838" spans="1:28" x14ac:dyDescent="0.25">
      <c r="A2838" t="s">
        <v>2842</v>
      </c>
      <c r="B2838">
        <v>0.99299721793515405</v>
      </c>
      <c r="C2838">
        <v>0.95452752244242101</v>
      </c>
      <c r="D2838">
        <v>0.90523061154382101</v>
      </c>
      <c r="E2838">
        <v>0.84040365593923405</v>
      </c>
      <c r="F2838">
        <v>0.75398376111112297</v>
      </c>
      <c r="G2838">
        <v>0.41635513991620898</v>
      </c>
      <c r="H2838">
        <v>0.34374610220617702</v>
      </c>
      <c r="I2838">
        <v>0.27846591959053502</v>
      </c>
      <c r="J2838">
        <v>0.29234968311602599</v>
      </c>
      <c r="K2838">
        <v>0.2791369979153</v>
      </c>
      <c r="L2838">
        <v>841.69843461810399</v>
      </c>
      <c r="M2838">
        <v>16.5027936933887</v>
      </c>
      <c r="N2838">
        <v>53.215983846678299</v>
      </c>
      <c r="O2838">
        <v>50.2721184451716</v>
      </c>
      <c r="P2838">
        <v>-6.1698913303262402E-2</v>
      </c>
      <c r="Q2838">
        <v>0.24824372408272999</v>
      </c>
      <c r="R2838">
        <v>0.98050550321161301</v>
      </c>
      <c r="S2838" t="s">
        <v>8389</v>
      </c>
      <c r="T2838" t="s">
        <v>11100</v>
      </c>
      <c r="U2838" t="s">
        <v>11100</v>
      </c>
      <c r="V2838" t="s">
        <v>11100</v>
      </c>
      <c r="W2838" t="s">
        <v>13895</v>
      </c>
      <c r="X2838">
        <v>9</v>
      </c>
      <c r="Y2838" t="s">
        <v>19349</v>
      </c>
      <c r="Z2838" t="s">
        <v>24843</v>
      </c>
      <c r="AA2838">
        <v>0.61242004134797279</v>
      </c>
      <c r="AB2838" t="str">
        <f>HYPERLINK("Melting_Curves/meltCurve_Q12929_EPS8.pdf", "Melting_Curves/meltCurve_Q12929_EPS8.pdf")</f>
        <v>Melting_Curves/meltCurve_Q12929_EPS8.pdf</v>
      </c>
    </row>
    <row r="2839" spans="1:28" x14ac:dyDescent="0.25">
      <c r="A2839" t="s">
        <v>2843</v>
      </c>
      <c r="B2839">
        <v>0.99299721793515405</v>
      </c>
      <c r="C2839">
        <v>0.94311174996142799</v>
      </c>
      <c r="D2839">
        <v>1.02759206803289</v>
      </c>
      <c r="E2839">
        <v>0.86190619721518102</v>
      </c>
      <c r="F2839">
        <v>0.74287558200407899</v>
      </c>
      <c r="G2839">
        <v>0.79775548559857501</v>
      </c>
      <c r="H2839">
        <v>0.57350219079325804</v>
      </c>
      <c r="I2839">
        <v>0.14298896535896999</v>
      </c>
      <c r="J2839">
        <v>0.107071815750476</v>
      </c>
      <c r="K2839">
        <v>0.10322857932259601</v>
      </c>
      <c r="L2839">
        <v>900.38385154968398</v>
      </c>
      <c r="M2839">
        <v>15.8131148002596</v>
      </c>
      <c r="N2839">
        <v>56.939057574836603</v>
      </c>
      <c r="O2839">
        <v>56.051790367987799</v>
      </c>
      <c r="P2839">
        <v>-7.0534825335642495E-2</v>
      </c>
      <c r="Q2839">
        <v>0</v>
      </c>
      <c r="R2839">
        <v>0.94365338073064997</v>
      </c>
      <c r="S2839" t="s">
        <v>8390</v>
      </c>
      <c r="T2839" t="s">
        <v>11100</v>
      </c>
      <c r="U2839" t="s">
        <v>11100</v>
      </c>
      <c r="V2839" t="s">
        <v>11100</v>
      </c>
      <c r="W2839" t="s">
        <v>13896</v>
      </c>
      <c r="X2839">
        <v>13</v>
      </c>
      <c r="Y2839" t="s">
        <v>19350</v>
      </c>
      <c r="Z2839" t="s">
        <v>24844</v>
      </c>
      <c r="AA2839">
        <v>0.6734173633764885</v>
      </c>
      <c r="AB2839" t="str">
        <f>HYPERLINK("Melting_Curves/meltCurve_Q12933_3_TRAF2.pdf", "Melting_Curves/meltCurve_Q12933_3_TRAF2.pdf")</f>
        <v>Melting_Curves/meltCurve_Q12933_3_TRAF2.pdf</v>
      </c>
    </row>
    <row r="2840" spans="1:28" x14ac:dyDescent="0.25">
      <c r="A2840" t="s">
        <v>2844</v>
      </c>
      <c r="B2840">
        <v>0.99299721793515405</v>
      </c>
      <c r="C2840">
        <v>1.0368803739105701</v>
      </c>
      <c r="D2840">
        <v>0.91169185043793</v>
      </c>
      <c r="E2840">
        <v>0.85016318834548299</v>
      </c>
      <c r="F2840">
        <v>0.51033183037115204</v>
      </c>
      <c r="G2840">
        <v>0.190950396813795</v>
      </c>
      <c r="H2840">
        <v>0.14688916026601601</v>
      </c>
      <c r="I2840">
        <v>0.112101276492758</v>
      </c>
      <c r="J2840">
        <v>0.118328959549104</v>
      </c>
      <c r="K2840">
        <v>2.94904367299322E-2</v>
      </c>
      <c r="L2840">
        <v>1118.8678215662401</v>
      </c>
      <c r="M2840">
        <v>22.465373766101699</v>
      </c>
      <c r="N2840">
        <v>50.1871573953675</v>
      </c>
      <c r="O2840">
        <v>49.414527019469503</v>
      </c>
      <c r="P2840">
        <v>-0.104705300562387</v>
      </c>
      <c r="Q2840">
        <v>7.8785844089336393E-2</v>
      </c>
      <c r="R2840">
        <v>0.99245636689439298</v>
      </c>
      <c r="S2840" t="s">
        <v>8391</v>
      </c>
      <c r="T2840" t="s">
        <v>11100</v>
      </c>
      <c r="U2840" t="s">
        <v>11100</v>
      </c>
      <c r="V2840" t="s">
        <v>11100</v>
      </c>
      <c r="W2840" t="s">
        <v>13897</v>
      </c>
      <c r="X2840">
        <v>2</v>
      </c>
      <c r="Y2840" t="s">
        <v>19351</v>
      </c>
      <c r="Z2840" t="s">
        <v>24845</v>
      </c>
      <c r="AA2840">
        <v>0.48179655665012538</v>
      </c>
      <c r="AB2840" t="str">
        <f>HYPERLINK("Melting_Curves/meltCurve_Q12948_FOXC1.pdf", "Melting_Curves/meltCurve_Q12948_FOXC1.pdf")</f>
        <v>Melting_Curves/meltCurve_Q12948_FOXC1.pdf</v>
      </c>
    </row>
    <row r="2841" spans="1:28" x14ac:dyDescent="0.25">
      <c r="A2841" t="s">
        <v>2845</v>
      </c>
      <c r="B2841">
        <v>0.99299721793515405</v>
      </c>
      <c r="C2841">
        <v>0.98225693030167205</v>
      </c>
      <c r="D2841">
        <v>0.88678254255175504</v>
      </c>
      <c r="E2841">
        <v>0.81623109014458195</v>
      </c>
      <c r="F2841">
        <v>0.69881543010010205</v>
      </c>
      <c r="G2841">
        <v>0.58176198143793001</v>
      </c>
      <c r="H2841">
        <v>0.40566099707866998</v>
      </c>
      <c r="I2841">
        <v>0.20210806155320199</v>
      </c>
      <c r="J2841">
        <v>0.151862890195159</v>
      </c>
      <c r="K2841">
        <v>0.11541874025172801</v>
      </c>
      <c r="L2841">
        <v>555.87441562646302</v>
      </c>
      <c r="M2841">
        <v>10.215074969960799</v>
      </c>
      <c r="N2841">
        <v>54.417066424409697</v>
      </c>
      <c r="O2841">
        <v>52.455253993054797</v>
      </c>
      <c r="P2841">
        <v>-4.8706536007527501E-2</v>
      </c>
      <c r="Q2841">
        <v>0</v>
      </c>
      <c r="R2841">
        <v>0.99009044829540804</v>
      </c>
      <c r="S2841" t="s">
        <v>8392</v>
      </c>
      <c r="T2841" t="s">
        <v>11100</v>
      </c>
      <c r="U2841" t="s">
        <v>11100</v>
      </c>
      <c r="V2841" t="s">
        <v>11100</v>
      </c>
      <c r="W2841" t="s">
        <v>13898</v>
      </c>
      <c r="X2841">
        <v>9</v>
      </c>
      <c r="Y2841" t="s">
        <v>19352</v>
      </c>
      <c r="Z2841" t="s">
        <v>24846</v>
      </c>
      <c r="AA2841">
        <v>0.5961986412620206</v>
      </c>
      <c r="AB2841" t="str">
        <f>HYPERLINK("Melting_Curves/meltCurve_Q12955_6_ANK3.pdf", "Melting_Curves/meltCurve_Q12955_6_ANK3.pdf")</f>
        <v>Melting_Curves/meltCurve_Q12955_6_ANK3.pdf</v>
      </c>
    </row>
    <row r="2842" spans="1:28" x14ac:dyDescent="0.25">
      <c r="A2842" t="s">
        <v>2846</v>
      </c>
      <c r="B2842">
        <v>0.99299721793515405</v>
      </c>
      <c r="C2842">
        <v>1.0460479954559501</v>
      </c>
      <c r="D2842">
        <v>0.87998772784317802</v>
      </c>
      <c r="E2842">
        <v>0.82427451337428703</v>
      </c>
      <c r="F2842">
        <v>0.66501881138145402</v>
      </c>
      <c r="G2842">
        <v>0.55274986290700401</v>
      </c>
      <c r="H2842">
        <v>0.35085419237424198</v>
      </c>
      <c r="I2842">
        <v>0.21235812162574799</v>
      </c>
      <c r="J2842">
        <v>0.191249962604914</v>
      </c>
      <c r="K2842">
        <v>0.10117563951530401</v>
      </c>
      <c r="L2842">
        <v>545.85916456916596</v>
      </c>
      <c r="M2842">
        <v>10.1097895398196</v>
      </c>
      <c r="N2842">
        <v>53.993137020141603</v>
      </c>
      <c r="O2842">
        <v>52.008301674730703</v>
      </c>
      <c r="P2842">
        <v>-4.8619673859021897E-2</v>
      </c>
      <c r="Q2842">
        <v>0</v>
      </c>
      <c r="R2842">
        <v>0.98937133543601696</v>
      </c>
      <c r="S2842" t="s">
        <v>8393</v>
      </c>
      <c r="T2842" t="s">
        <v>11100</v>
      </c>
      <c r="U2842" t="s">
        <v>11100</v>
      </c>
      <c r="V2842" t="s">
        <v>11100</v>
      </c>
      <c r="W2842" t="s">
        <v>13899</v>
      </c>
      <c r="X2842">
        <v>6</v>
      </c>
      <c r="Y2842" t="s">
        <v>19353</v>
      </c>
      <c r="Z2842" t="s">
        <v>24847</v>
      </c>
      <c r="AA2842">
        <v>0.58413309593838691</v>
      </c>
      <c r="AB2842" t="str">
        <f>HYPERLINK("Melting_Curves/meltCurve_Q12959_5_DLG1.pdf", "Melting_Curves/meltCurve_Q12959_5_DLG1.pdf")</f>
        <v>Melting_Curves/meltCurve_Q12959_5_DLG1.pdf</v>
      </c>
    </row>
    <row r="2843" spans="1:28" x14ac:dyDescent="0.25">
      <c r="A2843" t="s">
        <v>2847</v>
      </c>
      <c r="B2843">
        <v>0.99299721793515405</v>
      </c>
      <c r="C2843">
        <v>0.87457054114600496</v>
      </c>
      <c r="D2843">
        <v>0.94039583395869497</v>
      </c>
      <c r="E2843">
        <v>0.80145083418823704</v>
      </c>
      <c r="F2843">
        <v>0.78852087345053101</v>
      </c>
      <c r="G2843">
        <v>0.66276353072816696</v>
      </c>
      <c r="H2843">
        <v>0.73459638657408599</v>
      </c>
      <c r="I2843">
        <v>0.95814976720410905</v>
      </c>
      <c r="J2843">
        <v>0.98303530222311897</v>
      </c>
      <c r="K2843">
        <v>0.93539250456336398</v>
      </c>
      <c r="L2843">
        <v>897.57177688489003</v>
      </c>
      <c r="M2843">
        <v>22.717059558455801</v>
      </c>
      <c r="O2843">
        <v>39.208561006311598</v>
      </c>
      <c r="P2843">
        <v>-2.26230801874782E-2</v>
      </c>
      <c r="Q2843">
        <v>0.84381762972734298</v>
      </c>
      <c r="R2843">
        <v>0.159851203423865</v>
      </c>
      <c r="S2843" t="s">
        <v>8394</v>
      </c>
      <c r="T2843" t="s">
        <v>11100</v>
      </c>
      <c r="U2843" t="s">
        <v>11100</v>
      </c>
      <c r="V2843" t="s">
        <v>11100</v>
      </c>
      <c r="W2843" t="s">
        <v>13900</v>
      </c>
      <c r="X2843">
        <v>3</v>
      </c>
      <c r="Y2843" t="s">
        <v>19354</v>
      </c>
      <c r="Z2843" t="s">
        <v>24848</v>
      </c>
      <c r="AA2843">
        <v>0.85965697324501944</v>
      </c>
      <c r="AB2843" t="str">
        <f>HYPERLINK("Melting_Curves/meltCurve_Q12962_TAF10.pdf", "Melting_Curves/meltCurve_Q12962_TAF10.pdf")</f>
        <v>Melting_Curves/meltCurve_Q12962_TAF10.pdf</v>
      </c>
    </row>
    <row r="2844" spans="1:28" x14ac:dyDescent="0.25">
      <c r="A2844" t="s">
        <v>2848</v>
      </c>
      <c r="B2844">
        <v>0.99299721793515405</v>
      </c>
      <c r="C2844">
        <v>1.0769844340086201</v>
      </c>
      <c r="D2844">
        <v>0.90983938368264905</v>
      </c>
      <c r="E2844">
        <v>0.87873926407906</v>
      </c>
      <c r="F2844">
        <v>0.80243705261432197</v>
      </c>
      <c r="G2844">
        <v>0.28956956424556901</v>
      </c>
      <c r="H2844">
        <v>0.161105907045382</v>
      </c>
      <c r="I2844">
        <v>0.13128404351047501</v>
      </c>
      <c r="J2844">
        <v>0.112356806803096</v>
      </c>
      <c r="K2844">
        <v>0.129011651602676</v>
      </c>
      <c r="L2844">
        <v>1773.9434685625399</v>
      </c>
      <c r="M2844">
        <v>34.273968733308799</v>
      </c>
      <c r="N2844">
        <v>52.182401208939297</v>
      </c>
      <c r="O2844">
        <v>51.582503385508502</v>
      </c>
      <c r="P2844">
        <v>-0.14589677084405001</v>
      </c>
      <c r="Q2844">
        <v>0.121701761367695</v>
      </c>
      <c r="R2844">
        <v>0.98321972356143394</v>
      </c>
      <c r="S2844" t="s">
        <v>8395</v>
      </c>
      <c r="T2844" t="s">
        <v>11100</v>
      </c>
      <c r="U2844" t="s">
        <v>11100</v>
      </c>
      <c r="V2844" t="s">
        <v>11100</v>
      </c>
      <c r="W2844" t="s">
        <v>13901</v>
      </c>
      <c r="X2844">
        <v>10</v>
      </c>
      <c r="Y2844" t="s">
        <v>19355</v>
      </c>
      <c r="Z2844" t="s">
        <v>24849</v>
      </c>
      <c r="AA2844">
        <v>0.55802059734951681</v>
      </c>
      <c r="AB2844" t="str">
        <f>HYPERLINK("Melting_Curves/meltCurve_Q12965_MYO1E.pdf", "Melting_Curves/meltCurve_Q12965_MYO1E.pdf")</f>
        <v>Melting_Curves/meltCurve_Q12965_MYO1E.pdf</v>
      </c>
    </row>
    <row r="2845" spans="1:28" x14ac:dyDescent="0.25">
      <c r="A2845" t="s">
        <v>2849</v>
      </c>
      <c r="B2845">
        <v>0.99299721793515405</v>
      </c>
      <c r="C2845">
        <v>0.93161710551773003</v>
      </c>
      <c r="D2845">
        <v>0.98912412200460897</v>
      </c>
      <c r="E2845">
        <v>0.93977692724737205</v>
      </c>
      <c r="F2845">
        <v>0.82639729414748397</v>
      </c>
      <c r="G2845">
        <v>0.50267259767832795</v>
      </c>
      <c r="H2845">
        <v>0.31740292148447202</v>
      </c>
      <c r="I2845">
        <v>0.24780747840779599</v>
      </c>
      <c r="J2845">
        <v>0.22340858783061601</v>
      </c>
      <c r="K2845">
        <v>0.178026790856852</v>
      </c>
      <c r="L2845">
        <v>1152.5697543977101</v>
      </c>
      <c r="M2845">
        <v>21.812466685093199</v>
      </c>
      <c r="N2845">
        <v>54.048594163662898</v>
      </c>
      <c r="O2845">
        <v>52.401847150105901</v>
      </c>
      <c r="P2845">
        <v>-8.3980766252953407E-2</v>
      </c>
      <c r="Q2845">
        <v>0.19300360105675499</v>
      </c>
      <c r="R2845">
        <v>0.99406009862158295</v>
      </c>
      <c r="S2845" t="s">
        <v>8396</v>
      </c>
      <c r="T2845" t="s">
        <v>11100</v>
      </c>
      <c r="U2845" t="s">
        <v>11100</v>
      </c>
      <c r="V2845" t="s">
        <v>11100</v>
      </c>
      <c r="W2845" t="s">
        <v>13902</v>
      </c>
      <c r="X2845">
        <v>12</v>
      </c>
      <c r="Y2845" t="s">
        <v>19356</v>
      </c>
      <c r="Z2845" t="s">
        <v>24850</v>
      </c>
      <c r="AA2845">
        <v>0.62804765285245068</v>
      </c>
      <c r="AB2845" t="str">
        <f>HYPERLINK("Melting_Curves/meltCurve_Q12972_PPP1R8.pdf", "Melting_Curves/meltCurve_Q12972_PPP1R8.pdf")</f>
        <v>Melting_Curves/meltCurve_Q12972_PPP1R8.pdf</v>
      </c>
    </row>
    <row r="2846" spans="1:28" x14ac:dyDescent="0.25">
      <c r="A2846" t="s">
        <v>2850</v>
      </c>
      <c r="B2846">
        <v>0.99299721793515405</v>
      </c>
      <c r="C2846">
        <v>1.02664148088933</v>
      </c>
      <c r="D2846">
        <v>0.93585618093995704</v>
      </c>
      <c r="E2846">
        <v>0.84990971943066895</v>
      </c>
      <c r="F2846">
        <v>0.89001701601463701</v>
      </c>
      <c r="G2846">
        <v>0.46596238563459202</v>
      </c>
      <c r="H2846">
        <v>0.39762098497693898</v>
      </c>
      <c r="I2846">
        <v>0.269748945038221</v>
      </c>
      <c r="J2846">
        <v>0.16782733776199901</v>
      </c>
      <c r="K2846">
        <v>6.2334208238419501E-2</v>
      </c>
      <c r="L2846">
        <v>676.42762561151403</v>
      </c>
      <c r="M2846">
        <v>12.2798301530133</v>
      </c>
      <c r="N2846">
        <v>55.084444782615797</v>
      </c>
      <c r="O2846">
        <v>53.684741821886199</v>
      </c>
      <c r="P2846">
        <v>-5.7197524599947501E-2</v>
      </c>
      <c r="Q2846">
        <v>0</v>
      </c>
      <c r="R2846">
        <v>0.97161289231217496</v>
      </c>
      <c r="S2846" t="s">
        <v>8397</v>
      </c>
      <c r="T2846" t="s">
        <v>11100</v>
      </c>
      <c r="U2846" t="s">
        <v>11100</v>
      </c>
      <c r="V2846" t="s">
        <v>11100</v>
      </c>
      <c r="W2846" t="s">
        <v>13903</v>
      </c>
      <c r="X2846">
        <v>12</v>
      </c>
      <c r="Y2846" t="s">
        <v>19357</v>
      </c>
      <c r="Z2846" t="s">
        <v>24851</v>
      </c>
      <c r="AA2846">
        <v>0.61678181795517284</v>
      </c>
      <c r="AB2846" t="str">
        <f>HYPERLINK("Melting_Curves/meltCurve_Q12981_BNIP1.pdf", "Melting_Curves/meltCurve_Q12981_BNIP1.pdf")</f>
        <v>Melting_Curves/meltCurve_Q12981_BNIP1.pdf</v>
      </c>
    </row>
    <row r="2847" spans="1:28" x14ac:dyDescent="0.25">
      <c r="A2847" t="s">
        <v>2851</v>
      </c>
      <c r="B2847">
        <v>0.99299721793515405</v>
      </c>
      <c r="C2847">
        <v>0.919088611146337</v>
      </c>
      <c r="D2847">
        <v>1.24576550617966</v>
      </c>
      <c r="E2847">
        <v>0.88146013721036098</v>
      </c>
      <c r="F2847">
        <v>0.77467790788938995</v>
      </c>
      <c r="G2847">
        <v>1.43477606261486</v>
      </c>
      <c r="H2847">
        <v>0.81456839445547202</v>
      </c>
      <c r="I2847">
        <v>0.40485023650670399</v>
      </c>
      <c r="J2847">
        <v>0.35403899807523698</v>
      </c>
      <c r="K2847">
        <v>0.40620900203409299</v>
      </c>
      <c r="L2847">
        <v>13318.3677742823</v>
      </c>
      <c r="M2847">
        <v>231.195062390885</v>
      </c>
      <c r="N2847">
        <v>57.982668594534502</v>
      </c>
      <c r="O2847">
        <v>57.602332584495301</v>
      </c>
      <c r="P2847">
        <v>-0.61372024449739404</v>
      </c>
      <c r="Q2847">
        <v>0.38836569354821898</v>
      </c>
      <c r="R2847">
        <v>0.72318135351468904</v>
      </c>
      <c r="S2847" t="s">
        <v>8398</v>
      </c>
      <c r="T2847" t="s">
        <v>11100</v>
      </c>
      <c r="U2847" t="s">
        <v>11100</v>
      </c>
      <c r="V2847" t="s">
        <v>11100</v>
      </c>
      <c r="W2847" t="s">
        <v>13904</v>
      </c>
      <c r="X2847">
        <v>2</v>
      </c>
      <c r="Y2847" t="s">
        <v>19358</v>
      </c>
      <c r="Z2847" t="s">
        <v>24852</v>
      </c>
      <c r="AA2847">
        <v>0.80856200488296559</v>
      </c>
      <c r="AB2847" t="str">
        <f>HYPERLINK("Melting_Curves/meltCurve_Q12996_CSTF3.pdf", "Melting_Curves/meltCurve_Q12996_CSTF3.pdf")</f>
        <v>Melting_Curves/meltCurve_Q12996_CSTF3.pdf</v>
      </c>
    </row>
    <row r="2848" spans="1:28" x14ac:dyDescent="0.25">
      <c r="A2848" t="s">
        <v>2852</v>
      </c>
      <c r="B2848">
        <v>0.99299721793515405</v>
      </c>
      <c r="C2848">
        <v>0.96136215594643903</v>
      </c>
      <c r="D2848">
        <v>0.944550255007505</v>
      </c>
      <c r="E2848">
        <v>0.83416929269353401</v>
      </c>
      <c r="F2848">
        <v>0.76154567255469197</v>
      </c>
      <c r="G2848">
        <v>0.89244004623065398</v>
      </c>
      <c r="H2848">
        <v>0.73702724907381201</v>
      </c>
      <c r="I2848">
        <v>0.19093986237987801</v>
      </c>
      <c r="J2848">
        <v>0.147037457422727</v>
      </c>
      <c r="K2848">
        <v>0.12796345181515201</v>
      </c>
      <c r="L2848">
        <v>2787.2444347559399</v>
      </c>
      <c r="M2848">
        <v>47.805060933103803</v>
      </c>
      <c r="N2848">
        <v>58.6459245106334</v>
      </c>
      <c r="O2848">
        <v>58.202604945169497</v>
      </c>
      <c r="P2848">
        <v>-0.18038912230395801</v>
      </c>
      <c r="Q2848">
        <v>0.121506398387978</v>
      </c>
      <c r="R2848">
        <v>0.91438780870845804</v>
      </c>
      <c r="S2848" t="s">
        <v>8399</v>
      </c>
      <c r="T2848" t="s">
        <v>11100</v>
      </c>
      <c r="U2848" t="s">
        <v>11100</v>
      </c>
      <c r="V2848" t="s">
        <v>11100</v>
      </c>
      <c r="W2848" t="s">
        <v>13905</v>
      </c>
      <c r="X2848">
        <v>11</v>
      </c>
      <c r="Y2848" t="s">
        <v>19359</v>
      </c>
      <c r="Z2848" t="s">
        <v>24853</v>
      </c>
      <c r="AA2848">
        <v>0.74773785600528575</v>
      </c>
      <c r="AB2848" t="str">
        <f>HYPERLINK("Melting_Curves/meltCurve_Q13011_ECH1.pdf", "Melting_Curves/meltCurve_Q13011_ECH1.pdf")</f>
        <v>Melting_Curves/meltCurve_Q13011_ECH1.pdf</v>
      </c>
    </row>
    <row r="2849" spans="1:28" x14ac:dyDescent="0.25">
      <c r="A2849" t="s">
        <v>2853</v>
      </c>
      <c r="B2849">
        <v>0.99299721793515405</v>
      </c>
      <c r="C2849">
        <v>0.92120425229337599</v>
      </c>
      <c r="D2849">
        <v>0.77782139739124001</v>
      </c>
      <c r="E2849">
        <v>0.77221561339700995</v>
      </c>
      <c r="F2849">
        <v>0.72956070974156895</v>
      </c>
      <c r="G2849">
        <v>0.50752152406662199</v>
      </c>
      <c r="H2849">
        <v>0.36510219583769199</v>
      </c>
      <c r="I2849">
        <v>0.29240988785876798</v>
      </c>
      <c r="J2849">
        <v>0.32220682167760201</v>
      </c>
      <c r="K2849">
        <v>0.20944231004866101</v>
      </c>
      <c r="L2849">
        <v>370.344986377635</v>
      </c>
      <c r="M2849">
        <v>6.7962231651896596</v>
      </c>
      <c r="N2849">
        <v>54.492764197746297</v>
      </c>
      <c r="O2849">
        <v>50.358514865687702</v>
      </c>
      <c r="P2849">
        <v>-3.3808890473530098E-2</v>
      </c>
      <c r="Q2849">
        <v>0</v>
      </c>
      <c r="R2849">
        <v>0.96832685701966104</v>
      </c>
      <c r="S2849" t="s">
        <v>8400</v>
      </c>
      <c r="T2849" t="s">
        <v>11100</v>
      </c>
      <c r="U2849" t="s">
        <v>11100</v>
      </c>
      <c r="V2849" t="s">
        <v>11100</v>
      </c>
      <c r="W2849" t="s">
        <v>13906</v>
      </c>
      <c r="X2849">
        <v>1</v>
      </c>
      <c r="Y2849" t="s">
        <v>19360</v>
      </c>
      <c r="Z2849" t="s">
        <v>24854</v>
      </c>
      <c r="AA2849">
        <v>0.589001330604354</v>
      </c>
      <c r="AB2849" t="str">
        <f>HYPERLINK("Melting_Curves/meltCurve_Q13015_MLLT11.pdf", "Melting_Curves/meltCurve_Q13015_MLLT11.pdf")</f>
        <v>Melting_Curves/meltCurve_Q13015_MLLT11.pdf</v>
      </c>
    </row>
    <row r="2850" spans="1:28" x14ac:dyDescent="0.25">
      <c r="A2850" t="s">
        <v>2854</v>
      </c>
      <c r="B2850">
        <v>0.99299721793515405</v>
      </c>
      <c r="C2850">
        <v>0.97956440934296996</v>
      </c>
      <c r="D2850">
        <v>1.05425654321828</v>
      </c>
      <c r="E2850">
        <v>0.75549755255220497</v>
      </c>
      <c r="F2850">
        <v>0.63381225681856801</v>
      </c>
      <c r="G2850">
        <v>0.22929919923703501</v>
      </c>
      <c r="H2850">
        <v>0.157868201345019</v>
      </c>
      <c r="I2850">
        <v>0.111530372205267</v>
      </c>
      <c r="J2850">
        <v>0.117446592058639</v>
      </c>
      <c r="K2850">
        <v>8.7284240604103794E-2</v>
      </c>
      <c r="L2850">
        <v>1001.54865886481</v>
      </c>
      <c r="M2850">
        <v>19.8874441965473</v>
      </c>
      <c r="N2850">
        <v>50.829486639739898</v>
      </c>
      <c r="O2850">
        <v>49.859950035051902</v>
      </c>
      <c r="P2850">
        <v>-9.1366908564288002E-2</v>
      </c>
      <c r="Q2850">
        <v>8.3764045177277993E-2</v>
      </c>
      <c r="R2850">
        <v>0.98349658550914398</v>
      </c>
      <c r="S2850" t="s">
        <v>8401</v>
      </c>
      <c r="T2850" t="s">
        <v>11100</v>
      </c>
      <c r="U2850" t="s">
        <v>11100</v>
      </c>
      <c r="V2850" t="s">
        <v>11100</v>
      </c>
      <c r="W2850" t="s">
        <v>13907</v>
      </c>
      <c r="X2850">
        <v>4</v>
      </c>
      <c r="Y2850" t="s">
        <v>19361</v>
      </c>
      <c r="Z2850" t="s">
        <v>24855</v>
      </c>
      <c r="AA2850">
        <v>0.50398753693148524</v>
      </c>
      <c r="AB2850" t="str">
        <f>HYPERLINK("Melting_Curves/meltCurve_Q13017_2_ARHGAP5.pdf", "Melting_Curves/meltCurve_Q13017_2_ARHGAP5.pdf")</f>
        <v>Melting_Curves/meltCurve_Q13017_2_ARHGAP5.pdf</v>
      </c>
    </row>
    <row r="2851" spans="1:28" x14ac:dyDescent="0.25">
      <c r="A2851" t="s">
        <v>2855</v>
      </c>
      <c r="B2851">
        <v>0.99299721793515405</v>
      </c>
      <c r="C2851">
        <v>0.93676934844771298</v>
      </c>
      <c r="D2851">
        <v>0.91735722478885295</v>
      </c>
      <c r="E2851">
        <v>0.75992920782940898</v>
      </c>
      <c r="F2851">
        <v>0.71589244053102796</v>
      </c>
      <c r="G2851">
        <v>0.92622065806525899</v>
      </c>
      <c r="H2851">
        <v>0.94708519379466705</v>
      </c>
      <c r="I2851">
        <v>0.67207448803372005</v>
      </c>
      <c r="J2851">
        <v>0.36360636837805199</v>
      </c>
      <c r="K2851">
        <v>0.28375016300432498</v>
      </c>
      <c r="L2851">
        <v>2221.0154016861902</v>
      </c>
      <c r="M2851">
        <v>36.174414263436098</v>
      </c>
      <c r="N2851">
        <v>62.532343511350398</v>
      </c>
      <c r="O2851">
        <v>61.210686786506102</v>
      </c>
      <c r="P2851">
        <v>-0.11218636175053399</v>
      </c>
      <c r="Q2851">
        <v>0.24068066685165801</v>
      </c>
      <c r="R2851">
        <v>0.72753321516445801</v>
      </c>
      <c r="S2851" t="s">
        <v>8402</v>
      </c>
      <c r="T2851" t="s">
        <v>11100</v>
      </c>
      <c r="U2851" t="s">
        <v>11100</v>
      </c>
      <c r="V2851" t="s">
        <v>11100</v>
      </c>
      <c r="W2851" t="s">
        <v>13908</v>
      </c>
      <c r="X2851">
        <v>4</v>
      </c>
      <c r="Y2851" t="s">
        <v>19362</v>
      </c>
      <c r="Z2851" t="s">
        <v>24856</v>
      </c>
      <c r="AA2851">
        <v>0.85955472204353944</v>
      </c>
      <c r="AB2851" t="str">
        <f>HYPERLINK("Melting_Curves/meltCurve_Q13033_2_STRN3.pdf", "Melting_Curves/meltCurve_Q13033_2_STRN3.pdf")</f>
        <v>Melting_Curves/meltCurve_Q13033_2_STRN3.pdf</v>
      </c>
    </row>
    <row r="2852" spans="1:28" x14ac:dyDescent="0.25">
      <c r="A2852" t="s">
        <v>2856</v>
      </c>
      <c r="B2852">
        <v>0.99299721793515405</v>
      </c>
      <c r="C2852">
        <v>0.94583508602166599</v>
      </c>
      <c r="D2852">
        <v>0.90667174340877699</v>
      </c>
      <c r="E2852">
        <v>0.828695698557255</v>
      </c>
      <c r="F2852">
        <v>0.72131882803193903</v>
      </c>
      <c r="G2852">
        <v>0.47686099460859199</v>
      </c>
      <c r="H2852">
        <v>0.266235487365796</v>
      </c>
      <c r="I2852">
        <v>0.18328454052623</v>
      </c>
      <c r="J2852">
        <v>0.16640690860631699</v>
      </c>
      <c r="K2852">
        <v>0.123255482143359</v>
      </c>
      <c r="L2852">
        <v>652.30486768909896</v>
      </c>
      <c r="M2852">
        <v>12.3515946256618</v>
      </c>
      <c r="N2852">
        <v>53.2471461362341</v>
      </c>
      <c r="O2852">
        <v>51.484350493262099</v>
      </c>
      <c r="P2852">
        <v>-5.7106597496329799E-2</v>
      </c>
      <c r="Q2852">
        <v>4.8070274698087501E-2</v>
      </c>
      <c r="R2852">
        <v>0.99277136108267305</v>
      </c>
      <c r="S2852" t="s">
        <v>8403</v>
      </c>
      <c r="T2852" t="s">
        <v>11100</v>
      </c>
      <c r="U2852" t="s">
        <v>11100</v>
      </c>
      <c r="V2852" t="s">
        <v>11100</v>
      </c>
      <c r="W2852" t="s">
        <v>13909</v>
      </c>
      <c r="X2852">
        <v>14</v>
      </c>
      <c r="Y2852" t="s">
        <v>19363</v>
      </c>
      <c r="Z2852" t="s">
        <v>24857</v>
      </c>
      <c r="AA2852">
        <v>0.5700030146816667</v>
      </c>
      <c r="AB2852" t="str">
        <f>HYPERLINK("Melting_Curves/meltCurve_Q13043_STK4.pdf", "Melting_Curves/meltCurve_Q13043_STK4.pdf")</f>
        <v>Melting_Curves/meltCurve_Q13043_STK4.pdf</v>
      </c>
    </row>
    <row r="2853" spans="1:28" x14ac:dyDescent="0.25">
      <c r="A2853" t="s">
        <v>2857</v>
      </c>
      <c r="B2853">
        <v>0.99299721793515405</v>
      </c>
      <c r="C2853">
        <v>0.93195196756134702</v>
      </c>
      <c r="D2853">
        <v>0.83015949861134797</v>
      </c>
      <c r="E2853">
        <v>0.64768784178830296</v>
      </c>
      <c r="F2853">
        <v>0.84345100910075899</v>
      </c>
      <c r="G2853">
        <v>0.29793087231804199</v>
      </c>
      <c r="H2853">
        <v>0.182995013205593</v>
      </c>
      <c r="I2853">
        <v>0.25202291190970799</v>
      </c>
      <c r="J2853">
        <v>0.19984530818986401</v>
      </c>
      <c r="K2853">
        <v>0.19323847645492101</v>
      </c>
      <c r="L2853">
        <v>539.01101325383297</v>
      </c>
      <c r="M2853">
        <v>10.606749370384</v>
      </c>
      <c r="N2853">
        <v>51.798904290246497</v>
      </c>
      <c r="O2853">
        <v>49.111189472403801</v>
      </c>
      <c r="P2853">
        <v>-4.9098720927495697E-2</v>
      </c>
      <c r="Q2853">
        <v>9.1008546708560095E-2</v>
      </c>
      <c r="R2853">
        <v>0.89024850582501003</v>
      </c>
      <c r="S2853" t="s">
        <v>8404</v>
      </c>
      <c r="T2853" t="s">
        <v>11100</v>
      </c>
      <c r="U2853" t="s">
        <v>11100</v>
      </c>
      <c r="V2853" t="s">
        <v>11100</v>
      </c>
      <c r="W2853" t="s">
        <v>13910</v>
      </c>
      <c r="X2853">
        <v>18</v>
      </c>
      <c r="Y2853" t="s">
        <v>19364</v>
      </c>
      <c r="Z2853" t="s">
        <v>24858</v>
      </c>
      <c r="AA2853">
        <v>0.53664937610089558</v>
      </c>
      <c r="AB2853" t="str">
        <f>HYPERLINK("Melting_Curves/meltCurve_Q13045_FLII.pdf", "Melting_Curves/meltCurve_Q13045_FLII.pdf")</f>
        <v>Melting_Curves/meltCurve_Q13045_FLII.pdf</v>
      </c>
    </row>
    <row r="2854" spans="1:28" x14ac:dyDescent="0.25">
      <c r="A2854" t="s">
        <v>2858</v>
      </c>
      <c r="B2854">
        <v>0.99299721793515405</v>
      </c>
      <c r="C2854">
        <v>0.94641095355731297</v>
      </c>
      <c r="D2854">
        <v>0.89435664811319604</v>
      </c>
      <c r="E2854">
        <v>0.90734811593981601</v>
      </c>
      <c r="F2854">
        <v>0.75317922253768899</v>
      </c>
      <c r="G2854">
        <v>0.295688993853927</v>
      </c>
      <c r="H2854">
        <v>0.18703090533702901</v>
      </c>
      <c r="I2854">
        <v>0.17551521863127301</v>
      </c>
      <c r="J2854">
        <v>0.14856315086131799</v>
      </c>
      <c r="K2854">
        <v>0.12560220475346801</v>
      </c>
      <c r="L2854">
        <v>1557.0269911396299</v>
      </c>
      <c r="M2854">
        <v>30.276185353409801</v>
      </c>
      <c r="N2854">
        <v>52.0116364925547</v>
      </c>
      <c r="O2854">
        <v>51.204655237771298</v>
      </c>
      <c r="P2854">
        <v>-0.126514243527722</v>
      </c>
      <c r="Q2854">
        <v>0.14413561380728801</v>
      </c>
      <c r="R2854">
        <v>0.98524666820408502</v>
      </c>
      <c r="S2854" t="s">
        <v>8405</v>
      </c>
      <c r="T2854" t="s">
        <v>11100</v>
      </c>
      <c r="U2854" t="s">
        <v>11100</v>
      </c>
      <c r="V2854" t="s">
        <v>11100</v>
      </c>
      <c r="W2854" t="s">
        <v>13911</v>
      </c>
      <c r="X2854">
        <v>18</v>
      </c>
      <c r="Y2854" t="s">
        <v>19364</v>
      </c>
      <c r="Z2854" t="s">
        <v>24859</v>
      </c>
      <c r="AA2854">
        <v>0.56100229727900819</v>
      </c>
      <c r="AB2854" t="str">
        <f>HYPERLINK("Melting_Curves/meltCurve_Q13045_2_FLII.pdf", "Melting_Curves/meltCurve_Q13045_2_FLII.pdf")</f>
        <v>Melting_Curves/meltCurve_Q13045_2_FLII.pdf</v>
      </c>
    </row>
    <row r="2855" spans="1:28" x14ac:dyDescent="0.25">
      <c r="A2855" t="s">
        <v>2859</v>
      </c>
      <c r="B2855">
        <v>0.99299721793515405</v>
      </c>
      <c r="C2855">
        <v>0.94834517240819804</v>
      </c>
      <c r="D2855">
        <v>0.99025050417116001</v>
      </c>
      <c r="E2855">
        <v>0.80844281702959997</v>
      </c>
      <c r="F2855">
        <v>0.68614309601093904</v>
      </c>
      <c r="G2855">
        <v>0.269114197931479</v>
      </c>
      <c r="H2855">
        <v>0.21948748591806999</v>
      </c>
      <c r="I2855">
        <v>0.21469045851366</v>
      </c>
      <c r="J2855">
        <v>0.191149659803868</v>
      </c>
      <c r="K2855">
        <v>0.147820913769111</v>
      </c>
      <c r="L2855">
        <v>1070.0553314563001</v>
      </c>
      <c r="M2855">
        <v>21.195138582854501</v>
      </c>
      <c r="N2855">
        <v>51.436558616058399</v>
      </c>
      <c r="O2855">
        <v>50.042915007189798</v>
      </c>
      <c r="P2855">
        <v>-8.8727151518470201E-2</v>
      </c>
      <c r="Q2855">
        <v>0.16206248109634999</v>
      </c>
      <c r="R2855">
        <v>0.98319895563142401</v>
      </c>
      <c r="S2855" t="s">
        <v>8406</v>
      </c>
      <c r="T2855" t="s">
        <v>11100</v>
      </c>
      <c r="U2855" t="s">
        <v>11100</v>
      </c>
      <c r="V2855" t="s">
        <v>11100</v>
      </c>
      <c r="W2855" t="s">
        <v>13912</v>
      </c>
      <c r="X2855">
        <v>14</v>
      </c>
      <c r="Y2855" t="s">
        <v>19365</v>
      </c>
      <c r="Z2855" t="s">
        <v>24860</v>
      </c>
      <c r="AA2855">
        <v>0.54869627899067797</v>
      </c>
      <c r="AB2855" t="str">
        <f>HYPERLINK("Melting_Curves/meltCurve_Q13057_COASY.pdf", "Melting_Curves/meltCurve_Q13057_COASY.pdf")</f>
        <v>Melting_Curves/meltCurve_Q13057_COASY.pdf</v>
      </c>
    </row>
    <row r="2856" spans="1:28" x14ac:dyDescent="0.25">
      <c r="A2856" t="s">
        <v>2860</v>
      </c>
      <c r="B2856">
        <v>0.99299721793515405</v>
      </c>
      <c r="C2856">
        <v>0.91022714717208597</v>
      </c>
      <c r="D2856">
        <v>0.90093829590539598</v>
      </c>
      <c r="E2856">
        <v>0.82424520375736299</v>
      </c>
      <c r="F2856">
        <v>0.72370344379367202</v>
      </c>
      <c r="G2856">
        <v>0.67800691927046297</v>
      </c>
      <c r="H2856">
        <v>0.81710816035579703</v>
      </c>
      <c r="I2856">
        <v>0.44133656546693401</v>
      </c>
      <c r="J2856">
        <v>0.24538484316553699</v>
      </c>
      <c r="K2856">
        <v>0.19943642079891</v>
      </c>
      <c r="L2856">
        <v>467.906875330947</v>
      </c>
      <c r="M2856">
        <v>7.9195032729038104</v>
      </c>
      <c r="N2856">
        <v>59.0828533339782</v>
      </c>
      <c r="O2856">
        <v>55.6718830975678</v>
      </c>
      <c r="P2856">
        <v>-3.5605075693571901E-2</v>
      </c>
      <c r="Q2856">
        <v>0</v>
      </c>
      <c r="R2856">
        <v>0.85643714270287097</v>
      </c>
      <c r="S2856" t="s">
        <v>8407</v>
      </c>
      <c r="T2856" t="s">
        <v>11100</v>
      </c>
      <c r="U2856" t="s">
        <v>11100</v>
      </c>
      <c r="V2856" t="s">
        <v>11100</v>
      </c>
      <c r="W2856" t="s">
        <v>13913</v>
      </c>
      <c r="X2856">
        <v>15</v>
      </c>
      <c r="Y2856" t="s">
        <v>19366</v>
      </c>
      <c r="Z2856" t="s">
        <v>24861</v>
      </c>
      <c r="AA2856">
        <v>0.70270009006544432</v>
      </c>
      <c r="AB2856" t="str">
        <f>HYPERLINK("Melting_Curves/meltCurve_Q13098_GPS1.pdf", "Melting_Curves/meltCurve_Q13098_GPS1.pdf")</f>
        <v>Melting_Curves/meltCurve_Q13098_GPS1.pdf</v>
      </c>
    </row>
    <row r="2857" spans="1:28" x14ac:dyDescent="0.25">
      <c r="A2857" t="s">
        <v>2861</v>
      </c>
      <c r="B2857">
        <v>0.99299721793515405</v>
      </c>
      <c r="C2857">
        <v>0.798552109750023</v>
      </c>
      <c r="D2857">
        <v>1.08592903926151</v>
      </c>
      <c r="E2857">
        <v>0.75994888353568002</v>
      </c>
      <c r="F2857">
        <v>0.76269281953481005</v>
      </c>
      <c r="G2857">
        <v>0.45719050547777701</v>
      </c>
      <c r="H2857">
        <v>0.44303187032783198</v>
      </c>
      <c r="I2857">
        <v>0.54484669624861104</v>
      </c>
      <c r="J2857">
        <v>0.55666465526819997</v>
      </c>
      <c r="K2857">
        <v>0.54358626702120105</v>
      </c>
      <c r="L2857">
        <v>1060.7542622361</v>
      </c>
      <c r="M2857">
        <v>22.005173126753402</v>
      </c>
      <c r="O2857">
        <v>47.811955139669799</v>
      </c>
      <c r="P2857">
        <v>-5.6497538188580401E-2</v>
      </c>
      <c r="Q2857">
        <v>0.50898853098530294</v>
      </c>
      <c r="R2857">
        <v>0.79497763219124395</v>
      </c>
      <c r="S2857" t="s">
        <v>8408</v>
      </c>
      <c r="T2857" t="s">
        <v>11100</v>
      </c>
      <c r="U2857" t="s">
        <v>11100</v>
      </c>
      <c r="V2857" t="s">
        <v>11100</v>
      </c>
      <c r="W2857" t="s">
        <v>13914</v>
      </c>
      <c r="X2857">
        <v>2</v>
      </c>
      <c r="Y2857" t="s">
        <v>19367</v>
      </c>
      <c r="Z2857" t="s">
        <v>24862</v>
      </c>
      <c r="AA2857">
        <v>0.69776002954763894</v>
      </c>
      <c r="AB2857" t="str">
        <f>HYPERLINK("Melting_Curves/meltCurve_Q13111_2_CHAF1A.pdf", "Melting_Curves/meltCurve_Q13111_2_CHAF1A.pdf")</f>
        <v>Melting_Curves/meltCurve_Q13111_2_CHAF1A.pdf</v>
      </c>
    </row>
    <row r="2858" spans="1:28" x14ac:dyDescent="0.25">
      <c r="A2858" t="s">
        <v>2862</v>
      </c>
      <c r="B2858">
        <v>0.99299721793515405</v>
      </c>
      <c r="C2858">
        <v>0.93790391528829498</v>
      </c>
      <c r="D2858">
        <v>1.00042260559864</v>
      </c>
      <c r="E2858">
        <v>0.84794814531988005</v>
      </c>
      <c r="F2858">
        <v>0.89242314949905099</v>
      </c>
      <c r="G2858">
        <v>0.77165899639845803</v>
      </c>
      <c r="H2858">
        <v>0.82328026743687999</v>
      </c>
      <c r="I2858">
        <v>0.75616358521972804</v>
      </c>
      <c r="J2858">
        <v>0.40339033621255699</v>
      </c>
      <c r="K2858">
        <v>0.27418637808027502</v>
      </c>
      <c r="L2858">
        <v>724.93409582409402</v>
      </c>
      <c r="M2858">
        <v>11.460147278332499</v>
      </c>
      <c r="N2858">
        <v>63.256985499944598</v>
      </c>
      <c r="O2858">
        <v>61.422789635910704</v>
      </c>
      <c r="P2858">
        <v>-4.6657960743547201E-2</v>
      </c>
      <c r="Q2858">
        <v>0</v>
      </c>
      <c r="R2858">
        <v>0.86342301129501997</v>
      </c>
      <c r="S2858" t="s">
        <v>8409</v>
      </c>
      <c r="T2858" t="s">
        <v>11100</v>
      </c>
      <c r="U2858" t="s">
        <v>11100</v>
      </c>
      <c r="V2858" t="s">
        <v>11100</v>
      </c>
      <c r="W2858" t="s">
        <v>13915</v>
      </c>
      <c r="X2858">
        <v>7</v>
      </c>
      <c r="Y2858" t="s">
        <v>19368</v>
      </c>
      <c r="Z2858" t="s">
        <v>24863</v>
      </c>
      <c r="AA2858">
        <v>0.82087737716166354</v>
      </c>
      <c r="AB2858" t="str">
        <f>HYPERLINK("Melting_Curves/meltCurve_Q13112_CHAF1B.pdf", "Melting_Curves/meltCurve_Q13112_CHAF1B.pdf")</f>
        <v>Melting_Curves/meltCurve_Q13112_CHAF1B.pdf</v>
      </c>
    </row>
    <row r="2859" spans="1:28" x14ac:dyDescent="0.25">
      <c r="A2859" t="s">
        <v>2863</v>
      </c>
      <c r="B2859">
        <v>0.99299721793515405</v>
      </c>
      <c r="C2859">
        <v>0.90623644894858202</v>
      </c>
      <c r="D2859">
        <v>0.99736858747888202</v>
      </c>
      <c r="E2859">
        <v>0.76450989648998702</v>
      </c>
      <c r="F2859">
        <v>0.56027811204038802</v>
      </c>
      <c r="G2859">
        <v>0.31526151634188398</v>
      </c>
      <c r="H2859">
        <v>0.37257140327183902</v>
      </c>
      <c r="I2859">
        <v>0.31690268638689001</v>
      </c>
      <c r="J2859">
        <v>0.31990059987410702</v>
      </c>
      <c r="K2859">
        <v>0.18465123573586001</v>
      </c>
      <c r="L2859">
        <v>916.102486940885</v>
      </c>
      <c r="M2859">
        <v>18.797016801175999</v>
      </c>
      <c r="N2859">
        <v>50.837622642592898</v>
      </c>
      <c r="O2859">
        <v>48.1950349136089</v>
      </c>
      <c r="P2859">
        <v>-7.1174287269711006E-2</v>
      </c>
      <c r="Q2859">
        <v>0.27007468385245598</v>
      </c>
      <c r="R2859">
        <v>0.96770818497200395</v>
      </c>
      <c r="S2859" t="s">
        <v>8410</v>
      </c>
      <c r="T2859" t="s">
        <v>11100</v>
      </c>
      <c r="U2859" t="s">
        <v>11100</v>
      </c>
      <c r="V2859" t="s">
        <v>11100</v>
      </c>
      <c r="W2859" t="s">
        <v>13916</v>
      </c>
      <c r="X2859">
        <v>3</v>
      </c>
      <c r="Y2859" t="s">
        <v>19369</v>
      </c>
      <c r="Z2859" t="s">
        <v>24864</v>
      </c>
      <c r="AA2859">
        <v>0.56639665156303332</v>
      </c>
      <c r="AB2859" t="str">
        <f>HYPERLINK("Melting_Curves/meltCurve_Q13123_IK.pdf", "Melting_Curves/meltCurve_Q13123_IK.pdf")</f>
        <v>Melting_Curves/meltCurve_Q13123_IK.pdf</v>
      </c>
    </row>
    <row r="2860" spans="1:28" x14ac:dyDescent="0.25">
      <c r="A2860" t="s">
        <v>2864</v>
      </c>
      <c r="B2860">
        <v>0.99299721793515405</v>
      </c>
      <c r="C2860">
        <v>0.93790314972654898</v>
      </c>
      <c r="D2860">
        <v>0.86001812289484003</v>
      </c>
      <c r="E2860">
        <v>0.78553852877185404</v>
      </c>
      <c r="F2860">
        <v>0.68044236369996502</v>
      </c>
      <c r="G2860">
        <v>0.46438858220245199</v>
      </c>
      <c r="H2860">
        <v>0.53889953820903602</v>
      </c>
      <c r="I2860">
        <v>0.66180699295349799</v>
      </c>
      <c r="J2860">
        <v>0.70308986572025001</v>
      </c>
      <c r="K2860">
        <v>0.73219068148632904</v>
      </c>
      <c r="L2860">
        <v>877.80571812367896</v>
      </c>
      <c r="M2860">
        <v>19.7138758905066</v>
      </c>
      <c r="O2860">
        <v>44.0767008154791</v>
      </c>
      <c r="P2860">
        <v>-4.1814262563411898E-2</v>
      </c>
      <c r="Q2860">
        <v>0.626055871423425</v>
      </c>
      <c r="R2860">
        <v>0.75505176527060902</v>
      </c>
      <c r="S2860" t="s">
        <v>8411</v>
      </c>
      <c r="T2860" t="s">
        <v>11100</v>
      </c>
      <c r="U2860" t="s">
        <v>11100</v>
      </c>
      <c r="V2860" t="s">
        <v>11100</v>
      </c>
      <c r="W2860" t="s">
        <v>13917</v>
      </c>
      <c r="X2860">
        <v>13</v>
      </c>
      <c r="Y2860" t="s">
        <v>19370</v>
      </c>
      <c r="Z2860" t="s">
        <v>24865</v>
      </c>
      <c r="AA2860">
        <v>0.72498323500762296</v>
      </c>
      <c r="AB2860" t="str">
        <f>HYPERLINK("Melting_Curves/meltCurve_Q13126_MTAP.pdf", "Melting_Curves/meltCurve_Q13126_MTAP.pdf")</f>
        <v>Melting_Curves/meltCurve_Q13126_MTAP.pdf</v>
      </c>
    </row>
    <row r="2861" spans="1:28" x14ac:dyDescent="0.25">
      <c r="A2861" t="s">
        <v>2865</v>
      </c>
      <c r="B2861">
        <v>0.99299721793515405</v>
      </c>
      <c r="C2861">
        <v>0.92827743088804904</v>
      </c>
      <c r="D2861">
        <v>0.89783889647910697</v>
      </c>
      <c r="E2861">
        <v>0.85226079328572601</v>
      </c>
      <c r="F2861">
        <v>0.723910636266206</v>
      </c>
      <c r="G2861">
        <v>0.53783603988004003</v>
      </c>
      <c r="H2861">
        <v>0.301764354143503</v>
      </c>
      <c r="I2861">
        <v>0.160872833877926</v>
      </c>
      <c r="J2861">
        <v>0.14886500705757899</v>
      </c>
      <c r="K2861">
        <v>0.11529196279039</v>
      </c>
      <c r="L2861">
        <v>620.83125935305998</v>
      </c>
      <c r="M2861">
        <v>11.5283747454707</v>
      </c>
      <c r="N2861">
        <v>53.852452315356501</v>
      </c>
      <c r="O2861">
        <v>52.308517535684899</v>
      </c>
      <c r="P2861">
        <v>-5.5113478725177197E-2</v>
      </c>
      <c r="Q2861">
        <v>0</v>
      </c>
      <c r="R2861">
        <v>0.99058348485659298</v>
      </c>
      <c r="S2861" t="s">
        <v>8412</v>
      </c>
      <c r="T2861" t="s">
        <v>11100</v>
      </c>
      <c r="U2861" t="s">
        <v>11100</v>
      </c>
      <c r="V2861" t="s">
        <v>11100</v>
      </c>
      <c r="W2861" t="s">
        <v>13918</v>
      </c>
      <c r="X2861">
        <v>8</v>
      </c>
      <c r="Y2861" t="s">
        <v>19371</v>
      </c>
      <c r="Z2861" t="s">
        <v>24866</v>
      </c>
      <c r="AA2861">
        <v>0.58029476295648152</v>
      </c>
      <c r="AB2861" t="str">
        <f>HYPERLINK("Melting_Curves/meltCurve_Q13131_PRKAA1.pdf", "Melting_Curves/meltCurve_Q13131_PRKAA1.pdf")</f>
        <v>Melting_Curves/meltCurve_Q13131_PRKAA1.pdf</v>
      </c>
    </row>
    <row r="2862" spans="1:28" x14ac:dyDescent="0.25">
      <c r="A2862" t="s">
        <v>2866</v>
      </c>
      <c r="B2862">
        <v>0.99299721793515405</v>
      </c>
      <c r="C2862">
        <v>0.88106554412559701</v>
      </c>
      <c r="D2862">
        <v>0.76585855751357601</v>
      </c>
      <c r="E2862">
        <v>0.79827478106017802</v>
      </c>
      <c r="F2862">
        <v>0.71828082836892804</v>
      </c>
      <c r="G2862">
        <v>0.35574617891976701</v>
      </c>
      <c r="H2862">
        <v>0.371852172752622</v>
      </c>
      <c r="I2862">
        <v>0.36234720820265798</v>
      </c>
      <c r="J2862">
        <v>0.39238372782923903</v>
      </c>
      <c r="K2862">
        <v>0.40863763688788002</v>
      </c>
      <c r="L2862">
        <v>499.42318718800499</v>
      </c>
      <c r="M2862">
        <v>10.330605481102101</v>
      </c>
      <c r="N2862">
        <v>53.4348039044635</v>
      </c>
      <c r="O2862">
        <v>46.637695312422302</v>
      </c>
      <c r="P2862">
        <v>-3.8052991054478E-2</v>
      </c>
      <c r="Q2862">
        <v>0.31313150207003099</v>
      </c>
      <c r="R2862">
        <v>0.89661029029418204</v>
      </c>
      <c r="S2862" t="s">
        <v>8413</v>
      </c>
      <c r="T2862" t="s">
        <v>11100</v>
      </c>
      <c r="U2862" t="s">
        <v>11100</v>
      </c>
      <c r="V2862" t="s">
        <v>11100</v>
      </c>
      <c r="W2862" t="s">
        <v>13919</v>
      </c>
      <c r="X2862">
        <v>7</v>
      </c>
      <c r="Y2862" t="s">
        <v>19372</v>
      </c>
      <c r="Z2862" t="s">
        <v>24867</v>
      </c>
      <c r="AA2862">
        <v>0.59867753513922795</v>
      </c>
      <c r="AB2862" t="str">
        <f>HYPERLINK("Melting_Curves/meltCurve_Q13136_2_PPFIA1.pdf", "Melting_Curves/meltCurve_Q13136_2_PPFIA1.pdf")</f>
        <v>Melting_Curves/meltCurve_Q13136_2_PPFIA1.pdf</v>
      </c>
    </row>
    <row r="2863" spans="1:28" x14ac:dyDescent="0.25">
      <c r="A2863" t="s">
        <v>2867</v>
      </c>
      <c r="B2863">
        <v>0.99299721793515405</v>
      </c>
      <c r="C2863">
        <v>0.995641427147403</v>
      </c>
      <c r="D2863">
        <v>0.96378806491081503</v>
      </c>
      <c r="E2863">
        <v>0.80073385370462502</v>
      </c>
      <c r="F2863">
        <v>0.75772052517319699</v>
      </c>
      <c r="G2863">
        <v>0.68670454350096499</v>
      </c>
      <c r="H2863">
        <v>0.337554199941137</v>
      </c>
      <c r="I2863">
        <v>0.27362749648984502</v>
      </c>
      <c r="J2863">
        <v>0.233612789500104</v>
      </c>
      <c r="K2863">
        <v>0.203198421055585</v>
      </c>
      <c r="L2863">
        <v>594.75321314008795</v>
      </c>
      <c r="M2863">
        <v>10.8521732987834</v>
      </c>
      <c r="N2863">
        <v>55.516136624831297</v>
      </c>
      <c r="O2863">
        <v>53.042503527478701</v>
      </c>
      <c r="P2863">
        <v>-4.7846344363724501E-2</v>
      </c>
      <c r="Q2863">
        <v>6.4892122711394704E-2</v>
      </c>
      <c r="R2863">
        <v>0.97335903894779696</v>
      </c>
      <c r="S2863" t="s">
        <v>8414</v>
      </c>
      <c r="T2863" t="s">
        <v>11100</v>
      </c>
      <c r="U2863" t="s">
        <v>11100</v>
      </c>
      <c r="V2863" t="s">
        <v>11100</v>
      </c>
      <c r="W2863" t="s">
        <v>13920</v>
      </c>
      <c r="X2863">
        <v>5</v>
      </c>
      <c r="Y2863" t="s">
        <v>19373</v>
      </c>
      <c r="Z2863" t="s">
        <v>24868</v>
      </c>
      <c r="AA2863">
        <v>0.63323719273056267</v>
      </c>
      <c r="AB2863" t="str">
        <f>HYPERLINK("Melting_Curves/meltCurve_Q13137_4_CALCOCO2.pdf", "Melting_Curves/meltCurve_Q13137_4_CALCOCO2.pdf")</f>
        <v>Melting_Curves/meltCurve_Q13137_4_CALCOCO2.pdf</v>
      </c>
    </row>
    <row r="2864" spans="1:28" x14ac:dyDescent="0.25">
      <c r="A2864" t="s">
        <v>2868</v>
      </c>
      <c r="B2864">
        <v>0.99299721793515405</v>
      </c>
      <c r="C2864">
        <v>0.96237709711056996</v>
      </c>
      <c r="D2864">
        <v>0.99241500965544205</v>
      </c>
      <c r="E2864">
        <v>0.80146609063521101</v>
      </c>
      <c r="F2864">
        <v>0.33555121911239599</v>
      </c>
      <c r="G2864">
        <v>0.17519999995611699</v>
      </c>
      <c r="H2864">
        <v>0.12822937532702899</v>
      </c>
      <c r="I2864">
        <v>0.12114913390077001</v>
      </c>
      <c r="J2864">
        <v>0.13296804310046101</v>
      </c>
      <c r="K2864">
        <v>9.8812173740534998E-2</v>
      </c>
      <c r="L2864">
        <v>1501.9478559659501</v>
      </c>
      <c r="M2864">
        <v>31.011642797987999</v>
      </c>
      <c r="N2864">
        <v>48.868026495713401</v>
      </c>
      <c r="O2864">
        <v>48.231690034382602</v>
      </c>
      <c r="P2864">
        <v>-0.141307324045646</v>
      </c>
      <c r="Q2864">
        <v>0.120917002984258</v>
      </c>
      <c r="R2864">
        <v>0.99838928035065999</v>
      </c>
      <c r="S2864" t="s">
        <v>8415</v>
      </c>
      <c r="T2864" t="s">
        <v>11100</v>
      </c>
      <c r="U2864" t="s">
        <v>11100</v>
      </c>
      <c r="V2864" t="s">
        <v>11100</v>
      </c>
      <c r="W2864" t="s">
        <v>13921</v>
      </c>
      <c r="X2864">
        <v>14</v>
      </c>
      <c r="Y2864" t="s">
        <v>19374</v>
      </c>
      <c r="Z2864" t="s">
        <v>24869</v>
      </c>
      <c r="AA2864">
        <v>0.46080942742124059</v>
      </c>
      <c r="AB2864" t="str">
        <f>HYPERLINK("Melting_Curves/meltCurve_Q13148_TARDBP.pdf", "Melting_Curves/meltCurve_Q13148_TARDBP.pdf")</f>
        <v>Melting_Curves/meltCurve_Q13148_TARDBP.pdf</v>
      </c>
    </row>
    <row r="2865" spans="1:28" x14ac:dyDescent="0.25">
      <c r="A2865" t="s">
        <v>2869</v>
      </c>
      <c r="B2865">
        <v>0.99299721793515405</v>
      </c>
      <c r="C2865">
        <v>0.92210408467375704</v>
      </c>
      <c r="D2865">
        <v>1.16764139211852</v>
      </c>
      <c r="E2865">
        <v>0.96865459649665797</v>
      </c>
      <c r="F2865">
        <v>0.42476591234237598</v>
      </c>
      <c r="G2865">
        <v>0.25911437486982603</v>
      </c>
      <c r="H2865">
        <v>0.182062344268727</v>
      </c>
      <c r="I2865">
        <v>0.14190771981318301</v>
      </c>
      <c r="J2865">
        <v>0.15534349374082801</v>
      </c>
      <c r="K2865">
        <v>0.16044148003738901</v>
      </c>
      <c r="L2865">
        <v>2324.6027973113</v>
      </c>
      <c r="M2865">
        <v>47.077677441424903</v>
      </c>
      <c r="N2865">
        <v>49.8326765217911</v>
      </c>
      <c r="O2865">
        <v>49.289176619418299</v>
      </c>
      <c r="P2865">
        <v>-0.19709473501105301</v>
      </c>
      <c r="Q2865">
        <v>0.17458744101353699</v>
      </c>
      <c r="R2865">
        <v>0.97430436748189697</v>
      </c>
      <c r="S2865" t="s">
        <v>8416</v>
      </c>
      <c r="T2865" t="s">
        <v>11100</v>
      </c>
      <c r="U2865" t="s">
        <v>11100</v>
      </c>
      <c r="V2865" t="s">
        <v>11100</v>
      </c>
      <c r="W2865" t="s">
        <v>13922</v>
      </c>
      <c r="X2865">
        <v>1</v>
      </c>
      <c r="Y2865" t="s">
        <v>19375</v>
      </c>
      <c r="Z2865" t="s">
        <v>24870</v>
      </c>
      <c r="AA2865">
        <v>0.51718256457693057</v>
      </c>
      <c r="AB2865" t="str">
        <f>HYPERLINK("Melting_Curves/meltCurve_Q13151_HNRNPA0.pdf", "Melting_Curves/meltCurve_Q13151_HNRNPA0.pdf")</f>
        <v>Melting_Curves/meltCurve_Q13151_HNRNPA0.pdf</v>
      </c>
    </row>
    <row r="2866" spans="1:28" x14ac:dyDescent="0.25">
      <c r="A2866" t="s">
        <v>2870</v>
      </c>
      <c r="B2866">
        <v>0.99299721793515405</v>
      </c>
      <c r="C2866">
        <v>1.0394656438504699</v>
      </c>
      <c r="D2866">
        <v>0.92060563458848399</v>
      </c>
      <c r="E2866">
        <v>0.92656442697383301</v>
      </c>
      <c r="F2866">
        <v>0.80944631218884</v>
      </c>
      <c r="G2866">
        <v>0.662413980250531</v>
      </c>
      <c r="H2866">
        <v>0.63258130298322801</v>
      </c>
      <c r="I2866">
        <v>0.48878062385464899</v>
      </c>
      <c r="J2866">
        <v>0.18595503564870799</v>
      </c>
      <c r="K2866">
        <v>0.134315603359691</v>
      </c>
      <c r="L2866">
        <v>630.26895663170797</v>
      </c>
      <c r="M2866">
        <v>10.7976219021311</v>
      </c>
      <c r="N2866">
        <v>58.371089741611002</v>
      </c>
      <c r="O2866">
        <v>56.475920460288798</v>
      </c>
      <c r="P2866">
        <v>-4.78147796371809E-2</v>
      </c>
      <c r="Q2866">
        <v>0</v>
      </c>
      <c r="R2866">
        <v>0.95669286358619099</v>
      </c>
      <c r="S2866" t="s">
        <v>8417</v>
      </c>
      <c r="T2866" t="s">
        <v>11100</v>
      </c>
      <c r="U2866" t="s">
        <v>11100</v>
      </c>
      <c r="V2866" t="s">
        <v>11100</v>
      </c>
      <c r="W2866" t="s">
        <v>13923</v>
      </c>
      <c r="X2866">
        <v>21</v>
      </c>
      <c r="Y2866" t="s">
        <v>19376</v>
      </c>
      <c r="Z2866" t="s">
        <v>24871</v>
      </c>
      <c r="AA2866">
        <v>0.70432087180568681</v>
      </c>
      <c r="AB2866" t="str">
        <f>HYPERLINK("Melting_Curves/meltCurve_Q13153_PAK1.pdf", "Melting_Curves/meltCurve_Q13153_PAK1.pdf")</f>
        <v>Melting_Curves/meltCurve_Q13153_PAK1.pdf</v>
      </c>
    </row>
    <row r="2867" spans="1:28" x14ac:dyDescent="0.25">
      <c r="A2867" t="s">
        <v>2871</v>
      </c>
      <c r="B2867">
        <v>0.99299721793515405</v>
      </c>
      <c r="C2867">
        <v>1.01608174204791</v>
      </c>
      <c r="D2867">
        <v>0.96397195492624499</v>
      </c>
      <c r="E2867">
        <v>1.02049444893515</v>
      </c>
      <c r="F2867">
        <v>0.77659422461758998</v>
      </c>
      <c r="G2867">
        <v>0.234932482039029</v>
      </c>
      <c r="H2867">
        <v>0.119851894323054</v>
      </c>
      <c r="I2867">
        <v>8.6549691622150399E-2</v>
      </c>
      <c r="J2867">
        <v>6.3239814971402603E-2</v>
      </c>
      <c r="K2867">
        <v>5.0873590471195697E-2</v>
      </c>
      <c r="L2867">
        <v>2017.3037983588299</v>
      </c>
      <c r="M2867">
        <v>39.024888602866497</v>
      </c>
      <c r="N2867">
        <v>51.904921075205102</v>
      </c>
      <c r="O2867">
        <v>51.5575718558351</v>
      </c>
      <c r="P2867">
        <v>-0.175279161408706</v>
      </c>
      <c r="Q2867">
        <v>7.3724758133276599E-2</v>
      </c>
      <c r="R2867">
        <v>0.99770612896290001</v>
      </c>
      <c r="S2867" t="s">
        <v>8418</v>
      </c>
      <c r="T2867" t="s">
        <v>11100</v>
      </c>
      <c r="U2867" t="s">
        <v>11100</v>
      </c>
      <c r="V2867" t="s">
        <v>11100</v>
      </c>
      <c r="W2867" t="s">
        <v>13924</v>
      </c>
      <c r="X2867">
        <v>4</v>
      </c>
      <c r="Y2867" t="s">
        <v>19377</v>
      </c>
      <c r="Z2867" t="s">
        <v>24872</v>
      </c>
      <c r="AA2867">
        <v>0.53084562527038015</v>
      </c>
      <c r="AB2867" t="str">
        <f>HYPERLINK("Melting_Curves/meltCurve_Q13158_FADD.pdf", "Melting_Curves/meltCurve_Q13158_FADD.pdf")</f>
        <v>Melting_Curves/meltCurve_Q13158_FADD.pdf</v>
      </c>
    </row>
    <row r="2868" spans="1:28" x14ac:dyDescent="0.25">
      <c r="A2868" t="s">
        <v>2872</v>
      </c>
      <c r="B2868">
        <v>0.99299721793515405</v>
      </c>
      <c r="C2868">
        <v>1.0141508615861501</v>
      </c>
      <c r="D2868">
        <v>0.91005176395941301</v>
      </c>
      <c r="E2868">
        <v>0.82961824189325495</v>
      </c>
      <c r="F2868">
        <v>0.75678090771703099</v>
      </c>
      <c r="G2868">
        <v>0.97730610933124795</v>
      </c>
      <c r="H2868">
        <v>0.78681106988968497</v>
      </c>
      <c r="I2868">
        <v>0.96237717984586102</v>
      </c>
      <c r="J2868">
        <v>0.78937810772849404</v>
      </c>
      <c r="K2868">
        <v>1.4502677111487099</v>
      </c>
      <c r="L2868">
        <v>15000</v>
      </c>
      <c r="M2868">
        <v>226.06555374199499</v>
      </c>
      <c r="O2868">
        <v>66.347238965651599</v>
      </c>
      <c r="P2868">
        <v>0.42591362068729899</v>
      </c>
      <c r="Q2868">
        <v>1.5</v>
      </c>
      <c r="R2868">
        <v>0.48099354774733499</v>
      </c>
      <c r="S2868" t="s">
        <v>8419</v>
      </c>
      <c r="T2868" t="s">
        <v>11100</v>
      </c>
      <c r="U2868" t="s">
        <v>11100</v>
      </c>
      <c r="V2868" t="s">
        <v>11100</v>
      </c>
      <c r="W2868" t="s">
        <v>13925</v>
      </c>
      <c r="X2868">
        <v>7</v>
      </c>
      <c r="Y2868" t="s">
        <v>19378</v>
      </c>
      <c r="Z2868" t="s">
        <v>24873</v>
      </c>
      <c r="AA2868">
        <v>1.011258151180735</v>
      </c>
      <c r="AB2868" t="str">
        <f>HYPERLINK("Melting_Curves/meltCurve_Q13162_PRDX4.pdf", "Melting_Curves/meltCurve_Q13162_PRDX4.pdf")</f>
        <v>Melting_Curves/meltCurve_Q13162_PRDX4.pdf</v>
      </c>
    </row>
    <row r="2869" spans="1:28" x14ac:dyDescent="0.25">
      <c r="A2869" t="s">
        <v>2873</v>
      </c>
      <c r="B2869">
        <v>0.99299721793515405</v>
      </c>
      <c r="C2869">
        <v>1.11563714384403</v>
      </c>
      <c r="D2869">
        <v>0.92377512346512303</v>
      </c>
      <c r="E2869">
        <v>0.96202818825247405</v>
      </c>
      <c r="F2869">
        <v>0.79241800765603598</v>
      </c>
      <c r="G2869">
        <v>0.299940295980273</v>
      </c>
      <c r="H2869">
        <v>0.212655513547202</v>
      </c>
      <c r="I2869">
        <v>0.23616686462052899</v>
      </c>
      <c r="J2869">
        <v>0.19558964496929199</v>
      </c>
      <c r="K2869">
        <v>0.181540292418372</v>
      </c>
      <c r="L2869">
        <v>2204.3741718163001</v>
      </c>
      <c r="M2869">
        <v>42.8965818438772</v>
      </c>
      <c r="N2869">
        <v>52.020350797479999</v>
      </c>
      <c r="O2869">
        <v>51.276808808783599</v>
      </c>
      <c r="P2869">
        <v>-0.16665694688876201</v>
      </c>
      <c r="Q2869">
        <v>0.20314188701626601</v>
      </c>
      <c r="R2869">
        <v>0.98460375843563197</v>
      </c>
      <c r="S2869" t="s">
        <v>8420</v>
      </c>
      <c r="T2869" t="s">
        <v>11100</v>
      </c>
      <c r="U2869" t="s">
        <v>11100</v>
      </c>
      <c r="V2869" t="s">
        <v>11100</v>
      </c>
      <c r="W2869" t="s">
        <v>13926</v>
      </c>
      <c r="X2869">
        <v>6</v>
      </c>
      <c r="Y2869" t="s">
        <v>19379</v>
      </c>
      <c r="Z2869" t="s">
        <v>24874</v>
      </c>
      <c r="AA2869">
        <v>0.58777428438716195</v>
      </c>
      <c r="AB2869" t="str">
        <f>HYPERLINK("Melting_Curves/meltCurve_Q13164_2_MAPK7.pdf", "Melting_Curves/meltCurve_Q13164_2_MAPK7.pdf")</f>
        <v>Melting_Curves/meltCurve_Q13164_2_MAPK7.pdf</v>
      </c>
    </row>
    <row r="2870" spans="1:28" x14ac:dyDescent="0.25">
      <c r="A2870" t="s">
        <v>2874</v>
      </c>
      <c r="B2870">
        <v>0.99299721793515405</v>
      </c>
      <c r="C2870">
        <v>0.97336958907106497</v>
      </c>
      <c r="D2870">
        <v>0.92051942190584701</v>
      </c>
      <c r="E2870">
        <v>0.87028740562543705</v>
      </c>
      <c r="F2870">
        <v>0.75742945338192602</v>
      </c>
      <c r="G2870">
        <v>0.58510162461997695</v>
      </c>
      <c r="H2870">
        <v>0.53094645758703896</v>
      </c>
      <c r="I2870">
        <v>0.45256351135669998</v>
      </c>
      <c r="J2870">
        <v>0.16471841433159901</v>
      </c>
      <c r="K2870">
        <v>0.11476061233477</v>
      </c>
      <c r="L2870">
        <v>534.15628448747498</v>
      </c>
      <c r="M2870">
        <v>9.4311760638308098</v>
      </c>
      <c r="N2870">
        <v>56.637281161219001</v>
      </c>
      <c r="O2870">
        <v>54.266088930793302</v>
      </c>
      <c r="P2870">
        <v>-4.3475175570084103E-2</v>
      </c>
      <c r="Q2870">
        <v>0</v>
      </c>
      <c r="R2870">
        <v>0.96501718808519799</v>
      </c>
      <c r="S2870" t="s">
        <v>8421</v>
      </c>
      <c r="T2870" t="s">
        <v>11100</v>
      </c>
      <c r="U2870" t="s">
        <v>11100</v>
      </c>
      <c r="V2870" t="s">
        <v>11100</v>
      </c>
      <c r="W2870" t="s">
        <v>13927</v>
      </c>
      <c r="X2870">
        <v>33</v>
      </c>
      <c r="Y2870" t="s">
        <v>19380</v>
      </c>
      <c r="Z2870" t="s">
        <v>24875</v>
      </c>
      <c r="AA2870">
        <v>0.6542557629418535</v>
      </c>
      <c r="AB2870" t="str">
        <f>HYPERLINK("Melting_Curves/meltCurve_Q13177_PAK2.pdf", "Melting_Curves/meltCurve_Q13177_PAK2.pdf")</f>
        <v>Melting_Curves/meltCurve_Q13177_PAK2.pdf</v>
      </c>
    </row>
    <row r="2871" spans="1:28" x14ac:dyDescent="0.25">
      <c r="A2871" t="s">
        <v>2875</v>
      </c>
      <c r="B2871">
        <v>0.99299721793515405</v>
      </c>
      <c r="C2871">
        <v>1.0011349656691499</v>
      </c>
      <c r="D2871">
        <v>0.97491636287694206</v>
      </c>
      <c r="E2871">
        <v>1.00783593900139</v>
      </c>
      <c r="F2871">
        <v>0.79906876395673299</v>
      </c>
      <c r="G2871">
        <v>0.50842169573476703</v>
      </c>
      <c r="H2871">
        <v>0.29297019056191498</v>
      </c>
      <c r="I2871">
        <v>0.26791736841541097</v>
      </c>
      <c r="J2871">
        <v>0.21039785969048</v>
      </c>
      <c r="K2871">
        <v>0.165156453837777</v>
      </c>
      <c r="L2871">
        <v>1226.86933211311</v>
      </c>
      <c r="M2871">
        <v>23.251555481626799</v>
      </c>
      <c r="N2871">
        <v>53.902961145870002</v>
      </c>
      <c r="O2871">
        <v>52.3794048552178</v>
      </c>
      <c r="P2871">
        <v>-8.9454584223521899E-2</v>
      </c>
      <c r="Q2871">
        <v>0.19394757771679499</v>
      </c>
      <c r="R2871">
        <v>0.99550723124459595</v>
      </c>
      <c r="S2871" t="s">
        <v>8422</v>
      </c>
      <c r="T2871" t="s">
        <v>11100</v>
      </c>
      <c r="U2871" t="s">
        <v>11100</v>
      </c>
      <c r="V2871" t="s">
        <v>11100</v>
      </c>
      <c r="W2871" t="s">
        <v>13928</v>
      </c>
      <c r="X2871">
        <v>13</v>
      </c>
      <c r="Y2871" t="s">
        <v>19381</v>
      </c>
      <c r="Z2871" t="s">
        <v>24876</v>
      </c>
      <c r="AA2871">
        <v>0.62559863610230093</v>
      </c>
      <c r="AB2871" t="str">
        <f>HYPERLINK("Melting_Curves/meltCurve_Q13185_CBX3.pdf", "Melting_Curves/meltCurve_Q13185_CBX3.pdf")</f>
        <v>Melting_Curves/meltCurve_Q13185_CBX3.pdf</v>
      </c>
    </row>
    <row r="2872" spans="1:28" x14ac:dyDescent="0.25">
      <c r="A2872" t="s">
        <v>2876</v>
      </c>
      <c r="B2872">
        <v>0.99299721793515405</v>
      </c>
      <c r="C2872">
        <v>1.07809661272755</v>
      </c>
      <c r="D2872">
        <v>0.95791864611695499</v>
      </c>
      <c r="E2872">
        <v>1.0488400085830101</v>
      </c>
      <c r="F2872">
        <v>0.84340302661023203</v>
      </c>
      <c r="G2872">
        <v>0.64115039779040495</v>
      </c>
      <c r="H2872">
        <v>0.45370715334703099</v>
      </c>
      <c r="I2872">
        <v>0.201125656271432</v>
      </c>
      <c r="J2872">
        <v>0.158782113295757</v>
      </c>
      <c r="K2872">
        <v>0.14064883743414</v>
      </c>
      <c r="L2872">
        <v>975.43208871409797</v>
      </c>
      <c r="M2872">
        <v>17.600716697641801</v>
      </c>
      <c r="N2872">
        <v>56.014950156315699</v>
      </c>
      <c r="O2872">
        <v>54.719457090214597</v>
      </c>
      <c r="P2872">
        <v>-7.3562099596407596E-2</v>
      </c>
      <c r="Q2872">
        <v>8.52506327764887E-2</v>
      </c>
      <c r="R2872">
        <v>0.98572148244134805</v>
      </c>
      <c r="S2872" t="s">
        <v>8423</v>
      </c>
      <c r="T2872" t="s">
        <v>11100</v>
      </c>
      <c r="U2872" t="s">
        <v>11100</v>
      </c>
      <c r="V2872" t="s">
        <v>11100</v>
      </c>
      <c r="W2872" t="s">
        <v>13929</v>
      </c>
      <c r="X2872">
        <v>9</v>
      </c>
      <c r="Y2872" t="s">
        <v>19382</v>
      </c>
      <c r="Z2872" t="s">
        <v>24877</v>
      </c>
      <c r="AA2872">
        <v>0.65803509384324621</v>
      </c>
      <c r="AB2872" t="str">
        <f>HYPERLINK("Melting_Curves/meltCurve_Q13188_STK3.pdf", "Melting_Curves/meltCurve_Q13188_STK3.pdf")</f>
        <v>Melting_Curves/meltCurve_Q13188_STK3.pdf</v>
      </c>
    </row>
    <row r="2873" spans="1:28" x14ac:dyDescent="0.25">
      <c r="A2873" t="s">
        <v>2877</v>
      </c>
      <c r="B2873">
        <v>0.99299721793515405</v>
      </c>
      <c r="C2873">
        <v>0.78586056118273495</v>
      </c>
      <c r="D2873">
        <v>0.86352357923033496</v>
      </c>
      <c r="E2873">
        <v>0.77996771672921095</v>
      </c>
      <c r="F2873">
        <v>0.69658318108554096</v>
      </c>
      <c r="G2873">
        <v>0.50719613251116302</v>
      </c>
      <c r="H2873">
        <v>0.61436456178889898</v>
      </c>
      <c r="I2873">
        <v>0.43717101568872002</v>
      </c>
      <c r="J2873">
        <v>0.49229575363103301</v>
      </c>
      <c r="K2873">
        <v>0.42710438403344902</v>
      </c>
      <c r="L2873">
        <v>304.08549626959598</v>
      </c>
      <c r="M2873">
        <v>5.92477480257251</v>
      </c>
      <c r="N2873">
        <v>60.260857612081203</v>
      </c>
      <c r="O2873">
        <v>46.389436236188097</v>
      </c>
      <c r="P2873">
        <v>-2.2672358341688199E-2</v>
      </c>
      <c r="Q2873">
        <v>0.29232254052497297</v>
      </c>
      <c r="R2873">
        <v>0.89686960615026301</v>
      </c>
      <c r="S2873" t="s">
        <v>8424</v>
      </c>
      <c r="T2873" t="s">
        <v>11100</v>
      </c>
      <c r="U2873" t="s">
        <v>11100</v>
      </c>
      <c r="V2873" t="s">
        <v>11100</v>
      </c>
      <c r="W2873" t="s">
        <v>13930</v>
      </c>
      <c r="X2873">
        <v>4</v>
      </c>
      <c r="Y2873" t="s">
        <v>19383</v>
      </c>
      <c r="Z2873" t="s">
        <v>24878</v>
      </c>
      <c r="AA2873">
        <v>0.65498486918516574</v>
      </c>
      <c r="AB2873" t="str">
        <f>HYPERLINK("Melting_Curves/meltCurve_Q13200_PSMD2.pdf", "Melting_Curves/meltCurve_Q13200_PSMD2.pdf")</f>
        <v>Melting_Curves/meltCurve_Q13200_PSMD2.pdf</v>
      </c>
    </row>
    <row r="2874" spans="1:28" x14ac:dyDescent="0.25">
      <c r="A2874" t="s">
        <v>2878</v>
      </c>
      <c r="B2874">
        <v>0.99299721793515405</v>
      </c>
      <c r="C2874">
        <v>0.96992620335217705</v>
      </c>
      <c r="D2874">
        <v>0.84738159370559296</v>
      </c>
      <c r="E2874">
        <v>0.75903854384556402</v>
      </c>
      <c r="F2874">
        <v>0.62088175740475504</v>
      </c>
      <c r="G2874">
        <v>0.31039954731757402</v>
      </c>
      <c r="H2874">
        <v>0.31996233969667998</v>
      </c>
      <c r="I2874">
        <v>0.24436426398651001</v>
      </c>
      <c r="J2874">
        <v>0.22124009673386</v>
      </c>
      <c r="K2874">
        <v>0.186877761939995</v>
      </c>
      <c r="L2874">
        <v>618.46087533600098</v>
      </c>
      <c r="M2874">
        <v>12.4293227588902</v>
      </c>
      <c r="N2874">
        <v>51.3597385296274</v>
      </c>
      <c r="O2874">
        <v>48.522830906249801</v>
      </c>
      <c r="P2874">
        <v>-5.3762037356416603E-2</v>
      </c>
      <c r="Q2874">
        <v>0.16064987415929899</v>
      </c>
      <c r="R2874">
        <v>0.98427432055251896</v>
      </c>
      <c r="S2874" t="s">
        <v>8425</v>
      </c>
      <c r="T2874" t="s">
        <v>11100</v>
      </c>
      <c r="U2874" t="s">
        <v>11100</v>
      </c>
      <c r="V2874" t="s">
        <v>11100</v>
      </c>
      <c r="W2874" t="s">
        <v>13931</v>
      </c>
      <c r="X2874">
        <v>9</v>
      </c>
      <c r="Y2874" t="s">
        <v>19384</v>
      </c>
      <c r="Z2874" t="s">
        <v>24879</v>
      </c>
      <c r="AA2874">
        <v>0.54045482624181707</v>
      </c>
      <c r="AB2874" t="str">
        <f>HYPERLINK("Melting_Curves/meltCurve_Q13217_DNAJC3.pdf", "Melting_Curves/meltCurve_Q13217_DNAJC3.pdf")</f>
        <v>Melting_Curves/meltCurve_Q13217_DNAJC3.pdf</v>
      </c>
    </row>
    <row r="2875" spans="1:28" x14ac:dyDescent="0.25">
      <c r="A2875" t="s">
        <v>2879</v>
      </c>
      <c r="B2875">
        <v>0.99299721793515405</v>
      </c>
      <c r="C2875">
        <v>0.84958784847969604</v>
      </c>
      <c r="D2875">
        <v>0.84078212948707198</v>
      </c>
      <c r="E2875">
        <v>0.83403280592457096</v>
      </c>
      <c r="F2875">
        <v>0.75569312334043404</v>
      </c>
      <c r="G2875">
        <v>0.53097522105581696</v>
      </c>
      <c r="H2875">
        <v>0.51739763462350696</v>
      </c>
      <c r="I2875">
        <v>0.66743111714926995</v>
      </c>
      <c r="J2875">
        <v>0.68917562311163905</v>
      </c>
      <c r="K2875">
        <v>0.62867133174315104</v>
      </c>
      <c r="L2875">
        <v>495.51478848813298</v>
      </c>
      <c r="M2875">
        <v>11.037798148630699</v>
      </c>
      <c r="O2875">
        <v>43.494523585557197</v>
      </c>
      <c r="P2875">
        <v>-2.5410535896963699E-2</v>
      </c>
      <c r="Q2875">
        <v>0.59961171351431997</v>
      </c>
      <c r="R2875">
        <v>0.75022811302506398</v>
      </c>
      <c r="S2875" t="s">
        <v>8426</v>
      </c>
      <c r="T2875" t="s">
        <v>11100</v>
      </c>
      <c r="U2875" t="s">
        <v>11100</v>
      </c>
      <c r="V2875" t="s">
        <v>11100</v>
      </c>
      <c r="W2875" t="s">
        <v>13932</v>
      </c>
      <c r="X2875">
        <v>2</v>
      </c>
      <c r="Y2875" t="s">
        <v>19385</v>
      </c>
      <c r="Z2875" t="s">
        <v>24880</v>
      </c>
      <c r="AA2875">
        <v>0.72192468394159226</v>
      </c>
      <c r="AB2875" t="str">
        <f>HYPERLINK("Melting_Curves/meltCurve_Q13228_2_SELENBP1.pdf", "Melting_Curves/meltCurve_Q13228_2_SELENBP1.pdf")</f>
        <v>Melting_Curves/meltCurve_Q13228_2_SELENBP1.pdf</v>
      </c>
    </row>
    <row r="2876" spans="1:28" x14ac:dyDescent="0.25">
      <c r="A2876" t="s">
        <v>2880</v>
      </c>
      <c r="B2876">
        <v>0.99299721793515405</v>
      </c>
      <c r="C2876">
        <v>1.0096677084473</v>
      </c>
      <c r="D2876">
        <v>0.90285683418057705</v>
      </c>
      <c r="E2876">
        <v>0.89008634792442998</v>
      </c>
      <c r="F2876">
        <v>0.75422400402612899</v>
      </c>
      <c r="G2876">
        <v>0.66093695082333603</v>
      </c>
      <c r="H2876">
        <v>0.73337990498928096</v>
      </c>
      <c r="I2876">
        <v>0.96910745595212</v>
      </c>
      <c r="J2876">
        <v>0.91549204849582699</v>
      </c>
      <c r="K2876">
        <v>0.69701983404128998</v>
      </c>
      <c r="L2876">
        <v>1114.04676860217</v>
      </c>
      <c r="M2876">
        <v>25.175791533671401</v>
      </c>
      <c r="O2876">
        <v>43.974337187189597</v>
      </c>
      <c r="P2876">
        <v>-2.9744313256946899E-2</v>
      </c>
      <c r="Q2876">
        <v>0.79218610233400899</v>
      </c>
      <c r="R2876">
        <v>0.44713476021512299</v>
      </c>
      <c r="S2876" t="s">
        <v>8427</v>
      </c>
      <c r="T2876" t="s">
        <v>11100</v>
      </c>
      <c r="U2876" t="s">
        <v>11100</v>
      </c>
      <c r="V2876" t="s">
        <v>11100</v>
      </c>
      <c r="W2876" t="s">
        <v>13933</v>
      </c>
      <c r="X2876">
        <v>8</v>
      </c>
      <c r="Y2876" t="s">
        <v>19386</v>
      </c>
      <c r="Z2876" t="s">
        <v>24881</v>
      </c>
      <c r="AA2876">
        <v>0.84409152548922994</v>
      </c>
      <c r="AB2876" t="str">
        <f>HYPERLINK("Melting_Curves/meltCurve_Q13232_NME3.pdf", "Melting_Curves/meltCurve_Q13232_NME3.pdf")</f>
        <v>Melting_Curves/meltCurve_Q13232_NME3.pdf</v>
      </c>
    </row>
    <row r="2877" spans="1:28" x14ac:dyDescent="0.25">
      <c r="A2877" t="s">
        <v>2881</v>
      </c>
      <c r="B2877">
        <v>0.99299721793515405</v>
      </c>
      <c r="C2877">
        <v>0.89492529371895102</v>
      </c>
      <c r="D2877">
        <v>1.17500606793346</v>
      </c>
      <c r="E2877">
        <v>0.70535166422533502</v>
      </c>
      <c r="F2877">
        <v>0.83307052271672899</v>
      </c>
      <c r="G2877">
        <v>0.62308877707922605</v>
      </c>
      <c r="H2877">
        <v>0.58003990775950298</v>
      </c>
      <c r="I2877">
        <v>0.48816266216955401</v>
      </c>
      <c r="J2877">
        <v>0.58325101104552302</v>
      </c>
      <c r="K2877">
        <v>1.8576722805969901</v>
      </c>
      <c r="L2877">
        <v>15000</v>
      </c>
      <c r="M2877">
        <v>228.86863318559301</v>
      </c>
      <c r="O2877">
        <v>65.534793148650294</v>
      </c>
      <c r="P2877">
        <v>0.43654042591120001</v>
      </c>
      <c r="Q2877">
        <v>1.5</v>
      </c>
      <c r="R2877">
        <v>0.29778452161311503</v>
      </c>
      <c r="S2877" t="s">
        <v>8428</v>
      </c>
      <c r="T2877" t="s">
        <v>11100</v>
      </c>
      <c r="U2877" t="s">
        <v>11100</v>
      </c>
      <c r="V2877" t="s">
        <v>11100</v>
      </c>
      <c r="W2877" t="s">
        <v>13934</v>
      </c>
      <c r="X2877">
        <v>3</v>
      </c>
      <c r="Y2877" t="s">
        <v>19387</v>
      </c>
      <c r="Z2877" t="s">
        <v>24882</v>
      </c>
      <c r="AA2877">
        <v>1.024302570550143</v>
      </c>
      <c r="AB2877" t="str">
        <f>HYPERLINK("Melting_Curves/meltCurve_Q13243_3_SRSF5.pdf", "Melting_Curves/meltCurve_Q13243_3_SRSF5.pdf")</f>
        <v>Melting_Curves/meltCurve_Q13243_3_SRSF5.pdf</v>
      </c>
    </row>
    <row r="2878" spans="1:28" x14ac:dyDescent="0.25">
      <c r="A2878" t="s">
        <v>2882</v>
      </c>
      <c r="B2878">
        <v>0.99299721793515405</v>
      </c>
      <c r="C2878">
        <v>0.90602065169393498</v>
      </c>
      <c r="D2878">
        <v>1.2203254803902901</v>
      </c>
      <c r="E2878">
        <v>0.89577509694908597</v>
      </c>
      <c r="F2878">
        <v>0.71355561155299296</v>
      </c>
      <c r="G2878">
        <v>0.62027132074029101</v>
      </c>
      <c r="H2878">
        <v>0.474753223617641</v>
      </c>
      <c r="I2878">
        <v>0.44262446740790001</v>
      </c>
      <c r="J2878">
        <v>0.36882009606865901</v>
      </c>
      <c r="K2878">
        <v>0.40856706901453699</v>
      </c>
      <c r="L2878">
        <v>961.42428137889704</v>
      </c>
      <c r="M2878">
        <v>18.707932888271401</v>
      </c>
      <c r="N2878">
        <v>56.063591858632101</v>
      </c>
      <c r="O2878">
        <v>50.814859726122002</v>
      </c>
      <c r="P2878">
        <v>-5.5701131297083803E-2</v>
      </c>
      <c r="Q2878">
        <v>0.39483956324724401</v>
      </c>
      <c r="R2878">
        <v>0.90606007815003697</v>
      </c>
      <c r="S2878" t="s">
        <v>8429</v>
      </c>
      <c r="T2878" t="s">
        <v>11100</v>
      </c>
      <c r="U2878" t="s">
        <v>11100</v>
      </c>
      <c r="V2878" t="s">
        <v>11100</v>
      </c>
      <c r="W2878" t="s">
        <v>13935</v>
      </c>
      <c r="X2878">
        <v>6</v>
      </c>
      <c r="Y2878" t="s">
        <v>19388</v>
      </c>
      <c r="Z2878" t="s">
        <v>24883</v>
      </c>
      <c r="AA2878">
        <v>0.69391359335639724</v>
      </c>
      <c r="AB2878" t="str">
        <f>HYPERLINK("Melting_Curves/meltCurve_Q13247_3_SRSF6.pdf", "Melting_Curves/meltCurve_Q13247_3_SRSF6.pdf")</f>
        <v>Melting_Curves/meltCurve_Q13247_3_SRSF6.pdf</v>
      </c>
    </row>
    <row r="2879" spans="1:28" x14ac:dyDescent="0.25">
      <c r="A2879" t="s">
        <v>2883</v>
      </c>
      <c r="B2879">
        <v>0.99299721793515405</v>
      </c>
      <c r="C2879">
        <v>0.96616309360595798</v>
      </c>
      <c r="D2879">
        <v>1.1006814193669301</v>
      </c>
      <c r="E2879">
        <v>0.828714310674871</v>
      </c>
      <c r="F2879">
        <v>0.80776168903949197</v>
      </c>
      <c r="G2879">
        <v>0.42511357316078402</v>
      </c>
      <c r="H2879">
        <v>0.23381600756704099</v>
      </c>
      <c r="I2879">
        <v>0.19045613534641001</v>
      </c>
      <c r="J2879">
        <v>0.154163090945902</v>
      </c>
      <c r="K2879">
        <v>0.111899846271772</v>
      </c>
      <c r="L2879">
        <v>1076.90450183302</v>
      </c>
      <c r="M2879">
        <v>20.535609200271999</v>
      </c>
      <c r="N2879">
        <v>53.154294023621603</v>
      </c>
      <c r="O2879">
        <v>51.951144614575597</v>
      </c>
      <c r="P2879">
        <v>-8.6920721879573906E-2</v>
      </c>
      <c r="Q2879">
        <v>0.120454839622117</v>
      </c>
      <c r="R2879">
        <v>0.97827030233850598</v>
      </c>
      <c r="S2879" t="s">
        <v>8430</v>
      </c>
      <c r="T2879" t="s">
        <v>11100</v>
      </c>
      <c r="U2879" t="s">
        <v>11100</v>
      </c>
      <c r="V2879" t="s">
        <v>11100</v>
      </c>
      <c r="W2879" t="s">
        <v>13936</v>
      </c>
      <c r="X2879">
        <v>6</v>
      </c>
      <c r="Y2879" t="s">
        <v>19389</v>
      </c>
      <c r="Z2879" t="s">
        <v>24884</v>
      </c>
      <c r="AA2879">
        <v>0.58395826912357096</v>
      </c>
      <c r="AB2879" t="str">
        <f>HYPERLINK("Melting_Curves/meltCurve_Q13257_MAD2L1.pdf", "Melting_Curves/meltCurve_Q13257_MAD2L1.pdf")</f>
        <v>Melting_Curves/meltCurve_Q13257_MAD2L1.pdf</v>
      </c>
    </row>
    <row r="2880" spans="1:28" x14ac:dyDescent="0.25">
      <c r="A2880" t="s">
        <v>2884</v>
      </c>
      <c r="B2880">
        <v>0.99299721793515405</v>
      </c>
      <c r="C2880">
        <v>1.03299059070959</v>
      </c>
      <c r="D2880">
        <v>1.05662791259105</v>
      </c>
      <c r="E2880">
        <v>1.0107157009936101</v>
      </c>
      <c r="F2880">
        <v>0.72468362456758795</v>
      </c>
      <c r="G2880">
        <v>0.26555574942524801</v>
      </c>
      <c r="H2880">
        <v>0.17690366799021301</v>
      </c>
      <c r="I2880">
        <v>0.14773569272739001</v>
      </c>
      <c r="J2880">
        <v>0.13705825826114101</v>
      </c>
      <c r="K2880">
        <v>0.104170605542961</v>
      </c>
      <c r="L2880">
        <v>1901.67713944246</v>
      </c>
      <c r="M2880">
        <v>37.090180414071902</v>
      </c>
      <c r="N2880">
        <v>51.715872734461598</v>
      </c>
      <c r="O2880">
        <v>51.123330500629002</v>
      </c>
      <c r="P2880">
        <v>-0.15663635817026</v>
      </c>
      <c r="Q2880">
        <v>0.13640178750939499</v>
      </c>
      <c r="R2880">
        <v>0.99573565205718695</v>
      </c>
      <c r="S2880" t="s">
        <v>8431</v>
      </c>
      <c r="T2880" t="s">
        <v>11100</v>
      </c>
      <c r="U2880" t="s">
        <v>11100</v>
      </c>
      <c r="V2880" t="s">
        <v>11100</v>
      </c>
      <c r="W2880" t="s">
        <v>13937</v>
      </c>
      <c r="X2880">
        <v>43</v>
      </c>
      <c r="Y2880" t="s">
        <v>19390</v>
      </c>
      <c r="Z2880" t="s">
        <v>24885</v>
      </c>
      <c r="AA2880">
        <v>0.55078982510912311</v>
      </c>
      <c r="AB2880" t="str">
        <f>HYPERLINK("Melting_Curves/meltCurve_Q13263_TRIM28.pdf", "Melting_Curves/meltCurve_Q13263_TRIM28.pdf")</f>
        <v>Melting_Curves/meltCurve_Q13263_TRIM28.pdf</v>
      </c>
    </row>
    <row r="2881" spans="1:28" x14ac:dyDescent="0.25">
      <c r="A2881" t="s">
        <v>2885</v>
      </c>
      <c r="B2881">
        <v>0.99299721793515405</v>
      </c>
      <c r="C2881">
        <v>0.93146342906386903</v>
      </c>
      <c r="D2881">
        <v>0.89135824241923001</v>
      </c>
      <c r="E2881">
        <v>0.822848066376208</v>
      </c>
      <c r="F2881">
        <v>0.741626162164019</v>
      </c>
      <c r="G2881">
        <v>0.500701559485208</v>
      </c>
      <c r="H2881">
        <v>0.47903731895137103</v>
      </c>
      <c r="I2881">
        <v>0.51857569410597304</v>
      </c>
      <c r="J2881">
        <v>0.43541221219105403</v>
      </c>
      <c r="K2881">
        <v>0.27392023752776401</v>
      </c>
      <c r="L2881">
        <v>418.82583495205699</v>
      </c>
      <c r="M2881">
        <v>7.8902082355599603</v>
      </c>
      <c r="N2881">
        <v>57.429907075663799</v>
      </c>
      <c r="O2881">
        <v>49.996555739189802</v>
      </c>
      <c r="P2881">
        <v>-3.0617933254582699E-2</v>
      </c>
      <c r="Q2881">
        <v>0.224877244556939</v>
      </c>
      <c r="R2881">
        <v>0.94901249990073999</v>
      </c>
      <c r="S2881" t="s">
        <v>8432</v>
      </c>
      <c r="T2881" t="s">
        <v>11100</v>
      </c>
      <c r="U2881" t="s">
        <v>11100</v>
      </c>
      <c r="V2881" t="s">
        <v>11100</v>
      </c>
      <c r="W2881" t="s">
        <v>13938</v>
      </c>
      <c r="X2881">
        <v>3</v>
      </c>
      <c r="Y2881" t="s">
        <v>19391</v>
      </c>
      <c r="Z2881" t="s">
        <v>24886</v>
      </c>
      <c r="AA2881">
        <v>0.65677151971778513</v>
      </c>
      <c r="AB2881" t="str">
        <f>HYPERLINK("Melting_Curves/meltCurve_Q13277_2_STX3.pdf", "Melting_Curves/meltCurve_Q13277_2_STX3.pdf")</f>
        <v>Melting_Curves/meltCurve_Q13277_2_STX3.pdf</v>
      </c>
    </row>
    <row r="2882" spans="1:28" x14ac:dyDescent="0.25">
      <c r="A2882" t="s">
        <v>2886</v>
      </c>
      <c r="B2882">
        <v>0.99299721793515405</v>
      </c>
      <c r="C2882">
        <v>0.88735606990268401</v>
      </c>
      <c r="D2882">
        <v>0.97840790540343003</v>
      </c>
      <c r="E2882">
        <v>0.73257802189355803</v>
      </c>
      <c r="F2882">
        <v>0.68206553352567201</v>
      </c>
      <c r="G2882">
        <v>0.38587945845114202</v>
      </c>
      <c r="H2882">
        <v>0.25662257084739898</v>
      </c>
      <c r="I2882">
        <v>0.215971580671351</v>
      </c>
      <c r="J2882">
        <v>0.22177741451622299</v>
      </c>
      <c r="K2882">
        <v>0.15481697203418401</v>
      </c>
      <c r="L2882">
        <v>651.10934953544802</v>
      </c>
      <c r="M2882">
        <v>12.789662151724899</v>
      </c>
      <c r="N2882">
        <v>52.076485727616102</v>
      </c>
      <c r="O2882">
        <v>49.7125834226105</v>
      </c>
      <c r="P2882">
        <v>-5.6312105614741502E-2</v>
      </c>
      <c r="Q2882">
        <v>0.124638603485939</v>
      </c>
      <c r="R2882">
        <v>0.97605129199890495</v>
      </c>
      <c r="S2882" t="s">
        <v>8433</v>
      </c>
      <c r="T2882" t="s">
        <v>11100</v>
      </c>
      <c r="U2882" t="s">
        <v>11100</v>
      </c>
      <c r="V2882" t="s">
        <v>11100</v>
      </c>
      <c r="W2882" t="s">
        <v>13939</v>
      </c>
      <c r="X2882">
        <v>12</v>
      </c>
      <c r="Y2882" t="s">
        <v>19392</v>
      </c>
      <c r="Z2882" t="s">
        <v>24887</v>
      </c>
      <c r="AA2882">
        <v>0.55194835169779988</v>
      </c>
      <c r="AB2882" t="str">
        <f>HYPERLINK("Melting_Curves/meltCurve_Q13283_G3BP1.pdf", "Melting_Curves/meltCurve_Q13283_G3BP1.pdf")</f>
        <v>Melting_Curves/meltCurve_Q13283_G3BP1.pdf</v>
      </c>
    </row>
    <row r="2883" spans="1:28" x14ac:dyDescent="0.25">
      <c r="A2883" t="s">
        <v>2887</v>
      </c>
      <c r="B2883">
        <v>0.99299721793515405</v>
      </c>
      <c r="C2883">
        <v>0.96082780454705796</v>
      </c>
      <c r="D2883">
        <v>0.88763202552886999</v>
      </c>
      <c r="E2883">
        <v>0.89752311548241004</v>
      </c>
      <c r="F2883">
        <v>0.78350625280584596</v>
      </c>
      <c r="G2883">
        <v>0.50532923013057796</v>
      </c>
      <c r="H2883">
        <v>0.383831402649838</v>
      </c>
      <c r="I2883">
        <v>0.242742712296973</v>
      </c>
      <c r="J2883">
        <v>0.16744241799564999</v>
      </c>
      <c r="K2883">
        <v>0.12037115584782</v>
      </c>
      <c r="L2883">
        <v>615.86685900811403</v>
      </c>
      <c r="M2883">
        <v>11.2614567050117</v>
      </c>
      <c r="N2883">
        <v>54.7586219769167</v>
      </c>
      <c r="O2883">
        <v>53.0486472638786</v>
      </c>
      <c r="P2883">
        <v>-5.2705083132668903E-2</v>
      </c>
      <c r="Q2883">
        <v>7.2076589000497401E-3</v>
      </c>
      <c r="R2883">
        <v>0.99072969114173204</v>
      </c>
      <c r="S2883" t="s">
        <v>8434</v>
      </c>
      <c r="T2883" t="s">
        <v>11100</v>
      </c>
      <c r="U2883" t="s">
        <v>11100</v>
      </c>
      <c r="V2883" t="s">
        <v>11100</v>
      </c>
      <c r="W2883" t="s">
        <v>13940</v>
      </c>
      <c r="X2883">
        <v>24</v>
      </c>
      <c r="Y2883" t="s">
        <v>19393</v>
      </c>
      <c r="Z2883" t="s">
        <v>24888</v>
      </c>
      <c r="AA2883">
        <v>0.60757413429533291</v>
      </c>
      <c r="AB2883" t="str">
        <f>HYPERLINK("Melting_Curves/meltCurve_Q13308_PTK7.pdf", "Melting_Curves/meltCurve_Q13308_PTK7.pdf")</f>
        <v>Melting_Curves/meltCurve_Q13308_PTK7.pdf</v>
      </c>
    </row>
    <row r="2884" spans="1:28" x14ac:dyDescent="0.25">
      <c r="A2884" t="s">
        <v>2888</v>
      </c>
      <c r="B2884">
        <v>0.99299721793515405</v>
      </c>
      <c r="C2884">
        <v>0.92524667980173902</v>
      </c>
      <c r="D2884">
        <v>0.81492607701036002</v>
      </c>
      <c r="E2884">
        <v>0.547917059286541</v>
      </c>
      <c r="F2884">
        <v>0.31843432712037401</v>
      </c>
      <c r="G2884">
        <v>0.25861776251221202</v>
      </c>
      <c r="H2884">
        <v>0.21538121108135799</v>
      </c>
      <c r="I2884">
        <v>0.223182558384381</v>
      </c>
      <c r="J2884">
        <v>0.12468976368142699</v>
      </c>
      <c r="K2884">
        <v>0.115428885347408</v>
      </c>
      <c r="L2884">
        <v>712.36147329846096</v>
      </c>
      <c r="M2884">
        <v>15.390210600256999</v>
      </c>
      <c r="N2884">
        <v>47.374097878591002</v>
      </c>
      <c r="O2884">
        <v>45.526304298970601</v>
      </c>
      <c r="P2884">
        <v>-7.1943311981379598E-2</v>
      </c>
      <c r="Q2884">
        <v>0.148806073701958</v>
      </c>
      <c r="R2884">
        <v>0.99219506538348101</v>
      </c>
      <c r="S2884" t="s">
        <v>8435</v>
      </c>
      <c r="T2884" t="s">
        <v>11100</v>
      </c>
      <c r="U2884" t="s">
        <v>11100</v>
      </c>
      <c r="V2884" t="s">
        <v>11100</v>
      </c>
      <c r="W2884" t="s">
        <v>13941</v>
      </c>
      <c r="X2884">
        <v>4</v>
      </c>
      <c r="Y2884" t="s">
        <v>19394</v>
      </c>
      <c r="Z2884" t="s">
        <v>24889</v>
      </c>
      <c r="AA2884">
        <v>0.43086729806235002</v>
      </c>
      <c r="AB2884" t="str">
        <f>HYPERLINK("Melting_Curves/meltCurve_Q13309_SKP2.pdf", "Melting_Curves/meltCurve_Q13309_SKP2.pdf")</f>
        <v>Melting_Curves/meltCurve_Q13309_SKP2.pdf</v>
      </c>
    </row>
    <row r="2885" spans="1:28" x14ac:dyDescent="0.25">
      <c r="A2885" t="s">
        <v>2889</v>
      </c>
      <c r="B2885">
        <v>0.99299721793515405</v>
      </c>
      <c r="C2885">
        <v>1.0892909245758999</v>
      </c>
      <c r="D2885">
        <v>1.0433328181039601</v>
      </c>
      <c r="E2885">
        <v>0.94152487625316905</v>
      </c>
      <c r="F2885">
        <v>0.83136016155222103</v>
      </c>
      <c r="G2885">
        <v>0.34277448332270699</v>
      </c>
      <c r="H2885">
        <v>0.184446870677797</v>
      </c>
      <c r="I2885">
        <v>0.15949232980935699</v>
      </c>
      <c r="J2885">
        <v>0.138546883910071</v>
      </c>
      <c r="K2885">
        <v>0.11811374015505</v>
      </c>
      <c r="L2885">
        <v>1828.20372854369</v>
      </c>
      <c r="M2885">
        <v>35.089738767285397</v>
      </c>
      <c r="N2885">
        <v>52.5882079794291</v>
      </c>
      <c r="O2885">
        <v>51.932462315656899</v>
      </c>
      <c r="P2885">
        <v>-0.14547100318581199</v>
      </c>
      <c r="Q2885">
        <v>0.13882048889628701</v>
      </c>
      <c r="R2885">
        <v>0.992014124474905</v>
      </c>
      <c r="S2885" t="s">
        <v>8436</v>
      </c>
      <c r="T2885" t="s">
        <v>11100</v>
      </c>
      <c r="U2885" t="s">
        <v>11100</v>
      </c>
      <c r="V2885" t="s">
        <v>11100</v>
      </c>
      <c r="W2885" t="s">
        <v>13942</v>
      </c>
      <c r="X2885">
        <v>24</v>
      </c>
      <c r="Y2885" t="s">
        <v>19395</v>
      </c>
      <c r="Z2885" t="s">
        <v>24890</v>
      </c>
      <c r="AA2885">
        <v>0.57631499594190139</v>
      </c>
      <c r="AB2885" t="str">
        <f>HYPERLINK("Melting_Curves/meltCurve_Q13310_3_PABPC4.pdf", "Melting_Curves/meltCurve_Q13310_3_PABPC4.pdf")</f>
        <v>Melting_Curves/meltCurve_Q13310_3_PABPC4.pdf</v>
      </c>
    </row>
    <row r="2886" spans="1:28" x14ac:dyDescent="0.25">
      <c r="A2886" t="s">
        <v>2890</v>
      </c>
      <c r="B2886">
        <v>0.99299721793515405</v>
      </c>
      <c r="C2886">
        <v>0.85534853009023704</v>
      </c>
      <c r="D2886">
        <v>1.01655588508843</v>
      </c>
      <c r="E2886">
        <v>0.807488471193471</v>
      </c>
      <c r="F2886">
        <v>0.35760471772271102</v>
      </c>
      <c r="G2886">
        <v>0.261165347236266</v>
      </c>
      <c r="H2886">
        <v>0.182083017799922</v>
      </c>
      <c r="I2886">
        <v>0.153082105054865</v>
      </c>
      <c r="J2886">
        <v>0.168812446999036</v>
      </c>
      <c r="K2886">
        <v>0.13461874047144601</v>
      </c>
      <c r="L2886">
        <v>1441.42692350579</v>
      </c>
      <c r="M2886">
        <v>29.7757459639096</v>
      </c>
      <c r="N2886">
        <v>49.076179627218202</v>
      </c>
      <c r="O2886">
        <v>48.192636698386401</v>
      </c>
      <c r="P2886">
        <v>-0.128766795643425</v>
      </c>
      <c r="Q2886">
        <v>0.16635883600709001</v>
      </c>
      <c r="R2886">
        <v>0.979003961679351</v>
      </c>
      <c r="S2886" t="s">
        <v>8437</v>
      </c>
      <c r="T2886" t="s">
        <v>11100</v>
      </c>
      <c r="U2886" t="s">
        <v>11100</v>
      </c>
      <c r="V2886" t="s">
        <v>11100</v>
      </c>
      <c r="W2886" t="s">
        <v>13943</v>
      </c>
      <c r="X2886">
        <v>3</v>
      </c>
      <c r="Y2886" t="s">
        <v>19396</v>
      </c>
      <c r="Z2886" t="s">
        <v>24891</v>
      </c>
      <c r="AA2886">
        <v>0.48845470389224699</v>
      </c>
      <c r="AB2886" t="str">
        <f>HYPERLINK("Melting_Curves/meltCurve_Q13322_2_GRB10.pdf", "Melting_Curves/meltCurve_Q13322_2_GRB10.pdf")</f>
        <v>Melting_Curves/meltCurve_Q13322_2_GRB10.pdf</v>
      </c>
    </row>
    <row r="2887" spans="1:28" x14ac:dyDescent="0.25">
      <c r="A2887" t="s">
        <v>2891</v>
      </c>
      <c r="B2887">
        <v>0.99299721793515405</v>
      </c>
      <c r="C2887">
        <v>1.0771160048509401</v>
      </c>
      <c r="D2887">
        <v>1.2018995122038101</v>
      </c>
      <c r="E2887">
        <v>0.90540013212673498</v>
      </c>
      <c r="F2887">
        <v>0.61268513812082204</v>
      </c>
      <c r="G2887">
        <v>0.249844959559158</v>
      </c>
      <c r="H2887">
        <v>0.134048637650063</v>
      </c>
      <c r="I2887">
        <v>0.10731746764519499</v>
      </c>
      <c r="J2887">
        <v>0.118716635084313</v>
      </c>
      <c r="K2887">
        <v>0.10119772989145399</v>
      </c>
      <c r="L2887">
        <v>1480.22874781731</v>
      </c>
      <c r="M2887">
        <v>29.222867060176501</v>
      </c>
      <c r="N2887">
        <v>51.074809143224002</v>
      </c>
      <c r="O2887">
        <v>50.417675950951903</v>
      </c>
      <c r="P2887">
        <v>-0.12937235998649499</v>
      </c>
      <c r="Q2887">
        <v>0.107191428612084</v>
      </c>
      <c r="R2887">
        <v>0.97340496073072402</v>
      </c>
      <c r="S2887" t="s">
        <v>8438</v>
      </c>
      <c r="T2887" t="s">
        <v>11100</v>
      </c>
      <c r="U2887" t="s">
        <v>11100</v>
      </c>
      <c r="V2887" t="s">
        <v>11100</v>
      </c>
      <c r="W2887" t="s">
        <v>13944</v>
      </c>
      <c r="X2887">
        <v>3</v>
      </c>
      <c r="Y2887" t="s">
        <v>19397</v>
      </c>
      <c r="Z2887" t="s">
        <v>24892</v>
      </c>
      <c r="AA2887">
        <v>0.51933715973678185</v>
      </c>
      <c r="AB2887" t="str">
        <f>HYPERLINK("Melting_Curves/meltCurve_Q13325_IFIT5.pdf", "Melting_Curves/meltCurve_Q13325_IFIT5.pdf")</f>
        <v>Melting_Curves/meltCurve_Q13325_IFIT5.pdf</v>
      </c>
    </row>
    <row r="2888" spans="1:28" x14ac:dyDescent="0.25">
      <c r="A2888" t="s">
        <v>2892</v>
      </c>
      <c r="B2888">
        <v>0.99299721793515405</v>
      </c>
      <c r="C2888">
        <v>0.96746881895509895</v>
      </c>
      <c r="D2888">
        <v>1.1684494330753801</v>
      </c>
      <c r="E2888">
        <v>0.82025693235413</v>
      </c>
      <c r="F2888">
        <v>0.38539757021725302</v>
      </c>
      <c r="G2888">
        <v>0.23478283412560599</v>
      </c>
      <c r="H2888">
        <v>0.15033499070399101</v>
      </c>
      <c r="I2888">
        <v>0.13078160072183101</v>
      </c>
      <c r="J2888">
        <v>0.122921569977366</v>
      </c>
      <c r="K2888">
        <v>0.122256172877895</v>
      </c>
      <c r="L2888">
        <v>1532.6814236645901</v>
      </c>
      <c r="M2888">
        <v>31.399414461153</v>
      </c>
      <c r="N2888">
        <v>49.325504086982797</v>
      </c>
      <c r="O2888">
        <v>48.615726640316801</v>
      </c>
      <c r="P2888">
        <v>-0.13897221344316901</v>
      </c>
      <c r="Q2888">
        <v>0.13932199126226799</v>
      </c>
      <c r="R2888">
        <v>0.97708200235315101</v>
      </c>
      <c r="S2888" t="s">
        <v>8439</v>
      </c>
      <c r="T2888" t="s">
        <v>11100</v>
      </c>
      <c r="U2888" t="s">
        <v>11100</v>
      </c>
      <c r="V2888" t="s">
        <v>11100</v>
      </c>
      <c r="W2888" t="s">
        <v>13945</v>
      </c>
      <c r="X2888">
        <v>15</v>
      </c>
      <c r="Y2888" t="s">
        <v>19398</v>
      </c>
      <c r="Z2888" t="s">
        <v>24893</v>
      </c>
      <c r="AA2888">
        <v>0.48293495097687861</v>
      </c>
      <c r="AB2888" t="str">
        <f>HYPERLINK("Melting_Curves/meltCurve_Q13347_EIF3I.pdf", "Melting_Curves/meltCurve_Q13347_EIF3I.pdf")</f>
        <v>Melting_Curves/meltCurve_Q13347_EIF3I.pdf</v>
      </c>
    </row>
    <row r="2889" spans="1:28" x14ac:dyDescent="0.25">
      <c r="A2889" t="s">
        <v>2893</v>
      </c>
      <c r="B2889">
        <v>0.99299721793515405</v>
      </c>
      <c r="C2889">
        <v>0.92029687229268597</v>
      </c>
      <c r="D2889">
        <v>0.97716113095442603</v>
      </c>
      <c r="E2889">
        <v>0.77634721907121595</v>
      </c>
      <c r="F2889">
        <v>0.56748162493296495</v>
      </c>
      <c r="G2889">
        <v>0.213122405253548</v>
      </c>
      <c r="H2889">
        <v>0.15339142885203</v>
      </c>
      <c r="I2889">
        <v>0.14685921302891999</v>
      </c>
      <c r="J2889">
        <v>8.7118046130529606E-2</v>
      </c>
      <c r="K2889">
        <v>8.0379486634669706E-2</v>
      </c>
      <c r="L2889">
        <v>938.43867245494096</v>
      </c>
      <c r="M2889">
        <v>18.801481889077099</v>
      </c>
      <c r="N2889">
        <v>50.380436345293901</v>
      </c>
      <c r="O2889">
        <v>49.358647771454599</v>
      </c>
      <c r="P2889">
        <v>-8.7610916470344899E-2</v>
      </c>
      <c r="Q2889">
        <v>8.0034910559642694E-2</v>
      </c>
      <c r="R2889">
        <v>0.99011290493052395</v>
      </c>
      <c r="S2889" t="s">
        <v>8440</v>
      </c>
      <c r="T2889" t="s">
        <v>11100</v>
      </c>
      <c r="U2889" t="s">
        <v>11100</v>
      </c>
      <c r="V2889" t="s">
        <v>11100</v>
      </c>
      <c r="W2889" t="s">
        <v>13946</v>
      </c>
      <c r="X2889">
        <v>8</v>
      </c>
      <c r="Y2889" t="s">
        <v>19399</v>
      </c>
      <c r="Z2889" t="s">
        <v>24894</v>
      </c>
      <c r="AA2889">
        <v>0.48950351905086997</v>
      </c>
      <c r="AB2889" t="str">
        <f>HYPERLINK("Melting_Curves/meltCurve_Q13356_PPIL2.pdf", "Melting_Curves/meltCurve_Q13356_PPIL2.pdf")</f>
        <v>Melting_Curves/meltCurve_Q13356_PPIL2.pdf</v>
      </c>
    </row>
    <row r="2890" spans="1:28" x14ac:dyDescent="0.25">
      <c r="A2890" t="s">
        <v>2894</v>
      </c>
      <c r="B2890">
        <v>0.99299721793515405</v>
      </c>
      <c r="C2890">
        <v>1.32667217292521</v>
      </c>
      <c r="D2890">
        <v>1.1032494831523001</v>
      </c>
      <c r="E2890">
        <v>1.21349408828668</v>
      </c>
      <c r="F2890">
        <v>1.0661525863902499</v>
      </c>
      <c r="G2890">
        <v>0.70074185954309498</v>
      </c>
      <c r="H2890">
        <v>0.26619796351132702</v>
      </c>
      <c r="I2890">
        <v>0.14892852063367401</v>
      </c>
      <c r="J2890">
        <v>0.12802945636775201</v>
      </c>
      <c r="K2890">
        <v>6.0253348819553902E-2</v>
      </c>
      <c r="L2890">
        <v>2118.8956465076099</v>
      </c>
      <c r="M2890">
        <v>38.576472032048201</v>
      </c>
      <c r="N2890">
        <v>55.273845752092498</v>
      </c>
      <c r="O2890">
        <v>54.780175586641803</v>
      </c>
      <c r="P2890">
        <v>-0.15713353735775901</v>
      </c>
      <c r="Q2890">
        <v>0.10745793444594499</v>
      </c>
      <c r="R2890">
        <v>0.92267713484399605</v>
      </c>
      <c r="S2890" t="s">
        <v>8441</v>
      </c>
      <c r="T2890" t="s">
        <v>11100</v>
      </c>
      <c r="U2890" t="s">
        <v>11100</v>
      </c>
      <c r="V2890" t="s">
        <v>11100</v>
      </c>
      <c r="W2890" t="s">
        <v>13947</v>
      </c>
      <c r="X2890">
        <v>6</v>
      </c>
      <c r="Y2890" t="s">
        <v>19400</v>
      </c>
      <c r="Z2890" t="s">
        <v>24895</v>
      </c>
      <c r="AA2890">
        <v>0.64439815646580645</v>
      </c>
      <c r="AB2890" t="str">
        <f>HYPERLINK("Melting_Curves/meltCurve_Q13362_4_PPP2R5C.pdf", "Melting_Curves/meltCurve_Q13362_4_PPP2R5C.pdf")</f>
        <v>Melting_Curves/meltCurve_Q13362_4_PPP2R5C.pdf</v>
      </c>
    </row>
    <row r="2891" spans="1:28" x14ac:dyDescent="0.25">
      <c r="A2891" t="s">
        <v>2895</v>
      </c>
      <c r="B2891">
        <v>0.99299721793515405</v>
      </c>
      <c r="C2891">
        <v>1.0329008274996101</v>
      </c>
      <c r="D2891">
        <v>0.90825332027043204</v>
      </c>
      <c r="E2891">
        <v>0.94594252418619995</v>
      </c>
      <c r="F2891">
        <v>0.79852856838610697</v>
      </c>
      <c r="G2891">
        <v>0.68256024078867095</v>
      </c>
      <c r="H2891">
        <v>0.43181376355425999</v>
      </c>
      <c r="I2891">
        <v>0.28719931637082402</v>
      </c>
      <c r="J2891">
        <v>0.21663583639225401</v>
      </c>
      <c r="K2891">
        <v>0.177460805488002</v>
      </c>
      <c r="L2891">
        <v>717.03100654766001</v>
      </c>
      <c r="M2891">
        <v>12.8589445744899</v>
      </c>
      <c r="N2891">
        <v>56.4192360333114</v>
      </c>
      <c r="O2891">
        <v>54.464335827529098</v>
      </c>
      <c r="P2891">
        <v>-5.4924832361487E-2</v>
      </c>
      <c r="Q2891">
        <v>6.9630265042891798E-2</v>
      </c>
      <c r="R2891">
        <v>0.99066114338171096</v>
      </c>
      <c r="S2891" t="s">
        <v>8442</v>
      </c>
      <c r="T2891" t="s">
        <v>11100</v>
      </c>
      <c r="U2891" t="s">
        <v>11100</v>
      </c>
      <c r="V2891" t="s">
        <v>11100</v>
      </c>
      <c r="W2891" t="s">
        <v>13948</v>
      </c>
      <c r="X2891">
        <v>10</v>
      </c>
      <c r="Y2891" t="s">
        <v>19401</v>
      </c>
      <c r="Z2891" t="s">
        <v>24896</v>
      </c>
      <c r="AA2891">
        <v>0.6622483250734551</v>
      </c>
      <c r="AB2891" t="str">
        <f>HYPERLINK("Melting_Curves/meltCurve_Q13363_CTBP1.pdf", "Melting_Curves/meltCurve_Q13363_CTBP1.pdf")</f>
        <v>Melting_Curves/meltCurve_Q13363_CTBP1.pdf</v>
      </c>
    </row>
    <row r="2892" spans="1:28" x14ac:dyDescent="0.25">
      <c r="A2892" t="s">
        <v>2896</v>
      </c>
      <c r="B2892">
        <v>0.99299721793515405</v>
      </c>
      <c r="C2892">
        <v>0.86072018927281901</v>
      </c>
      <c r="D2892">
        <v>0.91159947688559495</v>
      </c>
      <c r="E2892">
        <v>0.74831584409792795</v>
      </c>
      <c r="F2892">
        <v>0.624243101290052</v>
      </c>
      <c r="G2892">
        <v>0.68877315552608398</v>
      </c>
      <c r="H2892">
        <v>0.54336737958387804</v>
      </c>
      <c r="I2892">
        <v>0.30527831275556999</v>
      </c>
      <c r="J2892">
        <v>0.26708681696285702</v>
      </c>
      <c r="K2892">
        <v>0.217885305543084</v>
      </c>
      <c r="L2892">
        <v>376.70049104555801</v>
      </c>
      <c r="M2892">
        <v>6.72054052212171</v>
      </c>
      <c r="N2892">
        <v>56.0521158016737</v>
      </c>
      <c r="O2892">
        <v>51.715176366205903</v>
      </c>
      <c r="P2892">
        <v>-3.2558141399776697E-2</v>
      </c>
      <c r="Q2892">
        <v>0</v>
      </c>
      <c r="R2892">
        <v>0.94181742200722196</v>
      </c>
      <c r="S2892" t="s">
        <v>8443</v>
      </c>
      <c r="T2892" t="s">
        <v>11100</v>
      </c>
      <c r="U2892" t="s">
        <v>11100</v>
      </c>
      <c r="V2892" t="s">
        <v>11100</v>
      </c>
      <c r="W2892" t="s">
        <v>13949</v>
      </c>
      <c r="X2892">
        <v>2</v>
      </c>
      <c r="Y2892" t="s">
        <v>19402</v>
      </c>
      <c r="Z2892" t="s">
        <v>24897</v>
      </c>
      <c r="AA2892">
        <v>0.62445006700825312</v>
      </c>
      <c r="AB2892" t="str">
        <f>HYPERLINK("Melting_Curves/meltCurve_Q13395_TARBP1.pdf", "Melting_Curves/meltCurve_Q13395_TARBP1.pdf")</f>
        <v>Melting_Curves/meltCurve_Q13395_TARBP1.pdf</v>
      </c>
    </row>
    <row r="2893" spans="1:28" x14ac:dyDescent="0.25">
      <c r="A2893" t="s">
        <v>2897</v>
      </c>
      <c r="B2893">
        <v>0.99299721793515405</v>
      </c>
      <c r="C2893">
        <v>0.75512344683163202</v>
      </c>
      <c r="D2893">
        <v>0.85307007290068704</v>
      </c>
      <c r="E2893">
        <v>0.96154375478836496</v>
      </c>
      <c r="F2893">
        <v>0.74228341897428096</v>
      </c>
      <c r="G2893">
        <v>0.61041409440502203</v>
      </c>
      <c r="H2893">
        <v>0.62426204996760104</v>
      </c>
      <c r="I2893">
        <v>0.56732220844388104</v>
      </c>
      <c r="J2893">
        <v>0.48115059318548398</v>
      </c>
      <c r="K2893">
        <v>0.38146382929259498</v>
      </c>
      <c r="L2893">
        <v>270.39472608385103</v>
      </c>
      <c r="M2893">
        <v>4.3139209645641197</v>
      </c>
      <c r="N2893">
        <v>62.679573520726997</v>
      </c>
      <c r="O2893">
        <v>52.645868173795201</v>
      </c>
      <c r="P2893">
        <v>-2.06915902891988E-2</v>
      </c>
      <c r="Q2893">
        <v>0</v>
      </c>
      <c r="R2893">
        <v>0.83635298365413702</v>
      </c>
      <c r="S2893" t="s">
        <v>8444</v>
      </c>
      <c r="T2893" t="s">
        <v>11100</v>
      </c>
      <c r="U2893" t="s">
        <v>11100</v>
      </c>
      <c r="V2893" t="s">
        <v>11100</v>
      </c>
      <c r="W2893" t="s">
        <v>13950</v>
      </c>
      <c r="X2893">
        <v>1</v>
      </c>
      <c r="Y2893" t="s">
        <v>19403</v>
      </c>
      <c r="Z2893" t="s">
        <v>24898</v>
      </c>
      <c r="AA2893">
        <v>0.70354703993369871</v>
      </c>
      <c r="AB2893" t="str">
        <f>HYPERLINK("Melting_Curves/meltCurve_Q13405_MRPL49.pdf", "Melting_Curves/meltCurve_Q13405_MRPL49.pdf")</f>
        <v>Melting_Curves/meltCurve_Q13405_MRPL49.pdf</v>
      </c>
    </row>
    <row r="2894" spans="1:28" x14ac:dyDescent="0.25">
      <c r="A2894" t="s">
        <v>2898</v>
      </c>
      <c r="B2894">
        <v>0.99299721793515405</v>
      </c>
      <c r="C2894">
        <v>0.83151555174653402</v>
      </c>
      <c r="D2894">
        <v>0.84602020317297</v>
      </c>
      <c r="E2894">
        <v>0.72711869555053299</v>
      </c>
      <c r="F2894">
        <v>0.70745516329504798</v>
      </c>
      <c r="G2894">
        <v>0.816354750290602</v>
      </c>
      <c r="H2894">
        <v>1.64684288274241</v>
      </c>
      <c r="I2894">
        <v>1.5532184854409801</v>
      </c>
      <c r="J2894">
        <v>0.66357455165716905</v>
      </c>
      <c r="K2894">
        <v>0.34956846987505003</v>
      </c>
      <c r="L2894">
        <v>15000</v>
      </c>
      <c r="M2894">
        <v>234.07813355469401</v>
      </c>
      <c r="N2894">
        <v>64.411623437478895</v>
      </c>
      <c r="O2894">
        <v>64.076468178687307</v>
      </c>
      <c r="P2894">
        <v>-0.59404975269138105</v>
      </c>
      <c r="Q2894">
        <v>0.349539878449313</v>
      </c>
      <c r="R2894">
        <v>0.32223623192858097</v>
      </c>
      <c r="S2894" t="s">
        <v>8445</v>
      </c>
      <c r="T2894" t="s">
        <v>11100</v>
      </c>
      <c r="U2894" t="s">
        <v>11100</v>
      </c>
      <c r="V2894" t="s">
        <v>11100</v>
      </c>
      <c r="W2894" t="s">
        <v>13951</v>
      </c>
      <c r="X2894">
        <v>11</v>
      </c>
      <c r="Y2894" t="s">
        <v>19404</v>
      </c>
      <c r="Z2894" t="s">
        <v>24899</v>
      </c>
      <c r="AA2894">
        <v>0.93679705433249072</v>
      </c>
      <c r="AB2894" t="str">
        <f>HYPERLINK("Melting_Curves/meltCurve_Q13409_6_DYNC1I2.pdf", "Melting_Curves/meltCurve_Q13409_6_DYNC1I2.pdf")</f>
        <v>Melting_Curves/meltCurve_Q13409_6_DYNC1I2.pdf</v>
      </c>
    </row>
    <row r="2895" spans="1:28" x14ac:dyDescent="0.25">
      <c r="A2895" t="s">
        <v>2899</v>
      </c>
      <c r="B2895">
        <v>0.99299721793515405</v>
      </c>
      <c r="C2895">
        <v>0.90023545071806099</v>
      </c>
      <c r="D2895">
        <v>0.89130423877093001</v>
      </c>
      <c r="E2895">
        <v>0.73343250253441705</v>
      </c>
      <c r="F2895">
        <v>0.55509149039852201</v>
      </c>
      <c r="G2895">
        <v>0.25807398554414002</v>
      </c>
      <c r="H2895">
        <v>0.25256310247611402</v>
      </c>
      <c r="I2895">
        <v>0.39107317846453499</v>
      </c>
      <c r="J2895">
        <v>0.435059512981957</v>
      </c>
      <c r="K2895">
        <v>0.55539555233749305</v>
      </c>
      <c r="L2895">
        <v>1081.47785983271</v>
      </c>
      <c r="M2895">
        <v>23.0697815634643</v>
      </c>
      <c r="N2895">
        <v>50.0183940337511</v>
      </c>
      <c r="O2895">
        <v>46.530570891582599</v>
      </c>
      <c r="P2895">
        <v>-7.6540182173176596E-2</v>
      </c>
      <c r="Q2895">
        <v>0.38250087612258798</v>
      </c>
      <c r="R2895">
        <v>0.86443478906066595</v>
      </c>
      <c r="S2895" t="s">
        <v>8446</v>
      </c>
      <c r="T2895" t="s">
        <v>11100</v>
      </c>
      <c r="U2895" t="s">
        <v>11100</v>
      </c>
      <c r="V2895" t="s">
        <v>11100</v>
      </c>
      <c r="W2895" t="s">
        <v>13952</v>
      </c>
      <c r="X2895">
        <v>1</v>
      </c>
      <c r="Y2895" t="s">
        <v>19405</v>
      </c>
      <c r="Z2895" t="s">
        <v>24900</v>
      </c>
      <c r="AA2895">
        <v>0.59191866041500074</v>
      </c>
      <c r="AB2895" t="str">
        <f>HYPERLINK("Melting_Curves/meltCurve_Q13416_ORC2.pdf", "Melting_Curves/meltCurve_Q13416_ORC2.pdf")</f>
        <v>Melting_Curves/meltCurve_Q13416_ORC2.pdf</v>
      </c>
    </row>
    <row r="2896" spans="1:28" x14ac:dyDescent="0.25">
      <c r="A2896" t="s">
        <v>2900</v>
      </c>
      <c r="B2896">
        <v>0.99299721793515405</v>
      </c>
      <c r="C2896">
        <v>0.934232695171343</v>
      </c>
      <c r="D2896">
        <v>0.93545272194796503</v>
      </c>
      <c r="E2896">
        <v>0.79246199129514905</v>
      </c>
      <c r="F2896">
        <v>0.67231590543198205</v>
      </c>
      <c r="G2896">
        <v>0.46210583202650601</v>
      </c>
      <c r="H2896">
        <v>0.23177415316252201</v>
      </c>
      <c r="I2896">
        <v>0.19030101605184499</v>
      </c>
      <c r="J2896">
        <v>0.181201687239331</v>
      </c>
      <c r="K2896">
        <v>0.15743638315931799</v>
      </c>
      <c r="L2896">
        <v>665.00437855913299</v>
      </c>
      <c r="M2896">
        <v>12.857529238119501</v>
      </c>
      <c r="N2896">
        <v>52.560448533248</v>
      </c>
      <c r="O2896">
        <v>50.517810207348703</v>
      </c>
      <c r="P2896">
        <v>-5.7733524274007603E-2</v>
      </c>
      <c r="Q2896">
        <v>9.2817099118550406E-2</v>
      </c>
      <c r="R2896">
        <v>0.99115921843789401</v>
      </c>
      <c r="S2896" t="s">
        <v>8447</v>
      </c>
      <c r="T2896" t="s">
        <v>11100</v>
      </c>
      <c r="U2896" t="s">
        <v>11100</v>
      </c>
      <c r="V2896" t="s">
        <v>11100</v>
      </c>
      <c r="W2896" t="s">
        <v>13953</v>
      </c>
      <c r="X2896">
        <v>13</v>
      </c>
      <c r="Y2896" t="s">
        <v>19406</v>
      </c>
      <c r="Z2896" t="s">
        <v>24901</v>
      </c>
      <c r="AA2896">
        <v>0.55879563248277897</v>
      </c>
      <c r="AB2896" t="str">
        <f>HYPERLINK("Melting_Curves/meltCurve_Q13418_ILK.pdf", "Melting_Curves/meltCurve_Q13418_ILK.pdf")</f>
        <v>Melting_Curves/meltCurve_Q13418_ILK.pdf</v>
      </c>
    </row>
    <row r="2897" spans="1:28" x14ac:dyDescent="0.25">
      <c r="A2897" t="s">
        <v>2901</v>
      </c>
      <c r="B2897">
        <v>0.99299721793515405</v>
      </c>
      <c r="C2897">
        <v>0.98494126085940803</v>
      </c>
      <c r="D2897">
        <v>0.91652218430261301</v>
      </c>
      <c r="E2897">
        <v>0.82480238247565596</v>
      </c>
      <c r="F2897">
        <v>0.73993355565868202</v>
      </c>
      <c r="G2897">
        <v>0.71895700561668696</v>
      </c>
      <c r="H2897">
        <v>0.60564809928941499</v>
      </c>
      <c r="I2897">
        <v>0.21256215416014501</v>
      </c>
      <c r="J2897">
        <v>0.178528048018018</v>
      </c>
      <c r="K2897">
        <v>0.15151099333374299</v>
      </c>
      <c r="L2897">
        <v>610.46166337670797</v>
      </c>
      <c r="M2897">
        <v>10.759300287890801</v>
      </c>
      <c r="N2897">
        <v>56.738044976974599</v>
      </c>
      <c r="O2897">
        <v>54.883454839118002</v>
      </c>
      <c r="P2897">
        <v>-4.9027766526843597E-2</v>
      </c>
      <c r="Q2897">
        <v>0</v>
      </c>
      <c r="R2897">
        <v>0.947590002200277</v>
      </c>
      <c r="S2897" t="s">
        <v>8448</v>
      </c>
      <c r="T2897" t="s">
        <v>11100</v>
      </c>
      <c r="U2897" t="s">
        <v>11100</v>
      </c>
      <c r="V2897" t="s">
        <v>11100</v>
      </c>
      <c r="W2897" t="s">
        <v>13954</v>
      </c>
      <c r="X2897">
        <v>39</v>
      </c>
      <c r="Y2897" t="s">
        <v>19407</v>
      </c>
      <c r="Z2897" t="s">
        <v>24902</v>
      </c>
      <c r="AA2897">
        <v>0.66129385682347552</v>
      </c>
      <c r="AB2897" t="str">
        <f>HYPERLINK("Melting_Curves/meltCurve_Q13423_NNT.pdf", "Melting_Curves/meltCurve_Q13423_NNT.pdf")</f>
        <v>Melting_Curves/meltCurve_Q13423_NNT.pdf</v>
      </c>
    </row>
    <row r="2898" spans="1:28" x14ac:dyDescent="0.25">
      <c r="A2898" t="s">
        <v>2902</v>
      </c>
      <c r="B2898">
        <v>0.99299721793515405</v>
      </c>
      <c r="C2898">
        <v>0.78991984460689402</v>
      </c>
      <c r="D2898">
        <v>0.90436717343137496</v>
      </c>
      <c r="E2898">
        <v>0.74161389480108897</v>
      </c>
      <c r="F2898">
        <v>0.65663369373193703</v>
      </c>
      <c r="G2898">
        <v>0.36918514967195998</v>
      </c>
      <c r="H2898">
        <v>0.21349539948257401</v>
      </c>
      <c r="I2898">
        <v>0.27829267882365999</v>
      </c>
      <c r="J2898">
        <v>0.157239716256141</v>
      </c>
      <c r="K2898">
        <v>0.15287660923641899</v>
      </c>
      <c r="L2898">
        <v>479.37035372048501</v>
      </c>
      <c r="M2898">
        <v>9.3350000621483407</v>
      </c>
      <c r="N2898">
        <v>51.794876778127602</v>
      </c>
      <c r="O2898">
        <v>49.160585203587701</v>
      </c>
      <c r="P2898">
        <v>-4.5679633067554098E-2</v>
      </c>
      <c r="Q2898">
        <v>3.83637505034959E-2</v>
      </c>
      <c r="R2898">
        <v>0.95231129789811597</v>
      </c>
      <c r="S2898" t="s">
        <v>8449</v>
      </c>
      <c r="T2898" t="s">
        <v>11100</v>
      </c>
      <c r="U2898" t="s">
        <v>11100</v>
      </c>
      <c r="V2898" t="s">
        <v>11100</v>
      </c>
      <c r="W2898" t="s">
        <v>13955</v>
      </c>
      <c r="X2898">
        <v>3</v>
      </c>
      <c r="Y2898" t="s">
        <v>19408</v>
      </c>
      <c r="Z2898" t="s">
        <v>24903</v>
      </c>
      <c r="AA2898">
        <v>0.52766953152076779</v>
      </c>
      <c r="AB2898" t="str">
        <f>HYPERLINK("Melting_Curves/meltCurve_Q13424_SNTA1.pdf", "Melting_Curves/meltCurve_Q13424_SNTA1.pdf")</f>
        <v>Melting_Curves/meltCurve_Q13424_SNTA1.pdf</v>
      </c>
    </row>
    <row r="2899" spans="1:28" x14ac:dyDescent="0.25">
      <c r="A2899" t="s">
        <v>2903</v>
      </c>
      <c r="B2899">
        <v>0.99299721793515405</v>
      </c>
      <c r="C2899">
        <v>0.93809111788980004</v>
      </c>
      <c r="D2899">
        <v>0.96610480075712102</v>
      </c>
      <c r="E2899">
        <v>0.82001347781719802</v>
      </c>
      <c r="F2899">
        <v>0.71345144079420297</v>
      </c>
      <c r="G2899">
        <v>0.64879603476215897</v>
      </c>
      <c r="H2899">
        <v>0.61982347449676101</v>
      </c>
      <c r="I2899">
        <v>0.64655138335629403</v>
      </c>
      <c r="J2899">
        <v>0.52247500102637401</v>
      </c>
      <c r="K2899">
        <v>0.29013153635608502</v>
      </c>
      <c r="L2899">
        <v>315.70027052778698</v>
      </c>
      <c r="M2899">
        <v>5.0656844311553</v>
      </c>
      <c r="N2899">
        <v>62.3213472069163</v>
      </c>
      <c r="O2899">
        <v>54.556974053906799</v>
      </c>
      <c r="P2899">
        <v>-2.3348844115851801E-2</v>
      </c>
      <c r="Q2899">
        <v>0</v>
      </c>
      <c r="R2899">
        <v>0.90226794012776501</v>
      </c>
      <c r="S2899" t="s">
        <v>8450</v>
      </c>
      <c r="T2899" t="s">
        <v>11100</v>
      </c>
      <c r="U2899" t="s">
        <v>11100</v>
      </c>
      <c r="V2899" t="s">
        <v>11100</v>
      </c>
      <c r="W2899" t="s">
        <v>13956</v>
      </c>
      <c r="X2899">
        <v>9</v>
      </c>
      <c r="Y2899" t="s">
        <v>19409</v>
      </c>
      <c r="Z2899" t="s">
        <v>24904</v>
      </c>
      <c r="AA2899">
        <v>0.71831233968077113</v>
      </c>
      <c r="AB2899" t="str">
        <f>HYPERLINK("Melting_Curves/meltCurve_Q13426_XRCC4.pdf", "Melting_Curves/meltCurve_Q13426_XRCC4.pdf")</f>
        <v>Melting_Curves/meltCurve_Q13426_XRCC4.pdf</v>
      </c>
    </row>
    <row r="2900" spans="1:28" x14ac:dyDescent="0.25">
      <c r="A2900" t="s">
        <v>2904</v>
      </c>
      <c r="B2900">
        <v>0.99299721793515405</v>
      </c>
      <c r="C2900">
        <v>1.01426909711182</v>
      </c>
      <c r="D2900">
        <v>1.0479917096337901</v>
      </c>
      <c r="E2900">
        <v>0.946370036569394</v>
      </c>
      <c r="F2900">
        <v>0.51504791950298701</v>
      </c>
      <c r="G2900">
        <v>0.209026304312634</v>
      </c>
      <c r="H2900">
        <v>0.153212636146424</v>
      </c>
      <c r="I2900">
        <v>0.131576348456796</v>
      </c>
      <c r="J2900">
        <v>9.7349643650726805E-2</v>
      </c>
      <c r="K2900">
        <v>8.2975344564949899E-2</v>
      </c>
      <c r="L2900">
        <v>1671.1261257298299</v>
      </c>
      <c r="M2900">
        <v>33.422830182570799</v>
      </c>
      <c r="N2900">
        <v>50.394435247283802</v>
      </c>
      <c r="O2900">
        <v>49.821565544028601</v>
      </c>
      <c r="P2900">
        <v>-0.14839172059209399</v>
      </c>
      <c r="Q2900">
        <v>0.11520641178529201</v>
      </c>
      <c r="R2900">
        <v>0.996424492395525</v>
      </c>
      <c r="S2900" t="s">
        <v>8451</v>
      </c>
      <c r="T2900" t="s">
        <v>11100</v>
      </c>
      <c r="U2900" t="s">
        <v>11100</v>
      </c>
      <c r="V2900" t="s">
        <v>11100</v>
      </c>
      <c r="W2900" t="s">
        <v>13957</v>
      </c>
      <c r="X2900">
        <v>5</v>
      </c>
      <c r="Y2900" t="s">
        <v>19410</v>
      </c>
      <c r="Z2900" t="s">
        <v>24905</v>
      </c>
      <c r="AA2900">
        <v>0.50298382628241289</v>
      </c>
      <c r="AB2900" t="str">
        <f>HYPERLINK("Melting_Curves/meltCurve_Q13432_2_UNC119.pdf", "Melting_Curves/meltCurve_Q13432_2_UNC119.pdf")</f>
        <v>Melting_Curves/meltCurve_Q13432_2_UNC119.pdf</v>
      </c>
    </row>
    <row r="2901" spans="1:28" x14ac:dyDescent="0.25">
      <c r="A2901" t="s">
        <v>2905</v>
      </c>
      <c r="B2901">
        <v>0.99299721793515405</v>
      </c>
      <c r="C2901">
        <v>0.95930829827910902</v>
      </c>
      <c r="D2901">
        <v>0.90237550502486397</v>
      </c>
      <c r="E2901">
        <v>0.717495253091332</v>
      </c>
      <c r="F2901">
        <v>0.58521298756507301</v>
      </c>
      <c r="G2901">
        <v>0.37549402780475999</v>
      </c>
      <c r="H2901">
        <v>0.47281151047240699</v>
      </c>
      <c r="I2901">
        <v>0.43517600737522</v>
      </c>
      <c r="J2901">
        <v>0.47065915211259701</v>
      </c>
      <c r="K2901">
        <v>0.41991746203102898</v>
      </c>
      <c r="L2901">
        <v>901.83267831999001</v>
      </c>
      <c r="M2901">
        <v>19.334662743146598</v>
      </c>
      <c r="N2901">
        <v>51.880452014444799</v>
      </c>
      <c r="O2901">
        <v>46.1529310468188</v>
      </c>
      <c r="P2901">
        <v>-5.9805118820143999E-2</v>
      </c>
      <c r="Q2901">
        <v>0.42898829692572399</v>
      </c>
      <c r="R2901">
        <v>0.97435826951178495</v>
      </c>
      <c r="S2901" t="s">
        <v>8452</v>
      </c>
      <c r="T2901" t="s">
        <v>11100</v>
      </c>
      <c r="U2901" t="s">
        <v>11100</v>
      </c>
      <c r="V2901" t="s">
        <v>11100</v>
      </c>
      <c r="W2901" t="s">
        <v>13958</v>
      </c>
      <c r="X2901">
        <v>12</v>
      </c>
      <c r="Y2901" t="s">
        <v>19411</v>
      </c>
      <c r="Z2901" t="s">
        <v>24906</v>
      </c>
      <c r="AA2901">
        <v>0.6205214798062878</v>
      </c>
      <c r="AB2901" t="str">
        <f>HYPERLINK("Melting_Curves/meltCurve_Q13435_SF3B2.pdf", "Melting_Curves/meltCurve_Q13435_SF3B2.pdf")</f>
        <v>Melting_Curves/meltCurve_Q13435_SF3B2.pdf</v>
      </c>
    </row>
    <row r="2902" spans="1:28" x14ac:dyDescent="0.25">
      <c r="A2902" t="s">
        <v>2906</v>
      </c>
      <c r="B2902">
        <v>0.99299721793515405</v>
      </c>
      <c r="C2902">
        <v>0.78958187678823</v>
      </c>
      <c r="D2902">
        <v>1.02112922706922</v>
      </c>
      <c r="E2902">
        <v>0.783144638878986</v>
      </c>
      <c r="F2902">
        <v>0.84141013718589097</v>
      </c>
      <c r="G2902">
        <v>0.48300118670803899</v>
      </c>
      <c r="H2902">
        <v>0.47208060923760697</v>
      </c>
      <c r="I2902">
        <v>0.52127700715884795</v>
      </c>
      <c r="J2902">
        <v>0.422623836546624</v>
      </c>
      <c r="K2902">
        <v>0.32138653274400197</v>
      </c>
      <c r="L2902">
        <v>447.94611308645602</v>
      </c>
      <c r="M2902">
        <v>8.4316283763719806</v>
      </c>
      <c r="N2902">
        <v>57.9266680297996</v>
      </c>
      <c r="O2902">
        <v>50.390856085196603</v>
      </c>
      <c r="P2902">
        <v>-3.13451337060901E-2</v>
      </c>
      <c r="Q2902">
        <v>0.25137005388030398</v>
      </c>
      <c r="R2902">
        <v>0.85110023347143104</v>
      </c>
      <c r="S2902" t="s">
        <v>8453</v>
      </c>
      <c r="T2902" t="s">
        <v>11100</v>
      </c>
      <c r="U2902" t="s">
        <v>11100</v>
      </c>
      <c r="V2902" t="s">
        <v>11100</v>
      </c>
      <c r="W2902" t="s">
        <v>13959</v>
      </c>
      <c r="X2902">
        <v>4</v>
      </c>
      <c r="Y2902" t="s">
        <v>19412</v>
      </c>
      <c r="Z2902" t="s">
        <v>24907</v>
      </c>
      <c r="AA2902">
        <v>0.66981422325889306</v>
      </c>
      <c r="AB2902" t="str">
        <f>HYPERLINK("Melting_Curves/meltCurve_Q13438_5_OS9.pdf", "Melting_Curves/meltCurve_Q13438_5_OS9.pdf")</f>
        <v>Melting_Curves/meltCurve_Q13438_5_OS9.pdf</v>
      </c>
    </row>
    <row r="2903" spans="1:28" x14ac:dyDescent="0.25">
      <c r="A2903" t="s">
        <v>2907</v>
      </c>
      <c r="B2903">
        <v>0.99299721793515405</v>
      </c>
      <c r="C2903">
        <v>0.95848779332452005</v>
      </c>
      <c r="D2903">
        <v>1.00417115040991</v>
      </c>
      <c r="E2903">
        <v>0.95748907135317796</v>
      </c>
      <c r="F2903">
        <v>0.80900377164421</v>
      </c>
      <c r="G2903">
        <v>0.73163689949480804</v>
      </c>
      <c r="H2903">
        <v>1.2691231435527499</v>
      </c>
      <c r="I2903">
        <v>1.66983062585557</v>
      </c>
      <c r="J2903">
        <v>2.26811026045065</v>
      </c>
      <c r="K2903">
        <v>1.6940884928818201</v>
      </c>
      <c r="L2903">
        <v>14341.201402168999</v>
      </c>
      <c r="M2903">
        <v>250</v>
      </c>
      <c r="O2903">
        <v>57.3611346001586</v>
      </c>
      <c r="P2903">
        <v>0.54479396601684904</v>
      </c>
      <c r="Q2903">
        <v>1.5</v>
      </c>
      <c r="R2903">
        <v>0.64555825704929204</v>
      </c>
      <c r="S2903" t="s">
        <v>8454</v>
      </c>
      <c r="T2903" t="s">
        <v>11100</v>
      </c>
      <c r="U2903" t="s">
        <v>11100</v>
      </c>
      <c r="V2903" t="s">
        <v>11100</v>
      </c>
      <c r="W2903" t="s">
        <v>13960</v>
      </c>
      <c r="X2903">
        <v>27</v>
      </c>
      <c r="Y2903" t="s">
        <v>19413</v>
      </c>
      <c r="Z2903" t="s">
        <v>24908</v>
      </c>
      <c r="AA2903">
        <v>1.160536236018209</v>
      </c>
      <c r="AB2903" t="str">
        <f>HYPERLINK("Melting_Curves/meltCurve_Q13442_PDAP1.pdf", "Melting_Curves/meltCurve_Q13442_PDAP1.pdf")</f>
        <v>Melting_Curves/meltCurve_Q13442_PDAP1.pdf</v>
      </c>
    </row>
    <row r="2904" spans="1:28" x14ac:dyDescent="0.25">
      <c r="A2904" t="s">
        <v>2908</v>
      </c>
      <c r="B2904">
        <v>0.99299721793515405</v>
      </c>
      <c r="C2904">
        <v>0.95752146641526903</v>
      </c>
      <c r="D2904">
        <v>0.93592462013740896</v>
      </c>
      <c r="E2904">
        <v>0.90307768399206101</v>
      </c>
      <c r="F2904">
        <v>0.78893570546611202</v>
      </c>
      <c r="G2904">
        <v>0.68144254981871699</v>
      </c>
      <c r="H2904">
        <v>0.57330151895723203</v>
      </c>
      <c r="I2904">
        <v>0.620329498094357</v>
      </c>
      <c r="J2904">
        <v>0.53362756270465295</v>
      </c>
      <c r="K2904">
        <v>0.31192616919021698</v>
      </c>
      <c r="L2904">
        <v>360.25438078907899</v>
      </c>
      <c r="M2904">
        <v>5.7724691374752899</v>
      </c>
      <c r="N2904">
        <v>62.409061387529697</v>
      </c>
      <c r="O2904">
        <v>56.138555073892498</v>
      </c>
      <c r="P2904">
        <v>-2.5801853828080298E-2</v>
      </c>
      <c r="Q2904">
        <v>0</v>
      </c>
      <c r="R2904">
        <v>0.942844106525635</v>
      </c>
      <c r="S2904" t="s">
        <v>8455</v>
      </c>
      <c r="T2904" t="s">
        <v>11100</v>
      </c>
      <c r="U2904" t="s">
        <v>11100</v>
      </c>
      <c r="V2904" t="s">
        <v>11100</v>
      </c>
      <c r="W2904" t="s">
        <v>13961</v>
      </c>
      <c r="X2904">
        <v>8</v>
      </c>
      <c r="Y2904" t="s">
        <v>19414</v>
      </c>
      <c r="Z2904" t="s">
        <v>24909</v>
      </c>
      <c r="AA2904">
        <v>0.73559645561528209</v>
      </c>
      <c r="AB2904" t="str">
        <f>HYPERLINK("Melting_Curves/meltCurve_Q13443_ADAM9.pdf", "Melting_Curves/meltCurve_Q13443_ADAM9.pdf")</f>
        <v>Melting_Curves/meltCurve_Q13443_ADAM9.pdf</v>
      </c>
    </row>
    <row r="2905" spans="1:28" x14ac:dyDescent="0.25">
      <c r="A2905" t="s">
        <v>2909</v>
      </c>
      <c r="B2905">
        <v>0.99299721793515405</v>
      </c>
      <c r="C2905">
        <v>1.0211812276315799</v>
      </c>
      <c r="D2905">
        <v>0.93685646464315697</v>
      </c>
      <c r="E2905">
        <v>0.85962234171351803</v>
      </c>
      <c r="F2905">
        <v>0.69284587691414801</v>
      </c>
      <c r="G2905">
        <v>0.53045594718336897</v>
      </c>
      <c r="H2905">
        <v>0.490435696389728</v>
      </c>
      <c r="I2905">
        <v>0.43400643857939403</v>
      </c>
      <c r="J2905">
        <v>0.45332510013036398</v>
      </c>
      <c r="K2905">
        <v>0.26819848286768899</v>
      </c>
      <c r="L2905">
        <v>624.47055094129996</v>
      </c>
      <c r="M2905">
        <v>12.1870548638499</v>
      </c>
      <c r="N2905">
        <v>56.030023194971001</v>
      </c>
      <c r="O2905">
        <v>49.9193758222155</v>
      </c>
      <c r="P2905">
        <v>-4.1293443023991898E-2</v>
      </c>
      <c r="Q2905">
        <v>0.32358524507901298</v>
      </c>
      <c r="R2905">
        <v>0.97118572809083203</v>
      </c>
      <c r="S2905" t="s">
        <v>8456</v>
      </c>
      <c r="T2905" t="s">
        <v>11100</v>
      </c>
      <c r="U2905" t="s">
        <v>11100</v>
      </c>
      <c r="V2905" t="s">
        <v>11100</v>
      </c>
      <c r="W2905" t="s">
        <v>13962</v>
      </c>
      <c r="X2905">
        <v>3</v>
      </c>
      <c r="Y2905" t="s">
        <v>19415</v>
      </c>
      <c r="Z2905" t="s">
        <v>24910</v>
      </c>
      <c r="AA2905">
        <v>0.66167431870107263</v>
      </c>
      <c r="AB2905" t="str">
        <f>HYPERLINK("Melting_Curves/meltCurve_Q13444_8_ADAM15.pdf", "Melting_Curves/meltCurve_Q13444_8_ADAM15.pdf")</f>
        <v>Melting_Curves/meltCurve_Q13444_8_ADAM15.pdf</v>
      </c>
    </row>
    <row r="2906" spans="1:28" x14ac:dyDescent="0.25">
      <c r="A2906" t="s">
        <v>2910</v>
      </c>
      <c r="B2906">
        <v>0.99299721793515405</v>
      </c>
      <c r="C2906">
        <v>0.79349611301814504</v>
      </c>
      <c r="D2906">
        <v>1.0123429124398799</v>
      </c>
      <c r="E2906">
        <v>0.77599340842690501</v>
      </c>
      <c r="F2906">
        <v>0.73648263305716899</v>
      </c>
      <c r="G2906">
        <v>0.448070687966938</v>
      </c>
      <c r="H2906">
        <v>0.70115869002826203</v>
      </c>
      <c r="I2906">
        <v>0.49580447929128302</v>
      </c>
      <c r="J2906">
        <v>0.27291959153340101</v>
      </c>
      <c r="K2906">
        <v>0.17400730515542101</v>
      </c>
      <c r="L2906">
        <v>375.87760259413398</v>
      </c>
      <c r="M2906">
        <v>6.5525847978979597</v>
      </c>
      <c r="N2906">
        <v>57.363256556964302</v>
      </c>
      <c r="O2906">
        <v>52.724272594444997</v>
      </c>
      <c r="P2906">
        <v>-3.11433506695123E-2</v>
      </c>
      <c r="Q2906">
        <v>0</v>
      </c>
      <c r="R2906">
        <v>0.82355604996219001</v>
      </c>
      <c r="S2906" t="s">
        <v>8457</v>
      </c>
      <c r="T2906" t="s">
        <v>11100</v>
      </c>
      <c r="U2906" t="s">
        <v>11100</v>
      </c>
      <c r="V2906" t="s">
        <v>11100</v>
      </c>
      <c r="W2906" t="s">
        <v>13963</v>
      </c>
      <c r="X2906">
        <v>3</v>
      </c>
      <c r="Y2906" t="s">
        <v>19416</v>
      </c>
      <c r="Z2906" t="s">
        <v>24911</v>
      </c>
      <c r="AA2906">
        <v>0.65166980990845291</v>
      </c>
      <c r="AB2906" t="str">
        <f>HYPERLINK("Melting_Curves/meltCurve_Q13445_TMED1.pdf", "Melting_Curves/meltCurve_Q13445_TMED1.pdf")</f>
        <v>Melting_Curves/meltCurve_Q13445_TMED1.pdf</v>
      </c>
    </row>
    <row r="2907" spans="1:28" x14ac:dyDescent="0.25">
      <c r="A2907" t="s">
        <v>2911</v>
      </c>
      <c r="B2907">
        <v>0.99299721793515405</v>
      </c>
      <c r="C2907">
        <v>0.92567984295235906</v>
      </c>
      <c r="D2907">
        <v>0.96454672095879501</v>
      </c>
      <c r="E2907">
        <v>0.83888612817585095</v>
      </c>
      <c r="F2907">
        <v>0.58714902974218697</v>
      </c>
      <c r="G2907">
        <v>0.24389511840494599</v>
      </c>
      <c r="H2907">
        <v>0.19333798111410699</v>
      </c>
      <c r="I2907">
        <v>0.151121427082863</v>
      </c>
      <c r="J2907">
        <v>0.152957538419072</v>
      </c>
      <c r="K2907">
        <v>0.113054839220269</v>
      </c>
      <c r="L2907">
        <v>1079.0929166133201</v>
      </c>
      <c r="M2907">
        <v>21.540196570377098</v>
      </c>
      <c r="N2907">
        <v>50.782331275679098</v>
      </c>
      <c r="O2907">
        <v>49.6709249495484</v>
      </c>
      <c r="P2907">
        <v>-9.4737749649306605E-2</v>
      </c>
      <c r="Q2907">
        <v>0.12617372433288099</v>
      </c>
      <c r="R2907">
        <v>0.99282664102247598</v>
      </c>
      <c r="S2907" t="s">
        <v>8458</v>
      </c>
      <c r="T2907" t="s">
        <v>11100</v>
      </c>
      <c r="U2907" t="s">
        <v>11100</v>
      </c>
      <c r="V2907" t="s">
        <v>11100</v>
      </c>
      <c r="W2907" t="s">
        <v>13964</v>
      </c>
      <c r="X2907">
        <v>18</v>
      </c>
      <c r="Y2907" t="s">
        <v>19417</v>
      </c>
      <c r="Z2907" t="s">
        <v>24912</v>
      </c>
      <c r="AA2907">
        <v>0.51773397248351538</v>
      </c>
      <c r="AB2907" t="str">
        <f>HYPERLINK("Melting_Curves/meltCurve_Q13451_FKBP5.pdf", "Melting_Curves/meltCurve_Q13451_FKBP5.pdf")</f>
        <v>Melting_Curves/meltCurve_Q13451_FKBP5.pdf</v>
      </c>
    </row>
    <row r="2908" spans="1:28" x14ac:dyDescent="0.25">
      <c r="A2908" t="s">
        <v>2912</v>
      </c>
      <c r="B2908">
        <v>0.99299721793515405</v>
      </c>
      <c r="C2908">
        <v>0.96367999638473001</v>
      </c>
      <c r="D2908">
        <v>0.89396106744241699</v>
      </c>
      <c r="E2908">
        <v>0.877800570046533</v>
      </c>
      <c r="F2908">
        <v>0.78140117794341102</v>
      </c>
      <c r="G2908">
        <v>0.40935350949292998</v>
      </c>
      <c r="H2908">
        <v>0.25450041373576898</v>
      </c>
      <c r="I2908">
        <v>0.221122392833388</v>
      </c>
      <c r="J2908">
        <v>0.16730103950848799</v>
      </c>
      <c r="K2908">
        <v>0.135162040215872</v>
      </c>
      <c r="L2908">
        <v>953.01177705551197</v>
      </c>
      <c r="M2908">
        <v>18.267390755472501</v>
      </c>
      <c r="N2908">
        <v>53.0663682544876</v>
      </c>
      <c r="O2908">
        <v>51.556949515181103</v>
      </c>
      <c r="P2908">
        <v>-7.6824547870291998E-2</v>
      </c>
      <c r="Q2908">
        <v>0.13273742217715101</v>
      </c>
      <c r="R2908">
        <v>0.98506948945086004</v>
      </c>
      <c r="S2908" t="s">
        <v>8459</v>
      </c>
      <c r="T2908" t="s">
        <v>11100</v>
      </c>
      <c r="U2908" t="s">
        <v>11100</v>
      </c>
      <c r="V2908" t="s">
        <v>11100</v>
      </c>
      <c r="W2908" t="s">
        <v>13965</v>
      </c>
      <c r="X2908">
        <v>9</v>
      </c>
      <c r="Y2908" t="s">
        <v>19418</v>
      </c>
      <c r="Z2908" t="s">
        <v>24913</v>
      </c>
      <c r="AA2908">
        <v>0.58405827766679408</v>
      </c>
      <c r="AB2908" t="str">
        <f>HYPERLINK("Melting_Curves/meltCurve_Q13464_ROCK1.pdf", "Melting_Curves/meltCurve_Q13464_ROCK1.pdf")</f>
        <v>Melting_Curves/meltCurve_Q13464_ROCK1.pdf</v>
      </c>
    </row>
    <row r="2909" spans="1:28" x14ac:dyDescent="0.25">
      <c r="A2909" t="s">
        <v>2913</v>
      </c>
      <c r="B2909">
        <v>0.99299721793515405</v>
      </c>
      <c r="C2909">
        <v>0.889640354226373</v>
      </c>
      <c r="D2909">
        <v>0.93643429028834801</v>
      </c>
      <c r="E2909">
        <v>0.89477702051963404</v>
      </c>
      <c r="F2909">
        <v>0.69505408397845403</v>
      </c>
      <c r="G2909">
        <v>0.39241632483254801</v>
      </c>
      <c r="H2909">
        <v>0.28798878856009003</v>
      </c>
      <c r="I2909">
        <v>0.236557392633445</v>
      </c>
      <c r="J2909">
        <v>0.19353345552875201</v>
      </c>
      <c r="K2909">
        <v>0.17838425676698899</v>
      </c>
      <c r="L2909">
        <v>919.45861297734302</v>
      </c>
      <c r="M2909">
        <v>17.909670119129501</v>
      </c>
      <c r="N2909">
        <v>52.5855344397688</v>
      </c>
      <c r="O2909">
        <v>50.7114424459999</v>
      </c>
      <c r="P2909">
        <v>-7.3020881940217594E-2</v>
      </c>
      <c r="Q2909">
        <v>0.173003641455896</v>
      </c>
      <c r="R2909">
        <v>0.985797189698006</v>
      </c>
      <c r="S2909" t="s">
        <v>8460</v>
      </c>
      <c r="T2909" t="s">
        <v>11100</v>
      </c>
      <c r="U2909" t="s">
        <v>11100</v>
      </c>
      <c r="V2909" t="s">
        <v>11100</v>
      </c>
      <c r="W2909" t="s">
        <v>13966</v>
      </c>
      <c r="X2909">
        <v>10</v>
      </c>
      <c r="Y2909" t="s">
        <v>19419</v>
      </c>
      <c r="Z2909" t="s">
        <v>24914</v>
      </c>
      <c r="AA2909">
        <v>0.58110023545973433</v>
      </c>
      <c r="AB2909" t="str">
        <f>HYPERLINK("Melting_Curves/meltCurve_Q13480_2_GAB1.pdf", "Melting_Curves/meltCurve_Q13480_2_GAB1.pdf")</f>
        <v>Melting_Curves/meltCurve_Q13480_2_GAB1.pdf</v>
      </c>
    </row>
    <row r="2910" spans="1:28" x14ac:dyDescent="0.25">
      <c r="A2910" t="s">
        <v>2914</v>
      </c>
      <c r="B2910">
        <v>0.99299721793515405</v>
      </c>
      <c r="C2910">
        <v>0.942394690656013</v>
      </c>
      <c r="D2910">
        <v>0.92789942001140102</v>
      </c>
      <c r="E2910">
        <v>0.76265187544856206</v>
      </c>
      <c r="F2910">
        <v>0.66988382202996299</v>
      </c>
      <c r="G2910">
        <v>0.50895364360732498</v>
      </c>
      <c r="H2910">
        <v>0.38189506482653801</v>
      </c>
      <c r="I2910">
        <v>0.158135026441139</v>
      </c>
      <c r="J2910">
        <v>0.139936340375936</v>
      </c>
      <c r="K2910">
        <v>0.13149766212200301</v>
      </c>
      <c r="L2910">
        <v>529.97863434410499</v>
      </c>
      <c r="M2910">
        <v>9.9196601773544106</v>
      </c>
      <c r="N2910">
        <v>53.427104151652401</v>
      </c>
      <c r="O2910">
        <v>51.391796695353101</v>
      </c>
      <c r="P2910">
        <v>-4.8279280968759899E-2</v>
      </c>
      <c r="Q2910">
        <v>0</v>
      </c>
      <c r="R2910">
        <v>0.98945466187498998</v>
      </c>
      <c r="S2910" t="s">
        <v>8461</v>
      </c>
      <c r="T2910" t="s">
        <v>11100</v>
      </c>
      <c r="U2910" t="s">
        <v>11100</v>
      </c>
      <c r="V2910" t="s">
        <v>11100</v>
      </c>
      <c r="W2910" t="s">
        <v>13967</v>
      </c>
      <c r="X2910">
        <v>12</v>
      </c>
      <c r="Y2910" t="s">
        <v>19420</v>
      </c>
      <c r="Z2910" t="s">
        <v>24915</v>
      </c>
      <c r="AA2910">
        <v>0.56797055956012132</v>
      </c>
      <c r="AB2910" t="str">
        <f>HYPERLINK("Melting_Curves/meltCurve_Q13492_3_PICALM.pdf", "Melting_Curves/meltCurve_Q13492_3_PICALM.pdf")</f>
        <v>Melting_Curves/meltCurve_Q13492_3_PICALM.pdf</v>
      </c>
    </row>
    <row r="2911" spans="1:28" x14ac:dyDescent="0.25">
      <c r="A2911" t="s">
        <v>2915</v>
      </c>
      <c r="B2911">
        <v>0.99299721793515405</v>
      </c>
      <c r="C2911">
        <v>0.75604006438326499</v>
      </c>
      <c r="D2911">
        <v>1.8196948689054799</v>
      </c>
      <c r="E2911">
        <v>0.92480372505294295</v>
      </c>
      <c r="F2911">
        <v>0.84288845092860498</v>
      </c>
      <c r="G2911">
        <v>1.2090626415702199</v>
      </c>
      <c r="H2911">
        <v>0.41810128592680001</v>
      </c>
      <c r="I2911">
        <v>0.201422559684659</v>
      </c>
      <c r="J2911">
        <v>0.120564936287181</v>
      </c>
      <c r="K2911">
        <v>0.20374337680951399</v>
      </c>
      <c r="L2911">
        <v>14299.8427564374</v>
      </c>
      <c r="M2911">
        <v>250</v>
      </c>
      <c r="N2911">
        <v>57.298300200236802</v>
      </c>
      <c r="O2911">
        <v>57.195710718166701</v>
      </c>
      <c r="P2911">
        <v>-0.90124378085386303</v>
      </c>
      <c r="Q2911">
        <v>0.175243544795783</v>
      </c>
      <c r="R2911">
        <v>0.683461107214962</v>
      </c>
      <c r="S2911" t="s">
        <v>8462</v>
      </c>
      <c r="T2911" t="s">
        <v>11100</v>
      </c>
      <c r="U2911" t="s">
        <v>11100</v>
      </c>
      <c r="V2911" t="s">
        <v>11100</v>
      </c>
      <c r="W2911" t="s">
        <v>13968</v>
      </c>
      <c r="X2911">
        <v>2</v>
      </c>
      <c r="Y2911" t="s">
        <v>19421</v>
      </c>
      <c r="Z2911" t="s">
        <v>24916</v>
      </c>
      <c r="AA2911">
        <v>0.73064505863774276</v>
      </c>
      <c r="AB2911" t="str">
        <f>HYPERLINK("Melting_Curves/meltCurve_Q13503_MED21.pdf", "Melting_Curves/meltCurve_Q13503_MED21.pdf")</f>
        <v>Melting_Curves/meltCurve_Q13503_MED21.pdf</v>
      </c>
    </row>
    <row r="2912" spans="1:28" x14ac:dyDescent="0.25">
      <c r="A2912" t="s">
        <v>2916</v>
      </c>
      <c r="B2912">
        <v>0.99299721793515405</v>
      </c>
      <c r="C2912">
        <v>1.0324117313402901</v>
      </c>
      <c r="D2912">
        <v>0.94981635056770597</v>
      </c>
      <c r="E2912">
        <v>0.90322395469331096</v>
      </c>
      <c r="F2912">
        <v>0.76918557499169704</v>
      </c>
      <c r="G2912">
        <v>0.59735222977245594</v>
      </c>
      <c r="H2912">
        <v>0.36798972142295799</v>
      </c>
      <c r="I2912">
        <v>0.195203244750315</v>
      </c>
      <c r="J2912">
        <v>0.14787389825938199</v>
      </c>
      <c r="K2912">
        <v>0.12107080632542599</v>
      </c>
      <c r="L2912">
        <v>732.37350199007301</v>
      </c>
      <c r="M2912">
        <v>13.371799461729999</v>
      </c>
      <c r="N2912">
        <v>54.9918524068488</v>
      </c>
      <c r="O2912">
        <v>53.588564641311002</v>
      </c>
      <c r="P2912">
        <v>-6.0753386343581697E-2</v>
      </c>
      <c r="Q2912">
        <v>2.62577552582497E-2</v>
      </c>
      <c r="R2912">
        <v>0.99658919196537299</v>
      </c>
      <c r="S2912" t="s">
        <v>8463</v>
      </c>
      <c r="T2912" t="s">
        <v>11100</v>
      </c>
      <c r="U2912" t="s">
        <v>11100</v>
      </c>
      <c r="V2912" t="s">
        <v>11100</v>
      </c>
      <c r="W2912" t="s">
        <v>13969</v>
      </c>
      <c r="X2912">
        <v>12</v>
      </c>
      <c r="Y2912" t="s">
        <v>19422</v>
      </c>
      <c r="Z2912" t="s">
        <v>24917</v>
      </c>
      <c r="AA2912">
        <v>0.61780123038616053</v>
      </c>
      <c r="AB2912" t="str">
        <f>HYPERLINK("Melting_Curves/meltCurve_Q13505_3_MTX1.pdf", "Melting_Curves/meltCurve_Q13505_3_MTX1.pdf")</f>
        <v>Melting_Curves/meltCurve_Q13505_3_MTX1.pdf</v>
      </c>
    </row>
    <row r="2913" spans="1:28" x14ac:dyDescent="0.25">
      <c r="A2913" t="s">
        <v>2917</v>
      </c>
      <c r="B2913">
        <v>0.99299721793515405</v>
      </c>
      <c r="C2913">
        <v>0.916566950198488</v>
      </c>
      <c r="D2913">
        <v>0.87926901589428197</v>
      </c>
      <c r="E2913">
        <v>0.80280797548757599</v>
      </c>
      <c r="F2913">
        <v>0.72971919685215103</v>
      </c>
      <c r="G2913">
        <v>0.63828778589077995</v>
      </c>
      <c r="H2913">
        <v>0.55732531351251702</v>
      </c>
      <c r="I2913">
        <v>0.49545994696087903</v>
      </c>
      <c r="J2913">
        <v>0.26866600878361002</v>
      </c>
      <c r="K2913">
        <v>0.14478667967135</v>
      </c>
      <c r="L2913">
        <v>418.306810800493</v>
      </c>
      <c r="M2913">
        <v>7.2935335674617097</v>
      </c>
      <c r="N2913">
        <v>57.353106929909899</v>
      </c>
      <c r="O2913">
        <v>53.513316166498399</v>
      </c>
      <c r="P2913">
        <v>-3.4127766692867503E-2</v>
      </c>
      <c r="Q2913">
        <v>0</v>
      </c>
      <c r="R2913">
        <v>0.94993805028438605</v>
      </c>
      <c r="S2913" t="s">
        <v>8464</v>
      </c>
      <c r="T2913" t="s">
        <v>11100</v>
      </c>
      <c r="U2913" t="s">
        <v>11100</v>
      </c>
      <c r="V2913" t="s">
        <v>11100</v>
      </c>
      <c r="W2913" t="s">
        <v>13970</v>
      </c>
      <c r="X2913">
        <v>28</v>
      </c>
      <c r="Y2913" t="s">
        <v>19423</v>
      </c>
      <c r="Z2913" t="s">
        <v>24918</v>
      </c>
      <c r="AA2913">
        <v>0.65853393027270124</v>
      </c>
      <c r="AB2913" t="str">
        <f>HYPERLINK("Melting_Curves/meltCurve_Q13509_TUBB3.pdf", "Melting_Curves/meltCurve_Q13509_TUBB3.pdf")</f>
        <v>Melting_Curves/meltCurve_Q13509_TUBB3.pdf</v>
      </c>
    </row>
    <row r="2914" spans="1:28" x14ac:dyDescent="0.25">
      <c r="A2914" t="s">
        <v>2918</v>
      </c>
      <c r="B2914">
        <v>0.99299721793515405</v>
      </c>
      <c r="C2914">
        <v>0.94109284711527896</v>
      </c>
      <c r="D2914">
        <v>0.88906508447857702</v>
      </c>
      <c r="E2914">
        <v>0.89226900352862304</v>
      </c>
      <c r="F2914">
        <v>0.72857326710018</v>
      </c>
      <c r="G2914">
        <v>0.34441082981056098</v>
      </c>
      <c r="H2914">
        <v>0.241443206394827</v>
      </c>
      <c r="I2914">
        <v>0.22130244210758299</v>
      </c>
      <c r="J2914">
        <v>0.23237204475966999</v>
      </c>
      <c r="K2914">
        <v>0.22098559840012499</v>
      </c>
      <c r="L2914">
        <v>1312.3943640892201</v>
      </c>
      <c r="M2914">
        <v>25.7234836208582</v>
      </c>
      <c r="N2914">
        <v>52.129409412090503</v>
      </c>
      <c r="O2914">
        <v>50.713980316707797</v>
      </c>
      <c r="P2914">
        <v>-0.10006626302841699</v>
      </c>
      <c r="Q2914">
        <v>0.210885084191901</v>
      </c>
      <c r="R2914">
        <v>0.98159251337462605</v>
      </c>
      <c r="S2914" t="s">
        <v>8465</v>
      </c>
      <c r="T2914" t="s">
        <v>11100</v>
      </c>
      <c r="U2914" t="s">
        <v>11100</v>
      </c>
      <c r="V2914" t="s">
        <v>11100</v>
      </c>
      <c r="W2914" t="s">
        <v>13971</v>
      </c>
      <c r="X2914">
        <v>10</v>
      </c>
      <c r="Y2914" t="s">
        <v>19424</v>
      </c>
      <c r="Z2914" t="s">
        <v>24919</v>
      </c>
      <c r="AA2914">
        <v>0.58624863119925308</v>
      </c>
      <c r="AB2914" t="str">
        <f>HYPERLINK("Melting_Curves/meltCurve_Q13526_PIN1.pdf", "Melting_Curves/meltCurve_Q13526_PIN1.pdf")</f>
        <v>Melting_Curves/meltCurve_Q13526_PIN1.pdf</v>
      </c>
    </row>
    <row r="2915" spans="1:28" x14ac:dyDescent="0.25">
      <c r="A2915" t="s">
        <v>2919</v>
      </c>
      <c r="B2915">
        <v>0.99299721793515405</v>
      </c>
      <c r="C2915">
        <v>0.93400999067761903</v>
      </c>
      <c r="D2915">
        <v>1.2581649268630399</v>
      </c>
      <c r="E2915">
        <v>1.1409150799786001</v>
      </c>
      <c r="F2915">
        <v>0.81541201487545201</v>
      </c>
      <c r="G2915">
        <v>0.91201960751154798</v>
      </c>
      <c r="H2915">
        <v>0.60926599465122699</v>
      </c>
      <c r="I2915">
        <v>0.83621777358438898</v>
      </c>
      <c r="J2915">
        <v>1.0304470793532901</v>
      </c>
      <c r="K2915">
        <v>1.3764628212441601</v>
      </c>
      <c r="L2915">
        <v>15000</v>
      </c>
      <c r="M2915">
        <v>231.57832506675899</v>
      </c>
      <c r="O2915">
        <v>64.768070734928102</v>
      </c>
      <c r="P2915">
        <v>0.33666356979231199</v>
      </c>
      <c r="Q2915">
        <v>1.3766336913438499</v>
      </c>
      <c r="R2915">
        <v>0.31226883629795998</v>
      </c>
      <c r="S2915" t="s">
        <v>8466</v>
      </c>
      <c r="T2915" t="s">
        <v>11100</v>
      </c>
      <c r="U2915" t="s">
        <v>11100</v>
      </c>
      <c r="V2915" t="s">
        <v>11100</v>
      </c>
      <c r="W2915" t="s">
        <v>13972</v>
      </c>
      <c r="X2915">
        <v>12</v>
      </c>
      <c r="Y2915" t="s">
        <v>19425</v>
      </c>
      <c r="Z2915" t="s">
        <v>24920</v>
      </c>
      <c r="AA2915">
        <v>1.027911835024395</v>
      </c>
      <c r="AB2915" t="str">
        <f>HYPERLINK("Melting_Curves/meltCurve_Q13541_EIF4EBP1.pdf", "Melting_Curves/meltCurve_Q13541_EIF4EBP1.pdf")</f>
        <v>Melting_Curves/meltCurve_Q13541_EIF4EBP1.pdf</v>
      </c>
    </row>
    <row r="2916" spans="1:28" x14ac:dyDescent="0.25">
      <c r="A2916" t="s">
        <v>2920</v>
      </c>
      <c r="B2916">
        <v>0.99299721793515405</v>
      </c>
      <c r="C2916">
        <v>0.91006837983377897</v>
      </c>
      <c r="D2916">
        <v>0.89326638090701704</v>
      </c>
      <c r="E2916">
        <v>0.85454529428682502</v>
      </c>
      <c r="F2916">
        <v>0.72886293234493604</v>
      </c>
      <c r="G2916">
        <v>0.53129612965571404</v>
      </c>
      <c r="H2916">
        <v>0.41963075032955999</v>
      </c>
      <c r="I2916">
        <v>0.39591970204858201</v>
      </c>
      <c r="J2916">
        <v>0.445526343199452</v>
      </c>
      <c r="K2916">
        <v>0.31191654500065502</v>
      </c>
      <c r="L2916">
        <v>561.38549606574395</v>
      </c>
      <c r="M2916">
        <v>10.9593021869449</v>
      </c>
      <c r="N2916">
        <v>55.856397950763601</v>
      </c>
      <c r="O2916">
        <v>49.607614825761097</v>
      </c>
      <c r="P2916">
        <v>-3.8757387056393498E-2</v>
      </c>
      <c r="Q2916">
        <v>0.29849410180358399</v>
      </c>
      <c r="R2916">
        <v>0.97049459095153801</v>
      </c>
      <c r="S2916" t="s">
        <v>8467</v>
      </c>
      <c r="T2916" t="s">
        <v>11100</v>
      </c>
      <c r="U2916" t="s">
        <v>11100</v>
      </c>
      <c r="V2916" t="s">
        <v>11100</v>
      </c>
      <c r="W2916" t="s">
        <v>13973</v>
      </c>
      <c r="X2916">
        <v>4</v>
      </c>
      <c r="Y2916" t="s">
        <v>19426</v>
      </c>
      <c r="Z2916" t="s">
        <v>24921</v>
      </c>
      <c r="AA2916">
        <v>0.65053453958308338</v>
      </c>
      <c r="AB2916" t="str">
        <f>HYPERLINK("Melting_Curves/meltCurve_Q13542_EIF4EBP2.pdf", "Melting_Curves/meltCurve_Q13542_EIF4EBP2.pdf")</f>
        <v>Melting_Curves/meltCurve_Q13542_EIF4EBP2.pdf</v>
      </c>
    </row>
    <row r="2917" spans="1:28" x14ac:dyDescent="0.25">
      <c r="A2917" t="s">
        <v>2921</v>
      </c>
      <c r="B2917">
        <v>0.99299721793515405</v>
      </c>
      <c r="C2917">
        <v>0.92490826864260001</v>
      </c>
      <c r="D2917">
        <v>1.0172527701877301</v>
      </c>
      <c r="E2917">
        <v>0.78305918029574895</v>
      </c>
      <c r="F2917">
        <v>0.59240029993001198</v>
      </c>
      <c r="G2917">
        <v>0.37662141147436501</v>
      </c>
      <c r="H2917">
        <v>0.26562268920570498</v>
      </c>
      <c r="I2917">
        <v>0.22978406151755101</v>
      </c>
      <c r="J2917">
        <v>0.226895799616319</v>
      </c>
      <c r="K2917">
        <v>0.16754791285677501</v>
      </c>
      <c r="L2917">
        <v>825.319514230153</v>
      </c>
      <c r="M2917">
        <v>16.486005608188002</v>
      </c>
      <c r="N2917">
        <v>51.471154015076799</v>
      </c>
      <c r="O2917">
        <v>49.342624358366002</v>
      </c>
      <c r="P2917">
        <v>-6.8361517528559401E-2</v>
      </c>
      <c r="Q2917">
        <v>0.181632821350657</v>
      </c>
      <c r="R2917">
        <v>0.98966265355568594</v>
      </c>
      <c r="S2917" t="s">
        <v>8468</v>
      </c>
      <c r="T2917" t="s">
        <v>11100</v>
      </c>
      <c r="U2917" t="s">
        <v>11100</v>
      </c>
      <c r="V2917" t="s">
        <v>11100</v>
      </c>
      <c r="W2917" t="s">
        <v>13974</v>
      </c>
      <c r="X2917">
        <v>9</v>
      </c>
      <c r="Y2917" t="s">
        <v>19427</v>
      </c>
      <c r="Z2917" t="s">
        <v>24922</v>
      </c>
      <c r="AA2917">
        <v>0.55276944727615118</v>
      </c>
      <c r="AB2917" t="str">
        <f>HYPERLINK("Melting_Curves/meltCurve_Q13546_2_RIPK1.pdf", "Melting_Curves/meltCurve_Q13546_2_RIPK1.pdf")</f>
        <v>Melting_Curves/meltCurve_Q13546_2_RIPK1.pdf</v>
      </c>
    </row>
    <row r="2918" spans="1:28" x14ac:dyDescent="0.25">
      <c r="A2918" t="s">
        <v>2922</v>
      </c>
      <c r="B2918">
        <v>0.99299721793515405</v>
      </c>
      <c r="C2918">
        <v>1.0979385377072299</v>
      </c>
      <c r="D2918">
        <v>0.93106297296655405</v>
      </c>
      <c r="E2918">
        <v>0.85099207071948402</v>
      </c>
      <c r="F2918">
        <v>0.80359500313076804</v>
      </c>
      <c r="G2918">
        <v>0.55841532299756902</v>
      </c>
      <c r="H2918">
        <v>0.221004388602071</v>
      </c>
      <c r="I2918">
        <v>0.13799634610198999</v>
      </c>
      <c r="J2918">
        <v>0.105981483174971</v>
      </c>
      <c r="K2918">
        <v>8.3320926300698206E-2</v>
      </c>
      <c r="L2918">
        <v>915.34258605151501</v>
      </c>
      <c r="M2918">
        <v>17.035008973923599</v>
      </c>
      <c r="N2918">
        <v>53.964636386943504</v>
      </c>
      <c r="O2918">
        <v>53.008947713875102</v>
      </c>
      <c r="P2918">
        <v>-7.7512866010304896E-2</v>
      </c>
      <c r="Q2918">
        <v>3.5251791068914302E-2</v>
      </c>
      <c r="R2918">
        <v>0.98196720075862198</v>
      </c>
      <c r="S2918" t="s">
        <v>8469</v>
      </c>
      <c r="T2918" t="s">
        <v>11100</v>
      </c>
      <c r="U2918" t="s">
        <v>11100</v>
      </c>
      <c r="V2918" t="s">
        <v>11100</v>
      </c>
      <c r="W2918" t="s">
        <v>13975</v>
      </c>
      <c r="X2918">
        <v>18</v>
      </c>
      <c r="Y2918" t="s">
        <v>19428</v>
      </c>
      <c r="Z2918" t="s">
        <v>24923</v>
      </c>
      <c r="AA2918">
        <v>0.58766835973448905</v>
      </c>
      <c r="AB2918" t="str">
        <f>HYPERLINK("Melting_Curves/meltCurve_Q13564_2_NAE1.pdf", "Melting_Curves/meltCurve_Q13564_2_NAE1.pdf")</f>
        <v>Melting_Curves/meltCurve_Q13564_2_NAE1.pdf</v>
      </c>
    </row>
    <row r="2919" spans="1:28" x14ac:dyDescent="0.25">
      <c r="A2919" t="s">
        <v>2923</v>
      </c>
      <c r="B2919">
        <v>0.99299721793515405</v>
      </c>
      <c r="C2919">
        <v>0.98287661219973999</v>
      </c>
      <c r="D2919">
        <v>0.87510304536378902</v>
      </c>
      <c r="E2919">
        <v>0.88225730332808605</v>
      </c>
      <c r="F2919">
        <v>0.78669440838432103</v>
      </c>
      <c r="G2919">
        <v>0.371654071932774</v>
      </c>
      <c r="H2919">
        <v>0.17005897292140801</v>
      </c>
      <c r="I2919">
        <v>0.11671249016867501</v>
      </c>
      <c r="J2919">
        <v>0.10371506067476</v>
      </c>
      <c r="K2919">
        <v>4.9474538211067003E-2</v>
      </c>
      <c r="L2919">
        <v>1117.2543454701599</v>
      </c>
      <c r="M2919">
        <v>21.343200622445501</v>
      </c>
      <c r="N2919">
        <v>52.662559097464801</v>
      </c>
      <c r="O2919">
        <v>51.8940410102716</v>
      </c>
      <c r="P2919">
        <v>-9.6653201294869595E-2</v>
      </c>
      <c r="Q2919">
        <v>6.0009906956112101E-2</v>
      </c>
      <c r="R2919">
        <v>0.98503037220459799</v>
      </c>
      <c r="S2919" t="s">
        <v>8470</v>
      </c>
      <c r="T2919" t="s">
        <v>11100</v>
      </c>
      <c r="U2919" t="s">
        <v>11100</v>
      </c>
      <c r="V2919" t="s">
        <v>11100</v>
      </c>
      <c r="W2919" t="s">
        <v>13976</v>
      </c>
      <c r="X2919">
        <v>2</v>
      </c>
      <c r="Y2919" t="s">
        <v>19429</v>
      </c>
      <c r="Z2919" t="s">
        <v>24924</v>
      </c>
      <c r="AA2919">
        <v>0.5517655355282296</v>
      </c>
      <c r="AB2919" t="str">
        <f>HYPERLINK("Melting_Curves/meltCurve_Q13572_ITPK1.pdf", "Melting_Curves/meltCurve_Q13572_ITPK1.pdf")</f>
        <v>Melting_Curves/meltCurve_Q13572_ITPK1.pdf</v>
      </c>
    </row>
    <row r="2920" spans="1:28" x14ac:dyDescent="0.25">
      <c r="A2920" t="s">
        <v>2924</v>
      </c>
      <c r="B2920">
        <v>0.99299721793515405</v>
      </c>
      <c r="C2920">
        <v>0.97168516507654701</v>
      </c>
      <c r="D2920">
        <v>0.99758204412753304</v>
      </c>
      <c r="E2920">
        <v>0.950962002875123</v>
      </c>
      <c r="F2920">
        <v>0.82270450748837598</v>
      </c>
      <c r="G2920">
        <v>0.65116230067164305</v>
      </c>
      <c r="H2920">
        <v>0.381860137812506</v>
      </c>
      <c r="I2920">
        <v>0.268580075576976</v>
      </c>
      <c r="J2920">
        <v>0.22891468396940501</v>
      </c>
      <c r="K2920">
        <v>0.159233761826613</v>
      </c>
      <c r="L2920">
        <v>894.25602310633997</v>
      </c>
      <c r="M2920">
        <v>16.349973055730398</v>
      </c>
      <c r="N2920">
        <v>55.746982485974698</v>
      </c>
      <c r="O2920">
        <v>53.896077144186499</v>
      </c>
      <c r="P2920">
        <v>-6.5775221357930194E-2</v>
      </c>
      <c r="Q2920">
        <v>0.13277625808051199</v>
      </c>
      <c r="R2920">
        <v>0.99716431118296001</v>
      </c>
      <c r="S2920" t="s">
        <v>8471</v>
      </c>
      <c r="T2920" t="s">
        <v>11100</v>
      </c>
      <c r="U2920" t="s">
        <v>11100</v>
      </c>
      <c r="V2920" t="s">
        <v>11100</v>
      </c>
      <c r="W2920" t="s">
        <v>13977</v>
      </c>
      <c r="X2920">
        <v>25</v>
      </c>
      <c r="Y2920" t="s">
        <v>19430</v>
      </c>
      <c r="Z2920" t="s">
        <v>24925</v>
      </c>
      <c r="AA2920">
        <v>0.6564540796593763</v>
      </c>
      <c r="AB2920" t="str">
        <f>HYPERLINK("Melting_Curves/meltCurve_Q13573_SNW1.pdf", "Melting_Curves/meltCurve_Q13573_SNW1.pdf")</f>
        <v>Melting_Curves/meltCurve_Q13573_SNW1.pdf</v>
      </c>
    </row>
    <row r="2921" spans="1:28" x14ac:dyDescent="0.25">
      <c r="A2921" t="s">
        <v>2925</v>
      </c>
      <c r="B2921">
        <v>0.99299721793515405</v>
      </c>
      <c r="C2921">
        <v>0.99535472406393499</v>
      </c>
      <c r="D2921">
        <v>0.97483254847731604</v>
      </c>
      <c r="E2921">
        <v>0.865021510340239</v>
      </c>
      <c r="F2921">
        <v>0.74124138237767201</v>
      </c>
      <c r="G2921">
        <v>0.336814888868331</v>
      </c>
      <c r="H2921">
        <v>0.25604437723665302</v>
      </c>
      <c r="I2921">
        <v>0.249628444167831</v>
      </c>
      <c r="J2921">
        <v>0.24736868122028799</v>
      </c>
      <c r="K2921">
        <v>0.21476936252973899</v>
      </c>
      <c r="L2921">
        <v>1346.98935899706</v>
      </c>
      <c r="M2921">
        <v>26.423819770007398</v>
      </c>
      <c r="N2921">
        <v>52.147908823409999</v>
      </c>
      <c r="O2921">
        <v>50.687051485662799</v>
      </c>
      <c r="P2921">
        <v>-0.10115584918576601</v>
      </c>
      <c r="Q2921">
        <v>0.223846294101057</v>
      </c>
      <c r="R2921">
        <v>0.98995957152932101</v>
      </c>
      <c r="S2921" t="s">
        <v>8472</v>
      </c>
      <c r="T2921" t="s">
        <v>11100</v>
      </c>
      <c r="U2921" t="s">
        <v>11100</v>
      </c>
      <c r="V2921" t="s">
        <v>11100</v>
      </c>
      <c r="W2921" t="s">
        <v>13978</v>
      </c>
      <c r="X2921">
        <v>9</v>
      </c>
      <c r="Y2921" t="s">
        <v>19431</v>
      </c>
      <c r="Z2921" t="s">
        <v>24926</v>
      </c>
      <c r="AA2921">
        <v>0.59160977834771233</v>
      </c>
      <c r="AB2921" t="str">
        <f>HYPERLINK("Melting_Curves/meltCurve_Q13576_IQGAP2.pdf", "Melting_Curves/meltCurve_Q13576_IQGAP2.pdf")</f>
        <v>Melting_Curves/meltCurve_Q13576_IQGAP2.pdf</v>
      </c>
    </row>
    <row r="2922" spans="1:28" x14ac:dyDescent="0.25">
      <c r="A2922" t="s">
        <v>2926</v>
      </c>
      <c r="B2922">
        <v>0.99299721793515405</v>
      </c>
      <c r="C2922">
        <v>0.93943712396040502</v>
      </c>
      <c r="D2922">
        <v>0.99010952486150905</v>
      </c>
      <c r="E2922">
        <v>0.82829199581338897</v>
      </c>
      <c r="F2922">
        <v>0.69143766802557705</v>
      </c>
      <c r="G2922">
        <v>0.47766912195136702</v>
      </c>
      <c r="H2922">
        <v>0.27766190636742799</v>
      </c>
      <c r="I2922">
        <v>0.17796403342203099</v>
      </c>
      <c r="J2922">
        <v>0.177892586763372</v>
      </c>
      <c r="K2922">
        <v>0.194191267999097</v>
      </c>
      <c r="L2922">
        <v>774.34710941484798</v>
      </c>
      <c r="M2922">
        <v>14.914416326848499</v>
      </c>
      <c r="N2922">
        <v>52.986484523836502</v>
      </c>
      <c r="O2922">
        <v>51.012810835079101</v>
      </c>
      <c r="P2922">
        <v>-6.3616032032948397E-2</v>
      </c>
      <c r="Q2922">
        <v>0.12972906167905299</v>
      </c>
      <c r="R2922">
        <v>0.99217754937069103</v>
      </c>
      <c r="S2922" t="s">
        <v>8473</v>
      </c>
      <c r="T2922" t="s">
        <v>11100</v>
      </c>
      <c r="U2922" t="s">
        <v>11100</v>
      </c>
      <c r="V2922" t="s">
        <v>11100</v>
      </c>
      <c r="W2922" t="s">
        <v>13979</v>
      </c>
      <c r="X2922">
        <v>16</v>
      </c>
      <c r="Y2922" t="s">
        <v>19432</v>
      </c>
      <c r="Z2922" t="s">
        <v>24927</v>
      </c>
      <c r="AA2922">
        <v>0.57936860181748784</v>
      </c>
      <c r="AB2922" t="str">
        <f>HYPERLINK("Melting_Curves/meltCurve_Q13586_STIM1.pdf", "Melting_Curves/meltCurve_Q13586_STIM1.pdf")</f>
        <v>Melting_Curves/meltCurve_Q13586_STIM1.pdf</v>
      </c>
    </row>
    <row r="2923" spans="1:28" x14ac:dyDescent="0.25">
      <c r="A2923" t="s">
        <v>2927</v>
      </c>
      <c r="B2923">
        <v>0.99299721793515405</v>
      </c>
      <c r="C2923">
        <v>1.01066040839273</v>
      </c>
      <c r="D2923">
        <v>0.92553419417344396</v>
      </c>
      <c r="E2923">
        <v>0.85713082424338205</v>
      </c>
      <c r="F2923">
        <v>0.72813829439219102</v>
      </c>
      <c r="G2923">
        <v>0.46221874070609997</v>
      </c>
      <c r="H2923">
        <v>0.237014790310274</v>
      </c>
      <c r="I2923">
        <v>0.19875097909075001</v>
      </c>
      <c r="J2923">
        <v>0.176299266196705</v>
      </c>
      <c r="K2923">
        <v>0.14248895751774401</v>
      </c>
      <c r="L2923">
        <v>834.79683580169103</v>
      </c>
      <c r="M2923">
        <v>15.998853503346201</v>
      </c>
      <c r="N2923">
        <v>53.044781964736302</v>
      </c>
      <c r="O2923">
        <v>51.383742213555799</v>
      </c>
      <c r="P2923">
        <v>-6.8896819230200801E-2</v>
      </c>
      <c r="Q2923">
        <v>0.114961696724855</v>
      </c>
      <c r="R2923">
        <v>0.99411010638493402</v>
      </c>
      <c r="S2923" t="s">
        <v>8474</v>
      </c>
      <c r="T2923" t="s">
        <v>11100</v>
      </c>
      <c r="U2923" t="s">
        <v>11100</v>
      </c>
      <c r="V2923" t="s">
        <v>11100</v>
      </c>
      <c r="W2923" t="s">
        <v>13980</v>
      </c>
      <c r="X2923">
        <v>13</v>
      </c>
      <c r="Y2923" t="s">
        <v>19433</v>
      </c>
      <c r="Z2923" t="s">
        <v>24928</v>
      </c>
      <c r="AA2923">
        <v>0.57828143444833391</v>
      </c>
      <c r="AB2923" t="str">
        <f>HYPERLINK("Melting_Curves/meltCurve_Q13596_2_SNX1.pdf", "Melting_Curves/meltCurve_Q13596_2_SNX1.pdf")</f>
        <v>Melting_Curves/meltCurve_Q13596_2_SNX1.pdf</v>
      </c>
    </row>
    <row r="2924" spans="1:28" x14ac:dyDescent="0.25">
      <c r="A2924" t="s">
        <v>2928</v>
      </c>
      <c r="B2924">
        <v>0.99299721793515405</v>
      </c>
      <c r="C2924">
        <v>0.90812060733315303</v>
      </c>
      <c r="D2924">
        <v>0.90735008077750101</v>
      </c>
      <c r="E2924">
        <v>0.83793076739850703</v>
      </c>
      <c r="F2924">
        <v>0.75207236354523299</v>
      </c>
      <c r="G2924">
        <v>0.55018510552067701</v>
      </c>
      <c r="H2924">
        <v>0.44119334513609798</v>
      </c>
      <c r="I2924">
        <v>0.37653715475080901</v>
      </c>
      <c r="J2924">
        <v>0.28474195884537801</v>
      </c>
      <c r="K2924">
        <v>0.21529382520795901</v>
      </c>
      <c r="L2924">
        <v>427.95598813358401</v>
      </c>
      <c r="M2924">
        <v>7.6209393118362696</v>
      </c>
      <c r="N2924">
        <v>56.155298147069203</v>
      </c>
      <c r="O2924">
        <v>52.680227217906499</v>
      </c>
      <c r="P2924">
        <v>-3.6215038053839903E-2</v>
      </c>
      <c r="Q2924">
        <v>0</v>
      </c>
      <c r="R2924">
        <v>0.99144356839331105</v>
      </c>
      <c r="S2924" t="s">
        <v>8475</v>
      </c>
      <c r="T2924" t="s">
        <v>11100</v>
      </c>
      <c r="U2924" t="s">
        <v>11100</v>
      </c>
      <c r="V2924" t="s">
        <v>11100</v>
      </c>
      <c r="W2924" t="s">
        <v>13981</v>
      </c>
      <c r="X2924">
        <v>8</v>
      </c>
      <c r="Y2924" t="s">
        <v>19434</v>
      </c>
      <c r="Z2924" t="s">
        <v>24929</v>
      </c>
      <c r="AA2924">
        <v>0.63318961657799533</v>
      </c>
      <c r="AB2924" t="str">
        <f>HYPERLINK("Melting_Curves/meltCurve_Q13614_MTMR2.pdf", "Melting_Curves/meltCurve_Q13614_MTMR2.pdf")</f>
        <v>Melting_Curves/meltCurve_Q13614_MTMR2.pdf</v>
      </c>
    </row>
    <row r="2925" spans="1:28" x14ac:dyDescent="0.25">
      <c r="A2925" t="s">
        <v>2929</v>
      </c>
      <c r="B2925">
        <v>0.99299721793515405</v>
      </c>
      <c r="C2925">
        <v>0.911154114095727</v>
      </c>
      <c r="D2925">
        <v>0.955714813072707</v>
      </c>
      <c r="E2925">
        <v>0.84125312454079704</v>
      </c>
      <c r="F2925">
        <v>0.79261011785017799</v>
      </c>
      <c r="G2925">
        <v>0.93749014057631397</v>
      </c>
      <c r="H2925">
        <v>1.2166414505680001</v>
      </c>
      <c r="I2925">
        <v>1.3622670816739899</v>
      </c>
      <c r="J2925">
        <v>0.93696950347170704</v>
      </c>
      <c r="K2925">
        <v>0.29221635853407502</v>
      </c>
      <c r="L2925">
        <v>15000</v>
      </c>
      <c r="M2925">
        <v>231.683611144541</v>
      </c>
      <c r="N2925">
        <v>64.989390216329895</v>
      </c>
      <c r="O2925">
        <v>64.7386200246588</v>
      </c>
      <c r="P2925">
        <v>-0.63350441326736495</v>
      </c>
      <c r="Q2925">
        <v>0.29192720763548902</v>
      </c>
      <c r="R2925">
        <v>0.63211000237376203</v>
      </c>
      <c r="S2925" t="s">
        <v>8476</v>
      </c>
      <c r="T2925" t="s">
        <v>11100</v>
      </c>
      <c r="U2925" t="s">
        <v>11100</v>
      </c>
      <c r="V2925" t="s">
        <v>11100</v>
      </c>
      <c r="W2925" t="s">
        <v>13982</v>
      </c>
      <c r="X2925">
        <v>26</v>
      </c>
      <c r="Y2925" t="s">
        <v>19435</v>
      </c>
      <c r="Z2925" t="s">
        <v>24930</v>
      </c>
      <c r="AA2925">
        <v>0.94683109244129826</v>
      </c>
      <c r="AB2925" t="str">
        <f>HYPERLINK("Melting_Curves/meltCurve_Q13616_CUL1.pdf", "Melting_Curves/meltCurve_Q13616_CUL1.pdf")</f>
        <v>Melting_Curves/meltCurve_Q13616_CUL1.pdf</v>
      </c>
    </row>
    <row r="2926" spans="1:28" x14ac:dyDescent="0.25">
      <c r="A2926" t="s">
        <v>2930</v>
      </c>
      <c r="B2926">
        <v>0.99299721793515405</v>
      </c>
      <c r="C2926">
        <v>0.97517061055383703</v>
      </c>
      <c r="D2926">
        <v>1.04047920503031</v>
      </c>
      <c r="E2926">
        <v>0.87508280487099199</v>
      </c>
      <c r="F2926">
        <v>0.79083947341808902</v>
      </c>
      <c r="G2926">
        <v>0.89713891507224897</v>
      </c>
      <c r="H2926">
        <v>0.68113305809046598</v>
      </c>
      <c r="I2926">
        <v>0.25857126957387899</v>
      </c>
      <c r="J2926">
        <v>0.14396435003258401</v>
      </c>
      <c r="K2926">
        <v>0.115031515215144</v>
      </c>
      <c r="L2926">
        <v>1213.6380368944499</v>
      </c>
      <c r="M2926">
        <v>20.683238502889498</v>
      </c>
      <c r="N2926">
        <v>58.740617284592602</v>
      </c>
      <c r="O2926">
        <v>58.137123675271397</v>
      </c>
      <c r="P2926">
        <v>-8.7964922992069997E-2</v>
      </c>
      <c r="Q2926">
        <v>1.10094857845451E-2</v>
      </c>
      <c r="R2926">
        <v>0.95051430144373705</v>
      </c>
      <c r="S2926" t="s">
        <v>8477</v>
      </c>
      <c r="T2926" t="s">
        <v>11100</v>
      </c>
      <c r="U2926" t="s">
        <v>11100</v>
      </c>
      <c r="V2926" t="s">
        <v>11100</v>
      </c>
      <c r="W2926" t="s">
        <v>13983</v>
      </c>
      <c r="X2926">
        <v>27</v>
      </c>
      <c r="Y2926" t="s">
        <v>19436</v>
      </c>
      <c r="Z2926" t="s">
        <v>24931</v>
      </c>
      <c r="AA2926">
        <v>0.7307965992860701</v>
      </c>
      <c r="AB2926" t="str">
        <f>HYPERLINK("Melting_Curves/meltCurve_Q13617_CUL2.pdf", "Melting_Curves/meltCurve_Q13617_CUL2.pdf")</f>
        <v>Melting_Curves/meltCurve_Q13617_CUL2.pdf</v>
      </c>
    </row>
    <row r="2927" spans="1:28" x14ac:dyDescent="0.25">
      <c r="A2927" t="s">
        <v>2931</v>
      </c>
      <c r="B2927">
        <v>0.99299721793515405</v>
      </c>
      <c r="C2927">
        <v>0.94140979097654498</v>
      </c>
      <c r="D2927">
        <v>0.91047402590386295</v>
      </c>
      <c r="E2927">
        <v>0.80063949391210998</v>
      </c>
      <c r="F2927">
        <v>0.77594327600352997</v>
      </c>
      <c r="G2927">
        <v>0.90121842454574497</v>
      </c>
      <c r="H2927">
        <v>1.02101110309222</v>
      </c>
      <c r="I2927">
        <v>0.27750768430787498</v>
      </c>
      <c r="J2927">
        <v>0.17946563179911501</v>
      </c>
      <c r="K2927">
        <v>0.15415678058919</v>
      </c>
      <c r="L2927">
        <v>15000</v>
      </c>
      <c r="M2927">
        <v>247.77754515310201</v>
      </c>
      <c r="N2927">
        <v>60.637507405603401</v>
      </c>
      <c r="O2927">
        <v>60.534230473190199</v>
      </c>
      <c r="P2927">
        <v>-0.85259868690395901</v>
      </c>
      <c r="Q2927">
        <v>0.16681062341523001</v>
      </c>
      <c r="R2927">
        <v>0.89775638429219196</v>
      </c>
      <c r="S2927" t="s">
        <v>8478</v>
      </c>
      <c r="T2927" t="s">
        <v>11100</v>
      </c>
      <c r="U2927" t="s">
        <v>11100</v>
      </c>
      <c r="V2927" t="s">
        <v>11100</v>
      </c>
      <c r="W2927" t="s">
        <v>13984</v>
      </c>
      <c r="X2927">
        <v>16</v>
      </c>
      <c r="Y2927" t="s">
        <v>19437</v>
      </c>
      <c r="Z2927" t="s">
        <v>24932</v>
      </c>
      <c r="AA2927">
        <v>0.82062594135914047</v>
      </c>
      <c r="AB2927" t="str">
        <f>HYPERLINK("Melting_Curves/meltCurve_Q13618_2_CUL3.pdf", "Melting_Curves/meltCurve_Q13618_2_CUL3.pdf")</f>
        <v>Melting_Curves/meltCurve_Q13618_2_CUL3.pdf</v>
      </c>
    </row>
    <row r="2928" spans="1:28" x14ac:dyDescent="0.25">
      <c r="A2928" t="s">
        <v>2932</v>
      </c>
      <c r="B2928">
        <v>0.99299721793515405</v>
      </c>
      <c r="C2928">
        <v>1.02102091696636</v>
      </c>
      <c r="D2928">
        <v>0.99027854981678498</v>
      </c>
      <c r="E2928">
        <v>0.88060813686128803</v>
      </c>
      <c r="F2928">
        <v>0.63624887167639699</v>
      </c>
      <c r="G2928">
        <v>0.40142667095560303</v>
      </c>
      <c r="H2928">
        <v>0.19246886761624199</v>
      </c>
      <c r="I2928">
        <v>0.17654597536994901</v>
      </c>
      <c r="J2928">
        <v>0.12840314729980401</v>
      </c>
      <c r="K2928">
        <v>0.13114430870886801</v>
      </c>
      <c r="L2928">
        <v>959.41443243319998</v>
      </c>
      <c r="M2928">
        <v>18.700890857319301</v>
      </c>
      <c r="N2928">
        <v>52.035485002461201</v>
      </c>
      <c r="O2928">
        <v>50.727301837635302</v>
      </c>
      <c r="P2928">
        <v>-8.1503563593178202E-2</v>
      </c>
      <c r="Q2928">
        <v>0.115704088947537</v>
      </c>
      <c r="R2928">
        <v>0.99790042539827495</v>
      </c>
      <c r="S2928" t="s">
        <v>8479</v>
      </c>
      <c r="T2928" t="s">
        <v>11100</v>
      </c>
      <c r="U2928" t="s">
        <v>11100</v>
      </c>
      <c r="V2928" t="s">
        <v>11100</v>
      </c>
      <c r="W2928" t="s">
        <v>13985</v>
      </c>
      <c r="X2928">
        <v>13</v>
      </c>
      <c r="Y2928" t="s">
        <v>19438</v>
      </c>
      <c r="Z2928" t="s">
        <v>24933</v>
      </c>
      <c r="AA2928">
        <v>0.55016024545207431</v>
      </c>
      <c r="AB2928" t="str">
        <f>HYPERLINK("Melting_Curves/meltCurve_Q13625_TP53BP2.pdf", "Melting_Curves/meltCurve_Q13625_TP53BP2.pdf")</f>
        <v>Melting_Curves/meltCurve_Q13625_TP53BP2.pdf</v>
      </c>
    </row>
    <row r="2929" spans="1:28" x14ac:dyDescent="0.25">
      <c r="A2929" t="s">
        <v>2933</v>
      </c>
      <c r="B2929">
        <v>0.99299721793515405</v>
      </c>
      <c r="C2929">
        <v>0.97330292515244399</v>
      </c>
      <c r="D2929">
        <v>0.91773893096291903</v>
      </c>
      <c r="E2929">
        <v>0.91534892806573998</v>
      </c>
      <c r="F2929">
        <v>0.77131951156423795</v>
      </c>
      <c r="G2929">
        <v>0.58505940862143702</v>
      </c>
      <c r="H2929">
        <v>0.54196377151352804</v>
      </c>
      <c r="I2929">
        <v>0.56036572349276104</v>
      </c>
      <c r="J2929">
        <v>0.251064626404092</v>
      </c>
      <c r="K2929">
        <v>0.15350273923955199</v>
      </c>
      <c r="L2929">
        <v>487.971890255174</v>
      </c>
      <c r="M2929">
        <v>8.4247624038091899</v>
      </c>
      <c r="N2929">
        <v>57.921140552206403</v>
      </c>
      <c r="O2929">
        <v>54.933760840185698</v>
      </c>
      <c r="P2929">
        <v>-3.8376271368103898E-2</v>
      </c>
      <c r="Q2929">
        <v>0</v>
      </c>
      <c r="R2929">
        <v>0.94304718153133804</v>
      </c>
      <c r="S2929" t="s">
        <v>8480</v>
      </c>
      <c r="T2929" t="s">
        <v>11100</v>
      </c>
      <c r="U2929" t="s">
        <v>11100</v>
      </c>
      <c r="V2929" t="s">
        <v>11100</v>
      </c>
      <c r="W2929" t="s">
        <v>13986</v>
      </c>
      <c r="X2929">
        <v>12</v>
      </c>
      <c r="Y2929" t="s">
        <v>19439</v>
      </c>
      <c r="Z2929" t="s">
        <v>24934</v>
      </c>
      <c r="AA2929">
        <v>0.68042976914656839</v>
      </c>
      <c r="AB2929" t="str">
        <f>HYPERLINK("Melting_Curves/meltCurve_Q13630_TSTA3.pdf", "Melting_Curves/meltCurve_Q13630_TSTA3.pdf")</f>
        <v>Melting_Curves/meltCurve_Q13630_TSTA3.pdf</v>
      </c>
    </row>
    <row r="2930" spans="1:28" x14ac:dyDescent="0.25">
      <c r="A2930" t="s">
        <v>2934</v>
      </c>
      <c r="B2930">
        <v>0.99299721793515405</v>
      </c>
      <c r="C2930">
        <v>1.11234511660746</v>
      </c>
      <c r="D2930">
        <v>0.89151446203875895</v>
      </c>
      <c r="E2930">
        <v>0.94462480083316103</v>
      </c>
      <c r="F2930">
        <v>0.72669773928250403</v>
      </c>
      <c r="G2930">
        <v>0.51928430351073696</v>
      </c>
      <c r="H2930">
        <v>0.35182559450954498</v>
      </c>
      <c r="I2930">
        <v>0.23280948105539101</v>
      </c>
      <c r="J2930">
        <v>0.11360948173089599</v>
      </c>
      <c r="K2930">
        <v>6.2264738523842497E-2</v>
      </c>
      <c r="L2930">
        <v>696.93960361504298</v>
      </c>
      <c r="M2930">
        <v>12.8054741603402</v>
      </c>
      <c r="N2930">
        <v>54.4251306184537</v>
      </c>
      <c r="O2930">
        <v>53.149075360888503</v>
      </c>
      <c r="P2930">
        <v>-6.0245020426583702E-2</v>
      </c>
      <c r="Q2930">
        <v>0</v>
      </c>
      <c r="R2930">
        <v>0.98133183607176799</v>
      </c>
      <c r="S2930" t="s">
        <v>8481</v>
      </c>
      <c r="T2930" t="s">
        <v>11100</v>
      </c>
      <c r="U2930" t="s">
        <v>11100</v>
      </c>
      <c r="V2930" t="s">
        <v>11100</v>
      </c>
      <c r="W2930" t="s">
        <v>13987</v>
      </c>
      <c r="X2930">
        <v>5</v>
      </c>
      <c r="Y2930" t="s">
        <v>19440</v>
      </c>
      <c r="Z2930" t="s">
        <v>24935</v>
      </c>
      <c r="AA2930">
        <v>0.59716972691428427</v>
      </c>
      <c r="AB2930" t="str">
        <f>HYPERLINK("Melting_Curves/meltCurve_Q13636_RAB31.pdf", "Melting_Curves/meltCurve_Q13636_RAB31.pdf")</f>
        <v>Melting_Curves/meltCurve_Q13636_RAB31.pdf</v>
      </c>
    </row>
    <row r="2931" spans="1:28" x14ac:dyDescent="0.25">
      <c r="A2931" t="s">
        <v>2935</v>
      </c>
      <c r="B2931">
        <v>0.99299721793515405</v>
      </c>
      <c r="C2931">
        <v>0.82460073802354605</v>
      </c>
      <c r="D2931">
        <v>0.77399559134581497</v>
      </c>
      <c r="E2931">
        <v>0.85813393043378705</v>
      </c>
      <c r="F2931">
        <v>0.69426317709222896</v>
      </c>
      <c r="G2931">
        <v>0.52894663075158899</v>
      </c>
      <c r="H2931">
        <v>0.63180905931684705</v>
      </c>
      <c r="I2931">
        <v>0.71196367184614995</v>
      </c>
      <c r="J2931">
        <v>0.62247375481529998</v>
      </c>
      <c r="K2931">
        <v>0.67179398803575396</v>
      </c>
      <c r="L2931">
        <v>463.60976275248498</v>
      </c>
      <c r="M2931">
        <v>10.842705758238701</v>
      </c>
      <c r="O2931">
        <v>41.380401104490097</v>
      </c>
      <c r="P2931">
        <v>-2.4257732613395401E-2</v>
      </c>
      <c r="Q2931">
        <v>0.62982027329207002</v>
      </c>
      <c r="R2931">
        <v>0.71053592242328101</v>
      </c>
      <c r="S2931" t="s">
        <v>8482</v>
      </c>
      <c r="T2931" t="s">
        <v>11100</v>
      </c>
      <c r="U2931" t="s">
        <v>11100</v>
      </c>
      <c r="V2931" t="s">
        <v>11100</v>
      </c>
      <c r="W2931" t="s">
        <v>13988</v>
      </c>
      <c r="X2931">
        <v>6</v>
      </c>
      <c r="Y2931" t="s">
        <v>19441</v>
      </c>
      <c r="Z2931" t="s">
        <v>24936</v>
      </c>
      <c r="AA2931">
        <v>0.71981150343983036</v>
      </c>
      <c r="AB2931" t="str">
        <f>HYPERLINK("Melting_Curves/meltCurve_Q13641_TPBG.pdf", "Melting_Curves/meltCurve_Q13641_TPBG.pdf")</f>
        <v>Melting_Curves/meltCurve_Q13641_TPBG.pdf</v>
      </c>
    </row>
    <row r="2932" spans="1:28" x14ac:dyDescent="0.25">
      <c r="A2932" t="s">
        <v>2936</v>
      </c>
      <c r="B2932">
        <v>0.99299721793515405</v>
      </c>
      <c r="C2932">
        <v>0.94004095734367998</v>
      </c>
      <c r="D2932">
        <v>1.04874938711277</v>
      </c>
      <c r="E2932">
        <v>0.91028078443925098</v>
      </c>
      <c r="F2932">
        <v>0.77504879380270797</v>
      </c>
      <c r="G2932">
        <v>0.58686686611466399</v>
      </c>
      <c r="H2932">
        <v>0.63889154578248097</v>
      </c>
      <c r="I2932">
        <v>0.84267061785656605</v>
      </c>
      <c r="J2932">
        <v>1.0534345567832499</v>
      </c>
      <c r="K2932">
        <v>0.88102787310671105</v>
      </c>
      <c r="L2932">
        <v>11661.1439137416</v>
      </c>
      <c r="M2932">
        <v>250</v>
      </c>
      <c r="O2932">
        <v>46.641610300488701</v>
      </c>
      <c r="P2932">
        <v>-0.272927849253709</v>
      </c>
      <c r="Q2932">
        <v>0.79632337505919304</v>
      </c>
      <c r="R2932">
        <v>0.34717180631024003</v>
      </c>
      <c r="S2932" t="s">
        <v>8483</v>
      </c>
      <c r="T2932" t="s">
        <v>11100</v>
      </c>
      <c r="U2932" t="s">
        <v>11100</v>
      </c>
      <c r="V2932" t="s">
        <v>11100</v>
      </c>
      <c r="W2932" t="s">
        <v>13989</v>
      </c>
      <c r="X2932">
        <v>38</v>
      </c>
      <c r="Y2932" t="s">
        <v>19442</v>
      </c>
      <c r="Z2932" t="s">
        <v>24937</v>
      </c>
      <c r="AA2932">
        <v>0.86181920207675389</v>
      </c>
      <c r="AB2932" t="str">
        <f>HYPERLINK("Melting_Curves/meltCurve_Q13642_5_FHL1.pdf", "Melting_Curves/meltCurve_Q13642_5_FHL1.pdf")</f>
        <v>Melting_Curves/meltCurve_Q13642_5_FHL1.pdf</v>
      </c>
    </row>
    <row r="2933" spans="1:28" x14ac:dyDescent="0.25">
      <c r="A2933" t="s">
        <v>2937</v>
      </c>
      <c r="B2933">
        <v>0.99299721793515405</v>
      </c>
      <c r="C2933">
        <v>0.87630196289854501</v>
      </c>
      <c r="D2933">
        <v>1.0336076329994801</v>
      </c>
      <c r="E2933">
        <v>0.90145566437237901</v>
      </c>
      <c r="F2933">
        <v>0.73814673134636499</v>
      </c>
      <c r="G2933">
        <v>0.60495850277239205</v>
      </c>
      <c r="H2933">
        <v>0.53308536669648099</v>
      </c>
      <c r="I2933">
        <v>0.63719958365310903</v>
      </c>
      <c r="J2933">
        <v>0.69357421010091402</v>
      </c>
      <c r="K2933">
        <v>0.57904497581536496</v>
      </c>
      <c r="L2933">
        <v>1483.8775811268799</v>
      </c>
      <c r="M2933">
        <v>30.492249094277899</v>
      </c>
      <c r="O2933">
        <v>48.456221687528</v>
      </c>
      <c r="P2933">
        <v>-6.1801876961995302E-2</v>
      </c>
      <c r="Q2933">
        <v>0.607156933058426</v>
      </c>
      <c r="R2933">
        <v>0.88578305198539498</v>
      </c>
      <c r="S2933" t="s">
        <v>8484</v>
      </c>
      <c r="T2933" t="s">
        <v>11100</v>
      </c>
      <c r="U2933" t="s">
        <v>11100</v>
      </c>
      <c r="V2933" t="s">
        <v>11100</v>
      </c>
      <c r="W2933" t="s">
        <v>13990</v>
      </c>
      <c r="X2933">
        <v>10</v>
      </c>
      <c r="Y2933" t="s">
        <v>19443</v>
      </c>
      <c r="Z2933" t="s">
        <v>24938</v>
      </c>
      <c r="AA2933">
        <v>0.76217537294290116</v>
      </c>
      <c r="AB2933" t="str">
        <f>HYPERLINK("Melting_Curves/meltCurve_Q13643_FHL3.pdf", "Melting_Curves/meltCurve_Q13643_FHL3.pdf")</f>
        <v>Melting_Curves/meltCurve_Q13643_FHL3.pdf</v>
      </c>
    </row>
    <row r="2934" spans="1:28" x14ac:dyDescent="0.25">
      <c r="A2934" t="s">
        <v>2938</v>
      </c>
      <c r="B2934">
        <v>0.99299721793515405</v>
      </c>
      <c r="C2934">
        <v>0.97691365016742304</v>
      </c>
      <c r="D2934">
        <v>0.91386895009071101</v>
      </c>
      <c r="E2934">
        <v>0.82394390990904898</v>
      </c>
      <c r="F2934">
        <v>0.58232591311544601</v>
      </c>
      <c r="G2934">
        <v>0.41715555718473302</v>
      </c>
      <c r="H2934">
        <v>0.30649232103972601</v>
      </c>
      <c r="I2934">
        <v>0.29929780734651101</v>
      </c>
      <c r="J2934">
        <v>0.18953068153063801</v>
      </c>
      <c r="K2934">
        <v>8.2125847815036998E-2</v>
      </c>
      <c r="L2934">
        <v>571.64542323844</v>
      </c>
      <c r="M2934">
        <v>11.0491766216774</v>
      </c>
      <c r="N2934">
        <v>52.520050485458</v>
      </c>
      <c r="O2934">
        <v>50.128474448070499</v>
      </c>
      <c r="P2934">
        <v>-5.09338411601961E-2</v>
      </c>
      <c r="Q2934">
        <v>7.5989331899050896E-2</v>
      </c>
      <c r="R2934">
        <v>0.987625678296846</v>
      </c>
      <c r="S2934" t="s">
        <v>8485</v>
      </c>
      <c r="T2934" t="s">
        <v>11100</v>
      </c>
      <c r="U2934" t="s">
        <v>11100</v>
      </c>
      <c r="V2934" t="s">
        <v>11100</v>
      </c>
      <c r="W2934" t="s">
        <v>13991</v>
      </c>
      <c r="X2934">
        <v>4</v>
      </c>
      <c r="Y2934" t="s">
        <v>19444</v>
      </c>
      <c r="Z2934" t="s">
        <v>24939</v>
      </c>
      <c r="AA2934">
        <v>0.55391014395935201</v>
      </c>
      <c r="AB2934" t="str">
        <f>HYPERLINK("Melting_Curves/meltCurve_Q13686_ALKBH1.pdf", "Melting_Curves/meltCurve_Q13686_ALKBH1.pdf")</f>
        <v>Melting_Curves/meltCurve_Q13686_ALKBH1.pdf</v>
      </c>
    </row>
    <row r="2935" spans="1:28" x14ac:dyDescent="0.25">
      <c r="A2935" t="s">
        <v>2939</v>
      </c>
      <c r="B2935">
        <v>0.99299721793515405</v>
      </c>
      <c r="C2935">
        <v>1.0288558105564101</v>
      </c>
      <c r="D2935">
        <v>0.96367278889831098</v>
      </c>
      <c r="E2935">
        <v>0.81749824416486705</v>
      </c>
      <c r="F2935">
        <v>0.81082259843913895</v>
      </c>
      <c r="G2935">
        <v>0.63216410705285497</v>
      </c>
      <c r="H2935">
        <v>0.421087362870608</v>
      </c>
      <c r="I2935">
        <v>0.29322369091255601</v>
      </c>
      <c r="J2935">
        <v>0.23813350448508699</v>
      </c>
      <c r="K2935">
        <v>0.25049117524004699</v>
      </c>
      <c r="L2935">
        <v>646.36731236692503</v>
      </c>
      <c r="M2935">
        <v>11.8496876851835</v>
      </c>
      <c r="N2935">
        <v>55.944774837505797</v>
      </c>
      <c r="O2935">
        <v>53.063282662546797</v>
      </c>
      <c r="P2935">
        <v>-4.8688065795385801E-2</v>
      </c>
      <c r="Q2935">
        <v>0.12811382383502401</v>
      </c>
      <c r="R2935">
        <v>0.985350398148507</v>
      </c>
      <c r="S2935" t="s">
        <v>8486</v>
      </c>
      <c r="T2935" t="s">
        <v>11100</v>
      </c>
      <c r="U2935" t="s">
        <v>11100</v>
      </c>
      <c r="V2935" t="s">
        <v>11100</v>
      </c>
      <c r="W2935" t="s">
        <v>13992</v>
      </c>
      <c r="X2935">
        <v>12</v>
      </c>
      <c r="Y2935" t="s">
        <v>19445</v>
      </c>
      <c r="Z2935" t="s">
        <v>24940</v>
      </c>
      <c r="AA2935">
        <v>0.65197150883905752</v>
      </c>
      <c r="AB2935" t="str">
        <f>HYPERLINK("Melting_Curves/meltCurve_Q13724_MOGS.pdf", "Melting_Curves/meltCurve_Q13724_MOGS.pdf")</f>
        <v>Melting_Curves/meltCurve_Q13724_MOGS.pdf</v>
      </c>
    </row>
    <row r="2936" spans="1:28" x14ac:dyDescent="0.25">
      <c r="A2936" t="s">
        <v>2940</v>
      </c>
      <c r="B2936">
        <v>0.99299721793515405</v>
      </c>
      <c r="C2936">
        <v>0.96373593264561996</v>
      </c>
      <c r="D2936">
        <v>0.83941835562599898</v>
      </c>
      <c r="E2936">
        <v>0.85314835542008005</v>
      </c>
      <c r="F2936">
        <v>0.72241752690814598</v>
      </c>
      <c r="G2936">
        <v>0.48088593980452499</v>
      </c>
      <c r="H2936">
        <v>0.52823941702913202</v>
      </c>
      <c r="I2936">
        <v>0.64121477802568905</v>
      </c>
      <c r="J2936">
        <v>0.73303241130347996</v>
      </c>
      <c r="K2936">
        <v>0.56507627553567197</v>
      </c>
      <c r="L2936">
        <v>764.40142542247099</v>
      </c>
      <c r="M2936">
        <v>16.538163931558199</v>
      </c>
      <c r="O2936">
        <v>45.560522496099303</v>
      </c>
      <c r="P2936">
        <v>-3.7134873042143503E-2</v>
      </c>
      <c r="Q2936">
        <v>0.59082091855500796</v>
      </c>
      <c r="R2936">
        <v>0.788267349440536</v>
      </c>
      <c r="S2936" t="s">
        <v>8487</v>
      </c>
      <c r="T2936" t="s">
        <v>11100</v>
      </c>
      <c r="U2936" t="s">
        <v>11100</v>
      </c>
      <c r="V2936" t="s">
        <v>11100</v>
      </c>
      <c r="W2936" t="s">
        <v>13993</v>
      </c>
      <c r="X2936">
        <v>11</v>
      </c>
      <c r="Y2936" t="s">
        <v>19446</v>
      </c>
      <c r="Z2936" t="s">
        <v>24941</v>
      </c>
      <c r="AA2936">
        <v>0.72437184000361254</v>
      </c>
      <c r="AB2936" t="str">
        <f>HYPERLINK("Melting_Curves/meltCurve_Q13740_2_ALCAM.pdf", "Melting_Curves/meltCurve_Q13740_2_ALCAM.pdf")</f>
        <v>Melting_Curves/meltCurve_Q13740_2_ALCAM.pdf</v>
      </c>
    </row>
    <row r="2937" spans="1:28" x14ac:dyDescent="0.25">
      <c r="A2937" t="s">
        <v>2941</v>
      </c>
      <c r="B2937">
        <v>0.99299721793515405</v>
      </c>
      <c r="C2937">
        <v>1.20248221445144</v>
      </c>
      <c r="D2937">
        <v>2.46066321732284</v>
      </c>
      <c r="E2937">
        <v>1.1877472847942301</v>
      </c>
      <c r="F2937">
        <v>0.76534884889372201</v>
      </c>
      <c r="G2937">
        <v>1.0969079505583099</v>
      </c>
      <c r="H2937">
        <v>0.28870132811330301</v>
      </c>
      <c r="I2937">
        <v>0.237407612035408</v>
      </c>
      <c r="J2937">
        <v>0.36923162642633101</v>
      </c>
      <c r="K2937">
        <v>0.438285273824223</v>
      </c>
      <c r="L2937">
        <v>11368.8831816045</v>
      </c>
      <c r="M2937">
        <v>204.293743661798</v>
      </c>
      <c r="N2937">
        <v>55.950226660974202</v>
      </c>
      <c r="O2937">
        <v>55.644355825682197</v>
      </c>
      <c r="P2937">
        <v>-0.61209381811207497</v>
      </c>
      <c r="Q2937">
        <v>0.33312561675597002</v>
      </c>
      <c r="R2937">
        <v>0.42303886410321101</v>
      </c>
      <c r="S2937" t="s">
        <v>8488</v>
      </c>
      <c r="T2937" t="s">
        <v>11100</v>
      </c>
      <c r="U2937" t="s">
        <v>11100</v>
      </c>
      <c r="V2937" t="s">
        <v>11100</v>
      </c>
      <c r="W2937" t="s">
        <v>13994</v>
      </c>
      <c r="X2937">
        <v>3</v>
      </c>
      <c r="Y2937" t="s">
        <v>19447</v>
      </c>
      <c r="Z2937" t="s">
        <v>24942</v>
      </c>
      <c r="AA2937">
        <v>0.74778980895454794</v>
      </c>
      <c r="AB2937" t="str">
        <f>HYPERLINK("Melting_Curves/meltCurve_Q13796_SHROOM2.pdf", "Melting_Curves/meltCurve_Q13796_SHROOM2.pdf")</f>
        <v>Melting_Curves/meltCurve_Q13796_SHROOM2.pdf</v>
      </c>
    </row>
    <row r="2938" spans="1:28" x14ac:dyDescent="0.25">
      <c r="A2938" t="s">
        <v>2942</v>
      </c>
      <c r="B2938">
        <v>0.99299721793515405</v>
      </c>
      <c r="C2938">
        <v>0.89321079383863899</v>
      </c>
      <c r="D2938">
        <v>0.86216560580291401</v>
      </c>
      <c r="E2938">
        <v>0.78548337490035203</v>
      </c>
      <c r="F2938">
        <v>0.73623259932528196</v>
      </c>
      <c r="G2938">
        <v>1.60186232174874</v>
      </c>
      <c r="H2938">
        <v>1.6259579976752601</v>
      </c>
      <c r="I2938">
        <v>0.74263796572279905</v>
      </c>
      <c r="J2938">
        <v>0.42750182397405101</v>
      </c>
      <c r="K2938">
        <v>0.32113674915261597</v>
      </c>
      <c r="L2938">
        <v>8549.4864439024605</v>
      </c>
      <c r="M2938">
        <v>139.79114184261201</v>
      </c>
      <c r="N2938">
        <v>61.766867279691603</v>
      </c>
      <c r="O2938">
        <v>61.146481159015401</v>
      </c>
      <c r="P2938">
        <v>-0.35797574824864697</v>
      </c>
      <c r="Q2938">
        <v>0.37366679141939002</v>
      </c>
      <c r="R2938">
        <v>0.45199063971903403</v>
      </c>
      <c r="S2938" t="s">
        <v>8489</v>
      </c>
      <c r="T2938" t="s">
        <v>11100</v>
      </c>
      <c r="U2938" t="s">
        <v>11100</v>
      </c>
      <c r="V2938" t="s">
        <v>11100</v>
      </c>
      <c r="W2938" t="s">
        <v>13995</v>
      </c>
      <c r="X2938">
        <v>17</v>
      </c>
      <c r="Y2938" t="s">
        <v>19448</v>
      </c>
      <c r="Z2938" t="s">
        <v>24943</v>
      </c>
      <c r="AA2938">
        <v>0.87826798276685225</v>
      </c>
      <c r="AB2938" t="str">
        <f>HYPERLINK("Melting_Curves/meltCurve_Q13813_3_SPTAN1.pdf", "Melting_Curves/meltCurve_Q13813_3_SPTAN1.pdf")</f>
        <v>Melting_Curves/meltCurve_Q13813_3_SPTAN1.pdf</v>
      </c>
    </row>
    <row r="2939" spans="1:28" x14ac:dyDescent="0.25">
      <c r="A2939" t="s">
        <v>2943</v>
      </c>
      <c r="B2939">
        <v>0.99299721793515405</v>
      </c>
      <c r="C2939">
        <v>0.96845395863025396</v>
      </c>
      <c r="D2939">
        <v>0.88754219796295797</v>
      </c>
      <c r="E2939">
        <v>0.81214332658950705</v>
      </c>
      <c r="F2939">
        <v>0.68673674583242905</v>
      </c>
      <c r="G2939">
        <v>0.53521517786631001</v>
      </c>
      <c r="H2939">
        <v>0.22905625517554901</v>
      </c>
      <c r="I2939">
        <v>0.181030576980233</v>
      </c>
      <c r="J2939">
        <v>0.147229841923291</v>
      </c>
      <c r="K2939">
        <v>0.160499486568808</v>
      </c>
      <c r="L2939">
        <v>620.86273351122202</v>
      </c>
      <c r="M2939">
        <v>11.774960940464901</v>
      </c>
      <c r="N2939">
        <v>53.1514208686079</v>
      </c>
      <c r="O2939">
        <v>51.2755194315544</v>
      </c>
      <c r="P2939">
        <v>-5.4850632602004602E-2</v>
      </c>
      <c r="Q2939">
        <v>4.4832394737088201E-2</v>
      </c>
      <c r="R2939">
        <v>0.98445819907688004</v>
      </c>
      <c r="S2939" t="s">
        <v>8490</v>
      </c>
      <c r="T2939" t="s">
        <v>11100</v>
      </c>
      <c r="U2939" t="s">
        <v>11100</v>
      </c>
      <c r="V2939" t="s">
        <v>11100</v>
      </c>
      <c r="W2939" t="s">
        <v>13996</v>
      </c>
      <c r="X2939">
        <v>5</v>
      </c>
      <c r="Y2939" t="s">
        <v>19449</v>
      </c>
      <c r="Z2939" t="s">
        <v>24944</v>
      </c>
      <c r="AA2939">
        <v>0.56667956643985584</v>
      </c>
      <c r="AB2939" t="str">
        <f>HYPERLINK("Melting_Curves/meltCurve_Q13825_AUH.pdf", "Melting_Curves/meltCurve_Q13825_AUH.pdf")</f>
        <v>Melting_Curves/meltCurve_Q13825_AUH.pdf</v>
      </c>
    </row>
    <row r="2940" spans="1:28" x14ac:dyDescent="0.25">
      <c r="A2940" t="s">
        <v>2944</v>
      </c>
      <c r="B2940">
        <v>0.99299721793515405</v>
      </c>
      <c r="C2940">
        <v>0.877800208251729</v>
      </c>
      <c r="D2940">
        <v>1.0852618101131499</v>
      </c>
      <c r="E2940">
        <v>0.73605441006920602</v>
      </c>
      <c r="F2940">
        <v>0.42992128768975901</v>
      </c>
      <c r="G2940">
        <v>0.38195768880637898</v>
      </c>
      <c r="H2940">
        <v>0.15118503600220501</v>
      </c>
      <c r="I2940">
        <v>0.16131561800223501</v>
      </c>
      <c r="J2940">
        <v>0.22326157395538301</v>
      </c>
      <c r="K2940">
        <v>0</v>
      </c>
      <c r="L2940">
        <v>833.63466630217397</v>
      </c>
      <c r="M2940">
        <v>16.8648182582541</v>
      </c>
      <c r="N2940">
        <v>50.157095422659303</v>
      </c>
      <c r="O2940">
        <v>48.751085350435197</v>
      </c>
      <c r="P2940">
        <v>-7.7115135833261697E-2</v>
      </c>
      <c r="Q2940">
        <v>0.10839062141910499</v>
      </c>
      <c r="R2940">
        <v>0.94633118066167798</v>
      </c>
      <c r="S2940" t="s">
        <v>8491</v>
      </c>
      <c r="T2940" t="s">
        <v>11100</v>
      </c>
      <c r="U2940" t="s">
        <v>11100</v>
      </c>
      <c r="V2940" t="s">
        <v>11100</v>
      </c>
      <c r="W2940" t="s">
        <v>13997</v>
      </c>
      <c r="X2940">
        <v>4</v>
      </c>
      <c r="Y2940" t="s">
        <v>19450</v>
      </c>
      <c r="Z2940" t="s">
        <v>24945</v>
      </c>
      <c r="AA2940">
        <v>0.493581509165535</v>
      </c>
      <c r="AB2940" t="str">
        <f>HYPERLINK("Melting_Curves/meltCurve_Q13884_SNTB1.pdf", "Melting_Curves/meltCurve_Q13884_SNTB1.pdf")</f>
        <v>Melting_Curves/meltCurve_Q13884_SNTB1.pdf</v>
      </c>
    </row>
    <row r="2941" spans="1:28" x14ac:dyDescent="0.25">
      <c r="A2941" t="s">
        <v>2945</v>
      </c>
      <c r="B2941">
        <v>0.99299721793515405</v>
      </c>
      <c r="C2941">
        <v>1.0189047776821101</v>
      </c>
      <c r="D2941">
        <v>0.95650103387098195</v>
      </c>
      <c r="E2941">
        <v>0.94958970464813597</v>
      </c>
      <c r="F2941">
        <v>0.66341787829365695</v>
      </c>
      <c r="G2941">
        <v>0.66083952416177505</v>
      </c>
      <c r="H2941">
        <v>0.67618139587894599</v>
      </c>
      <c r="I2941">
        <v>0.55640697895577695</v>
      </c>
      <c r="J2941">
        <v>0.203805032603597</v>
      </c>
      <c r="K2941">
        <v>8.7379103304593697E-2</v>
      </c>
      <c r="L2941">
        <v>560.19593268277799</v>
      </c>
      <c r="M2941">
        <v>9.5973445322596795</v>
      </c>
      <c r="N2941">
        <v>58.369901689596396</v>
      </c>
      <c r="O2941">
        <v>56.004485923314498</v>
      </c>
      <c r="P2941">
        <v>-4.2866230979450297E-2</v>
      </c>
      <c r="Q2941">
        <v>0</v>
      </c>
      <c r="R2941">
        <v>0.89427528926283895</v>
      </c>
      <c r="S2941" t="s">
        <v>8492</v>
      </c>
      <c r="T2941" t="s">
        <v>11100</v>
      </c>
      <c r="U2941" t="s">
        <v>11100</v>
      </c>
      <c r="V2941" t="s">
        <v>11100</v>
      </c>
      <c r="W2941" t="s">
        <v>13998</v>
      </c>
      <c r="X2941">
        <v>35</v>
      </c>
      <c r="Y2941" t="s">
        <v>19451</v>
      </c>
      <c r="Z2941" t="s">
        <v>24946</v>
      </c>
      <c r="AA2941">
        <v>0.69852593340546365</v>
      </c>
      <c r="AB2941" t="str">
        <f>HYPERLINK("Melting_Curves/meltCurve_Q13885_TUBB2A.pdf", "Melting_Curves/meltCurve_Q13885_TUBB2A.pdf")</f>
        <v>Melting_Curves/meltCurve_Q13885_TUBB2A.pdf</v>
      </c>
    </row>
    <row r="2942" spans="1:28" x14ac:dyDescent="0.25">
      <c r="A2942" t="s">
        <v>2946</v>
      </c>
      <c r="B2942">
        <v>0.99299721793515405</v>
      </c>
      <c r="C2942">
        <v>0.86970860958039697</v>
      </c>
      <c r="D2942">
        <v>1.01045672834982</v>
      </c>
      <c r="E2942">
        <v>0.88667060440089096</v>
      </c>
      <c r="F2942">
        <v>0.74393454892187705</v>
      </c>
      <c r="G2942">
        <v>0.38776331154113902</v>
      </c>
      <c r="H2942">
        <v>0.37794260244143002</v>
      </c>
      <c r="I2942">
        <v>0.35842385815744199</v>
      </c>
      <c r="J2942">
        <v>0.42850161061639003</v>
      </c>
      <c r="K2942">
        <v>0.36198199231386902</v>
      </c>
      <c r="L2942">
        <v>1689.18399460552</v>
      </c>
      <c r="M2942">
        <v>33.509866870601499</v>
      </c>
      <c r="N2942">
        <v>52.524408649919103</v>
      </c>
      <c r="O2942">
        <v>50.230063820207398</v>
      </c>
      <c r="P2942">
        <v>-0.105012198066429</v>
      </c>
      <c r="Q2942">
        <v>0.37036503968916601</v>
      </c>
      <c r="R2942">
        <v>0.95790360136767805</v>
      </c>
      <c r="S2942" t="s">
        <v>8493</v>
      </c>
      <c r="T2942" t="s">
        <v>11100</v>
      </c>
      <c r="U2942" t="s">
        <v>11100</v>
      </c>
      <c r="V2942" t="s">
        <v>11100</v>
      </c>
      <c r="W2942" t="s">
        <v>13999</v>
      </c>
      <c r="X2942">
        <v>8</v>
      </c>
      <c r="Y2942" t="s">
        <v>19452</v>
      </c>
      <c r="Z2942" t="s">
        <v>24947</v>
      </c>
      <c r="AA2942">
        <v>0.6549053539486257</v>
      </c>
      <c r="AB2942" t="str">
        <f>HYPERLINK("Melting_Curves/meltCurve_Q13895_BYSL.pdf", "Melting_Curves/meltCurve_Q13895_BYSL.pdf")</f>
        <v>Melting_Curves/meltCurve_Q13895_BYSL.pdf</v>
      </c>
    </row>
    <row r="2943" spans="1:28" x14ac:dyDescent="0.25">
      <c r="A2943" t="s">
        <v>2947</v>
      </c>
      <c r="B2943">
        <v>0.99299721793515405</v>
      </c>
      <c r="C2943">
        <v>0.99754614956000098</v>
      </c>
      <c r="D2943">
        <v>1.0818074813655101</v>
      </c>
      <c r="E2943">
        <v>0.86760922862138101</v>
      </c>
      <c r="F2943">
        <v>0.74751138841178499</v>
      </c>
      <c r="G2943">
        <v>0.58584433967496097</v>
      </c>
      <c r="H2943">
        <v>0.46525123029656001</v>
      </c>
      <c r="I2943">
        <v>0.45966329133404099</v>
      </c>
      <c r="J2943">
        <v>0.39360025132969301</v>
      </c>
      <c r="K2943">
        <v>0.29759786566961199</v>
      </c>
      <c r="L2943">
        <v>761.31419996862201</v>
      </c>
      <c r="M2943">
        <v>14.599735305186201</v>
      </c>
      <c r="N2943">
        <v>56.351764552415702</v>
      </c>
      <c r="O2943">
        <v>51.196733580570999</v>
      </c>
      <c r="P2943">
        <v>-4.7639904907048398E-2</v>
      </c>
      <c r="Q2943">
        <v>0.33184168094141397</v>
      </c>
      <c r="R2943">
        <v>0.971810321751719</v>
      </c>
      <c r="S2943" t="s">
        <v>8494</v>
      </c>
      <c r="T2943" t="s">
        <v>11100</v>
      </c>
      <c r="U2943" t="s">
        <v>11100</v>
      </c>
      <c r="V2943" t="s">
        <v>11100</v>
      </c>
      <c r="W2943" t="s">
        <v>14000</v>
      </c>
      <c r="X2943">
        <v>9</v>
      </c>
      <c r="Y2943" t="s">
        <v>19453</v>
      </c>
      <c r="Z2943" t="s">
        <v>24948</v>
      </c>
      <c r="AA2943">
        <v>0.68222453654365434</v>
      </c>
      <c r="AB2943" t="str">
        <f>HYPERLINK("Melting_Curves/meltCurve_Q13907_IDI1.pdf", "Melting_Curves/meltCurve_Q13907_IDI1.pdf")</f>
        <v>Melting_Curves/meltCurve_Q13907_IDI1.pdf</v>
      </c>
    </row>
    <row r="2944" spans="1:28" x14ac:dyDescent="0.25">
      <c r="A2944" t="s">
        <v>2948</v>
      </c>
      <c r="B2944">
        <v>0.99299721793515405</v>
      </c>
      <c r="C2944">
        <v>0.98070545987048197</v>
      </c>
      <c r="D2944">
        <v>1.03057720999207</v>
      </c>
      <c r="E2944">
        <v>0.93301637403418902</v>
      </c>
      <c r="F2944">
        <v>0.76526015317415896</v>
      </c>
      <c r="G2944">
        <v>0.37644976462554902</v>
      </c>
      <c r="H2944">
        <v>0.214215030427196</v>
      </c>
      <c r="I2944">
        <v>0.18700090355072099</v>
      </c>
      <c r="J2944">
        <v>0.14931015110186099</v>
      </c>
      <c r="K2944">
        <v>0.121289747398984</v>
      </c>
      <c r="L2944">
        <v>1346.94275717401</v>
      </c>
      <c r="M2944">
        <v>25.939797642403501</v>
      </c>
      <c r="N2944">
        <v>52.608217009693298</v>
      </c>
      <c r="O2944">
        <v>51.620066640260099</v>
      </c>
      <c r="P2944">
        <v>-0.107680609167704</v>
      </c>
      <c r="Q2944">
        <v>0.14287447578109</v>
      </c>
      <c r="R2944">
        <v>0.99724191482063096</v>
      </c>
      <c r="S2944" t="s">
        <v>8495</v>
      </c>
      <c r="T2944" t="s">
        <v>11100</v>
      </c>
      <c r="U2944" t="s">
        <v>11100</v>
      </c>
      <c r="V2944" t="s">
        <v>11100</v>
      </c>
      <c r="W2944" t="s">
        <v>14001</v>
      </c>
      <c r="X2944">
        <v>20</v>
      </c>
      <c r="Y2944" t="s">
        <v>19454</v>
      </c>
      <c r="Z2944" t="s">
        <v>24949</v>
      </c>
      <c r="AA2944">
        <v>0.57641545592365195</v>
      </c>
      <c r="AB2944" t="str">
        <f>HYPERLINK("Melting_Curves/meltCurve_Q13951_2_CBFB.pdf", "Melting_Curves/meltCurve_Q13951_2_CBFB.pdf")</f>
        <v>Melting_Curves/meltCurve_Q13951_2_CBFB.pdf</v>
      </c>
    </row>
    <row r="2945" spans="1:28" x14ac:dyDescent="0.25">
      <c r="A2945" t="s">
        <v>2949</v>
      </c>
      <c r="B2945">
        <v>0.99299721793515405</v>
      </c>
      <c r="C2945">
        <v>0.97871483025071704</v>
      </c>
      <c r="D2945">
        <v>0.96946775153105103</v>
      </c>
      <c r="E2945">
        <v>0.80335315205463598</v>
      </c>
      <c r="F2945">
        <v>0.64510887592827004</v>
      </c>
      <c r="G2945">
        <v>0.50466364293094801</v>
      </c>
      <c r="H2945">
        <v>0.29937773761183201</v>
      </c>
      <c r="I2945">
        <v>0.19970123692848599</v>
      </c>
      <c r="J2945">
        <v>0.151540578998936</v>
      </c>
      <c r="K2945">
        <v>0.123061403598033</v>
      </c>
      <c r="L2945">
        <v>605.19222104332505</v>
      </c>
      <c r="M2945">
        <v>11.454751024481499</v>
      </c>
      <c r="N2945">
        <v>53.202410882894398</v>
      </c>
      <c r="O2945">
        <v>51.2999867315486</v>
      </c>
      <c r="P2945">
        <v>-5.3705551712923502E-2</v>
      </c>
      <c r="Q2945">
        <v>3.8198472424107899E-2</v>
      </c>
      <c r="R2945">
        <v>0.99685286300623699</v>
      </c>
      <c r="S2945" t="s">
        <v>8496</v>
      </c>
      <c r="T2945" t="s">
        <v>11100</v>
      </c>
      <c r="U2945" t="s">
        <v>11100</v>
      </c>
      <c r="V2945" t="s">
        <v>11100</v>
      </c>
      <c r="W2945" t="s">
        <v>14002</v>
      </c>
      <c r="X2945">
        <v>8</v>
      </c>
      <c r="Y2945" t="s">
        <v>19455</v>
      </c>
      <c r="Z2945" t="s">
        <v>24950</v>
      </c>
      <c r="AA2945">
        <v>0.56705998374627165</v>
      </c>
      <c r="AB2945" t="str">
        <f>HYPERLINK("Melting_Curves/meltCurve_Q13952_3_NFYC.pdf", "Melting_Curves/meltCurve_Q13952_3_NFYC.pdf")</f>
        <v>Melting_Curves/meltCurve_Q13952_3_NFYC.pdf</v>
      </c>
    </row>
    <row r="2946" spans="1:28" x14ac:dyDescent="0.25">
      <c r="A2946" t="s">
        <v>2950</v>
      </c>
      <c r="B2946">
        <v>0.99299721793515405</v>
      </c>
      <c r="C2946">
        <v>1.0717245555883299</v>
      </c>
      <c r="D2946">
        <v>1.05487398863558</v>
      </c>
      <c r="E2946">
        <v>0.86768511810462601</v>
      </c>
      <c r="F2946">
        <v>0.63541308489913795</v>
      </c>
      <c r="G2946">
        <v>0.27542755275513903</v>
      </c>
      <c r="H2946">
        <v>0.22192128089277</v>
      </c>
      <c r="I2946">
        <v>0.168924016438501</v>
      </c>
      <c r="J2946">
        <v>0.14488484516168901</v>
      </c>
      <c r="K2946">
        <v>0.12500997867881899</v>
      </c>
      <c r="L2946">
        <v>1226.3776531829301</v>
      </c>
      <c r="M2946">
        <v>24.240441861285699</v>
      </c>
      <c r="N2946">
        <v>51.308543050421399</v>
      </c>
      <c r="O2946">
        <v>50.251692042807697</v>
      </c>
      <c r="P2946">
        <v>-0.10328492709873099</v>
      </c>
      <c r="Q2946">
        <v>0.143553322144643</v>
      </c>
      <c r="R2946">
        <v>0.99045646709222401</v>
      </c>
      <c r="S2946" t="s">
        <v>8497</v>
      </c>
      <c r="T2946" t="s">
        <v>11100</v>
      </c>
      <c r="U2946" t="s">
        <v>11100</v>
      </c>
      <c r="V2946" t="s">
        <v>11100</v>
      </c>
      <c r="W2946" t="s">
        <v>14003</v>
      </c>
      <c r="X2946">
        <v>17</v>
      </c>
      <c r="Y2946" t="s">
        <v>19456</v>
      </c>
      <c r="Z2946" t="s">
        <v>24951</v>
      </c>
      <c r="AA2946">
        <v>0.53956659377654648</v>
      </c>
      <c r="AB2946" t="str">
        <f>HYPERLINK("Melting_Curves/meltCurve_Q14008_2_CKAP5.pdf", "Melting_Curves/meltCurve_Q14008_2_CKAP5.pdf")</f>
        <v>Melting_Curves/meltCurve_Q14008_2_CKAP5.pdf</v>
      </c>
    </row>
    <row r="2947" spans="1:28" x14ac:dyDescent="0.25">
      <c r="A2947" t="s">
        <v>2951</v>
      </c>
      <c r="B2947">
        <v>0.99299721793515405</v>
      </c>
      <c r="C2947">
        <v>0.95363707881656601</v>
      </c>
      <c r="D2947">
        <v>1.1735190357723799</v>
      </c>
      <c r="E2947">
        <v>0.93905785464084401</v>
      </c>
      <c r="F2947">
        <v>0.71329021580727203</v>
      </c>
      <c r="G2947">
        <v>0.644220225662132</v>
      </c>
      <c r="H2947">
        <v>0.543951987774971</v>
      </c>
      <c r="I2947">
        <v>0.64211766922213098</v>
      </c>
      <c r="J2947">
        <v>0.62852872573909102</v>
      </c>
      <c r="K2947">
        <v>0.54639533564724996</v>
      </c>
      <c r="L2947">
        <v>1844.07830081007</v>
      </c>
      <c r="M2947">
        <v>37.6068019997888</v>
      </c>
      <c r="O2947">
        <v>48.897735115805602</v>
      </c>
      <c r="P2947">
        <v>-7.7449299635758695E-2</v>
      </c>
      <c r="Q2947">
        <v>0.59719152323000502</v>
      </c>
      <c r="R2947">
        <v>0.90059321070156995</v>
      </c>
      <c r="S2947" t="s">
        <v>8498</v>
      </c>
      <c r="T2947" t="s">
        <v>11100</v>
      </c>
      <c r="U2947" t="s">
        <v>11100</v>
      </c>
      <c r="V2947" t="s">
        <v>11100</v>
      </c>
      <c r="W2947" t="s">
        <v>14004</v>
      </c>
      <c r="X2947">
        <v>3</v>
      </c>
      <c r="Y2947" t="s">
        <v>19457</v>
      </c>
      <c r="Z2947" t="s">
        <v>24952</v>
      </c>
      <c r="AA2947">
        <v>0.76034057138905342</v>
      </c>
      <c r="AB2947" t="str">
        <f>HYPERLINK("Melting_Curves/meltCurve_Q14011_CIRBP.pdf", "Melting_Curves/meltCurve_Q14011_CIRBP.pdf")</f>
        <v>Melting_Curves/meltCurve_Q14011_CIRBP.pdf</v>
      </c>
    </row>
    <row r="2948" spans="1:28" x14ac:dyDescent="0.25">
      <c r="A2948" t="s">
        <v>2952</v>
      </c>
      <c r="B2948">
        <v>0.99299721793515405</v>
      </c>
      <c r="C2948">
        <v>1.10010391401139</v>
      </c>
      <c r="D2948">
        <v>1.7200589883897801</v>
      </c>
      <c r="E2948">
        <v>0.95417974975727105</v>
      </c>
      <c r="F2948">
        <v>0.87750200228094699</v>
      </c>
      <c r="G2948">
        <v>0.94084488013549294</v>
      </c>
      <c r="H2948">
        <v>0.37363296596736301</v>
      </c>
      <c r="I2948">
        <v>0.121150469180133</v>
      </c>
      <c r="J2948">
        <v>0.107813115446269</v>
      </c>
      <c r="K2948">
        <v>1.95215830510071E-2</v>
      </c>
      <c r="L2948">
        <v>2636.62542230392</v>
      </c>
      <c r="M2948">
        <v>46.615537881696902</v>
      </c>
      <c r="N2948">
        <v>56.743266851399802</v>
      </c>
      <c r="O2948">
        <v>56.457288053729897</v>
      </c>
      <c r="P2948">
        <v>-0.19207317012149899</v>
      </c>
      <c r="Q2948">
        <v>6.9501836586726207E-2</v>
      </c>
      <c r="R2948">
        <v>0.79577850400063499</v>
      </c>
      <c r="S2948" t="s">
        <v>8499</v>
      </c>
      <c r="T2948" t="s">
        <v>11100</v>
      </c>
      <c r="U2948" t="s">
        <v>11100</v>
      </c>
      <c r="V2948" t="s">
        <v>11100</v>
      </c>
      <c r="W2948" t="s">
        <v>14005</v>
      </c>
      <c r="X2948">
        <v>5</v>
      </c>
      <c r="Y2948" t="s">
        <v>19458</v>
      </c>
      <c r="Z2948" t="s">
        <v>24953</v>
      </c>
      <c r="AA2948">
        <v>0.67885440133228014</v>
      </c>
      <c r="AB2948" t="str">
        <f>HYPERLINK("Melting_Curves/meltCurve_Q14012_CAMK1.pdf", "Melting_Curves/meltCurve_Q14012_CAMK1.pdf")</f>
        <v>Melting_Curves/meltCurve_Q14012_CAMK1.pdf</v>
      </c>
    </row>
    <row r="2949" spans="1:28" x14ac:dyDescent="0.25">
      <c r="A2949" t="s">
        <v>2953</v>
      </c>
      <c r="B2949">
        <v>0.99299721793515405</v>
      </c>
      <c r="C2949">
        <v>1.02164465366577</v>
      </c>
      <c r="D2949">
        <v>1.14878634776855</v>
      </c>
      <c r="E2949">
        <v>0.82480952895210402</v>
      </c>
      <c r="F2949">
        <v>0.77972569315259999</v>
      </c>
      <c r="G2949">
        <v>0.67792684380863899</v>
      </c>
      <c r="H2949">
        <v>0.40022091254780201</v>
      </c>
      <c r="I2949">
        <v>0.25157398608820097</v>
      </c>
      <c r="J2949">
        <v>0.251002313650737</v>
      </c>
      <c r="K2949">
        <v>0.226874923056613</v>
      </c>
      <c r="L2949">
        <v>792.07004436899103</v>
      </c>
      <c r="M2949">
        <v>14.5810330834934</v>
      </c>
      <c r="N2949">
        <v>55.750457064880997</v>
      </c>
      <c r="O2949">
        <v>53.330856820321699</v>
      </c>
      <c r="P2949">
        <v>-5.7703687613648601E-2</v>
      </c>
      <c r="Q2949">
        <v>0.15587880272678001</v>
      </c>
      <c r="R2949">
        <v>0.95645477465959206</v>
      </c>
      <c r="S2949" t="s">
        <v>8500</v>
      </c>
      <c r="T2949" t="s">
        <v>11100</v>
      </c>
      <c r="U2949" t="s">
        <v>11100</v>
      </c>
      <c r="V2949" t="s">
        <v>11100</v>
      </c>
      <c r="W2949" t="s">
        <v>14006</v>
      </c>
      <c r="X2949">
        <v>9</v>
      </c>
      <c r="Y2949" t="s">
        <v>19459</v>
      </c>
      <c r="Z2949" t="s">
        <v>24954</v>
      </c>
      <c r="AA2949">
        <v>0.65664184469681752</v>
      </c>
      <c r="AB2949" t="str">
        <f>HYPERLINK("Melting_Curves/meltCurve_Q14019_COTL1.pdf", "Melting_Curves/meltCurve_Q14019_COTL1.pdf")</f>
        <v>Melting_Curves/meltCurve_Q14019_COTL1.pdf</v>
      </c>
    </row>
    <row r="2950" spans="1:28" x14ac:dyDescent="0.25">
      <c r="A2950" t="s">
        <v>2954</v>
      </c>
      <c r="B2950">
        <v>0.99299721793515405</v>
      </c>
      <c r="C2950">
        <v>1.17449438042572</v>
      </c>
      <c r="D2950">
        <v>1.0449337906046501</v>
      </c>
      <c r="E2950">
        <v>0.82669478208610403</v>
      </c>
      <c r="F2950">
        <v>0.81250126879082596</v>
      </c>
      <c r="G2950">
        <v>0.73497168769019705</v>
      </c>
      <c r="H2950">
        <v>0.77757086887507099</v>
      </c>
      <c r="I2950">
        <v>1.24167193203084</v>
      </c>
      <c r="J2950">
        <v>1.28111842174024</v>
      </c>
      <c r="K2950">
        <v>1.1717637203829601</v>
      </c>
      <c r="L2950">
        <v>14878.5121944977</v>
      </c>
      <c r="M2950">
        <v>250</v>
      </c>
      <c r="O2950">
        <v>59.510239979766098</v>
      </c>
      <c r="P2950">
        <v>0.24331532979622</v>
      </c>
      <c r="Q2950">
        <v>1.23167605954338</v>
      </c>
      <c r="R2950">
        <v>0.417788148616694</v>
      </c>
      <c r="S2950" t="s">
        <v>8501</v>
      </c>
      <c r="T2950" t="s">
        <v>11100</v>
      </c>
      <c r="U2950" t="s">
        <v>11100</v>
      </c>
      <c r="V2950" t="s">
        <v>11100</v>
      </c>
      <c r="W2950" t="s">
        <v>14007</v>
      </c>
      <c r="X2950">
        <v>1</v>
      </c>
      <c r="Y2950" t="s">
        <v>19460</v>
      </c>
      <c r="Z2950" t="s">
        <v>24955</v>
      </c>
      <c r="AA2950">
        <v>1.057786325010784</v>
      </c>
      <c r="AB2950" t="str">
        <f>HYPERLINK("Melting_Curves/meltCurve_Q14050_COL9A3.pdf", "Melting_Curves/meltCurve_Q14050_COL9A3.pdf")</f>
        <v>Melting_Curves/meltCurve_Q14050_COL9A3.pdf</v>
      </c>
    </row>
    <row r="2951" spans="1:28" x14ac:dyDescent="0.25">
      <c r="A2951" t="s">
        <v>2955</v>
      </c>
      <c r="B2951">
        <v>0.99299721793515405</v>
      </c>
      <c r="C2951">
        <v>1.0685456364038399</v>
      </c>
      <c r="D2951">
        <v>1.11349799368452</v>
      </c>
      <c r="E2951">
        <v>1.0441137221963299</v>
      </c>
      <c r="F2951">
        <v>1.02729192393781</v>
      </c>
      <c r="G2951">
        <v>0.66925069570071705</v>
      </c>
      <c r="H2951">
        <v>0.84962375321057304</v>
      </c>
      <c r="I2951">
        <v>1.0373650944972099</v>
      </c>
      <c r="J2951">
        <v>1.2093041054086699</v>
      </c>
      <c r="K2951">
        <v>0.99034797347796999</v>
      </c>
      <c r="L2951">
        <v>15000</v>
      </c>
      <c r="M2951">
        <v>245.38807699248099</v>
      </c>
      <c r="O2951">
        <v>61.123615097954399</v>
      </c>
      <c r="P2951">
        <v>0.10018986299143701</v>
      </c>
      <c r="Q2951">
        <v>1.09982498899309</v>
      </c>
      <c r="R2951">
        <v>0.107910406320505</v>
      </c>
      <c r="S2951" t="s">
        <v>8502</v>
      </c>
      <c r="T2951" t="s">
        <v>11100</v>
      </c>
      <c r="U2951" t="s">
        <v>11100</v>
      </c>
      <c r="V2951" t="s">
        <v>11100</v>
      </c>
      <c r="W2951" t="s">
        <v>14008</v>
      </c>
      <c r="X2951">
        <v>4</v>
      </c>
      <c r="Y2951" t="s">
        <v>19461</v>
      </c>
      <c r="Z2951" t="s">
        <v>24956</v>
      </c>
      <c r="AA2951">
        <v>1.019529079350076</v>
      </c>
      <c r="AB2951" t="str">
        <f>HYPERLINK("Melting_Curves/meltCurve_Q14061_COX17.pdf", "Melting_Curves/meltCurve_Q14061_COX17.pdf")</f>
        <v>Melting_Curves/meltCurve_Q14061_COX17.pdf</v>
      </c>
    </row>
    <row r="2952" spans="1:28" x14ac:dyDescent="0.25">
      <c r="A2952" t="s">
        <v>2956</v>
      </c>
      <c r="B2952">
        <v>0.99299721793515405</v>
      </c>
      <c r="C2952">
        <v>0.97485542378401502</v>
      </c>
      <c r="D2952">
        <v>1.0233967767488099</v>
      </c>
      <c r="E2952">
        <v>0.97987897853277295</v>
      </c>
      <c r="F2952">
        <v>0.823878035429781</v>
      </c>
      <c r="G2952">
        <v>0.89956609826339395</v>
      </c>
      <c r="H2952">
        <v>0.63562572753100799</v>
      </c>
      <c r="I2952">
        <v>0.61914640432407497</v>
      </c>
      <c r="J2952">
        <v>0.57446887876326203</v>
      </c>
      <c r="K2952">
        <v>0.530476458357382</v>
      </c>
      <c r="L2952">
        <v>720.11193988627303</v>
      </c>
      <c r="M2952">
        <v>12.8753947074125</v>
      </c>
      <c r="O2952">
        <v>54.6316679572354</v>
      </c>
      <c r="P2952">
        <v>-3.07500361632215E-2</v>
      </c>
      <c r="Q2952">
        <v>0.47819302250588502</v>
      </c>
      <c r="R2952">
        <v>0.93845285587278204</v>
      </c>
      <c r="S2952" t="s">
        <v>8503</v>
      </c>
      <c r="T2952" t="s">
        <v>11100</v>
      </c>
      <c r="U2952" t="s">
        <v>11100</v>
      </c>
      <c r="V2952" t="s">
        <v>11100</v>
      </c>
      <c r="W2952" t="s">
        <v>14009</v>
      </c>
      <c r="X2952">
        <v>17</v>
      </c>
      <c r="Y2952" t="s">
        <v>19462</v>
      </c>
      <c r="Z2952" t="s">
        <v>24957</v>
      </c>
      <c r="AA2952">
        <v>0.81314377115317638</v>
      </c>
      <c r="AB2952" t="str">
        <f>HYPERLINK("Melting_Curves/meltCurve_Q14103_3_HNRNPD.pdf", "Melting_Curves/meltCurve_Q14103_3_HNRNPD.pdf")</f>
        <v>Melting_Curves/meltCurve_Q14103_3_HNRNPD.pdf</v>
      </c>
    </row>
    <row r="2953" spans="1:28" x14ac:dyDescent="0.25">
      <c r="A2953" t="s">
        <v>2957</v>
      </c>
      <c r="B2953">
        <v>0.99299721793515405</v>
      </c>
      <c r="C2953">
        <v>0.99190902938438397</v>
      </c>
      <c r="D2953">
        <v>0.891707124228732</v>
      </c>
      <c r="E2953">
        <v>0.94994539927111898</v>
      </c>
      <c r="F2953">
        <v>0.79744614575311101</v>
      </c>
      <c r="G2953">
        <v>0.56816135562474301</v>
      </c>
      <c r="H2953">
        <v>0.65156730488468295</v>
      </c>
      <c r="I2953">
        <v>0.73943489914748495</v>
      </c>
      <c r="J2953">
        <v>0.81903935982906995</v>
      </c>
      <c r="K2953">
        <v>0.53449199259443603</v>
      </c>
      <c r="L2953">
        <v>12529.5977601413</v>
      </c>
      <c r="M2953">
        <v>250</v>
      </c>
      <c r="O2953">
        <v>50.115185203748098</v>
      </c>
      <c r="P2953">
        <v>-0.42085675497714797</v>
      </c>
      <c r="Q2953">
        <v>0.662538982352186</v>
      </c>
      <c r="R2953">
        <v>0.72467306792883401</v>
      </c>
      <c r="S2953" t="s">
        <v>8504</v>
      </c>
      <c r="T2953" t="s">
        <v>11100</v>
      </c>
      <c r="U2953" t="s">
        <v>11100</v>
      </c>
      <c r="V2953" t="s">
        <v>11100</v>
      </c>
      <c r="W2953" t="s">
        <v>14010</v>
      </c>
      <c r="X2953">
        <v>7</v>
      </c>
      <c r="Y2953" t="s">
        <v>19463</v>
      </c>
      <c r="Z2953" t="s">
        <v>24958</v>
      </c>
      <c r="AA2953">
        <v>0.81013351742469031</v>
      </c>
      <c r="AB2953" t="str">
        <f>HYPERLINK("Melting_Curves/meltCurve_Q14108_SCARB2.pdf", "Melting_Curves/meltCurve_Q14108_SCARB2.pdf")</f>
        <v>Melting_Curves/meltCurve_Q14108_SCARB2.pdf</v>
      </c>
    </row>
    <row r="2954" spans="1:28" x14ac:dyDescent="0.25">
      <c r="A2954" t="s">
        <v>2958</v>
      </c>
      <c r="B2954">
        <v>0.99299721793515405</v>
      </c>
      <c r="C2954">
        <v>0.90179499959189802</v>
      </c>
      <c r="D2954">
        <v>0.97962699852696999</v>
      </c>
      <c r="E2954">
        <v>0.82481871962784303</v>
      </c>
      <c r="F2954">
        <v>0.68332434060945202</v>
      </c>
      <c r="G2954">
        <v>0.59774397847583005</v>
      </c>
      <c r="H2954">
        <v>0.45107146899612699</v>
      </c>
      <c r="I2954">
        <v>0.48897605781598702</v>
      </c>
      <c r="J2954">
        <v>0.59270774534352499</v>
      </c>
      <c r="K2954">
        <v>0.46528088605459</v>
      </c>
      <c r="L2954">
        <v>825.10310547812298</v>
      </c>
      <c r="M2954">
        <v>16.993698721104899</v>
      </c>
      <c r="N2954">
        <v>63.5502605543453</v>
      </c>
      <c r="O2954">
        <v>47.896078496565799</v>
      </c>
      <c r="P2954">
        <v>-4.5157281110245598E-2</v>
      </c>
      <c r="Q2954">
        <v>0.490935346473795</v>
      </c>
      <c r="R2954">
        <v>0.93914622828259897</v>
      </c>
      <c r="S2954" t="s">
        <v>8505</v>
      </c>
      <c r="T2954" t="s">
        <v>11100</v>
      </c>
      <c r="U2954" t="s">
        <v>11100</v>
      </c>
      <c r="V2954" t="s">
        <v>11100</v>
      </c>
      <c r="W2954" t="s">
        <v>14011</v>
      </c>
      <c r="X2954">
        <v>8</v>
      </c>
      <c r="Y2954" t="s">
        <v>19464</v>
      </c>
      <c r="Z2954" t="s">
        <v>24959</v>
      </c>
      <c r="AA2954">
        <v>0.69596320536712164</v>
      </c>
      <c r="AB2954" t="str">
        <f>HYPERLINK("Melting_Curves/meltCurve_Q14118_DAG1.pdf", "Melting_Curves/meltCurve_Q14118_DAG1.pdf")</f>
        <v>Melting_Curves/meltCurve_Q14118_DAG1.pdf</v>
      </c>
    </row>
    <row r="2955" spans="1:28" x14ac:dyDescent="0.25">
      <c r="A2955" t="s">
        <v>2959</v>
      </c>
      <c r="B2955">
        <v>0.99299721793515405</v>
      </c>
      <c r="C2955">
        <v>1.0009019949304401</v>
      </c>
      <c r="D2955">
        <v>0.87687735511045894</v>
      </c>
      <c r="E2955">
        <v>0.82005851521558204</v>
      </c>
      <c r="F2955">
        <v>0.70815719297828195</v>
      </c>
      <c r="G2955">
        <v>0.60126949433810495</v>
      </c>
      <c r="H2955">
        <v>0.70251801923042101</v>
      </c>
      <c r="I2955">
        <v>0.72358689931166997</v>
      </c>
      <c r="J2955">
        <v>0.62780188092302203</v>
      </c>
      <c r="K2955">
        <v>0.441174109872777</v>
      </c>
      <c r="L2955">
        <v>492.26125633304099</v>
      </c>
      <c r="M2955">
        <v>10.258784551883799</v>
      </c>
      <c r="O2955">
        <v>46.268329121123401</v>
      </c>
      <c r="P2955">
        <v>-2.4295351954579599E-2</v>
      </c>
      <c r="Q2955">
        <v>0.56189381199495403</v>
      </c>
      <c r="R2955">
        <v>0.82421112831080801</v>
      </c>
      <c r="S2955" t="s">
        <v>8506</v>
      </c>
      <c r="T2955" t="s">
        <v>11100</v>
      </c>
      <c r="U2955" t="s">
        <v>11100</v>
      </c>
      <c r="V2955" t="s">
        <v>11100</v>
      </c>
      <c r="W2955" t="s">
        <v>14012</v>
      </c>
      <c r="X2955">
        <v>16</v>
      </c>
      <c r="Y2955" t="s">
        <v>19465</v>
      </c>
      <c r="Z2955" t="s">
        <v>24960</v>
      </c>
      <c r="AA2955">
        <v>0.73935175393614949</v>
      </c>
      <c r="AB2955" t="str">
        <f>HYPERLINK("Melting_Curves/meltCurve_Q14126_DSG2.pdf", "Melting_Curves/meltCurve_Q14126_DSG2.pdf")</f>
        <v>Melting_Curves/meltCurve_Q14126_DSG2.pdf</v>
      </c>
    </row>
    <row r="2956" spans="1:28" x14ac:dyDescent="0.25">
      <c r="A2956" t="s">
        <v>2960</v>
      </c>
      <c r="B2956">
        <v>0.99299721793515405</v>
      </c>
      <c r="C2956">
        <v>0.88752352548226499</v>
      </c>
      <c r="D2956">
        <v>0.88097658552284197</v>
      </c>
      <c r="E2956">
        <v>0.67161311982697802</v>
      </c>
      <c r="F2956">
        <v>0.47874025397388098</v>
      </c>
      <c r="G2956">
        <v>0.373016301094028</v>
      </c>
      <c r="H2956">
        <v>0.30385644071604201</v>
      </c>
      <c r="I2956">
        <v>0.39445824311955602</v>
      </c>
      <c r="J2956">
        <v>0.43121825033147998</v>
      </c>
      <c r="K2956">
        <v>0.35337081197081399</v>
      </c>
      <c r="L2956">
        <v>834.79350656145505</v>
      </c>
      <c r="M2956">
        <v>18.0837091012313</v>
      </c>
      <c r="N2956">
        <v>49.6178385891657</v>
      </c>
      <c r="O2956">
        <v>45.609341459315097</v>
      </c>
      <c r="P2956">
        <v>-6.3633409631208906E-2</v>
      </c>
      <c r="Q2956">
        <v>0.35806596694102499</v>
      </c>
      <c r="R2956">
        <v>0.96944936833840101</v>
      </c>
      <c r="S2956" t="s">
        <v>8507</v>
      </c>
      <c r="T2956" t="s">
        <v>11100</v>
      </c>
      <c r="U2956" t="s">
        <v>11100</v>
      </c>
      <c r="V2956" t="s">
        <v>11100</v>
      </c>
      <c r="W2956" t="s">
        <v>14013</v>
      </c>
      <c r="X2956">
        <v>3</v>
      </c>
      <c r="Y2956" t="s">
        <v>19466</v>
      </c>
      <c r="Z2956" t="s">
        <v>24961</v>
      </c>
      <c r="AA2956">
        <v>0.56439381103252773</v>
      </c>
      <c r="AB2956" t="str">
        <f>HYPERLINK("Melting_Curves/meltCurve_Q14129_DGCR6.pdf", "Melting_Curves/meltCurve_Q14129_DGCR6.pdf")</f>
        <v>Melting_Curves/meltCurve_Q14129_DGCR6.pdf</v>
      </c>
    </row>
    <row r="2957" spans="1:28" x14ac:dyDescent="0.25">
      <c r="A2957" t="s">
        <v>2961</v>
      </c>
      <c r="B2957">
        <v>0.99299721793515405</v>
      </c>
      <c r="C2957">
        <v>1.0139565108453401</v>
      </c>
      <c r="D2957">
        <v>1.0225982235542299</v>
      </c>
      <c r="E2957">
        <v>0.81785571124774503</v>
      </c>
      <c r="F2957">
        <v>0.70841314576660896</v>
      </c>
      <c r="G2957">
        <v>0.578743440677432</v>
      </c>
      <c r="H2957">
        <v>0.43202591676803698</v>
      </c>
      <c r="I2957">
        <v>0.54343335880494203</v>
      </c>
      <c r="J2957">
        <v>0.65502595963747501</v>
      </c>
      <c r="K2957">
        <v>0.43035013176999598</v>
      </c>
      <c r="L2957">
        <v>1055.2573702325301</v>
      </c>
      <c r="M2957">
        <v>21.732969356430502</v>
      </c>
      <c r="O2957">
        <v>48.150104550627503</v>
      </c>
      <c r="P2957">
        <v>-5.4699593309829798E-2</v>
      </c>
      <c r="Q2957">
        <v>0.51525641174190595</v>
      </c>
      <c r="R2957">
        <v>0.91178615650193295</v>
      </c>
      <c r="S2957" t="s">
        <v>8508</v>
      </c>
      <c r="T2957" t="s">
        <v>11100</v>
      </c>
      <c r="U2957" t="s">
        <v>11100</v>
      </c>
      <c r="V2957" t="s">
        <v>11100</v>
      </c>
      <c r="W2957" t="s">
        <v>14014</v>
      </c>
      <c r="X2957">
        <v>4</v>
      </c>
      <c r="Y2957" t="s">
        <v>19467</v>
      </c>
      <c r="Z2957" t="s">
        <v>24962</v>
      </c>
      <c r="AA2957">
        <v>0.70743116216619228</v>
      </c>
      <c r="AB2957" t="str">
        <f>HYPERLINK("Melting_Curves/meltCurve_Q14135_VGLL4.pdf", "Melting_Curves/meltCurve_Q14135_VGLL4.pdf")</f>
        <v>Melting_Curves/meltCurve_Q14135_VGLL4.pdf</v>
      </c>
    </row>
    <row r="2958" spans="1:28" x14ac:dyDescent="0.25">
      <c r="A2958" t="s">
        <v>2962</v>
      </c>
      <c r="B2958">
        <v>0.99299721793515405</v>
      </c>
      <c r="C2958">
        <v>0.89963610479646205</v>
      </c>
      <c r="D2958">
        <v>0.95968884662230303</v>
      </c>
      <c r="E2958">
        <v>0.73482060303452201</v>
      </c>
      <c r="F2958">
        <v>0.70702304551213901</v>
      </c>
      <c r="G2958">
        <v>0.87548882235090997</v>
      </c>
      <c r="H2958">
        <v>0.53742354540037696</v>
      </c>
      <c r="I2958">
        <v>0.331002059468328</v>
      </c>
      <c r="J2958">
        <v>0.34652194287315002</v>
      </c>
      <c r="K2958">
        <v>0.153461165203813</v>
      </c>
      <c r="L2958">
        <v>480.78123817785001</v>
      </c>
      <c r="M2958">
        <v>8.2980304955543591</v>
      </c>
      <c r="N2958">
        <v>57.939194836942498</v>
      </c>
      <c r="O2958">
        <v>54.866823318697698</v>
      </c>
      <c r="P2958">
        <v>-3.78471630940607E-2</v>
      </c>
      <c r="Q2958">
        <v>0</v>
      </c>
      <c r="R2958">
        <v>0.87707724036922796</v>
      </c>
      <c r="S2958" t="s">
        <v>8509</v>
      </c>
      <c r="T2958" t="s">
        <v>11100</v>
      </c>
      <c r="U2958" t="s">
        <v>11100</v>
      </c>
      <c r="V2958" t="s">
        <v>11100</v>
      </c>
      <c r="W2958" t="s">
        <v>14015</v>
      </c>
      <c r="X2958">
        <v>4</v>
      </c>
      <c r="Y2958" t="s">
        <v>19468</v>
      </c>
      <c r="Z2958" t="s">
        <v>24963</v>
      </c>
      <c r="AA2958">
        <v>0.67994937076113315</v>
      </c>
      <c r="AB2958" t="str">
        <f>HYPERLINK("Melting_Curves/meltCurve_Q14137_BOP1.pdf", "Melting_Curves/meltCurve_Q14137_BOP1.pdf")</f>
        <v>Melting_Curves/meltCurve_Q14137_BOP1.pdf</v>
      </c>
    </row>
    <row r="2959" spans="1:28" x14ac:dyDescent="0.25">
      <c r="A2959" t="s">
        <v>2963</v>
      </c>
      <c r="B2959">
        <v>0.99299721793515405</v>
      </c>
      <c r="C2959">
        <v>0.91844334188022503</v>
      </c>
      <c r="D2959">
        <v>0.90460309534007899</v>
      </c>
      <c r="E2959">
        <v>0.759449498770151</v>
      </c>
      <c r="F2959">
        <v>0.73943598760352702</v>
      </c>
      <c r="G2959">
        <v>0.30617767575687299</v>
      </c>
      <c r="H2959">
        <v>0.300089272079131</v>
      </c>
      <c r="I2959">
        <v>0.23987931477129501</v>
      </c>
      <c r="J2959">
        <v>0.25274925967342099</v>
      </c>
      <c r="K2959">
        <v>0.21592619292849</v>
      </c>
      <c r="L2959">
        <v>715.42793701415803</v>
      </c>
      <c r="M2959">
        <v>14.203154933434201</v>
      </c>
      <c r="N2959">
        <v>52.049667936002798</v>
      </c>
      <c r="O2959">
        <v>49.404080901342603</v>
      </c>
      <c r="P2959">
        <v>-5.86737706662529E-2</v>
      </c>
      <c r="Q2959">
        <v>0.18374170642044399</v>
      </c>
      <c r="R2959">
        <v>0.95854496138888001</v>
      </c>
      <c r="S2959" t="s">
        <v>8510</v>
      </c>
      <c r="T2959" t="s">
        <v>11100</v>
      </c>
      <c r="U2959" t="s">
        <v>11100</v>
      </c>
      <c r="V2959" t="s">
        <v>11100</v>
      </c>
      <c r="W2959" t="s">
        <v>14016</v>
      </c>
      <c r="X2959">
        <v>10</v>
      </c>
      <c r="Y2959" t="s">
        <v>19469</v>
      </c>
      <c r="Z2959" t="s">
        <v>24964</v>
      </c>
      <c r="AA2959">
        <v>0.56569724699685564</v>
      </c>
      <c r="AB2959" t="str">
        <f>HYPERLINK("Melting_Curves/meltCurve_Q14139_UBE4A.pdf", "Melting_Curves/meltCurve_Q14139_UBE4A.pdf")</f>
        <v>Melting_Curves/meltCurve_Q14139_UBE4A.pdf</v>
      </c>
    </row>
    <row r="2960" spans="1:28" x14ac:dyDescent="0.25">
      <c r="A2960" t="s">
        <v>2964</v>
      </c>
      <c r="B2960">
        <v>0.99299721793515405</v>
      </c>
      <c r="C2960">
        <v>1.03813549094695</v>
      </c>
      <c r="D2960">
        <v>0.87335428003541604</v>
      </c>
      <c r="E2960">
        <v>0.84470912305818002</v>
      </c>
      <c r="F2960">
        <v>0.66777670851506299</v>
      </c>
      <c r="G2960">
        <v>0.333638032414111</v>
      </c>
      <c r="H2960">
        <v>0.31173434275073603</v>
      </c>
      <c r="I2960">
        <v>0.20723496113796</v>
      </c>
      <c r="J2960">
        <v>0.18040637697324299</v>
      </c>
      <c r="K2960">
        <v>0.115834951023772</v>
      </c>
      <c r="L2960">
        <v>737.94175414938604</v>
      </c>
      <c r="M2960">
        <v>14.4097836643313</v>
      </c>
      <c r="N2960">
        <v>52.171586964706798</v>
      </c>
      <c r="O2960">
        <v>50.2551794769469</v>
      </c>
      <c r="P2960">
        <v>-6.3339459651887503E-2</v>
      </c>
      <c r="Q2960">
        <v>0.116500363915033</v>
      </c>
      <c r="R2960">
        <v>0.98352605724633102</v>
      </c>
      <c r="S2960" t="s">
        <v>8511</v>
      </c>
      <c r="T2960" t="s">
        <v>11100</v>
      </c>
      <c r="U2960" t="s">
        <v>11100</v>
      </c>
      <c r="V2960" t="s">
        <v>11100</v>
      </c>
      <c r="W2960" t="s">
        <v>14017</v>
      </c>
      <c r="X2960">
        <v>1</v>
      </c>
      <c r="Y2960" t="s">
        <v>19470</v>
      </c>
      <c r="Z2960" t="s">
        <v>24965</v>
      </c>
      <c r="AA2960">
        <v>0.55354411865648845</v>
      </c>
      <c r="AB2960" t="str">
        <f>HYPERLINK("Melting_Curves/meltCurve_Q14145_KEAP1.pdf", "Melting_Curves/meltCurve_Q14145_KEAP1.pdf")</f>
        <v>Melting_Curves/meltCurve_Q14145_KEAP1.pdf</v>
      </c>
    </row>
    <row r="2961" spans="1:28" x14ac:dyDescent="0.25">
      <c r="A2961" t="s">
        <v>2965</v>
      </c>
      <c r="B2961">
        <v>0.99299721793515405</v>
      </c>
      <c r="C2961">
        <v>1.0599277854493401</v>
      </c>
      <c r="D2961">
        <v>0.91639177060811505</v>
      </c>
      <c r="E2961">
        <v>0.85360867211184799</v>
      </c>
      <c r="F2961">
        <v>0.82528018864298702</v>
      </c>
      <c r="G2961">
        <v>0.34814665058026401</v>
      </c>
      <c r="H2961">
        <v>0.27672358449905399</v>
      </c>
      <c r="I2961">
        <v>0.29907450307265099</v>
      </c>
      <c r="J2961">
        <v>0.30425905687729499</v>
      </c>
      <c r="K2961">
        <v>0.21574285921188499</v>
      </c>
      <c r="L2961">
        <v>2153.3354747800399</v>
      </c>
      <c r="M2961">
        <v>41.881790111734901</v>
      </c>
      <c r="N2961">
        <v>52.375703683671198</v>
      </c>
      <c r="O2961">
        <v>51.297802240906698</v>
      </c>
      <c r="P2961">
        <v>-0.149377928094691</v>
      </c>
      <c r="Q2961">
        <v>0.26815491467248898</v>
      </c>
      <c r="R2961">
        <v>0.96738497842980697</v>
      </c>
      <c r="S2961" t="s">
        <v>8512</v>
      </c>
      <c r="T2961" t="s">
        <v>11100</v>
      </c>
      <c r="U2961" t="s">
        <v>11100</v>
      </c>
      <c r="V2961" t="s">
        <v>11100</v>
      </c>
      <c r="W2961" t="s">
        <v>14018</v>
      </c>
      <c r="X2961">
        <v>2</v>
      </c>
      <c r="Y2961" t="s">
        <v>19471</v>
      </c>
      <c r="Z2961" t="s">
        <v>24966</v>
      </c>
      <c r="AA2961">
        <v>0.62216480047785139</v>
      </c>
      <c r="AB2961" t="str">
        <f>HYPERLINK("Melting_Curves/meltCurve_Q14149_MORC3.pdf", "Melting_Curves/meltCurve_Q14149_MORC3.pdf")</f>
        <v>Melting_Curves/meltCurve_Q14149_MORC3.pdf</v>
      </c>
    </row>
    <row r="2962" spans="1:28" x14ac:dyDescent="0.25">
      <c r="A2962" t="s">
        <v>2966</v>
      </c>
      <c r="B2962">
        <v>0.99299721793515405</v>
      </c>
      <c r="C2962">
        <v>0.84737386240071899</v>
      </c>
      <c r="D2962">
        <v>1.0122356661921501</v>
      </c>
      <c r="E2962">
        <v>0.96314371718453795</v>
      </c>
      <c r="F2962">
        <v>0.85418416726519997</v>
      </c>
      <c r="G2962">
        <v>0.46619987141466201</v>
      </c>
      <c r="H2962">
        <v>0.50853335908683805</v>
      </c>
      <c r="I2962">
        <v>0.67698706424146404</v>
      </c>
      <c r="J2962">
        <v>0.75979240808232296</v>
      </c>
      <c r="K2962">
        <v>0.65900766922460996</v>
      </c>
      <c r="L2962">
        <v>12575.0311064777</v>
      </c>
      <c r="M2962">
        <v>250</v>
      </c>
      <c r="O2962">
        <v>50.296905524037697</v>
      </c>
      <c r="P2962">
        <v>-0.47952245036823199</v>
      </c>
      <c r="Q2962">
        <v>0.61410407411578205</v>
      </c>
      <c r="R2962">
        <v>0.75005949281414097</v>
      </c>
      <c r="S2962" t="s">
        <v>8513</v>
      </c>
      <c r="T2962" t="s">
        <v>11100</v>
      </c>
      <c r="U2962" t="s">
        <v>11100</v>
      </c>
      <c r="V2962" t="s">
        <v>11100</v>
      </c>
      <c r="W2962" t="s">
        <v>14019</v>
      </c>
      <c r="X2962">
        <v>6</v>
      </c>
      <c r="Y2962" t="s">
        <v>19472</v>
      </c>
      <c r="Z2962" t="s">
        <v>24967</v>
      </c>
      <c r="AA2962">
        <v>0.78522026709672565</v>
      </c>
      <c r="AB2962" t="str">
        <f>HYPERLINK("Melting_Curves/meltCurve_Q14151_SAFB2.pdf", "Melting_Curves/meltCurve_Q14151_SAFB2.pdf")</f>
        <v>Melting_Curves/meltCurve_Q14151_SAFB2.pdf</v>
      </c>
    </row>
    <row r="2963" spans="1:28" x14ac:dyDescent="0.25">
      <c r="A2963" t="s">
        <v>2967</v>
      </c>
      <c r="B2963">
        <v>0.99299721793515405</v>
      </c>
      <c r="C2963">
        <v>0.82479265399894497</v>
      </c>
      <c r="D2963">
        <v>0.90680957167704002</v>
      </c>
      <c r="E2963">
        <v>0.70041846711115596</v>
      </c>
      <c r="F2963">
        <v>0.72096316200426902</v>
      </c>
      <c r="G2963">
        <v>0.46151144327687299</v>
      </c>
      <c r="H2963">
        <v>0.35004295788794298</v>
      </c>
      <c r="I2963">
        <v>0.33657355613187401</v>
      </c>
      <c r="J2963">
        <v>0.35318912754246601</v>
      </c>
      <c r="K2963">
        <v>0.286093184014312</v>
      </c>
      <c r="L2963">
        <v>427.68175277664602</v>
      </c>
      <c r="M2963">
        <v>8.4177262662461505</v>
      </c>
      <c r="N2963">
        <v>53.837781664770901</v>
      </c>
      <c r="O2963">
        <v>48.182788585309801</v>
      </c>
      <c r="P2963">
        <v>-3.5467748136734201E-2</v>
      </c>
      <c r="Q2963">
        <v>0.18869337605726799</v>
      </c>
      <c r="R2963">
        <v>0.94627676495512103</v>
      </c>
      <c r="S2963" t="s">
        <v>8514</v>
      </c>
      <c r="T2963" t="s">
        <v>11100</v>
      </c>
      <c r="U2963" t="s">
        <v>11100</v>
      </c>
      <c r="V2963" t="s">
        <v>11100</v>
      </c>
      <c r="W2963" t="s">
        <v>14020</v>
      </c>
      <c r="X2963">
        <v>16</v>
      </c>
      <c r="Y2963" t="s">
        <v>19473</v>
      </c>
      <c r="Z2963" t="s">
        <v>24968</v>
      </c>
      <c r="AA2963">
        <v>0.59049648863387838</v>
      </c>
      <c r="AB2963" t="str">
        <f>HYPERLINK("Melting_Curves/meltCurve_Q14152_EIF3A.pdf", "Melting_Curves/meltCurve_Q14152_EIF3A.pdf")</f>
        <v>Melting_Curves/meltCurve_Q14152_EIF3A.pdf</v>
      </c>
    </row>
    <row r="2964" spans="1:28" x14ac:dyDescent="0.25">
      <c r="A2964" t="s">
        <v>2968</v>
      </c>
      <c r="B2964">
        <v>0.99299721793515405</v>
      </c>
      <c r="C2964">
        <v>0.96369127329912196</v>
      </c>
      <c r="D2964">
        <v>1.0738073967519299</v>
      </c>
      <c r="E2964">
        <v>0.84112350254541002</v>
      </c>
      <c r="F2964">
        <v>0.71241821714475895</v>
      </c>
      <c r="G2964">
        <v>0.61924512212406302</v>
      </c>
      <c r="H2964">
        <v>0.78427274796382196</v>
      </c>
      <c r="I2964">
        <v>1.0770542948231701</v>
      </c>
      <c r="J2964">
        <v>1.33695603373994</v>
      </c>
      <c r="K2964">
        <v>1.2603693168291299</v>
      </c>
      <c r="L2964">
        <v>15000</v>
      </c>
      <c r="M2964">
        <v>244.84529606375</v>
      </c>
      <c r="O2964">
        <v>61.259063215806897</v>
      </c>
      <c r="P2964">
        <v>0.29843186720207798</v>
      </c>
      <c r="Q2964">
        <v>1.29866473220385</v>
      </c>
      <c r="R2964">
        <v>0.35864426085885198</v>
      </c>
      <c r="S2964" t="s">
        <v>8515</v>
      </c>
      <c r="T2964" t="s">
        <v>11100</v>
      </c>
      <c r="U2964" t="s">
        <v>11100</v>
      </c>
      <c r="V2964" t="s">
        <v>11100</v>
      </c>
      <c r="W2964" t="s">
        <v>11796</v>
      </c>
      <c r="X2964">
        <v>23</v>
      </c>
      <c r="Y2964" t="s">
        <v>17293</v>
      </c>
      <c r="Z2964" t="s">
        <v>24969</v>
      </c>
      <c r="AA2964">
        <v>1.05707944122418</v>
      </c>
      <c r="AB2964" t="str">
        <f>HYPERLINK("Melting_Curves/meltCurve_Q14157_UBAP2L.pdf", "Melting_Curves/meltCurve_Q14157_UBAP2L.pdf")</f>
        <v>Melting_Curves/meltCurve_Q14157_UBAP2L.pdf</v>
      </c>
    </row>
    <row r="2965" spans="1:28" x14ac:dyDescent="0.25">
      <c r="A2965" t="s">
        <v>2969</v>
      </c>
      <c r="B2965">
        <v>0.99299721793515405</v>
      </c>
      <c r="C2965">
        <v>0.91632223125000001</v>
      </c>
      <c r="D2965">
        <v>1.43528212610689</v>
      </c>
      <c r="E2965">
        <v>0.91703487926233496</v>
      </c>
      <c r="F2965">
        <v>0.78277947162379502</v>
      </c>
      <c r="G2965">
        <v>0.81893698536906301</v>
      </c>
      <c r="H2965">
        <v>0.63906581343982705</v>
      </c>
      <c r="I2965">
        <v>0.66452641927039002</v>
      </c>
      <c r="J2965">
        <v>0.65811663379052598</v>
      </c>
      <c r="K2965">
        <v>0.75368548783463196</v>
      </c>
      <c r="L2965">
        <v>1606.5508104084599</v>
      </c>
      <c r="M2965">
        <v>32.684897270550898</v>
      </c>
      <c r="O2965">
        <v>48.9697960123614</v>
      </c>
      <c r="P2965">
        <v>-5.0205191783130203E-2</v>
      </c>
      <c r="Q2965">
        <v>0.69912383990026605</v>
      </c>
      <c r="R2965">
        <v>0.55903464384141399</v>
      </c>
      <c r="S2965" t="s">
        <v>8516</v>
      </c>
      <c r="T2965" t="s">
        <v>11100</v>
      </c>
      <c r="U2965" t="s">
        <v>11100</v>
      </c>
      <c r="V2965" t="s">
        <v>11100</v>
      </c>
      <c r="W2965" t="s">
        <v>14021</v>
      </c>
      <c r="X2965">
        <v>23</v>
      </c>
      <c r="Y2965" t="s">
        <v>17293</v>
      </c>
      <c r="Z2965" t="s">
        <v>24970</v>
      </c>
      <c r="AA2965">
        <v>0.82253914980196885</v>
      </c>
      <c r="AB2965" t="str">
        <f>HYPERLINK("Melting_Curves/meltCurve_Q14157_1_UBAP2L.pdf", "Melting_Curves/meltCurve_Q14157_1_UBAP2L.pdf")</f>
        <v>Melting_Curves/meltCurve_Q14157_1_UBAP2L.pdf</v>
      </c>
    </row>
    <row r="2966" spans="1:28" x14ac:dyDescent="0.25">
      <c r="A2966" t="s">
        <v>2970</v>
      </c>
      <c r="B2966">
        <v>0.99299721793515405</v>
      </c>
      <c r="C2966">
        <v>0.99820225106861005</v>
      </c>
      <c r="D2966">
        <v>0.92366484982006003</v>
      </c>
      <c r="E2966">
        <v>0.84355704455840796</v>
      </c>
      <c r="F2966">
        <v>0.39330471412995799</v>
      </c>
      <c r="G2966">
        <v>0.20877712252730299</v>
      </c>
      <c r="H2966">
        <v>0.16620565158300499</v>
      </c>
      <c r="I2966">
        <v>0.159736676852126</v>
      </c>
      <c r="J2966">
        <v>0.15981579879213401</v>
      </c>
      <c r="K2966">
        <v>0.14399173624398301</v>
      </c>
      <c r="L2966">
        <v>1450.7555851894599</v>
      </c>
      <c r="M2966">
        <v>29.777013445040101</v>
      </c>
      <c r="N2966">
        <v>49.333898740812998</v>
      </c>
      <c r="O2966">
        <v>48.502505226343402</v>
      </c>
      <c r="P2966">
        <v>-0.12974110592414601</v>
      </c>
      <c r="Q2966">
        <v>0.154686757547533</v>
      </c>
      <c r="R2966">
        <v>0.996837840965344</v>
      </c>
      <c r="S2966" t="s">
        <v>8517</v>
      </c>
      <c r="T2966" t="s">
        <v>11100</v>
      </c>
      <c r="U2966" t="s">
        <v>11100</v>
      </c>
      <c r="V2966" t="s">
        <v>11100</v>
      </c>
      <c r="W2966" t="s">
        <v>14022</v>
      </c>
      <c r="X2966">
        <v>36</v>
      </c>
      <c r="Y2966" t="s">
        <v>19474</v>
      </c>
      <c r="Z2966" t="s">
        <v>24971</v>
      </c>
      <c r="AA2966">
        <v>0.49009028421951117</v>
      </c>
      <c r="AB2966" t="str">
        <f>HYPERLINK("Melting_Curves/meltCurve_Q14160_SCRIB.pdf", "Melting_Curves/meltCurve_Q14160_SCRIB.pdf")</f>
        <v>Melting_Curves/meltCurve_Q14160_SCRIB.pdf</v>
      </c>
    </row>
    <row r="2967" spans="1:28" x14ac:dyDescent="0.25">
      <c r="A2967" t="s">
        <v>2971</v>
      </c>
      <c r="B2967">
        <v>0.99299721793515405</v>
      </c>
      <c r="C2967">
        <v>1.0599447581265899</v>
      </c>
      <c r="D2967">
        <v>1.27484288077179</v>
      </c>
      <c r="E2967">
        <v>1.09408875530282</v>
      </c>
      <c r="F2967">
        <v>0.825007682080236</v>
      </c>
      <c r="G2967">
        <v>1.07318453887155</v>
      </c>
      <c r="H2967">
        <v>0.45256844950129299</v>
      </c>
      <c r="I2967">
        <v>0.23002072566962301</v>
      </c>
      <c r="J2967">
        <v>0.173821000815823</v>
      </c>
      <c r="K2967">
        <v>0.14610518624889299</v>
      </c>
      <c r="L2967">
        <v>14309.269766236799</v>
      </c>
      <c r="M2967">
        <v>250</v>
      </c>
      <c r="N2967">
        <v>57.341831785949402</v>
      </c>
      <c r="O2967">
        <v>57.233416290067801</v>
      </c>
      <c r="P2967">
        <v>-0.89183523525818997</v>
      </c>
      <c r="Q2967">
        <v>0.18331556471483901</v>
      </c>
      <c r="R2967">
        <v>0.92540188533985901</v>
      </c>
      <c r="S2967" t="s">
        <v>8518</v>
      </c>
      <c r="T2967" t="s">
        <v>11100</v>
      </c>
      <c r="U2967" t="s">
        <v>11100</v>
      </c>
      <c r="V2967" t="s">
        <v>11100</v>
      </c>
      <c r="W2967" t="s">
        <v>14023</v>
      </c>
      <c r="X2967">
        <v>14</v>
      </c>
      <c r="Y2967" t="s">
        <v>19475</v>
      </c>
      <c r="Z2967" t="s">
        <v>24972</v>
      </c>
      <c r="AA2967">
        <v>0.73430785041503255</v>
      </c>
      <c r="AB2967" t="str">
        <f>HYPERLINK("Melting_Curves/meltCurve_Q14165_MLEC.pdf", "Melting_Curves/meltCurve_Q14165_MLEC.pdf")</f>
        <v>Melting_Curves/meltCurve_Q14165_MLEC.pdf</v>
      </c>
    </row>
    <row r="2968" spans="1:28" x14ac:dyDescent="0.25">
      <c r="A2968" t="s">
        <v>2972</v>
      </c>
      <c r="B2968">
        <v>0.99299721793515405</v>
      </c>
      <c r="C2968">
        <v>1.0078533364165001</v>
      </c>
      <c r="D2968">
        <v>0.99196316687703701</v>
      </c>
      <c r="E2968">
        <v>0.85903282863198704</v>
      </c>
      <c r="F2968">
        <v>0.39265025210997401</v>
      </c>
      <c r="G2968">
        <v>0.26668134324548998</v>
      </c>
      <c r="H2968">
        <v>0.18111095759265999</v>
      </c>
      <c r="I2968">
        <v>0.17083582900312799</v>
      </c>
      <c r="J2968">
        <v>0.15985452674709799</v>
      </c>
      <c r="K2968">
        <v>0.121990699242096</v>
      </c>
      <c r="L2968">
        <v>1489.1337103189201</v>
      </c>
      <c r="M2968">
        <v>30.491774919869201</v>
      </c>
      <c r="N2968">
        <v>49.485708756033198</v>
      </c>
      <c r="O2968">
        <v>48.628611110685398</v>
      </c>
      <c r="P2968">
        <v>-0.13094188069819501</v>
      </c>
      <c r="Q2968">
        <v>0.16469501469019501</v>
      </c>
      <c r="R2968">
        <v>0.99571125842457997</v>
      </c>
      <c r="S2968" t="s">
        <v>8519</v>
      </c>
      <c r="T2968" t="s">
        <v>11100</v>
      </c>
      <c r="U2968" t="s">
        <v>11100</v>
      </c>
      <c r="V2968" t="s">
        <v>11100</v>
      </c>
      <c r="W2968" t="s">
        <v>14024</v>
      </c>
      <c r="X2968">
        <v>27</v>
      </c>
      <c r="Y2968" t="s">
        <v>19476</v>
      </c>
      <c r="Z2968" t="s">
        <v>24973</v>
      </c>
      <c r="AA2968">
        <v>0.49914804077745401</v>
      </c>
      <c r="AB2968" t="str">
        <f>HYPERLINK("Melting_Curves/meltCurve_Q14166_TTLL12.pdf", "Melting_Curves/meltCurve_Q14166_TTLL12.pdf")</f>
        <v>Melting_Curves/meltCurve_Q14166_TTLL12.pdf</v>
      </c>
    </row>
    <row r="2969" spans="1:28" x14ac:dyDescent="0.25">
      <c r="A2969" t="s">
        <v>2973</v>
      </c>
      <c r="B2969">
        <v>0.99299721793515405</v>
      </c>
      <c r="C2969">
        <v>0.99926034813890896</v>
      </c>
      <c r="D2969">
        <v>0.99563802404341495</v>
      </c>
      <c r="E2969">
        <v>0.85898709402043905</v>
      </c>
      <c r="F2969">
        <v>0.61925278120454597</v>
      </c>
      <c r="G2969">
        <v>0.50529209892579596</v>
      </c>
      <c r="H2969">
        <v>0.28725460093342498</v>
      </c>
      <c r="I2969">
        <v>0.25104515330617999</v>
      </c>
      <c r="J2969">
        <v>0.22071700484991</v>
      </c>
      <c r="K2969">
        <v>0.208555695787048</v>
      </c>
      <c r="L2969">
        <v>790.61911550995399</v>
      </c>
      <c r="M2969">
        <v>15.4153113832723</v>
      </c>
      <c r="N2969">
        <v>52.871135851983396</v>
      </c>
      <c r="O2969">
        <v>50.448056975827903</v>
      </c>
      <c r="P2969">
        <v>-6.2275375165757797E-2</v>
      </c>
      <c r="Q2969">
        <v>0.18486589138545401</v>
      </c>
      <c r="R2969">
        <v>0.99362445411598599</v>
      </c>
      <c r="S2969" t="s">
        <v>8520</v>
      </c>
      <c r="T2969" t="s">
        <v>11100</v>
      </c>
      <c r="U2969" t="s">
        <v>11100</v>
      </c>
      <c r="V2969" t="s">
        <v>11100</v>
      </c>
      <c r="W2969" t="s">
        <v>14025</v>
      </c>
      <c r="X2969">
        <v>5</v>
      </c>
      <c r="Y2969" t="s">
        <v>19477</v>
      </c>
      <c r="Z2969" t="s">
        <v>24974</v>
      </c>
      <c r="AA2969">
        <v>0.58872297697811504</v>
      </c>
      <c r="AB2969" t="str">
        <f>HYPERLINK("Melting_Curves/meltCurve_Q14181_POLA2.pdf", "Melting_Curves/meltCurve_Q14181_POLA2.pdf")</f>
        <v>Melting_Curves/meltCurve_Q14181_POLA2.pdf</v>
      </c>
    </row>
    <row r="2970" spans="1:28" x14ac:dyDescent="0.25">
      <c r="A2970" t="s">
        <v>2974</v>
      </c>
      <c r="B2970">
        <v>0.99299721793515405</v>
      </c>
      <c r="C2970">
        <v>0.94485941245083205</v>
      </c>
      <c r="D2970">
        <v>0.97654398051412294</v>
      </c>
      <c r="E2970">
        <v>0.870261652502057</v>
      </c>
      <c r="F2970">
        <v>0.92334162448281099</v>
      </c>
      <c r="G2970">
        <v>0.93526951063277597</v>
      </c>
      <c r="H2970">
        <v>0.97532555059924397</v>
      </c>
      <c r="I2970">
        <v>0.90349189896385296</v>
      </c>
      <c r="J2970">
        <v>0.584329220410718</v>
      </c>
      <c r="K2970">
        <v>0.26524603191461399</v>
      </c>
      <c r="L2970">
        <v>2365.1421995154501</v>
      </c>
      <c r="M2970">
        <v>36.7034578186476</v>
      </c>
      <c r="N2970">
        <v>64.763468120610298</v>
      </c>
      <c r="O2970">
        <v>64.248826502200203</v>
      </c>
      <c r="P2970">
        <v>-0.13083062472877999</v>
      </c>
      <c r="Q2970">
        <v>8.3934866550967505E-2</v>
      </c>
      <c r="R2970">
        <v>0.93707033905845405</v>
      </c>
      <c r="S2970" t="s">
        <v>8521</v>
      </c>
      <c r="T2970" t="s">
        <v>11100</v>
      </c>
      <c r="U2970" t="s">
        <v>11100</v>
      </c>
      <c r="V2970" t="s">
        <v>11100</v>
      </c>
      <c r="W2970" t="s">
        <v>14026</v>
      </c>
      <c r="X2970">
        <v>24</v>
      </c>
      <c r="Y2970" t="s">
        <v>19478</v>
      </c>
      <c r="Z2970" t="s">
        <v>24975</v>
      </c>
      <c r="AA2970">
        <v>0.91308076567852814</v>
      </c>
      <c r="AB2970" t="str">
        <f>HYPERLINK("Melting_Curves/meltCurve_Q14195_2_DPYSL3.pdf", "Melting_Curves/meltCurve_Q14195_2_DPYSL3.pdf")</f>
        <v>Melting_Curves/meltCurve_Q14195_2_DPYSL3.pdf</v>
      </c>
    </row>
    <row r="2971" spans="1:28" x14ac:dyDescent="0.25">
      <c r="A2971" t="s">
        <v>2975</v>
      </c>
      <c r="B2971">
        <v>0.99299721793515405</v>
      </c>
      <c r="C2971">
        <v>0.89206895993753599</v>
      </c>
      <c r="D2971">
        <v>0.82375107850487395</v>
      </c>
      <c r="E2971">
        <v>0.80767704056876399</v>
      </c>
      <c r="F2971">
        <v>0.551694336838636</v>
      </c>
      <c r="G2971">
        <v>0.46442648765170202</v>
      </c>
      <c r="H2971">
        <v>0.60848099450835602</v>
      </c>
      <c r="I2971">
        <v>0.79009436517543796</v>
      </c>
      <c r="J2971">
        <v>1.0280406459688001</v>
      </c>
      <c r="K2971">
        <v>0.71036924557625203</v>
      </c>
      <c r="L2971">
        <v>921.39940589157504</v>
      </c>
      <c r="M2971">
        <v>22.080653037574098</v>
      </c>
      <c r="O2971">
        <v>41.391080736577102</v>
      </c>
      <c r="P2971">
        <v>-3.9492305523547599E-2</v>
      </c>
      <c r="Q2971">
        <v>0.70388688060052196</v>
      </c>
      <c r="R2971">
        <v>0.30662081398304403</v>
      </c>
      <c r="S2971" t="s">
        <v>8522</v>
      </c>
      <c r="T2971" t="s">
        <v>11100</v>
      </c>
      <c r="U2971" t="s">
        <v>11100</v>
      </c>
      <c r="V2971" t="s">
        <v>11100</v>
      </c>
      <c r="W2971" t="s">
        <v>14027</v>
      </c>
      <c r="X2971">
        <v>3</v>
      </c>
      <c r="Y2971" t="s">
        <v>19479</v>
      </c>
      <c r="Z2971" t="s">
        <v>24976</v>
      </c>
      <c r="AA2971">
        <v>0.75419786422887447</v>
      </c>
      <c r="AB2971" t="str">
        <f>HYPERLINK("Melting_Curves/meltCurve_Q14204_DYNC1H1.pdf", "Melting_Curves/meltCurve_Q14204_DYNC1H1.pdf")</f>
        <v>Melting_Curves/meltCurve_Q14204_DYNC1H1.pdf</v>
      </c>
    </row>
    <row r="2972" spans="1:28" x14ac:dyDescent="0.25">
      <c r="A2972" t="s">
        <v>2976</v>
      </c>
      <c r="B2972">
        <v>0.99299721793515405</v>
      </c>
      <c r="C2972">
        <v>1.0609597395688299</v>
      </c>
      <c r="D2972">
        <v>1.09053824093464</v>
      </c>
      <c r="E2972">
        <v>0.94295236250333703</v>
      </c>
      <c r="F2972">
        <v>0.73697418165969697</v>
      </c>
      <c r="G2972">
        <v>0.83139605123526406</v>
      </c>
      <c r="H2972">
        <v>0.66477081712938402</v>
      </c>
      <c r="I2972">
        <v>0.53633960048351703</v>
      </c>
      <c r="J2972">
        <v>0.14751886746478801</v>
      </c>
      <c r="K2972">
        <v>0.12187531838617301</v>
      </c>
      <c r="L2972">
        <v>833.81712779629697</v>
      </c>
      <c r="M2972">
        <v>14.0254069592626</v>
      </c>
      <c r="N2972">
        <v>59.450465560704401</v>
      </c>
      <c r="O2972">
        <v>58.281039271141204</v>
      </c>
      <c r="P2972">
        <v>-6.0170738659431601E-2</v>
      </c>
      <c r="Q2972">
        <v>0</v>
      </c>
      <c r="R2972">
        <v>0.92322091938779105</v>
      </c>
      <c r="S2972" t="s">
        <v>8523</v>
      </c>
      <c r="T2972" t="s">
        <v>11100</v>
      </c>
      <c r="U2972" t="s">
        <v>11100</v>
      </c>
      <c r="V2972" t="s">
        <v>11100</v>
      </c>
      <c r="W2972" t="s">
        <v>14028</v>
      </c>
      <c r="X2972">
        <v>10</v>
      </c>
      <c r="Y2972" t="s">
        <v>19480</v>
      </c>
      <c r="Z2972" t="s">
        <v>24977</v>
      </c>
      <c r="AA2972">
        <v>0.74286759209469144</v>
      </c>
      <c r="AB2972" t="str">
        <f>HYPERLINK("Melting_Curves/meltCurve_Q14232_EIF2B1.pdf", "Melting_Curves/meltCurve_Q14232_EIF2B1.pdf")</f>
        <v>Melting_Curves/meltCurve_Q14232_EIF2B1.pdf</v>
      </c>
    </row>
    <row r="2973" spans="1:28" x14ac:dyDescent="0.25">
      <c r="A2973" t="s">
        <v>2977</v>
      </c>
      <c r="B2973">
        <v>0.99299721793515405</v>
      </c>
      <c r="C2973">
        <v>0.96617578528179604</v>
      </c>
      <c r="D2973">
        <v>0.89936190741210498</v>
      </c>
      <c r="E2973">
        <v>0.91797990683977804</v>
      </c>
      <c r="F2973">
        <v>0.78043273065100105</v>
      </c>
      <c r="G2973">
        <v>0.68220535907250701</v>
      </c>
      <c r="H2973">
        <v>0.55514801979421102</v>
      </c>
      <c r="I2973">
        <v>0.40500069042762799</v>
      </c>
      <c r="J2973">
        <v>0.154629835061075</v>
      </c>
      <c r="K2973">
        <v>0.10214404383973399</v>
      </c>
      <c r="L2973">
        <v>644.13294763912404</v>
      </c>
      <c r="M2973">
        <v>11.2425232576994</v>
      </c>
      <c r="N2973">
        <v>57.294339849644302</v>
      </c>
      <c r="O2973">
        <v>55.571326060653298</v>
      </c>
      <c r="P2973">
        <v>-5.0592685698610203E-2</v>
      </c>
      <c r="Q2973">
        <v>0</v>
      </c>
      <c r="R2973">
        <v>0.97178467562350401</v>
      </c>
      <c r="S2973" t="s">
        <v>8524</v>
      </c>
      <c r="T2973" t="s">
        <v>11100</v>
      </c>
      <c r="U2973" t="s">
        <v>11100</v>
      </c>
      <c r="V2973" t="s">
        <v>11100</v>
      </c>
      <c r="W2973" t="s">
        <v>14029</v>
      </c>
      <c r="X2973">
        <v>23</v>
      </c>
      <c r="Y2973" t="s">
        <v>19481</v>
      </c>
      <c r="Z2973" t="s">
        <v>24978</v>
      </c>
      <c r="AA2973">
        <v>0.67759701574724285</v>
      </c>
      <c r="AB2973" t="str">
        <f>HYPERLINK("Melting_Curves/meltCurve_Q14240_EIF4A2.pdf", "Melting_Curves/meltCurve_Q14240_EIF4A2.pdf")</f>
        <v>Melting_Curves/meltCurve_Q14240_EIF4A2.pdf</v>
      </c>
    </row>
    <row r="2974" spans="1:28" x14ac:dyDescent="0.25">
      <c r="A2974" t="s">
        <v>2978</v>
      </c>
      <c r="B2974">
        <v>0.99299721793515405</v>
      </c>
      <c r="C2974">
        <v>0.99139356622660801</v>
      </c>
      <c r="D2974">
        <v>1.0081416827638301</v>
      </c>
      <c r="E2974">
        <v>0.57593288913260898</v>
      </c>
      <c r="F2974">
        <v>0.80427153153085795</v>
      </c>
      <c r="G2974">
        <v>0.40760803648349397</v>
      </c>
      <c r="H2974">
        <v>0.54842839877030403</v>
      </c>
      <c r="I2974">
        <v>0.36716192462706798</v>
      </c>
      <c r="J2974">
        <v>0.31069346155650401</v>
      </c>
      <c r="K2974">
        <v>0.27767480214078799</v>
      </c>
      <c r="L2974">
        <v>472.738472426638</v>
      </c>
      <c r="M2974">
        <v>9.1642699167160693</v>
      </c>
      <c r="N2974">
        <v>54.925644710937</v>
      </c>
      <c r="O2974">
        <v>49.3068360867222</v>
      </c>
      <c r="P2974">
        <v>-3.6562993484401202E-2</v>
      </c>
      <c r="Q2974">
        <v>0.21364872625437301</v>
      </c>
      <c r="R2974">
        <v>0.86012798372920796</v>
      </c>
      <c r="S2974" t="s">
        <v>8525</v>
      </c>
      <c r="T2974" t="s">
        <v>11100</v>
      </c>
      <c r="U2974" t="s">
        <v>11100</v>
      </c>
      <c r="V2974" t="s">
        <v>11100</v>
      </c>
      <c r="W2974" t="s">
        <v>14030</v>
      </c>
      <c r="X2974">
        <v>3</v>
      </c>
      <c r="Y2974" t="s">
        <v>19482</v>
      </c>
      <c r="Z2974" t="s">
        <v>24979</v>
      </c>
      <c r="AA2974">
        <v>0.6192561105189448</v>
      </c>
      <c r="AB2974" t="str">
        <f>HYPERLINK("Melting_Curves/meltCurve_Q14244_MAP7.pdf", "Melting_Curves/meltCurve_Q14244_MAP7.pdf")</f>
        <v>Melting_Curves/meltCurve_Q14244_MAP7.pdf</v>
      </c>
    </row>
    <row r="2975" spans="1:28" x14ac:dyDescent="0.25">
      <c r="A2975" t="s">
        <v>2979</v>
      </c>
      <c r="B2975">
        <v>0.99299721793515405</v>
      </c>
      <c r="C2975">
        <v>0.97848364724734804</v>
      </c>
      <c r="D2975">
        <v>1.1441152781765001</v>
      </c>
      <c r="E2975">
        <v>0.91465737542189796</v>
      </c>
      <c r="F2975">
        <v>0.77959907343852497</v>
      </c>
      <c r="G2975">
        <v>0.717381258939083</v>
      </c>
      <c r="H2975">
        <v>0.65698277157975105</v>
      </c>
      <c r="I2975">
        <v>0.80810204396204899</v>
      </c>
      <c r="J2975">
        <v>0.96620121944900195</v>
      </c>
      <c r="K2975">
        <v>0.84215061770960298</v>
      </c>
      <c r="L2975">
        <v>11665.7217884725</v>
      </c>
      <c r="M2975">
        <v>250</v>
      </c>
      <c r="O2975">
        <v>46.659901231207598</v>
      </c>
      <c r="P2975">
        <v>-0.27450029199266801</v>
      </c>
      <c r="Q2975">
        <v>0.79506949688895301</v>
      </c>
      <c r="R2975">
        <v>0.59582606815827199</v>
      </c>
      <c r="S2975" t="s">
        <v>8526</v>
      </c>
      <c r="T2975" t="s">
        <v>11100</v>
      </c>
      <c r="U2975" t="s">
        <v>11100</v>
      </c>
      <c r="V2975" t="s">
        <v>11100</v>
      </c>
      <c r="W2975" t="s">
        <v>14031</v>
      </c>
      <c r="X2975">
        <v>61</v>
      </c>
      <c r="Y2975" t="s">
        <v>19483</v>
      </c>
      <c r="Z2975" t="s">
        <v>24980</v>
      </c>
      <c r="AA2975">
        <v>0.86109362338741635</v>
      </c>
      <c r="AB2975" t="str">
        <f>HYPERLINK("Melting_Curves/meltCurve_Q14247_CTTN.pdf", "Melting_Curves/meltCurve_Q14247_CTTN.pdf")</f>
        <v>Melting_Curves/meltCurve_Q14247_CTTN.pdf</v>
      </c>
    </row>
    <row r="2976" spans="1:28" x14ac:dyDescent="0.25">
      <c r="A2976" t="s">
        <v>2980</v>
      </c>
      <c r="B2976">
        <v>0.99299721793515405</v>
      </c>
      <c r="C2976">
        <v>0.93769288724772304</v>
      </c>
      <c r="D2976">
        <v>0.89355357004798197</v>
      </c>
      <c r="E2976">
        <v>0.81776680374933197</v>
      </c>
      <c r="F2976">
        <v>0.57247053448405005</v>
      </c>
      <c r="G2976">
        <v>0.43013566246698498</v>
      </c>
      <c r="H2976">
        <v>0.37022063653989501</v>
      </c>
      <c r="I2976">
        <v>0.301831549503837</v>
      </c>
      <c r="J2976">
        <v>0.27441750989921598</v>
      </c>
      <c r="K2976">
        <v>0.18686134483699501</v>
      </c>
      <c r="L2976">
        <v>573.19902436986195</v>
      </c>
      <c r="M2976">
        <v>11.351171349356401</v>
      </c>
      <c r="N2976">
        <v>52.578238828612101</v>
      </c>
      <c r="O2976">
        <v>49.005839774151198</v>
      </c>
      <c r="P2976">
        <v>-4.7441622815068203E-2</v>
      </c>
      <c r="Q2976">
        <v>0.18097548710731401</v>
      </c>
      <c r="R2976">
        <v>0.99100479631962801</v>
      </c>
      <c r="S2976" t="s">
        <v>8527</v>
      </c>
      <c r="T2976" t="s">
        <v>11100</v>
      </c>
      <c r="U2976" t="s">
        <v>11100</v>
      </c>
      <c r="V2976" t="s">
        <v>11100</v>
      </c>
      <c r="W2976" t="s">
        <v>14032</v>
      </c>
      <c r="X2976">
        <v>3</v>
      </c>
      <c r="Y2976" t="s">
        <v>19484</v>
      </c>
      <c r="Z2976" t="s">
        <v>24981</v>
      </c>
      <c r="AA2976">
        <v>0.57293803653249353</v>
      </c>
      <c r="AB2976" t="str">
        <f>HYPERLINK("Melting_Curves/meltCurve_Q14257_RCN2.pdf", "Melting_Curves/meltCurve_Q14257_RCN2.pdf")</f>
        <v>Melting_Curves/meltCurve_Q14257_RCN2.pdf</v>
      </c>
    </row>
    <row r="2977" spans="1:28" x14ac:dyDescent="0.25">
      <c r="A2977" t="s">
        <v>2981</v>
      </c>
      <c r="B2977">
        <v>0.99299721793515405</v>
      </c>
      <c r="C2977">
        <v>0.95746082856668902</v>
      </c>
      <c r="D2977">
        <v>1.0267026212411401</v>
      </c>
      <c r="E2977">
        <v>0.77689502703914803</v>
      </c>
      <c r="F2977">
        <v>0.76908656076112103</v>
      </c>
      <c r="G2977">
        <v>0.73415636870328305</v>
      </c>
      <c r="H2977">
        <v>0.50752279906491704</v>
      </c>
      <c r="I2977">
        <v>0.34889884437057</v>
      </c>
      <c r="J2977">
        <v>0.197448572223267</v>
      </c>
      <c r="K2977">
        <v>0.17108459949013199</v>
      </c>
      <c r="L2977">
        <v>569.999605971954</v>
      </c>
      <c r="M2977">
        <v>9.9858969397731201</v>
      </c>
      <c r="N2977">
        <v>57.080472357856202</v>
      </c>
      <c r="O2977">
        <v>54.932970778529999</v>
      </c>
      <c r="P2977">
        <v>-4.5468049958259198E-2</v>
      </c>
      <c r="Q2977">
        <v>0</v>
      </c>
      <c r="R2977">
        <v>0.96485887513338497</v>
      </c>
      <c r="S2977" t="s">
        <v>8528</v>
      </c>
      <c r="T2977" t="s">
        <v>11100</v>
      </c>
      <c r="U2977" t="s">
        <v>11100</v>
      </c>
      <c r="V2977" t="s">
        <v>11100</v>
      </c>
      <c r="W2977" t="s">
        <v>14033</v>
      </c>
      <c r="X2977">
        <v>17</v>
      </c>
      <c r="Y2977" t="s">
        <v>19485</v>
      </c>
      <c r="Z2977" t="s">
        <v>24982</v>
      </c>
      <c r="AA2977">
        <v>0.6678688124879838</v>
      </c>
      <c r="AB2977" t="str">
        <f>HYPERLINK("Melting_Curves/meltCurve_Q14315_2_FLNC.pdf", "Melting_Curves/meltCurve_Q14315_2_FLNC.pdf")</f>
        <v>Melting_Curves/meltCurve_Q14315_2_FLNC.pdf</v>
      </c>
    </row>
    <row r="2978" spans="1:28" x14ac:dyDescent="0.25">
      <c r="A2978" t="s">
        <v>2982</v>
      </c>
      <c r="B2978">
        <v>0.99299721793515405</v>
      </c>
      <c r="C2978">
        <v>1.03862560205307</v>
      </c>
      <c r="D2978">
        <v>1.00239884676921</v>
      </c>
      <c r="E2978">
        <v>0.80939019184968997</v>
      </c>
      <c r="F2978">
        <v>0.29519340621608098</v>
      </c>
      <c r="G2978">
        <v>0.17290633298264901</v>
      </c>
      <c r="H2978">
        <v>0.13210460302240601</v>
      </c>
      <c r="I2978">
        <v>0.10778370688571499</v>
      </c>
      <c r="J2978">
        <v>9.0523608080725598E-2</v>
      </c>
      <c r="K2978">
        <v>7.3048768928274194E-2</v>
      </c>
      <c r="L2978">
        <v>1638.5705748197699</v>
      </c>
      <c r="M2978">
        <v>33.880480556896202</v>
      </c>
      <c r="N2978">
        <v>48.7081366842514</v>
      </c>
      <c r="O2978">
        <v>48.195705130502503</v>
      </c>
      <c r="P2978">
        <v>-0.157004101532047</v>
      </c>
      <c r="Q2978">
        <v>0.10663687467355901</v>
      </c>
      <c r="R2978">
        <v>0.99682151644202399</v>
      </c>
      <c r="S2978" t="s">
        <v>8529</v>
      </c>
      <c r="T2978" t="s">
        <v>11100</v>
      </c>
      <c r="U2978" t="s">
        <v>11100</v>
      </c>
      <c r="V2978" t="s">
        <v>11100</v>
      </c>
      <c r="W2978" t="s">
        <v>14034</v>
      </c>
      <c r="X2978">
        <v>11</v>
      </c>
      <c r="Y2978" t="s">
        <v>19486</v>
      </c>
      <c r="Z2978" t="s">
        <v>24983</v>
      </c>
      <c r="AA2978">
        <v>0.44919312905668268</v>
      </c>
      <c r="AB2978" t="str">
        <f>HYPERLINK("Melting_Curves/meltCurve_Q14318_2_FKBP8.pdf", "Melting_Curves/meltCurve_Q14318_2_FKBP8.pdf")</f>
        <v>Melting_Curves/meltCurve_Q14318_2_FKBP8.pdf</v>
      </c>
    </row>
    <row r="2979" spans="1:28" x14ac:dyDescent="0.25">
      <c r="A2979" t="s">
        <v>2983</v>
      </c>
      <c r="B2979">
        <v>0.99299721793515405</v>
      </c>
      <c r="C2979">
        <v>1.0256301199623501</v>
      </c>
      <c r="D2979">
        <v>0.98639623530793696</v>
      </c>
      <c r="E2979">
        <v>0.84006146828352701</v>
      </c>
      <c r="F2979">
        <v>0.67060156088802303</v>
      </c>
      <c r="G2979">
        <v>0.30407157223927</v>
      </c>
      <c r="H2979">
        <v>0.198499354990779</v>
      </c>
      <c r="I2979">
        <v>0.16208311016674101</v>
      </c>
      <c r="J2979">
        <v>0.14447390208844099</v>
      </c>
      <c r="K2979">
        <v>0.12791292380708599</v>
      </c>
      <c r="L2979">
        <v>1062.5978797804701</v>
      </c>
      <c r="M2979">
        <v>20.8829696131071</v>
      </c>
      <c r="N2979">
        <v>51.597248091109201</v>
      </c>
      <c r="O2979">
        <v>50.423759234030904</v>
      </c>
      <c r="P2979">
        <v>-9.0551012670334594E-2</v>
      </c>
      <c r="Q2979">
        <v>0.125450539579016</v>
      </c>
      <c r="R2979">
        <v>0.99518895600566104</v>
      </c>
      <c r="S2979" t="s">
        <v>8530</v>
      </c>
      <c r="T2979" t="s">
        <v>11100</v>
      </c>
      <c r="U2979" t="s">
        <v>11100</v>
      </c>
      <c r="V2979" t="s">
        <v>11100</v>
      </c>
      <c r="W2979" t="s">
        <v>14035</v>
      </c>
      <c r="X2979">
        <v>8</v>
      </c>
      <c r="Y2979" t="s">
        <v>19487</v>
      </c>
      <c r="Z2979" t="s">
        <v>24984</v>
      </c>
      <c r="AA2979">
        <v>0.54082774860209148</v>
      </c>
      <c r="AB2979" t="str">
        <f>HYPERLINK("Melting_Curves/meltCurve_Q14320_FAM50A.pdf", "Melting_Curves/meltCurve_Q14320_FAM50A.pdf")</f>
        <v>Melting_Curves/meltCurve_Q14320_FAM50A.pdf</v>
      </c>
    </row>
    <row r="2980" spans="1:28" x14ac:dyDescent="0.25">
      <c r="A2980" t="s">
        <v>2984</v>
      </c>
      <c r="B2980">
        <v>0.99299721793515405</v>
      </c>
      <c r="C2980">
        <v>1.08694498423234</v>
      </c>
      <c r="D2980">
        <v>1.01780182314991</v>
      </c>
      <c r="E2980">
        <v>0.94811117393491096</v>
      </c>
      <c r="F2980">
        <v>0.70743847752445899</v>
      </c>
      <c r="G2980">
        <v>0.47840903078937502</v>
      </c>
      <c r="H2980">
        <v>0.223062320855617</v>
      </c>
      <c r="I2980">
        <v>0.178974033445605</v>
      </c>
      <c r="J2980">
        <v>0.10501874626251401</v>
      </c>
      <c r="K2980">
        <v>0.120198803105787</v>
      </c>
      <c r="L2980">
        <v>1017.20597050639</v>
      </c>
      <c r="M2980">
        <v>19.360869700762301</v>
      </c>
      <c r="N2980">
        <v>53.145633826274398</v>
      </c>
      <c r="O2980">
        <v>51.988371273477497</v>
      </c>
      <c r="P2980">
        <v>-8.38785648220082E-2</v>
      </c>
      <c r="Q2980">
        <v>9.9100376446465396E-2</v>
      </c>
      <c r="R2980">
        <v>0.99163730430671004</v>
      </c>
      <c r="S2980" t="s">
        <v>8531</v>
      </c>
      <c r="T2980" t="s">
        <v>11100</v>
      </c>
      <c r="U2980" t="s">
        <v>11100</v>
      </c>
      <c r="V2980" t="s">
        <v>11100</v>
      </c>
      <c r="W2980" t="s">
        <v>14036</v>
      </c>
      <c r="X2980">
        <v>7</v>
      </c>
      <c r="Y2980" t="s">
        <v>19488</v>
      </c>
      <c r="Z2980" t="s">
        <v>24985</v>
      </c>
      <c r="AA2980">
        <v>0.57780874887718647</v>
      </c>
      <c r="AB2980" t="str">
        <f>HYPERLINK("Melting_Curves/meltCurve_Q14331_FRG1.pdf", "Melting_Curves/meltCurve_Q14331_FRG1.pdf")</f>
        <v>Melting_Curves/meltCurve_Q14331_FRG1.pdf</v>
      </c>
    </row>
    <row r="2981" spans="1:28" x14ac:dyDescent="0.25">
      <c r="A2981" t="s">
        <v>2985</v>
      </c>
      <c r="B2981">
        <v>0.99299721793515405</v>
      </c>
      <c r="C2981">
        <v>0.99052394146138001</v>
      </c>
      <c r="D2981">
        <v>0.96081983025356998</v>
      </c>
      <c r="E2981">
        <v>0.84808559010947604</v>
      </c>
      <c r="F2981">
        <v>0.75423674190608903</v>
      </c>
      <c r="G2981">
        <v>0.64578195704499297</v>
      </c>
      <c r="H2981">
        <v>0.43499451457411997</v>
      </c>
      <c r="I2981">
        <v>0.20203789525929899</v>
      </c>
      <c r="J2981">
        <v>0.15377667628931399</v>
      </c>
      <c r="K2981">
        <v>0.12049391720604</v>
      </c>
      <c r="L2981">
        <v>651.66875276717997</v>
      </c>
      <c r="M2981">
        <v>11.7466782763516</v>
      </c>
      <c r="N2981">
        <v>55.476853776834297</v>
      </c>
      <c r="O2981">
        <v>53.942262675613399</v>
      </c>
      <c r="P2981">
        <v>-5.4455230035857699E-2</v>
      </c>
      <c r="Q2981">
        <v>0</v>
      </c>
      <c r="R2981">
        <v>0.99039552103388395</v>
      </c>
      <c r="S2981" t="s">
        <v>8532</v>
      </c>
      <c r="T2981" t="s">
        <v>11100</v>
      </c>
      <c r="U2981" t="s">
        <v>11100</v>
      </c>
      <c r="V2981" t="s">
        <v>11100</v>
      </c>
      <c r="W2981" t="s">
        <v>14037</v>
      </c>
      <c r="X2981">
        <v>11</v>
      </c>
      <c r="Y2981" t="s">
        <v>19489</v>
      </c>
      <c r="Z2981" t="s">
        <v>24986</v>
      </c>
      <c r="AA2981">
        <v>0.62785359896479997</v>
      </c>
      <c r="AB2981" t="str">
        <f>HYPERLINK("Melting_Curves/meltCurve_Q14344_GNA13.pdf", "Melting_Curves/meltCurve_Q14344_GNA13.pdf")</f>
        <v>Melting_Curves/meltCurve_Q14344_GNA13.pdf</v>
      </c>
    </row>
    <row r="2982" spans="1:28" x14ac:dyDescent="0.25">
      <c r="A2982" t="s">
        <v>2986</v>
      </c>
      <c r="B2982">
        <v>0.99299721793515405</v>
      </c>
      <c r="C2982">
        <v>1.20350121366226</v>
      </c>
      <c r="D2982">
        <v>1.11168966520096</v>
      </c>
      <c r="E2982">
        <v>1.03286242036848</v>
      </c>
      <c r="F2982">
        <v>0.85957522227446204</v>
      </c>
      <c r="G2982">
        <v>0.73398830881482602</v>
      </c>
      <c r="H2982">
        <v>0.54945541004006404</v>
      </c>
      <c r="I2982">
        <v>0.53245107529903002</v>
      </c>
      <c r="J2982">
        <v>0.44878289593628201</v>
      </c>
      <c r="K2982">
        <v>0.51790995083323499</v>
      </c>
      <c r="L2982">
        <v>1259.5850642676301</v>
      </c>
      <c r="M2982">
        <v>23.6624597228444</v>
      </c>
      <c r="N2982">
        <v>62.606816873184897</v>
      </c>
      <c r="O2982">
        <v>52.855549156972799</v>
      </c>
      <c r="P2982">
        <v>-5.7579117714458103E-2</v>
      </c>
      <c r="Q2982">
        <v>0.48554376308969299</v>
      </c>
      <c r="R2982">
        <v>0.90986349269891398</v>
      </c>
      <c r="S2982" t="s">
        <v>8533</v>
      </c>
      <c r="T2982" t="s">
        <v>11100</v>
      </c>
      <c r="U2982" t="s">
        <v>11100</v>
      </c>
      <c r="V2982" t="s">
        <v>11100</v>
      </c>
      <c r="W2982" t="s">
        <v>14038</v>
      </c>
      <c r="X2982">
        <v>3</v>
      </c>
      <c r="Y2982" t="s">
        <v>19490</v>
      </c>
      <c r="Z2982" t="s">
        <v>24987</v>
      </c>
      <c r="AA2982">
        <v>0.76886161869711434</v>
      </c>
      <c r="AB2982" t="str">
        <f>HYPERLINK("Melting_Curves/meltCurve_Q14353_GAMT.pdf", "Melting_Curves/meltCurve_Q14353_GAMT.pdf")</f>
        <v>Melting_Curves/meltCurve_Q14353_GAMT.pdf</v>
      </c>
    </row>
    <row r="2983" spans="1:28" x14ac:dyDescent="0.25">
      <c r="A2983" t="s">
        <v>2987</v>
      </c>
      <c r="B2983">
        <v>0.99299721793515405</v>
      </c>
      <c r="C2983">
        <v>1.04288793289617</v>
      </c>
      <c r="D2983">
        <v>0.93395759905165998</v>
      </c>
      <c r="E2983">
        <v>1.0066615345349601</v>
      </c>
      <c r="F2983">
        <v>0.86514830544772903</v>
      </c>
      <c r="G2983">
        <v>0.31355925689715802</v>
      </c>
      <c r="H2983">
        <v>0.17749352276386901</v>
      </c>
      <c r="I2983">
        <v>0.127799059080974</v>
      </c>
      <c r="J2983">
        <v>7.8177102859966693E-2</v>
      </c>
      <c r="K2983">
        <v>8.9179950550389395E-2</v>
      </c>
      <c r="L2983">
        <v>2104.8028219908201</v>
      </c>
      <c r="M2983">
        <v>40.260803014046097</v>
      </c>
      <c r="N2983">
        <v>52.600737184177902</v>
      </c>
      <c r="O2983">
        <v>52.150733883920601</v>
      </c>
      <c r="P2983">
        <v>-0.17194965017595701</v>
      </c>
      <c r="Q2983">
        <v>0.109080793886515</v>
      </c>
      <c r="R2983">
        <v>0.99399631964961999</v>
      </c>
      <c r="S2983" t="s">
        <v>8534</v>
      </c>
      <c r="T2983" t="s">
        <v>11100</v>
      </c>
      <c r="U2983" t="s">
        <v>11100</v>
      </c>
      <c r="V2983" t="s">
        <v>11100</v>
      </c>
      <c r="W2983" t="s">
        <v>14039</v>
      </c>
      <c r="X2983">
        <v>4</v>
      </c>
      <c r="Y2983" t="s">
        <v>19491</v>
      </c>
      <c r="Z2983" t="s">
        <v>24988</v>
      </c>
      <c r="AA2983">
        <v>0.56600078619110705</v>
      </c>
      <c r="AB2983" t="str">
        <f>HYPERLINK("Melting_Curves/meltCurve_Q14376_GALE.pdf", "Melting_Curves/meltCurve_Q14376_GALE.pdf")</f>
        <v>Melting_Curves/meltCurve_Q14376_GALE.pdf</v>
      </c>
    </row>
    <row r="2984" spans="1:28" x14ac:dyDescent="0.25">
      <c r="A2984" t="s">
        <v>2988</v>
      </c>
      <c r="B2984">
        <v>0.99299721793515405</v>
      </c>
      <c r="C2984">
        <v>0.98661989401268801</v>
      </c>
      <c r="D2984">
        <v>0.76155190898157399</v>
      </c>
      <c r="E2984">
        <v>0.93605670151277698</v>
      </c>
      <c r="F2984">
        <v>0.80140928128194999</v>
      </c>
      <c r="G2984">
        <v>0.81897026792184702</v>
      </c>
      <c r="H2984">
        <v>0.75863991032394695</v>
      </c>
      <c r="I2984">
        <v>0.37340279319412301</v>
      </c>
      <c r="J2984">
        <v>0.53106571405016301</v>
      </c>
      <c r="K2984">
        <v>0.53794038417062795</v>
      </c>
      <c r="L2984">
        <v>312.674410438373</v>
      </c>
      <c r="M2984">
        <v>4.7787283161807297</v>
      </c>
      <c r="N2984">
        <v>65.430467481079106</v>
      </c>
      <c r="O2984">
        <v>56.485317123081401</v>
      </c>
      <c r="P2984">
        <v>-2.13015100776279E-2</v>
      </c>
      <c r="Q2984">
        <v>0</v>
      </c>
      <c r="R2984">
        <v>0.75188320851630597</v>
      </c>
      <c r="S2984" t="s">
        <v>8535</v>
      </c>
      <c r="T2984" t="s">
        <v>11100</v>
      </c>
      <c r="U2984" t="s">
        <v>11100</v>
      </c>
      <c r="V2984" t="s">
        <v>11100</v>
      </c>
      <c r="W2984" t="s">
        <v>14040</v>
      </c>
      <c r="X2984">
        <v>2</v>
      </c>
      <c r="Y2984" t="s">
        <v>19492</v>
      </c>
      <c r="Z2984" t="s">
        <v>24989</v>
      </c>
      <c r="AA2984">
        <v>0.75673930214029461</v>
      </c>
      <c r="AB2984" t="str">
        <f>HYPERLINK("Melting_Curves/meltCurve_Q14409_GK3P.pdf", "Melting_Curves/meltCurve_Q14409_GK3P.pdf")</f>
        <v>Melting_Curves/meltCurve_Q14409_GK3P.pdf</v>
      </c>
    </row>
    <row r="2985" spans="1:28" x14ac:dyDescent="0.25">
      <c r="A2985" t="s">
        <v>2989</v>
      </c>
      <c r="B2985">
        <v>0.99299721793515405</v>
      </c>
      <c r="C2985">
        <v>0.87912191911958903</v>
      </c>
      <c r="D2985">
        <v>1.04452525681509</v>
      </c>
      <c r="E2985">
        <v>0.76194163893899802</v>
      </c>
      <c r="F2985">
        <v>0.66488264812380204</v>
      </c>
      <c r="G2985">
        <v>0.52728017528986104</v>
      </c>
      <c r="H2985">
        <v>1.09167734069498</v>
      </c>
      <c r="I2985">
        <v>1.78747354658979</v>
      </c>
      <c r="J2985">
        <v>2.0468092283476902</v>
      </c>
      <c r="K2985">
        <v>1.4969825937475101</v>
      </c>
      <c r="L2985">
        <v>14435.740931775201</v>
      </c>
      <c r="M2985">
        <v>250</v>
      </c>
      <c r="O2985">
        <v>57.739268574105303</v>
      </c>
      <c r="P2985">
        <v>0.541226115532219</v>
      </c>
      <c r="Q2985">
        <v>1.5</v>
      </c>
      <c r="R2985">
        <v>0.64269344645175497</v>
      </c>
      <c r="S2985" t="s">
        <v>8536</v>
      </c>
      <c r="T2985" t="s">
        <v>11100</v>
      </c>
      <c r="U2985" t="s">
        <v>11100</v>
      </c>
      <c r="V2985" t="s">
        <v>11100</v>
      </c>
      <c r="W2985" t="s">
        <v>14041</v>
      </c>
      <c r="X2985">
        <v>14</v>
      </c>
      <c r="Y2985" t="s">
        <v>19493</v>
      </c>
      <c r="Z2985" t="s">
        <v>24990</v>
      </c>
      <c r="AA2985">
        <v>1.1542332688803221</v>
      </c>
      <c r="AB2985" t="str">
        <f>HYPERLINK("Melting_Curves/meltCurve_Q14444_2_CAPRIN1.pdf", "Melting_Curves/meltCurve_Q14444_2_CAPRIN1.pdf")</f>
        <v>Melting_Curves/meltCurve_Q14444_2_CAPRIN1.pdf</v>
      </c>
    </row>
    <row r="2986" spans="1:28" x14ac:dyDescent="0.25">
      <c r="A2986" t="s">
        <v>2990</v>
      </c>
      <c r="B2986">
        <v>0.99299721793515405</v>
      </c>
      <c r="C2986">
        <v>0.92616387064135497</v>
      </c>
      <c r="D2986">
        <v>0.9061390312591</v>
      </c>
      <c r="E2986">
        <v>0.85561490221432102</v>
      </c>
      <c r="F2986">
        <v>0.69741799287649897</v>
      </c>
      <c r="G2986">
        <v>0.46291733708791</v>
      </c>
      <c r="H2986">
        <v>0.77627736363302302</v>
      </c>
      <c r="I2986">
        <v>0.87761275973416497</v>
      </c>
      <c r="J2986">
        <v>0.984988057341877</v>
      </c>
      <c r="K2986">
        <v>0.83905547822882298</v>
      </c>
      <c r="L2986">
        <v>1023.33191869401</v>
      </c>
      <c r="M2986">
        <v>23.854971428690501</v>
      </c>
      <c r="O2986">
        <v>42.600006026021902</v>
      </c>
      <c r="P2986">
        <v>-3.08265570860492E-2</v>
      </c>
      <c r="Q2986">
        <v>0.77980434826326706</v>
      </c>
      <c r="R2986">
        <v>0.245107977005592</v>
      </c>
      <c r="S2986" t="s">
        <v>8537</v>
      </c>
      <c r="T2986" t="s">
        <v>11100</v>
      </c>
      <c r="U2986" t="s">
        <v>11100</v>
      </c>
      <c r="V2986" t="s">
        <v>11100</v>
      </c>
      <c r="W2986" t="s">
        <v>14042</v>
      </c>
      <c r="X2986">
        <v>3</v>
      </c>
      <c r="Y2986" t="s">
        <v>19494</v>
      </c>
      <c r="Z2986" t="s">
        <v>24991</v>
      </c>
      <c r="AA2986">
        <v>0.82515783078035321</v>
      </c>
      <c r="AB2986" t="str">
        <f>HYPERLINK("Melting_Curves/meltCurve_Q14469_HES1.pdf", "Melting_Curves/meltCurve_Q14469_HES1.pdf")</f>
        <v>Melting_Curves/meltCurve_Q14469_HES1.pdf</v>
      </c>
    </row>
    <row r="2987" spans="1:28" x14ac:dyDescent="0.25">
      <c r="A2987" t="s">
        <v>2991</v>
      </c>
      <c r="B2987">
        <v>0.99299721793515405</v>
      </c>
      <c r="C2987">
        <v>1.2237101868512601</v>
      </c>
      <c r="D2987">
        <v>0.97509364103298002</v>
      </c>
      <c r="E2987">
        <v>1.1520191393442001</v>
      </c>
      <c r="F2987">
        <v>0.69306981491395203</v>
      </c>
      <c r="G2987">
        <v>0.32593250367596599</v>
      </c>
      <c r="H2987">
        <v>0.16349210090317001</v>
      </c>
      <c r="I2987">
        <v>0.106559225649505</v>
      </c>
      <c r="J2987">
        <v>8.8867837643610004E-2</v>
      </c>
      <c r="K2987">
        <v>7.8768605559801905E-2</v>
      </c>
      <c r="L2987">
        <v>1636.3613248342399</v>
      </c>
      <c r="M2987">
        <v>31.6643227292647</v>
      </c>
      <c r="N2987">
        <v>52.045603478997798</v>
      </c>
      <c r="O2987">
        <v>51.473582085072501</v>
      </c>
      <c r="P2987">
        <v>-0.13839452531538399</v>
      </c>
      <c r="Q2987">
        <v>0.100107131062809</v>
      </c>
      <c r="R2987">
        <v>0.95689088048617199</v>
      </c>
      <c r="S2987" t="s">
        <v>8538</v>
      </c>
      <c r="T2987" t="s">
        <v>11100</v>
      </c>
      <c r="U2987" t="s">
        <v>11100</v>
      </c>
      <c r="V2987" t="s">
        <v>11100</v>
      </c>
      <c r="W2987" t="s">
        <v>14043</v>
      </c>
      <c r="X2987">
        <v>8</v>
      </c>
      <c r="Y2987" t="s">
        <v>19495</v>
      </c>
      <c r="Z2987" t="s">
        <v>24992</v>
      </c>
      <c r="AA2987">
        <v>0.54550099647287709</v>
      </c>
      <c r="AB2987" t="str">
        <f>HYPERLINK("Melting_Curves/meltCurve_Q14498_2_RBM39.pdf", "Melting_Curves/meltCurve_Q14498_2_RBM39.pdf")</f>
        <v>Melting_Curves/meltCurve_Q14498_2_RBM39.pdf</v>
      </c>
    </row>
    <row r="2988" spans="1:28" x14ac:dyDescent="0.25">
      <c r="A2988" t="s">
        <v>2992</v>
      </c>
      <c r="B2988">
        <v>0.99299721793515405</v>
      </c>
      <c r="C2988">
        <v>1.29004042496987</v>
      </c>
      <c r="D2988">
        <v>0.98733688814601195</v>
      </c>
      <c r="E2988">
        <v>1.0039442471048901</v>
      </c>
      <c r="F2988">
        <v>0.94031375960704899</v>
      </c>
      <c r="G2988">
        <v>0.84148166596632001</v>
      </c>
      <c r="H2988">
        <v>0.69872398360129995</v>
      </c>
      <c r="I2988">
        <v>0.33651782443603101</v>
      </c>
      <c r="J2988">
        <v>4.44475204161826E-2</v>
      </c>
      <c r="K2988">
        <v>5.0376731941532103E-2</v>
      </c>
      <c r="L2988">
        <v>1457.56999518578</v>
      </c>
      <c r="M2988">
        <v>24.7156769581457</v>
      </c>
      <c r="N2988">
        <v>58.973477259984499</v>
      </c>
      <c r="O2988">
        <v>58.5915010492687</v>
      </c>
      <c r="P2988">
        <v>-0.105459090587566</v>
      </c>
      <c r="Q2988">
        <v>0</v>
      </c>
      <c r="R2988">
        <v>0.93993921610102904</v>
      </c>
      <c r="S2988" t="s">
        <v>8539</v>
      </c>
      <c r="T2988" t="s">
        <v>11100</v>
      </c>
      <c r="U2988" t="s">
        <v>11100</v>
      </c>
      <c r="V2988" t="s">
        <v>11100</v>
      </c>
      <c r="W2988" t="s">
        <v>14044</v>
      </c>
      <c r="X2988">
        <v>1</v>
      </c>
      <c r="Y2988" t="s">
        <v>19496</v>
      </c>
      <c r="Z2988" t="s">
        <v>24993</v>
      </c>
      <c r="AA2988">
        <v>0.73754232306306378</v>
      </c>
      <c r="AB2988" t="str">
        <f>HYPERLINK("Melting_Curves/meltCurve_Q14520_2_HABP2.pdf", "Melting_Curves/meltCurve_Q14520_2_HABP2.pdf")</f>
        <v>Melting_Curves/meltCurve_Q14520_2_HABP2.pdf</v>
      </c>
    </row>
    <row r="2989" spans="1:28" x14ac:dyDescent="0.25">
      <c r="A2989" t="s">
        <v>2993</v>
      </c>
      <c r="B2989">
        <v>0.99299721793515405</v>
      </c>
      <c r="C2989">
        <v>0.923678242371055</v>
      </c>
      <c r="D2989">
        <v>0.96858847905936796</v>
      </c>
      <c r="E2989">
        <v>0.846428107654699</v>
      </c>
      <c r="F2989">
        <v>0.62563329367679099</v>
      </c>
      <c r="G2989">
        <v>0</v>
      </c>
      <c r="H2989">
        <v>0.17016530814098199</v>
      </c>
      <c r="I2989">
        <v>0</v>
      </c>
      <c r="J2989">
        <v>0</v>
      </c>
      <c r="K2989">
        <v>0</v>
      </c>
      <c r="L2989">
        <v>12572.9712828588</v>
      </c>
      <c r="M2989">
        <v>250</v>
      </c>
      <c r="N2989">
        <v>50.306083714442899</v>
      </c>
      <c r="O2989">
        <v>50.2886667607454</v>
      </c>
      <c r="P2989">
        <v>-1.20052764344289</v>
      </c>
      <c r="Q2989">
        <v>3.4033047107929197E-2</v>
      </c>
      <c r="R2989">
        <v>0.97124518662302595</v>
      </c>
      <c r="S2989" t="s">
        <v>8540</v>
      </c>
      <c r="T2989" t="s">
        <v>11100</v>
      </c>
      <c r="U2989" t="s">
        <v>11100</v>
      </c>
      <c r="V2989" t="s">
        <v>11100</v>
      </c>
      <c r="W2989" t="s">
        <v>14045</v>
      </c>
      <c r="X2989">
        <v>3</v>
      </c>
      <c r="Y2989" t="s">
        <v>19497</v>
      </c>
      <c r="Z2989" t="s">
        <v>24994</v>
      </c>
      <c r="AA2989">
        <v>0.46210236406345628</v>
      </c>
      <c r="AB2989" t="str">
        <f>HYPERLINK("Melting_Curves/meltCurve_Q14527_2_HLTF.pdf", "Melting_Curves/meltCurve_Q14527_2_HLTF.pdf")</f>
        <v>Melting_Curves/meltCurve_Q14527_2_HLTF.pdf</v>
      </c>
    </row>
    <row r="2990" spans="1:28" x14ac:dyDescent="0.25">
      <c r="A2990" t="s">
        <v>2994</v>
      </c>
      <c r="B2990">
        <v>0.99299721793515405</v>
      </c>
      <c r="C2990">
        <v>1.00764059685992</v>
      </c>
      <c r="D2990">
        <v>1.0253868751638799</v>
      </c>
      <c r="E2990">
        <v>0.96660296524436196</v>
      </c>
      <c r="F2990">
        <v>0.78493470202542404</v>
      </c>
      <c r="G2990">
        <v>0.49086889228513098</v>
      </c>
      <c r="H2990">
        <v>0.256362623449784</v>
      </c>
      <c r="I2990">
        <v>0.18552954236507699</v>
      </c>
      <c r="J2990">
        <v>0.1713261909132</v>
      </c>
      <c r="K2990">
        <v>0.10370573338702301</v>
      </c>
      <c r="L2990">
        <v>1137.7579938745</v>
      </c>
      <c r="M2990">
        <v>21.4946018605436</v>
      </c>
      <c r="N2990">
        <v>53.653598109793201</v>
      </c>
      <c r="O2990">
        <v>52.480501259027903</v>
      </c>
      <c r="P2990">
        <v>-8.9546574336358098E-2</v>
      </c>
      <c r="Q2990">
        <v>0.12548572364496799</v>
      </c>
      <c r="R2990">
        <v>0.99776116550722005</v>
      </c>
      <c r="S2990" t="s">
        <v>8541</v>
      </c>
      <c r="T2990" t="s">
        <v>11100</v>
      </c>
      <c r="U2990" t="s">
        <v>11100</v>
      </c>
      <c r="V2990" t="s">
        <v>11100</v>
      </c>
      <c r="W2990" t="s">
        <v>14046</v>
      </c>
      <c r="X2990">
        <v>7</v>
      </c>
      <c r="Y2990" t="s">
        <v>19498</v>
      </c>
      <c r="Z2990" t="s">
        <v>24995</v>
      </c>
      <c r="AA2990">
        <v>0.59982585872824445</v>
      </c>
      <c r="AB2990" t="str">
        <f>HYPERLINK("Melting_Curves/meltCurve_Q14534_SQLE.pdf", "Melting_Curves/meltCurve_Q14534_SQLE.pdf")</f>
        <v>Melting_Curves/meltCurve_Q14534_SQLE.pdf</v>
      </c>
    </row>
    <row r="2991" spans="1:28" x14ac:dyDescent="0.25">
      <c r="A2991" t="s">
        <v>2995</v>
      </c>
      <c r="B2991">
        <v>0.99299721793515405</v>
      </c>
      <c r="C2991">
        <v>0.99522207704972299</v>
      </c>
      <c r="D2991">
        <v>0.67736527264049695</v>
      </c>
      <c r="E2991">
        <v>0.88988079854472102</v>
      </c>
      <c r="F2991">
        <v>0.68391167228849103</v>
      </c>
      <c r="G2991">
        <v>0.567023511459125</v>
      </c>
      <c r="H2991">
        <v>0.480951935861339</v>
      </c>
      <c r="I2991">
        <v>0.31718015777213898</v>
      </c>
      <c r="J2991">
        <v>0.32268938412668102</v>
      </c>
      <c r="K2991">
        <v>0.35780553681965199</v>
      </c>
      <c r="L2991">
        <v>379.38946644698598</v>
      </c>
      <c r="M2991">
        <v>7.0720568788271398</v>
      </c>
      <c r="N2991">
        <v>56.093264872079999</v>
      </c>
      <c r="O2991">
        <v>49.852195802042601</v>
      </c>
      <c r="P2991">
        <v>-3.0812789752618499E-2</v>
      </c>
      <c r="Q2991">
        <v>0.132729436403276</v>
      </c>
      <c r="R2991">
        <v>0.89767052662329705</v>
      </c>
      <c r="S2991" t="s">
        <v>8542</v>
      </c>
      <c r="T2991" t="s">
        <v>11100</v>
      </c>
      <c r="U2991" t="s">
        <v>11100</v>
      </c>
      <c r="V2991" t="s">
        <v>11100</v>
      </c>
      <c r="W2991" t="s">
        <v>14047</v>
      </c>
      <c r="X2991">
        <v>3</v>
      </c>
      <c r="Y2991" t="s">
        <v>19499</v>
      </c>
      <c r="Z2991" t="s">
        <v>24996</v>
      </c>
      <c r="AA2991">
        <v>0.62687155501738323</v>
      </c>
      <c r="AB2991" t="str">
        <f>HYPERLINK("Melting_Curves/meltCurve_Q14554_PDIA5.pdf", "Melting_Curves/meltCurve_Q14554_PDIA5.pdf")</f>
        <v>Melting_Curves/meltCurve_Q14554_PDIA5.pdf</v>
      </c>
    </row>
    <row r="2992" spans="1:28" x14ac:dyDescent="0.25">
      <c r="A2992" t="s">
        <v>2996</v>
      </c>
      <c r="B2992">
        <v>0.99299721793515405</v>
      </c>
      <c r="C2992">
        <v>0.78632180546865105</v>
      </c>
      <c r="D2992">
        <v>0.25669735873501598</v>
      </c>
      <c r="E2992">
        <v>0.68444454847574099</v>
      </c>
      <c r="F2992">
        <v>0.80111760811902699</v>
      </c>
      <c r="G2992">
        <v>1.68143981804651</v>
      </c>
      <c r="H2992">
        <v>0.87303937110664998</v>
      </c>
      <c r="I2992">
        <v>0.88261020361620302</v>
      </c>
      <c r="J2992">
        <v>0.40574630781245402</v>
      </c>
      <c r="K2992">
        <v>0</v>
      </c>
      <c r="L2992">
        <v>3441.5635405772</v>
      </c>
      <c r="M2992">
        <v>54.166893215648102</v>
      </c>
      <c r="N2992">
        <v>63.536292224088498</v>
      </c>
      <c r="O2992">
        <v>63.449864736976103</v>
      </c>
      <c r="P2992">
        <v>-0.213424107329134</v>
      </c>
      <c r="Q2992">
        <v>0</v>
      </c>
      <c r="R2992">
        <v>0.353782617742054</v>
      </c>
      <c r="S2992" t="s">
        <v>8543</v>
      </c>
      <c r="T2992" t="s">
        <v>11100</v>
      </c>
      <c r="U2992" t="s">
        <v>11100</v>
      </c>
      <c r="V2992" t="s">
        <v>11100</v>
      </c>
      <c r="W2992" t="s">
        <v>14048</v>
      </c>
      <c r="X2992">
        <v>4</v>
      </c>
      <c r="Y2992" t="s">
        <v>19500</v>
      </c>
      <c r="Z2992" t="s">
        <v>24997</v>
      </c>
      <c r="AA2992">
        <v>0.88425524139237244</v>
      </c>
      <c r="AB2992" t="str">
        <f>HYPERLINK("Melting_Curves/meltCurve_Q14558_PRPSAP1.pdf", "Melting_Curves/meltCurve_Q14558_PRPSAP1.pdf")</f>
        <v>Melting_Curves/meltCurve_Q14558_PRPSAP1.pdf</v>
      </c>
    </row>
    <row r="2993" spans="1:28" x14ac:dyDescent="0.25">
      <c r="A2993" t="s">
        <v>2997</v>
      </c>
      <c r="B2993">
        <v>0.99299721793515405</v>
      </c>
      <c r="C2993">
        <v>0.98576398133084997</v>
      </c>
      <c r="D2993">
        <v>0.95228270680799598</v>
      </c>
      <c r="E2993">
        <v>0.96852625386225599</v>
      </c>
      <c r="F2993">
        <v>1.07150692188159</v>
      </c>
      <c r="G2993">
        <v>1.07366948771819</v>
      </c>
      <c r="H2993">
        <v>0.36965360319896601</v>
      </c>
      <c r="I2993">
        <v>0.25895842343912701</v>
      </c>
      <c r="J2993">
        <v>0.227641957113698</v>
      </c>
      <c r="K2993">
        <v>0.20062331193998401</v>
      </c>
      <c r="L2993">
        <v>14263.8714276426</v>
      </c>
      <c r="M2993">
        <v>250</v>
      </c>
      <c r="N2993">
        <v>57.1956759209857</v>
      </c>
      <c r="O2993">
        <v>57.051834849813702</v>
      </c>
      <c r="P2993">
        <v>-0.84454503787291602</v>
      </c>
      <c r="Q2993">
        <v>0.229074500734469</v>
      </c>
      <c r="R2993">
        <v>0.98837460734010896</v>
      </c>
      <c r="S2993" t="s">
        <v>8544</v>
      </c>
      <c r="T2993" t="s">
        <v>11100</v>
      </c>
      <c r="U2993" t="s">
        <v>11100</v>
      </c>
      <c r="V2993" t="s">
        <v>11100</v>
      </c>
      <c r="W2993" t="s">
        <v>14049</v>
      </c>
      <c r="X2993">
        <v>17</v>
      </c>
      <c r="Y2993" t="s">
        <v>19501</v>
      </c>
      <c r="Z2993" t="s">
        <v>24998</v>
      </c>
      <c r="AA2993">
        <v>0.74452787246743279</v>
      </c>
      <c r="AB2993" t="str">
        <f>HYPERLINK("Melting_Curves/meltCurve_Q14566_MCM6.pdf", "Melting_Curves/meltCurve_Q14566_MCM6.pdf")</f>
        <v>Melting_Curves/meltCurve_Q14566_MCM6.pdf</v>
      </c>
    </row>
    <row r="2994" spans="1:28" x14ac:dyDescent="0.25">
      <c r="A2994" t="s">
        <v>2998</v>
      </c>
      <c r="B2994">
        <v>0.99299721793515405</v>
      </c>
      <c r="C2994">
        <v>0.95702979219011697</v>
      </c>
      <c r="D2994">
        <v>0.923591099022815</v>
      </c>
      <c r="E2994">
        <v>0.92719372079806095</v>
      </c>
      <c r="F2994">
        <v>0.75988201883582895</v>
      </c>
      <c r="G2994">
        <v>0.50916169375453002</v>
      </c>
      <c r="H2994">
        <v>0.27096389512809499</v>
      </c>
      <c r="I2994">
        <v>0.20995866095610899</v>
      </c>
      <c r="J2994">
        <v>0.17070983020627001</v>
      </c>
      <c r="K2994">
        <v>0.12535509928300301</v>
      </c>
      <c r="L2994">
        <v>897.13120536309896</v>
      </c>
      <c r="M2994">
        <v>16.927089753866799</v>
      </c>
      <c r="N2994">
        <v>53.790830183097299</v>
      </c>
      <c r="O2994">
        <v>52.276605346034401</v>
      </c>
      <c r="P2994">
        <v>-7.2034416842980495E-2</v>
      </c>
      <c r="Q2994">
        <v>0.11018890985753201</v>
      </c>
      <c r="R2994">
        <v>0.99434541123883102</v>
      </c>
      <c r="S2994" t="s">
        <v>8545</v>
      </c>
      <c r="T2994" t="s">
        <v>11100</v>
      </c>
      <c r="U2994" t="s">
        <v>11100</v>
      </c>
      <c r="V2994" t="s">
        <v>11100</v>
      </c>
      <c r="W2994" t="s">
        <v>14050</v>
      </c>
      <c r="X2994">
        <v>14</v>
      </c>
      <c r="Y2994" t="s">
        <v>19502</v>
      </c>
      <c r="Z2994" t="s">
        <v>24999</v>
      </c>
      <c r="AA2994">
        <v>0.59870096474659129</v>
      </c>
      <c r="AB2994" t="str">
        <f>HYPERLINK("Melting_Curves/meltCurve_Q14651_PLS1.pdf", "Melting_Curves/meltCurve_Q14651_PLS1.pdf")</f>
        <v>Melting_Curves/meltCurve_Q14651_PLS1.pdf</v>
      </c>
    </row>
    <row r="2995" spans="1:28" x14ac:dyDescent="0.25">
      <c r="A2995" t="s">
        <v>2999</v>
      </c>
      <c r="B2995">
        <v>0.99299721793515405</v>
      </c>
      <c r="C2995">
        <v>0.89817824127858503</v>
      </c>
      <c r="D2995">
        <v>0.93119605344282497</v>
      </c>
      <c r="E2995">
        <v>0.71183803031783599</v>
      </c>
      <c r="F2995">
        <v>0.66415409662371805</v>
      </c>
      <c r="G2995">
        <v>0.51336126219860601</v>
      </c>
      <c r="H2995">
        <v>0.33545121885528401</v>
      </c>
      <c r="I2995">
        <v>0.20437100341042699</v>
      </c>
      <c r="J2995">
        <v>0.12465709772921101</v>
      </c>
      <c r="K2995">
        <v>9.1740999147989402E-2</v>
      </c>
      <c r="L2995">
        <v>506.93549046855202</v>
      </c>
      <c r="M2995">
        <v>9.5676973739477393</v>
      </c>
      <c r="N2995">
        <v>52.984064048951801</v>
      </c>
      <c r="O2995">
        <v>50.824477950925001</v>
      </c>
      <c r="P2995">
        <v>-4.7089541246762297E-2</v>
      </c>
      <c r="Q2995">
        <v>0</v>
      </c>
      <c r="R2995">
        <v>0.98456621775143904</v>
      </c>
      <c r="S2995" t="s">
        <v>8546</v>
      </c>
      <c r="T2995" t="s">
        <v>11100</v>
      </c>
      <c r="U2995" t="s">
        <v>11100</v>
      </c>
      <c r="V2995" t="s">
        <v>11100</v>
      </c>
      <c r="W2995" t="s">
        <v>14051</v>
      </c>
      <c r="X2995">
        <v>3</v>
      </c>
      <c r="Y2995" t="s">
        <v>19503</v>
      </c>
      <c r="Z2995" t="s">
        <v>25000</v>
      </c>
      <c r="AA2995">
        <v>0.55536209458011987</v>
      </c>
      <c r="AB2995" t="str">
        <f>HYPERLINK("Melting_Curves/meltCurve_Q14653_IRF3.pdf", "Melting_Curves/meltCurve_Q14653_IRF3.pdf")</f>
        <v>Melting_Curves/meltCurve_Q14653_IRF3.pdf</v>
      </c>
    </row>
    <row r="2996" spans="1:28" x14ac:dyDescent="0.25">
      <c r="A2996" t="s">
        <v>3000</v>
      </c>
      <c r="B2996">
        <v>0.99299721793515405</v>
      </c>
      <c r="C2996">
        <v>0.87906473965890597</v>
      </c>
      <c r="D2996">
        <v>1.10417856123069</v>
      </c>
      <c r="E2996">
        <v>0.75745803782861898</v>
      </c>
      <c r="F2996">
        <v>0.69751026015956397</v>
      </c>
      <c r="G2996">
        <v>0.70926383727928399</v>
      </c>
      <c r="H2996">
        <v>0.51486512361540904</v>
      </c>
      <c r="I2996">
        <v>0.49371086528230002</v>
      </c>
      <c r="J2996">
        <v>0.44020333647594201</v>
      </c>
      <c r="K2996">
        <v>0.277502924387244</v>
      </c>
      <c r="L2996">
        <v>370.742417315262</v>
      </c>
      <c r="M2996">
        <v>6.2400738930534203</v>
      </c>
      <c r="N2996">
        <v>59.413145364634602</v>
      </c>
      <c r="O2996">
        <v>54.184385148075499</v>
      </c>
      <c r="P2996">
        <v>-2.8871937100878899E-2</v>
      </c>
      <c r="Q2996">
        <v>0</v>
      </c>
      <c r="R2996">
        <v>0.89361248623835998</v>
      </c>
      <c r="S2996" t="s">
        <v>8547</v>
      </c>
      <c r="T2996" t="s">
        <v>11100</v>
      </c>
      <c r="U2996" t="s">
        <v>11100</v>
      </c>
      <c r="V2996" t="s">
        <v>11100</v>
      </c>
      <c r="W2996" t="s">
        <v>14052</v>
      </c>
      <c r="X2996">
        <v>6</v>
      </c>
      <c r="Y2996" t="s">
        <v>19504</v>
      </c>
      <c r="Z2996" t="s">
        <v>25001</v>
      </c>
      <c r="AA2996">
        <v>0.68959879230184518</v>
      </c>
      <c r="AB2996" t="str">
        <f>HYPERLINK("Melting_Curves/meltCurve_Q14657_LAGE3.pdf", "Melting_Curves/meltCurve_Q14657_LAGE3.pdf")</f>
        <v>Melting_Curves/meltCurve_Q14657_LAGE3.pdf</v>
      </c>
    </row>
    <row r="2997" spans="1:28" x14ac:dyDescent="0.25">
      <c r="A2997" t="s">
        <v>3001</v>
      </c>
      <c r="B2997">
        <v>0.99299721793515405</v>
      </c>
      <c r="C2997">
        <v>0.92538067876722796</v>
      </c>
      <c r="D2997">
        <v>0.92599260142237505</v>
      </c>
      <c r="E2997">
        <v>0.87659880268166801</v>
      </c>
      <c r="F2997">
        <v>0.463181316908503</v>
      </c>
      <c r="G2997">
        <v>0.292176797831944</v>
      </c>
      <c r="H2997">
        <v>0.21308351129018299</v>
      </c>
      <c r="I2997">
        <v>0.178972777048999</v>
      </c>
      <c r="J2997">
        <v>0.21245747979976901</v>
      </c>
      <c r="K2997">
        <v>0.148746717272703</v>
      </c>
      <c r="L2997">
        <v>1242.25360826155</v>
      </c>
      <c r="M2997">
        <v>25.2449813262253</v>
      </c>
      <c r="N2997">
        <v>50.112046695223697</v>
      </c>
      <c r="O2997">
        <v>48.9022857144993</v>
      </c>
      <c r="P2997">
        <v>-0.105452027860146</v>
      </c>
      <c r="Q2997">
        <v>0.18292216698472499</v>
      </c>
      <c r="R2997">
        <v>0.988959452673698</v>
      </c>
      <c r="S2997" t="s">
        <v>8548</v>
      </c>
      <c r="T2997" t="s">
        <v>11100</v>
      </c>
      <c r="U2997" t="s">
        <v>11100</v>
      </c>
      <c r="V2997" t="s">
        <v>11100</v>
      </c>
      <c r="W2997" t="s">
        <v>14053</v>
      </c>
      <c r="X2997">
        <v>13</v>
      </c>
      <c r="Y2997" t="s">
        <v>19505</v>
      </c>
      <c r="Z2997" t="s">
        <v>25002</v>
      </c>
      <c r="AA2997">
        <v>0.52236382576177864</v>
      </c>
      <c r="AB2997" t="str">
        <f>HYPERLINK("Melting_Curves/meltCurve_Q14669_2_TRIP12.pdf", "Melting_Curves/meltCurve_Q14669_2_TRIP12.pdf")</f>
        <v>Melting_Curves/meltCurve_Q14669_2_TRIP12.pdf</v>
      </c>
    </row>
    <row r="2998" spans="1:28" x14ac:dyDescent="0.25">
      <c r="A2998" t="s">
        <v>3002</v>
      </c>
      <c r="B2998">
        <v>0.99299721793515405</v>
      </c>
      <c r="C2998">
        <v>0.980863593173808</v>
      </c>
      <c r="D2998">
        <v>0.97554594177749598</v>
      </c>
      <c r="E2998">
        <v>0.89323176595561804</v>
      </c>
      <c r="F2998">
        <v>0.66581529300368603</v>
      </c>
      <c r="G2998">
        <v>0.37855423077623401</v>
      </c>
      <c r="H2998">
        <v>0.21973301704238199</v>
      </c>
      <c r="I2998">
        <v>0.20628637536778099</v>
      </c>
      <c r="J2998">
        <v>0.20822868058687499</v>
      </c>
      <c r="K2998">
        <v>0.17832565881001899</v>
      </c>
      <c r="L2998">
        <v>1111.0391247919899</v>
      </c>
      <c r="M2998">
        <v>21.807844381272002</v>
      </c>
      <c r="N2998">
        <v>52.007795523276201</v>
      </c>
      <c r="O2998">
        <v>50.524176241606298</v>
      </c>
      <c r="P2998">
        <v>-8.8533845388104798E-2</v>
      </c>
      <c r="Q2998">
        <v>0.179561971617128</v>
      </c>
      <c r="R2998">
        <v>0.99854777248826698</v>
      </c>
      <c r="S2998" t="s">
        <v>8549</v>
      </c>
      <c r="T2998" t="s">
        <v>11100</v>
      </c>
      <c r="U2998" t="s">
        <v>11100</v>
      </c>
      <c r="V2998" t="s">
        <v>11100</v>
      </c>
      <c r="W2998" t="s">
        <v>14054</v>
      </c>
      <c r="X2998">
        <v>17</v>
      </c>
      <c r="Y2998" t="s">
        <v>19506</v>
      </c>
      <c r="Z2998" t="s">
        <v>25003</v>
      </c>
      <c r="AA2998">
        <v>0.57024298166014786</v>
      </c>
      <c r="AB2998" t="str">
        <f>HYPERLINK("Melting_Curves/meltCurve_Q14671_PUM1.pdf", "Melting_Curves/meltCurve_Q14671_PUM1.pdf")</f>
        <v>Melting_Curves/meltCurve_Q14671_PUM1.pdf</v>
      </c>
    </row>
    <row r="2999" spans="1:28" x14ac:dyDescent="0.25">
      <c r="A2999" t="s">
        <v>3003</v>
      </c>
      <c r="B2999">
        <v>0.99299721793515405</v>
      </c>
      <c r="C2999">
        <v>0.74212426503155804</v>
      </c>
      <c r="D2999">
        <v>1.0778278262686301</v>
      </c>
      <c r="E2999">
        <v>0.76516747309428101</v>
      </c>
      <c r="F2999">
        <v>0.53949644335283198</v>
      </c>
      <c r="G2999">
        <v>0.40538016941556598</v>
      </c>
      <c r="H2999">
        <v>0.23966099095791099</v>
      </c>
      <c r="I2999">
        <v>0.15959220478068301</v>
      </c>
      <c r="J2999">
        <v>4.6366314049612702E-2</v>
      </c>
      <c r="K2999">
        <v>6.4575233317891903E-2</v>
      </c>
      <c r="L2999">
        <v>609.44615546277805</v>
      </c>
      <c r="M2999">
        <v>11.815066700329901</v>
      </c>
      <c r="N2999">
        <v>51.582117154089801</v>
      </c>
      <c r="O2999">
        <v>50.170993872804203</v>
      </c>
      <c r="P2999">
        <v>-5.8889064217581402E-2</v>
      </c>
      <c r="Q2999">
        <v>0</v>
      </c>
      <c r="R2999">
        <v>0.93542554725318094</v>
      </c>
      <c r="S2999" t="s">
        <v>8550</v>
      </c>
      <c r="T2999" t="s">
        <v>11100</v>
      </c>
      <c r="U2999" t="s">
        <v>11100</v>
      </c>
      <c r="V2999" t="s">
        <v>11100</v>
      </c>
      <c r="W2999" t="s">
        <v>14055</v>
      </c>
      <c r="X2999">
        <v>2</v>
      </c>
      <c r="Y2999" t="s">
        <v>19507</v>
      </c>
      <c r="Z2999" t="s">
        <v>25004</v>
      </c>
      <c r="AA2999">
        <v>0.51115661290996717</v>
      </c>
      <c r="AB2999" t="str">
        <f>HYPERLINK("Melting_Curves/meltCurve_Q14674_ESPL1.pdf", "Melting_Curves/meltCurve_Q14674_ESPL1.pdf")</f>
        <v>Melting_Curves/meltCurve_Q14674_ESPL1.pdf</v>
      </c>
    </row>
    <row r="3000" spans="1:28" x14ac:dyDescent="0.25">
      <c r="A3000" t="s">
        <v>3004</v>
      </c>
      <c r="B3000">
        <v>0.99299721793515405</v>
      </c>
      <c r="C3000">
        <v>0.95988284811838798</v>
      </c>
      <c r="D3000">
        <v>0.97004562173936404</v>
      </c>
      <c r="E3000">
        <v>0.83196997822199004</v>
      </c>
      <c r="F3000">
        <v>0.73017265328886205</v>
      </c>
      <c r="G3000">
        <v>0.53665329810167794</v>
      </c>
      <c r="H3000">
        <v>0.44545779886152698</v>
      </c>
      <c r="I3000">
        <v>0.37021843607614402</v>
      </c>
      <c r="J3000">
        <v>0.34737396096101603</v>
      </c>
      <c r="K3000">
        <v>0.25359507468794901</v>
      </c>
      <c r="L3000">
        <v>582.77015232875397</v>
      </c>
      <c r="M3000">
        <v>11.0774455693576</v>
      </c>
      <c r="N3000">
        <v>55.526659635091697</v>
      </c>
      <c r="O3000">
        <v>50.981516112583797</v>
      </c>
      <c r="P3000">
        <v>-4.2349120819797803E-2</v>
      </c>
      <c r="Q3000">
        <v>0.22064572837535301</v>
      </c>
      <c r="R3000">
        <v>0.99340386059821595</v>
      </c>
      <c r="S3000" t="s">
        <v>8551</v>
      </c>
      <c r="T3000" t="s">
        <v>11100</v>
      </c>
      <c r="U3000" t="s">
        <v>11100</v>
      </c>
      <c r="V3000" t="s">
        <v>11100</v>
      </c>
      <c r="W3000" t="s">
        <v>14056</v>
      </c>
      <c r="X3000">
        <v>23</v>
      </c>
      <c r="Y3000" t="s">
        <v>19508</v>
      </c>
      <c r="Z3000" t="s">
        <v>25005</v>
      </c>
      <c r="AA3000">
        <v>0.64421046127245574</v>
      </c>
      <c r="AB3000" t="str">
        <f>HYPERLINK("Melting_Curves/meltCurve_Q14676_3_MDC1.pdf", "Melting_Curves/meltCurve_Q14676_3_MDC1.pdf")</f>
        <v>Melting_Curves/meltCurve_Q14676_3_MDC1.pdf</v>
      </c>
    </row>
    <row r="3001" spans="1:28" x14ac:dyDescent="0.25">
      <c r="A3001" t="s">
        <v>3005</v>
      </c>
      <c r="B3001">
        <v>0.99299721793515405</v>
      </c>
      <c r="C3001">
        <v>0.99971155907592102</v>
      </c>
      <c r="D3001">
        <v>0.97567533849189403</v>
      </c>
      <c r="E3001">
        <v>0.87152954890967005</v>
      </c>
      <c r="F3001">
        <v>0.668985034444326</v>
      </c>
      <c r="G3001">
        <v>0.50027324669754303</v>
      </c>
      <c r="H3001">
        <v>0.38452258625945601</v>
      </c>
      <c r="I3001">
        <v>0.286295225272997</v>
      </c>
      <c r="J3001">
        <v>0.288749272345598</v>
      </c>
      <c r="K3001">
        <v>0.199368569956511</v>
      </c>
      <c r="L3001">
        <v>717.41282155153999</v>
      </c>
      <c r="M3001">
        <v>13.835876771735199</v>
      </c>
      <c r="N3001">
        <v>53.862434073831103</v>
      </c>
      <c r="O3001">
        <v>50.804459602298301</v>
      </c>
      <c r="P3001">
        <v>-5.4358679070891001E-2</v>
      </c>
      <c r="Q3001">
        <v>0.201704103495982</v>
      </c>
      <c r="R3001">
        <v>0.99592126879911602</v>
      </c>
      <c r="S3001" t="s">
        <v>8552</v>
      </c>
      <c r="T3001" t="s">
        <v>11100</v>
      </c>
      <c r="U3001" t="s">
        <v>11100</v>
      </c>
      <c r="V3001" t="s">
        <v>11100</v>
      </c>
      <c r="W3001" t="s">
        <v>14057</v>
      </c>
      <c r="X3001">
        <v>14</v>
      </c>
      <c r="Y3001" t="s">
        <v>19509</v>
      </c>
      <c r="Z3001" t="s">
        <v>25006</v>
      </c>
      <c r="AA3001">
        <v>0.61376067897562858</v>
      </c>
      <c r="AB3001" t="str">
        <f>HYPERLINK("Melting_Curves/meltCurve_Q14677_CLINT1.pdf", "Melting_Curves/meltCurve_Q14677_CLINT1.pdf")</f>
        <v>Melting_Curves/meltCurve_Q14677_CLINT1.pdf</v>
      </c>
    </row>
    <row r="3002" spans="1:28" x14ac:dyDescent="0.25">
      <c r="A3002" t="s">
        <v>3006</v>
      </c>
      <c r="B3002">
        <v>0.99299721793515405</v>
      </c>
      <c r="C3002">
        <v>0.90871789704093597</v>
      </c>
      <c r="D3002">
        <v>1.01388873004817</v>
      </c>
      <c r="E3002">
        <v>0.92289812623479095</v>
      </c>
      <c r="F3002">
        <v>0.76705644620930202</v>
      </c>
      <c r="G3002">
        <v>0.696845253282666</v>
      </c>
      <c r="H3002">
        <v>0.68620286502823502</v>
      </c>
      <c r="I3002">
        <v>0.65505094199298997</v>
      </c>
      <c r="J3002">
        <v>0.53628161534012397</v>
      </c>
      <c r="K3002">
        <v>0.35323035169864903</v>
      </c>
      <c r="L3002">
        <v>367.97011927224497</v>
      </c>
      <c r="M3002">
        <v>5.7420663215868597</v>
      </c>
      <c r="N3002">
        <v>64.083223469117996</v>
      </c>
      <c r="O3002">
        <v>57.5871082173486</v>
      </c>
      <c r="P3002">
        <v>-2.5022097213725999E-2</v>
      </c>
      <c r="Q3002">
        <v>0</v>
      </c>
      <c r="R3002">
        <v>0.91977435209458702</v>
      </c>
      <c r="S3002" t="s">
        <v>8553</v>
      </c>
      <c r="T3002" t="s">
        <v>11100</v>
      </c>
      <c r="U3002" t="s">
        <v>11100</v>
      </c>
      <c r="V3002" t="s">
        <v>11100</v>
      </c>
      <c r="W3002" t="s">
        <v>14058</v>
      </c>
      <c r="X3002">
        <v>2</v>
      </c>
      <c r="Y3002" t="s">
        <v>19510</v>
      </c>
      <c r="Z3002" t="s">
        <v>25007</v>
      </c>
      <c r="AA3002">
        <v>0.76204071504756299</v>
      </c>
      <c r="AB3002" t="str">
        <f>HYPERLINK("Melting_Curves/meltCurve_Q14681_KCTD2.pdf", "Melting_Curves/meltCurve_Q14681_KCTD2.pdf")</f>
        <v>Melting_Curves/meltCurve_Q14681_KCTD2.pdf</v>
      </c>
    </row>
    <row r="3003" spans="1:28" x14ac:dyDescent="0.25">
      <c r="A3003" t="s">
        <v>3007</v>
      </c>
      <c r="B3003">
        <v>0.99299721793515405</v>
      </c>
      <c r="C3003">
        <v>0.97586445610913397</v>
      </c>
      <c r="D3003">
        <v>0.98129247293241495</v>
      </c>
      <c r="E3003">
        <v>0.83480027562756398</v>
      </c>
      <c r="F3003">
        <v>0.68997327274298104</v>
      </c>
      <c r="G3003">
        <v>0.51995376013848005</v>
      </c>
      <c r="H3003">
        <v>0.43742867502475002</v>
      </c>
      <c r="I3003">
        <v>0.236871220530147</v>
      </c>
      <c r="J3003">
        <v>0.196310376988933</v>
      </c>
      <c r="K3003">
        <v>0.15323501511499199</v>
      </c>
      <c r="L3003">
        <v>552.95552034659795</v>
      </c>
      <c r="M3003">
        <v>10.1780850276548</v>
      </c>
      <c r="N3003">
        <v>54.623420217244401</v>
      </c>
      <c r="O3003">
        <v>52.356036745052698</v>
      </c>
      <c r="P3003">
        <v>-4.73205832736572E-2</v>
      </c>
      <c r="Q3003">
        <v>2.67748140301504E-2</v>
      </c>
      <c r="R3003">
        <v>0.99375280698462698</v>
      </c>
      <c r="S3003" t="s">
        <v>8554</v>
      </c>
      <c r="T3003" t="s">
        <v>11100</v>
      </c>
      <c r="U3003" t="s">
        <v>11100</v>
      </c>
      <c r="V3003" t="s">
        <v>11100</v>
      </c>
      <c r="W3003" t="s">
        <v>14059</v>
      </c>
      <c r="X3003">
        <v>28</v>
      </c>
      <c r="Y3003" t="s">
        <v>19511</v>
      </c>
      <c r="Z3003" t="s">
        <v>25008</v>
      </c>
      <c r="AA3003">
        <v>0.6045347157979436</v>
      </c>
      <c r="AB3003" t="str">
        <f>HYPERLINK("Melting_Curves/meltCurve_Q14683_SMC1A.pdf", "Melting_Curves/meltCurve_Q14683_SMC1A.pdf")</f>
        <v>Melting_Curves/meltCurve_Q14683_SMC1A.pdf</v>
      </c>
    </row>
    <row r="3004" spans="1:28" x14ac:dyDescent="0.25">
      <c r="A3004" t="s">
        <v>3008</v>
      </c>
      <c r="B3004">
        <v>0.99299721793515405</v>
      </c>
      <c r="C3004">
        <v>1.1013589974113001</v>
      </c>
      <c r="D3004">
        <v>0.91192836838900004</v>
      </c>
      <c r="E3004">
        <v>0.77328520249550003</v>
      </c>
      <c r="F3004">
        <v>0.73612056116010804</v>
      </c>
      <c r="G3004">
        <v>0.530108644277687</v>
      </c>
      <c r="H3004">
        <v>0.42445655825490802</v>
      </c>
      <c r="I3004">
        <v>0.311920611182399</v>
      </c>
      <c r="J3004">
        <v>9.3769664989006601E-2</v>
      </c>
      <c r="K3004">
        <v>0.26493516455636001</v>
      </c>
      <c r="L3004">
        <v>554.89893459157202</v>
      </c>
      <c r="M3004">
        <v>10.317373781085999</v>
      </c>
      <c r="N3004">
        <v>54.663883058949303</v>
      </c>
      <c r="O3004">
        <v>51.880059297468499</v>
      </c>
      <c r="P3004">
        <v>-4.5929393620563599E-2</v>
      </c>
      <c r="Q3004">
        <v>7.6589976538777901E-2</v>
      </c>
      <c r="R3004">
        <v>0.95376733043778905</v>
      </c>
      <c r="S3004" t="s">
        <v>8555</v>
      </c>
      <c r="T3004" t="s">
        <v>11100</v>
      </c>
      <c r="U3004" t="s">
        <v>11100</v>
      </c>
      <c r="V3004" t="s">
        <v>11100</v>
      </c>
      <c r="W3004" t="s">
        <v>14060</v>
      </c>
      <c r="X3004">
        <v>2</v>
      </c>
      <c r="Y3004" t="s">
        <v>19512</v>
      </c>
      <c r="Z3004" t="s">
        <v>25009</v>
      </c>
      <c r="AA3004">
        <v>0.6105364871190615</v>
      </c>
      <c r="AB3004" t="str">
        <f>HYPERLINK("Melting_Curves/meltCurve_Q14686_NCOA6.pdf", "Melting_Curves/meltCurve_Q14686_NCOA6.pdf")</f>
        <v>Melting_Curves/meltCurve_Q14686_NCOA6.pdf</v>
      </c>
    </row>
    <row r="3005" spans="1:28" x14ac:dyDescent="0.25">
      <c r="A3005" t="s">
        <v>3009</v>
      </c>
      <c r="B3005">
        <v>0.99299721793515405</v>
      </c>
      <c r="C3005">
        <v>1.2371239838571</v>
      </c>
      <c r="D3005">
        <v>0.90131851771863303</v>
      </c>
      <c r="E3005">
        <v>0.80640530262611498</v>
      </c>
      <c r="F3005">
        <v>0.738658731911087</v>
      </c>
      <c r="G3005">
        <v>0.32115788000805501</v>
      </c>
      <c r="H3005">
        <v>0.31463211188912998</v>
      </c>
      <c r="I3005">
        <v>0.30422721775670702</v>
      </c>
      <c r="J3005">
        <v>0.25682868981198698</v>
      </c>
      <c r="K3005">
        <v>0.31721752505309803</v>
      </c>
      <c r="L3005">
        <v>1073.6249972829301</v>
      </c>
      <c r="M3005">
        <v>21.3802192951892</v>
      </c>
      <c r="N3005">
        <v>52.116620204910703</v>
      </c>
      <c r="O3005">
        <v>49.782676683916101</v>
      </c>
      <c r="P3005">
        <v>-7.8300118222186202E-2</v>
      </c>
      <c r="Q3005">
        <v>0.27074771162055</v>
      </c>
      <c r="R3005">
        <v>0.921016080826774</v>
      </c>
      <c r="S3005" t="s">
        <v>8556</v>
      </c>
      <c r="T3005" t="s">
        <v>11100</v>
      </c>
      <c r="U3005" t="s">
        <v>11100</v>
      </c>
      <c r="V3005" t="s">
        <v>11100</v>
      </c>
      <c r="W3005" t="s">
        <v>14061</v>
      </c>
      <c r="X3005">
        <v>2</v>
      </c>
      <c r="Y3005" t="s">
        <v>19513</v>
      </c>
      <c r="Z3005" t="s">
        <v>25010</v>
      </c>
      <c r="AA3005">
        <v>0.60053488939453459</v>
      </c>
      <c r="AB3005" t="str">
        <f>HYPERLINK("Melting_Curves/meltCurve_Q14687_2_GSE1.pdf", "Melting_Curves/meltCurve_Q14687_2_GSE1.pdf")</f>
        <v>Melting_Curves/meltCurve_Q14687_2_GSE1.pdf</v>
      </c>
    </row>
    <row r="3006" spans="1:28" x14ac:dyDescent="0.25">
      <c r="A3006" t="s">
        <v>3010</v>
      </c>
      <c r="B3006">
        <v>0.99299721793515405</v>
      </c>
      <c r="C3006">
        <v>1.0290294754065299</v>
      </c>
      <c r="D3006">
        <v>0.968068160890731</v>
      </c>
      <c r="E3006">
        <v>0.91405161402576196</v>
      </c>
      <c r="F3006">
        <v>0.81020474607328496</v>
      </c>
      <c r="G3006">
        <v>0.55832186017230301</v>
      </c>
      <c r="H3006">
        <v>0.206700486874937</v>
      </c>
      <c r="I3006">
        <v>0.17091406774236001</v>
      </c>
      <c r="J3006">
        <v>0.13915704258181899</v>
      </c>
      <c r="K3006">
        <v>0.11098495061260499</v>
      </c>
      <c r="L3006">
        <v>1134.67344801628</v>
      </c>
      <c r="M3006">
        <v>21.2415428997361</v>
      </c>
      <c r="N3006">
        <v>53.9717070375861</v>
      </c>
      <c r="O3006">
        <v>52.950979265759202</v>
      </c>
      <c r="P3006">
        <v>-9.0466831958845195E-2</v>
      </c>
      <c r="Q3006">
        <v>9.7959221642862498E-2</v>
      </c>
      <c r="R3006">
        <v>0.993083433266433</v>
      </c>
      <c r="S3006" t="s">
        <v>8557</v>
      </c>
      <c r="T3006" t="s">
        <v>11100</v>
      </c>
      <c r="U3006" t="s">
        <v>11100</v>
      </c>
      <c r="V3006" t="s">
        <v>11100</v>
      </c>
      <c r="W3006" t="s">
        <v>14062</v>
      </c>
      <c r="X3006">
        <v>8</v>
      </c>
      <c r="Y3006" t="s">
        <v>19514</v>
      </c>
      <c r="Z3006" t="s">
        <v>25011</v>
      </c>
      <c r="AA3006">
        <v>0.60187944052690767</v>
      </c>
      <c r="AB3006" t="str">
        <f>HYPERLINK("Melting_Curves/meltCurve_Q14691_GINS1.pdf", "Melting_Curves/meltCurve_Q14691_GINS1.pdf")</f>
        <v>Melting_Curves/meltCurve_Q14691_GINS1.pdf</v>
      </c>
    </row>
    <row r="3007" spans="1:28" x14ac:dyDescent="0.25">
      <c r="A3007" t="s">
        <v>3011</v>
      </c>
      <c r="B3007">
        <v>0.99299721793515405</v>
      </c>
      <c r="C3007">
        <v>1.0727127646174299</v>
      </c>
      <c r="D3007">
        <v>0.96583813716556599</v>
      </c>
      <c r="E3007">
        <v>0.86471952769140203</v>
      </c>
      <c r="F3007">
        <v>0.595337857772123</v>
      </c>
      <c r="G3007">
        <v>0.399893671806064</v>
      </c>
      <c r="H3007">
        <v>0.33708004168723099</v>
      </c>
      <c r="I3007">
        <v>0.32935917436290102</v>
      </c>
      <c r="J3007">
        <v>0.32055088999945602</v>
      </c>
      <c r="K3007">
        <v>0.30102515859673801</v>
      </c>
      <c r="L3007">
        <v>1153.42250491047</v>
      </c>
      <c r="M3007">
        <v>23.340387675543798</v>
      </c>
      <c r="N3007">
        <v>51.580301757494503</v>
      </c>
      <c r="O3007">
        <v>49.058984450159699</v>
      </c>
      <c r="P3007">
        <v>-8.1820436920066297E-2</v>
      </c>
      <c r="Q3007">
        <v>0.31210112432331599</v>
      </c>
      <c r="R3007">
        <v>0.99334320056252601</v>
      </c>
      <c r="S3007" t="s">
        <v>8558</v>
      </c>
      <c r="T3007" t="s">
        <v>11100</v>
      </c>
      <c r="U3007" t="s">
        <v>11100</v>
      </c>
      <c r="V3007" t="s">
        <v>11100</v>
      </c>
      <c r="W3007" t="s">
        <v>14063</v>
      </c>
      <c r="X3007">
        <v>7</v>
      </c>
      <c r="Y3007" t="s">
        <v>19515</v>
      </c>
      <c r="Z3007" t="s">
        <v>25012</v>
      </c>
      <c r="AA3007">
        <v>0.60364782898027869</v>
      </c>
      <c r="AB3007" t="str">
        <f>HYPERLINK("Melting_Curves/meltCurve_Q14694_USP10.pdf", "Melting_Curves/meltCurve_Q14694_USP10.pdf")</f>
        <v>Melting_Curves/meltCurve_Q14694_USP10.pdf</v>
      </c>
    </row>
    <row r="3008" spans="1:28" x14ac:dyDescent="0.25">
      <c r="A3008" t="s">
        <v>3012</v>
      </c>
      <c r="B3008">
        <v>0.99299721793515405</v>
      </c>
      <c r="C3008">
        <v>0.94078442924505101</v>
      </c>
      <c r="D3008">
        <v>0.97361633531840996</v>
      </c>
      <c r="E3008">
        <v>0.80193358353910604</v>
      </c>
      <c r="F3008">
        <v>0.73932761634732203</v>
      </c>
      <c r="G3008">
        <v>0.49296036340440902</v>
      </c>
      <c r="H3008">
        <v>0.46671109184057702</v>
      </c>
      <c r="I3008">
        <v>0.43951682827762001</v>
      </c>
      <c r="J3008">
        <v>0.36735693116889101</v>
      </c>
      <c r="K3008">
        <v>0.27729202174833101</v>
      </c>
      <c r="L3008">
        <v>560.32225914896003</v>
      </c>
      <c r="M3008">
        <v>10.8187178120056</v>
      </c>
      <c r="N3008">
        <v>55.718897808520602</v>
      </c>
      <c r="O3008">
        <v>50.116573115724002</v>
      </c>
      <c r="P3008">
        <v>-3.95863182212585E-2</v>
      </c>
      <c r="Q3008">
        <v>0.26674590106461599</v>
      </c>
      <c r="R3008">
        <v>0.97586894098854704</v>
      </c>
      <c r="S3008" t="s">
        <v>8559</v>
      </c>
      <c r="T3008" t="s">
        <v>11100</v>
      </c>
      <c r="U3008" t="s">
        <v>11100</v>
      </c>
      <c r="V3008" t="s">
        <v>11100</v>
      </c>
      <c r="W3008" t="s">
        <v>14064</v>
      </c>
      <c r="X3008">
        <v>6</v>
      </c>
      <c r="Y3008" t="s">
        <v>19516</v>
      </c>
      <c r="Z3008" t="s">
        <v>25013</v>
      </c>
      <c r="AA3008">
        <v>0.64750969356234189</v>
      </c>
      <c r="AB3008" t="str">
        <f>HYPERLINK("Melting_Curves/meltCurve_Q14696_MESDC2.pdf", "Melting_Curves/meltCurve_Q14696_MESDC2.pdf")</f>
        <v>Melting_Curves/meltCurve_Q14696_MESDC2.pdf</v>
      </c>
    </row>
    <row r="3009" spans="1:28" x14ac:dyDescent="0.25">
      <c r="A3009" t="s">
        <v>3013</v>
      </c>
      <c r="B3009">
        <v>0.99299721793515405</v>
      </c>
      <c r="C3009">
        <v>0.98016969034166501</v>
      </c>
      <c r="D3009">
        <v>0.99080403265058004</v>
      </c>
      <c r="E3009">
        <v>0.86463086302974801</v>
      </c>
      <c r="F3009">
        <v>0.77117349111514899</v>
      </c>
      <c r="G3009">
        <v>0.46554851477017301</v>
      </c>
      <c r="H3009">
        <v>0.244066397839937</v>
      </c>
      <c r="I3009">
        <v>0.189654876780468</v>
      </c>
      <c r="J3009">
        <v>0.17897184246287201</v>
      </c>
      <c r="K3009">
        <v>0.17528735975352999</v>
      </c>
      <c r="L3009">
        <v>1013.9435019653801</v>
      </c>
      <c r="M3009">
        <v>19.394422082300999</v>
      </c>
      <c r="N3009">
        <v>53.236302672363898</v>
      </c>
      <c r="O3009">
        <v>51.733859092257198</v>
      </c>
      <c r="P3009">
        <v>-7.9941588388129398E-2</v>
      </c>
      <c r="Q3009">
        <v>0.14706718353548501</v>
      </c>
      <c r="R3009">
        <v>0.99436691632433205</v>
      </c>
      <c r="S3009" t="s">
        <v>8560</v>
      </c>
      <c r="T3009" t="s">
        <v>11100</v>
      </c>
      <c r="U3009" t="s">
        <v>11100</v>
      </c>
      <c r="V3009" t="s">
        <v>11100</v>
      </c>
      <c r="W3009" t="s">
        <v>14065</v>
      </c>
      <c r="X3009">
        <v>34</v>
      </c>
      <c r="Y3009" t="s">
        <v>19517</v>
      </c>
      <c r="Z3009" t="s">
        <v>25014</v>
      </c>
      <c r="AA3009">
        <v>0.59297305708056514</v>
      </c>
      <c r="AB3009" t="str">
        <f>HYPERLINK("Melting_Curves/meltCurve_Q14697_GANAB.pdf", "Melting_Curves/meltCurve_Q14697_GANAB.pdf")</f>
        <v>Melting_Curves/meltCurve_Q14697_GANAB.pdf</v>
      </c>
    </row>
    <row r="3010" spans="1:28" x14ac:dyDescent="0.25">
      <c r="A3010" t="s">
        <v>3014</v>
      </c>
      <c r="B3010">
        <v>0.99299721793515405</v>
      </c>
      <c r="C3010">
        <v>0.87398849640543397</v>
      </c>
      <c r="D3010">
        <v>0.96704883235828798</v>
      </c>
      <c r="E3010">
        <v>0.73202623909315501</v>
      </c>
      <c r="F3010">
        <v>0.72960162635256398</v>
      </c>
      <c r="G3010">
        <v>0.614704147017337</v>
      </c>
      <c r="H3010">
        <v>0.424332451278564</v>
      </c>
      <c r="I3010">
        <v>0.25987907402591898</v>
      </c>
      <c r="J3010">
        <v>0.11075817679917301</v>
      </c>
      <c r="K3010">
        <v>8.5507288219890398E-2</v>
      </c>
      <c r="L3010">
        <v>546.98305566413603</v>
      </c>
      <c r="M3010">
        <v>10.0098973361318</v>
      </c>
      <c r="N3010">
        <v>54.644221929827303</v>
      </c>
      <c r="O3010">
        <v>52.597631396043802</v>
      </c>
      <c r="P3010">
        <v>-4.7600753697100602E-2</v>
      </c>
      <c r="Q3010">
        <v>0</v>
      </c>
      <c r="R3010">
        <v>0.96062494529188003</v>
      </c>
      <c r="S3010" t="s">
        <v>8561</v>
      </c>
      <c r="T3010" t="s">
        <v>11100</v>
      </c>
      <c r="U3010" t="s">
        <v>11100</v>
      </c>
      <c r="V3010" t="s">
        <v>11100</v>
      </c>
      <c r="W3010" t="s">
        <v>14066</v>
      </c>
      <c r="X3010">
        <v>8</v>
      </c>
      <c r="Y3010" t="s">
        <v>19518</v>
      </c>
      <c r="Z3010" t="s">
        <v>25015</v>
      </c>
      <c r="AA3010">
        <v>0.60232785923192245</v>
      </c>
      <c r="AB3010" t="str">
        <f>HYPERLINK("Melting_Curves/meltCurve_Q14699_RFTN1.pdf", "Melting_Curves/meltCurve_Q14699_RFTN1.pdf")</f>
        <v>Melting_Curves/meltCurve_Q14699_RFTN1.pdf</v>
      </c>
    </row>
    <row r="3011" spans="1:28" x14ac:dyDescent="0.25">
      <c r="A3011" t="s">
        <v>3015</v>
      </c>
      <c r="B3011">
        <v>0.99299721793515405</v>
      </c>
      <c r="C3011">
        <v>0.98448716405352699</v>
      </c>
      <c r="D3011">
        <v>0.88994829629697703</v>
      </c>
      <c r="E3011">
        <v>0.74478582659856196</v>
      </c>
      <c r="F3011">
        <v>0.64564034245705004</v>
      </c>
      <c r="G3011">
        <v>0.51520263915815001</v>
      </c>
      <c r="H3011">
        <v>0.18852157271596701</v>
      </c>
      <c r="I3011">
        <v>8.1235268672434302E-2</v>
      </c>
      <c r="J3011">
        <v>7.2926663867982994E-2</v>
      </c>
      <c r="K3011">
        <v>5.9987498497619501E-2</v>
      </c>
      <c r="L3011">
        <v>644.84897273165495</v>
      </c>
      <c r="M3011">
        <v>12.362132246401799</v>
      </c>
      <c r="N3011">
        <v>52.163248203837199</v>
      </c>
      <c r="O3011">
        <v>50.854637307831702</v>
      </c>
      <c r="P3011">
        <v>-6.0784957447153599E-2</v>
      </c>
      <c r="Q3011">
        <v>0</v>
      </c>
      <c r="R3011">
        <v>0.98055012607941505</v>
      </c>
      <c r="S3011" t="s">
        <v>8562</v>
      </c>
      <c r="T3011" t="s">
        <v>11100</v>
      </c>
      <c r="U3011" t="s">
        <v>11100</v>
      </c>
      <c r="V3011" t="s">
        <v>11100</v>
      </c>
      <c r="W3011" t="s">
        <v>14067</v>
      </c>
      <c r="X3011">
        <v>9</v>
      </c>
      <c r="Y3011" t="s">
        <v>19519</v>
      </c>
      <c r="Z3011" t="s">
        <v>25016</v>
      </c>
      <c r="AA3011">
        <v>0.52826064137522766</v>
      </c>
      <c r="AB3011" t="str">
        <f>HYPERLINK("Melting_Curves/meltCurve_Q14739_LBR.pdf", "Melting_Curves/meltCurve_Q14739_LBR.pdf")</f>
        <v>Melting_Curves/meltCurve_Q14739_LBR.pdf</v>
      </c>
    </row>
    <row r="3012" spans="1:28" x14ac:dyDescent="0.25">
      <c r="A3012" t="s">
        <v>3016</v>
      </c>
      <c r="B3012">
        <v>0.99299721793515405</v>
      </c>
      <c r="C3012">
        <v>0.89804426133377602</v>
      </c>
      <c r="D3012">
        <v>0.97323899307347095</v>
      </c>
      <c r="E3012">
        <v>0.73158215278055305</v>
      </c>
      <c r="F3012">
        <v>0.51506133045525204</v>
      </c>
      <c r="G3012">
        <v>0.33966746243892798</v>
      </c>
      <c r="H3012">
        <v>0.26860875979646798</v>
      </c>
      <c r="I3012">
        <v>0.233538136827427</v>
      </c>
      <c r="J3012">
        <v>0.177283406426757</v>
      </c>
      <c r="K3012">
        <v>0.138857191163752</v>
      </c>
      <c r="L3012">
        <v>704.585152708686</v>
      </c>
      <c r="M3012">
        <v>14.2751624356044</v>
      </c>
      <c r="N3012">
        <v>50.620119855903297</v>
      </c>
      <c r="O3012">
        <v>48.419107517870302</v>
      </c>
      <c r="P3012">
        <v>-6.2673211964552805E-2</v>
      </c>
      <c r="Q3012">
        <v>0.149793157463527</v>
      </c>
      <c r="R3012">
        <v>0.98836102043477203</v>
      </c>
      <c r="S3012" t="s">
        <v>8563</v>
      </c>
      <c r="T3012" t="s">
        <v>11100</v>
      </c>
      <c r="U3012" t="s">
        <v>11100</v>
      </c>
      <c r="V3012" t="s">
        <v>11100</v>
      </c>
      <c r="W3012" t="s">
        <v>14068</v>
      </c>
      <c r="X3012">
        <v>1</v>
      </c>
      <c r="Y3012" t="s">
        <v>19520</v>
      </c>
      <c r="Z3012" t="s">
        <v>25017</v>
      </c>
      <c r="AA3012">
        <v>0.51951866691486581</v>
      </c>
      <c r="AB3012" t="str">
        <f>HYPERLINK("Melting_Curves/meltCurve_Q14746_2_COG2.pdf", "Melting_Curves/meltCurve_Q14746_2_COG2.pdf")</f>
        <v>Melting_Curves/meltCurve_Q14746_2_COG2.pdf</v>
      </c>
    </row>
    <row r="3013" spans="1:28" x14ac:dyDescent="0.25">
      <c r="A3013" t="s">
        <v>3017</v>
      </c>
      <c r="B3013">
        <v>0.99299721793515405</v>
      </c>
      <c r="C3013">
        <v>0.942413329157614</v>
      </c>
      <c r="D3013">
        <v>0.90985931219281702</v>
      </c>
      <c r="E3013">
        <v>0.77380661457188304</v>
      </c>
      <c r="F3013">
        <v>0.48400757078623902</v>
      </c>
      <c r="G3013">
        <v>0.25591116190657598</v>
      </c>
      <c r="H3013">
        <v>0.24885466368478201</v>
      </c>
      <c r="I3013">
        <v>0.19950427013719599</v>
      </c>
      <c r="J3013">
        <v>0.18573257029888801</v>
      </c>
      <c r="K3013">
        <v>0.15587583233237801</v>
      </c>
      <c r="L3013">
        <v>885.68081592662702</v>
      </c>
      <c r="M3013">
        <v>18.156362015528899</v>
      </c>
      <c r="N3013">
        <v>49.904581033651702</v>
      </c>
      <c r="O3013">
        <v>48.200537092652901</v>
      </c>
      <c r="P3013">
        <v>-7.8372620245124203E-2</v>
      </c>
      <c r="Q3013">
        <v>0.16780195162009401</v>
      </c>
      <c r="R3013">
        <v>0.99454575519104205</v>
      </c>
      <c r="S3013" t="s">
        <v>8564</v>
      </c>
      <c r="T3013" t="s">
        <v>11100</v>
      </c>
      <c r="U3013" t="s">
        <v>11100</v>
      </c>
      <c r="V3013" t="s">
        <v>11100</v>
      </c>
      <c r="W3013" t="s">
        <v>14069</v>
      </c>
      <c r="X3013">
        <v>28</v>
      </c>
      <c r="Y3013" t="s">
        <v>19521</v>
      </c>
      <c r="Z3013" t="s">
        <v>25018</v>
      </c>
      <c r="AA3013">
        <v>0.50764807514141741</v>
      </c>
      <c r="AB3013" t="str">
        <f>HYPERLINK("Melting_Curves/meltCurve_Q14789_GOLGB1.pdf", "Melting_Curves/meltCurve_Q14789_GOLGB1.pdf")</f>
        <v>Melting_Curves/meltCurve_Q14789_GOLGB1.pdf</v>
      </c>
    </row>
    <row r="3014" spans="1:28" x14ac:dyDescent="0.25">
      <c r="A3014" t="s">
        <v>3018</v>
      </c>
      <c r="B3014">
        <v>0.99299721793515405</v>
      </c>
      <c r="C3014">
        <v>1.25569541472346</v>
      </c>
      <c r="D3014">
        <v>0.99174645503088699</v>
      </c>
      <c r="E3014">
        <v>1.08414722628115</v>
      </c>
      <c r="F3014">
        <v>0.70335955283013196</v>
      </c>
      <c r="G3014">
        <v>0.191995531314858</v>
      </c>
      <c r="H3014">
        <v>0.17853397189541301</v>
      </c>
      <c r="I3014">
        <v>0.14969866700110601</v>
      </c>
      <c r="J3014">
        <v>9.2263299950139502E-2</v>
      </c>
      <c r="K3014">
        <v>6.7522386633815407E-2</v>
      </c>
      <c r="L3014">
        <v>2525.7222556370202</v>
      </c>
      <c r="M3014">
        <v>49.600750432461197</v>
      </c>
      <c r="N3014">
        <v>51.213243570017298</v>
      </c>
      <c r="O3014">
        <v>50.838462479779302</v>
      </c>
      <c r="P3014">
        <v>-0.21385422286186001</v>
      </c>
      <c r="Q3014">
        <v>0.123237895050937</v>
      </c>
      <c r="R3014">
        <v>0.960352583529407</v>
      </c>
      <c r="S3014" t="s">
        <v>8565</v>
      </c>
      <c r="T3014" t="s">
        <v>11100</v>
      </c>
      <c r="U3014" t="s">
        <v>11100</v>
      </c>
      <c r="V3014" t="s">
        <v>11100</v>
      </c>
      <c r="W3014" t="s">
        <v>14070</v>
      </c>
      <c r="X3014">
        <v>2</v>
      </c>
      <c r="Y3014" t="s">
        <v>19522</v>
      </c>
      <c r="Z3014" t="s">
        <v>25019</v>
      </c>
      <c r="AA3014">
        <v>0.532087157735043</v>
      </c>
      <c r="AB3014" t="str">
        <f>HYPERLINK("Melting_Curves/meltCurve_Q14790_CASP8.pdf", "Melting_Curves/meltCurve_Q14790_CASP8.pdf")</f>
        <v>Melting_Curves/meltCurve_Q14790_CASP8.pdf</v>
      </c>
    </row>
    <row r="3015" spans="1:28" x14ac:dyDescent="0.25">
      <c r="A3015" t="s">
        <v>3019</v>
      </c>
      <c r="B3015">
        <v>0.99299721793515405</v>
      </c>
      <c r="C3015">
        <v>0.95178655644858601</v>
      </c>
      <c r="D3015">
        <v>0.88529943147247803</v>
      </c>
      <c r="E3015">
        <v>0.81104843614565103</v>
      </c>
      <c r="F3015">
        <v>0.61176655166905902</v>
      </c>
      <c r="G3015">
        <v>0.464752533648637</v>
      </c>
      <c r="H3015">
        <v>0.245791919485357</v>
      </c>
      <c r="I3015">
        <v>0.21393923609499699</v>
      </c>
      <c r="J3015">
        <v>0.260757884015617</v>
      </c>
      <c r="K3015">
        <v>0.14232965163062899</v>
      </c>
      <c r="L3015">
        <v>612.29481664330797</v>
      </c>
      <c r="M3015">
        <v>11.9709530476896</v>
      </c>
      <c r="N3015">
        <v>52.3362269751455</v>
      </c>
      <c r="O3015">
        <v>49.783737525106403</v>
      </c>
      <c r="P3015">
        <v>-5.2976517082784398E-2</v>
      </c>
      <c r="Q3015">
        <v>0.118958261330919</v>
      </c>
      <c r="R3015">
        <v>0.987699607448566</v>
      </c>
      <c r="S3015" t="s">
        <v>8566</v>
      </c>
      <c r="T3015" t="s">
        <v>11100</v>
      </c>
      <c r="U3015" t="s">
        <v>11100</v>
      </c>
      <c r="V3015" t="s">
        <v>11100</v>
      </c>
      <c r="W3015" t="s">
        <v>14071</v>
      </c>
      <c r="X3015">
        <v>6</v>
      </c>
      <c r="Y3015" t="s">
        <v>19523</v>
      </c>
      <c r="Z3015" t="s">
        <v>25020</v>
      </c>
      <c r="AA3015">
        <v>0.55717949367142938</v>
      </c>
      <c r="AB3015" t="str">
        <f>HYPERLINK("Melting_Curves/meltCurve_Q147X3_NAA30.pdf", "Melting_Curves/meltCurve_Q147X3_NAA30.pdf")</f>
        <v>Melting_Curves/meltCurve_Q147X3_NAA30.pdf</v>
      </c>
    </row>
    <row r="3016" spans="1:28" x14ac:dyDescent="0.25">
      <c r="A3016" t="s">
        <v>3020</v>
      </c>
      <c r="B3016">
        <v>0.99299721793515405</v>
      </c>
      <c r="C3016">
        <v>0.95612945364949897</v>
      </c>
      <c r="D3016">
        <v>0.94091064881381203</v>
      </c>
      <c r="E3016">
        <v>0.83974771902326995</v>
      </c>
      <c r="F3016">
        <v>0.78174923173449695</v>
      </c>
      <c r="G3016">
        <v>0.49033180691216</v>
      </c>
      <c r="H3016">
        <v>0.35758979497170601</v>
      </c>
      <c r="I3016">
        <v>0.30294685317866898</v>
      </c>
      <c r="J3016">
        <v>0.283123325691087</v>
      </c>
      <c r="K3016">
        <v>0.25220445229359401</v>
      </c>
      <c r="L3016">
        <v>758.85917752387104</v>
      </c>
      <c r="M3016">
        <v>14.5798060134168</v>
      </c>
      <c r="N3016">
        <v>54.209802339662701</v>
      </c>
      <c r="O3016">
        <v>51.098890579562998</v>
      </c>
      <c r="P3016">
        <v>-5.5616265522607199E-2</v>
      </c>
      <c r="Q3016">
        <v>0.22039892453003099</v>
      </c>
      <c r="R3016">
        <v>0.98860889181551104</v>
      </c>
      <c r="S3016" t="s">
        <v>8567</v>
      </c>
      <c r="T3016" t="s">
        <v>11100</v>
      </c>
      <c r="U3016" t="s">
        <v>11100</v>
      </c>
      <c r="V3016" t="s">
        <v>11100</v>
      </c>
      <c r="W3016" t="s">
        <v>14072</v>
      </c>
      <c r="X3016">
        <v>4</v>
      </c>
      <c r="Y3016" t="s">
        <v>19524</v>
      </c>
      <c r="Z3016" t="s">
        <v>25021</v>
      </c>
      <c r="AA3016">
        <v>0.62681958658991188</v>
      </c>
      <c r="AB3016" t="str">
        <f>HYPERLINK("Melting_Curves/meltCurve_Q14814_4_MEF2D.pdf", "Melting_Curves/meltCurve_Q14814_4_MEF2D.pdf")</f>
        <v>Melting_Curves/meltCurve_Q14814_4_MEF2D.pdf</v>
      </c>
    </row>
    <row r="3017" spans="1:28" x14ac:dyDescent="0.25">
      <c r="A3017" t="s">
        <v>3021</v>
      </c>
      <c r="B3017">
        <v>0.99299721793515405</v>
      </c>
      <c r="C3017">
        <v>0.97258030682256502</v>
      </c>
      <c r="D3017">
        <v>1.16336772207285</v>
      </c>
      <c r="E3017">
        <v>0.88556928124392498</v>
      </c>
      <c r="F3017">
        <v>0.80269525050052704</v>
      </c>
      <c r="G3017">
        <v>0.61682455181723295</v>
      </c>
      <c r="H3017">
        <v>0.61841670158405904</v>
      </c>
      <c r="I3017">
        <v>0.72611564337397905</v>
      </c>
      <c r="J3017">
        <v>0.85699881566245795</v>
      </c>
      <c r="K3017">
        <v>0.84494682826239298</v>
      </c>
      <c r="L3017">
        <v>2856.59964427779</v>
      </c>
      <c r="M3017">
        <v>60.980105646832797</v>
      </c>
      <c r="O3017">
        <v>46.794475568036503</v>
      </c>
      <c r="P3017">
        <v>-8.3686604936360501E-2</v>
      </c>
      <c r="Q3017">
        <v>0.74312476924121695</v>
      </c>
      <c r="R3017">
        <v>0.66956288340276404</v>
      </c>
      <c r="S3017" t="s">
        <v>8568</v>
      </c>
      <c r="T3017" t="s">
        <v>11100</v>
      </c>
      <c r="U3017" t="s">
        <v>11100</v>
      </c>
      <c r="V3017" t="s">
        <v>11100</v>
      </c>
      <c r="W3017" t="s">
        <v>14073</v>
      </c>
      <c r="X3017">
        <v>26</v>
      </c>
      <c r="Y3017" t="s">
        <v>19525</v>
      </c>
      <c r="Z3017" t="s">
        <v>25022</v>
      </c>
      <c r="AA3017">
        <v>0.82777697124890426</v>
      </c>
      <c r="AB3017" t="str">
        <f>HYPERLINK("Melting_Curves/meltCurve_Q14847_LASP1.pdf", "Melting_Curves/meltCurve_Q14847_LASP1.pdf")</f>
        <v>Melting_Curves/meltCurve_Q14847_LASP1.pdf</v>
      </c>
    </row>
    <row r="3018" spans="1:28" x14ac:dyDescent="0.25">
      <c r="A3018" t="s">
        <v>3022</v>
      </c>
      <c r="B3018">
        <v>0.99299721793515405</v>
      </c>
      <c r="C3018">
        <v>0.814170357658343</v>
      </c>
      <c r="D3018">
        <v>0.86623922164236999</v>
      </c>
      <c r="E3018">
        <v>0.72389692686486695</v>
      </c>
      <c r="F3018">
        <v>0.58707865107415302</v>
      </c>
      <c r="G3018">
        <v>0.28120437739012799</v>
      </c>
      <c r="H3018">
        <v>0.21025773904336401</v>
      </c>
      <c r="I3018">
        <v>0.17153067351008999</v>
      </c>
      <c r="J3018">
        <v>0.19635911358768399</v>
      </c>
      <c r="K3018">
        <v>9.8768636598861495E-2</v>
      </c>
      <c r="L3018">
        <v>518.04947354855597</v>
      </c>
      <c r="M3018">
        <v>10.357559743793299</v>
      </c>
      <c r="N3018">
        <v>50.501047133004299</v>
      </c>
      <c r="O3018">
        <v>48.259825762829998</v>
      </c>
      <c r="P3018">
        <v>-5.11392415117468E-2</v>
      </c>
      <c r="Q3018">
        <v>4.7296048677245899E-2</v>
      </c>
      <c r="R3018">
        <v>0.96860531001981498</v>
      </c>
      <c r="S3018" t="s">
        <v>8569</v>
      </c>
      <c r="T3018" t="s">
        <v>11100</v>
      </c>
      <c r="U3018" t="s">
        <v>11100</v>
      </c>
      <c r="V3018" t="s">
        <v>11100</v>
      </c>
      <c r="W3018" t="s">
        <v>14074</v>
      </c>
      <c r="X3018">
        <v>1</v>
      </c>
      <c r="Y3018" t="s">
        <v>19526</v>
      </c>
      <c r="Z3018" t="s">
        <v>25023</v>
      </c>
      <c r="AA3018">
        <v>0.4918651877740487</v>
      </c>
      <c r="AB3018" t="str">
        <f>HYPERLINK("Melting_Curves/meltCurve_Q14872_MTF1.pdf", "Melting_Curves/meltCurve_Q14872_MTF1.pdf")</f>
        <v>Melting_Curves/meltCurve_Q14872_MTF1.pdf</v>
      </c>
    </row>
    <row r="3019" spans="1:28" x14ac:dyDescent="0.25">
      <c r="A3019" t="s">
        <v>3023</v>
      </c>
      <c r="B3019">
        <v>0.99299721793515405</v>
      </c>
      <c r="C3019">
        <v>0.94140890431777802</v>
      </c>
      <c r="D3019">
        <v>0.83626231661502004</v>
      </c>
      <c r="E3019">
        <v>0.77899458207501704</v>
      </c>
      <c r="F3019">
        <v>0.59293928680880204</v>
      </c>
      <c r="G3019">
        <v>0.29424872656774798</v>
      </c>
      <c r="H3019">
        <v>9.4967169750911004E-2</v>
      </c>
      <c r="I3019">
        <v>8.9463631745616001E-2</v>
      </c>
      <c r="J3019">
        <v>6.9698322894672607E-2</v>
      </c>
      <c r="K3019">
        <v>9.4754066066422199E-2</v>
      </c>
      <c r="L3019">
        <v>708.98504867774295</v>
      </c>
      <c r="M3019">
        <v>14.044759142449101</v>
      </c>
      <c r="N3019">
        <v>50.6018525005694</v>
      </c>
      <c r="O3019">
        <v>49.490069150615497</v>
      </c>
      <c r="P3019">
        <v>-6.9780691611210199E-2</v>
      </c>
      <c r="Q3019">
        <v>1.6573129563690898E-2</v>
      </c>
      <c r="R3019">
        <v>0.98448640985875902</v>
      </c>
      <c r="S3019" t="s">
        <v>8570</v>
      </c>
      <c r="T3019" t="s">
        <v>11100</v>
      </c>
      <c r="U3019" t="s">
        <v>11100</v>
      </c>
      <c r="V3019" t="s">
        <v>11100</v>
      </c>
      <c r="W3019" t="s">
        <v>14075</v>
      </c>
      <c r="X3019">
        <v>6</v>
      </c>
      <c r="Y3019" t="s">
        <v>19527</v>
      </c>
      <c r="Z3019" t="s">
        <v>25024</v>
      </c>
      <c r="AA3019">
        <v>0.48055200900317391</v>
      </c>
      <c r="AB3019" t="str">
        <f>HYPERLINK("Melting_Curves/meltCurve_Q14964_RAB39A.pdf", "Melting_Curves/meltCurve_Q14964_RAB39A.pdf")</f>
        <v>Melting_Curves/meltCurve_Q14964_RAB39A.pdf</v>
      </c>
    </row>
    <row r="3020" spans="1:28" x14ac:dyDescent="0.25">
      <c r="A3020" t="s">
        <v>3024</v>
      </c>
      <c r="B3020">
        <v>0.99299721793515405</v>
      </c>
      <c r="C3020">
        <v>0.99052315609964203</v>
      </c>
      <c r="D3020">
        <v>1.0170357763600799</v>
      </c>
      <c r="E3020">
        <v>0.85120154375133805</v>
      </c>
      <c r="F3020">
        <v>0.69143999667014699</v>
      </c>
      <c r="G3020">
        <v>0.417679742676766</v>
      </c>
      <c r="H3020">
        <v>0.342123658110424</v>
      </c>
      <c r="I3020">
        <v>0.34541526489128999</v>
      </c>
      <c r="J3020">
        <v>0.36787971960382698</v>
      </c>
      <c r="K3020">
        <v>0.327031278993062</v>
      </c>
      <c r="L3020">
        <v>1141.9025326942599</v>
      </c>
      <c r="M3020">
        <v>22.821672553348598</v>
      </c>
      <c r="N3020">
        <v>52.533135895430199</v>
      </c>
      <c r="O3020">
        <v>49.656451872122702</v>
      </c>
      <c r="P3020">
        <v>-7.6865058205418502E-2</v>
      </c>
      <c r="Q3020">
        <v>0.33102671216780799</v>
      </c>
      <c r="R3020">
        <v>0.99175386851450997</v>
      </c>
      <c r="S3020" t="s">
        <v>8571</v>
      </c>
      <c r="T3020" t="s">
        <v>11100</v>
      </c>
      <c r="U3020" t="s">
        <v>11100</v>
      </c>
      <c r="V3020" t="s">
        <v>11100</v>
      </c>
      <c r="W3020" t="s">
        <v>14076</v>
      </c>
      <c r="X3020">
        <v>5</v>
      </c>
      <c r="Y3020" t="s">
        <v>19528</v>
      </c>
      <c r="Z3020" t="s">
        <v>25025</v>
      </c>
      <c r="AA3020">
        <v>0.62866073326493843</v>
      </c>
      <c r="AB3020" t="str">
        <f>HYPERLINK("Melting_Curves/meltCurve_Q14966_ZNF638.pdf", "Melting_Curves/meltCurve_Q14966_ZNF638.pdf")</f>
        <v>Melting_Curves/meltCurve_Q14966_ZNF638.pdf</v>
      </c>
    </row>
    <row r="3021" spans="1:28" x14ac:dyDescent="0.25">
      <c r="A3021" t="s">
        <v>3025</v>
      </c>
      <c r="B3021">
        <v>0.99299721793515405</v>
      </c>
      <c r="C3021">
        <v>0.96736512127701502</v>
      </c>
      <c r="D3021">
        <v>0.93717314858391398</v>
      </c>
      <c r="E3021">
        <v>0.81196561468114203</v>
      </c>
      <c r="F3021">
        <v>0.69302608969950197</v>
      </c>
      <c r="G3021">
        <v>0.39347988520953397</v>
      </c>
      <c r="H3021">
        <v>0.19397452958297201</v>
      </c>
      <c r="I3021">
        <v>0.16301654047650799</v>
      </c>
      <c r="J3021">
        <v>0.12464833442798801</v>
      </c>
      <c r="K3021">
        <v>0.10529178129462401</v>
      </c>
      <c r="L3021">
        <v>781.67485042212195</v>
      </c>
      <c r="M3021">
        <v>15.116735981891599</v>
      </c>
      <c r="N3021">
        <v>52.212608849574401</v>
      </c>
      <c r="O3021">
        <v>50.829668770601103</v>
      </c>
      <c r="P3021">
        <v>-6.9315273399135999E-2</v>
      </c>
      <c r="Q3021">
        <v>6.7807770605356296E-2</v>
      </c>
      <c r="R3021">
        <v>0.99397805431904496</v>
      </c>
      <c r="S3021" t="s">
        <v>8572</v>
      </c>
      <c r="T3021" t="s">
        <v>11100</v>
      </c>
      <c r="U3021" t="s">
        <v>11100</v>
      </c>
      <c r="V3021" t="s">
        <v>11100</v>
      </c>
      <c r="W3021" t="s">
        <v>14077</v>
      </c>
      <c r="X3021">
        <v>30</v>
      </c>
      <c r="Y3021" t="s">
        <v>19529</v>
      </c>
      <c r="Z3021" t="s">
        <v>25026</v>
      </c>
      <c r="AA3021">
        <v>0.54283331220901598</v>
      </c>
      <c r="AB3021" t="str">
        <f>HYPERLINK("Melting_Curves/meltCurve_Q14974_KPNB1.pdf", "Melting_Curves/meltCurve_Q14974_KPNB1.pdf")</f>
        <v>Melting_Curves/meltCurve_Q14974_KPNB1.pdf</v>
      </c>
    </row>
    <row r="3022" spans="1:28" x14ac:dyDescent="0.25">
      <c r="A3022" t="s">
        <v>3026</v>
      </c>
      <c r="B3022">
        <v>0.99299721793515405</v>
      </c>
      <c r="C3022">
        <v>0.97271838263648702</v>
      </c>
      <c r="D3022">
        <v>1.1022243092206601</v>
      </c>
      <c r="E3022">
        <v>0.820700105090437</v>
      </c>
      <c r="F3022">
        <v>0.66771200389553198</v>
      </c>
      <c r="G3022">
        <v>0.52862296876424897</v>
      </c>
      <c r="H3022">
        <v>0.41238622666499097</v>
      </c>
      <c r="I3022">
        <v>0.35690515473288198</v>
      </c>
      <c r="J3022">
        <v>0.357236243760505</v>
      </c>
      <c r="K3022">
        <v>0.51385186467214605</v>
      </c>
      <c r="L3022">
        <v>1071.0271339248</v>
      </c>
      <c r="M3022">
        <v>21.6488828546569</v>
      </c>
      <c r="N3022">
        <v>53.623509369104802</v>
      </c>
      <c r="O3022">
        <v>49.056302460399998</v>
      </c>
      <c r="P3022">
        <v>-6.54892655191327E-2</v>
      </c>
      <c r="Q3022">
        <v>0.40642021492178398</v>
      </c>
      <c r="R3022">
        <v>0.94612943276555295</v>
      </c>
      <c r="S3022" t="s">
        <v>8573</v>
      </c>
      <c r="T3022" t="s">
        <v>11100</v>
      </c>
      <c r="U3022" t="s">
        <v>11100</v>
      </c>
      <c r="V3022" t="s">
        <v>11100</v>
      </c>
      <c r="W3022" t="s">
        <v>14078</v>
      </c>
      <c r="X3022">
        <v>16</v>
      </c>
      <c r="Y3022" t="s">
        <v>19530</v>
      </c>
      <c r="Z3022" t="s">
        <v>25027</v>
      </c>
      <c r="AA3022">
        <v>0.65997624991625436</v>
      </c>
      <c r="AB3022" t="str">
        <f>HYPERLINK("Melting_Curves/meltCurve_Q14978_NOLC1.pdf", "Melting_Curves/meltCurve_Q14978_NOLC1.pdf")</f>
        <v>Melting_Curves/meltCurve_Q14978_NOLC1.pdf</v>
      </c>
    </row>
    <row r="3023" spans="1:28" x14ac:dyDescent="0.25">
      <c r="A3023" t="s">
        <v>3027</v>
      </c>
      <c r="B3023">
        <v>0.99299721793515405</v>
      </c>
      <c r="C3023">
        <v>0.91103273749179403</v>
      </c>
      <c r="D3023">
        <v>0.97277731137346901</v>
      </c>
      <c r="E3023">
        <v>0.75752319440844995</v>
      </c>
      <c r="F3023">
        <v>0.58832963686530004</v>
      </c>
      <c r="G3023">
        <v>0.35827976973580999</v>
      </c>
      <c r="H3023">
        <v>0.24235063393921399</v>
      </c>
      <c r="I3023">
        <v>0.22937262320097601</v>
      </c>
      <c r="J3023">
        <v>0.21917728997701899</v>
      </c>
      <c r="K3023">
        <v>0.18338119387079599</v>
      </c>
      <c r="L3023">
        <v>768.38587209166599</v>
      </c>
      <c r="M3023">
        <v>15.449744745701</v>
      </c>
      <c r="N3023">
        <v>51.159768378077899</v>
      </c>
      <c r="O3023">
        <v>48.923670586517801</v>
      </c>
      <c r="P3023">
        <v>-6.5147829160951395E-2</v>
      </c>
      <c r="Q3023">
        <v>0.174877602078674</v>
      </c>
      <c r="R3023">
        <v>0.990632758025487</v>
      </c>
      <c r="S3023" t="s">
        <v>8574</v>
      </c>
      <c r="T3023" t="s">
        <v>11100</v>
      </c>
      <c r="U3023" t="s">
        <v>11100</v>
      </c>
      <c r="V3023" t="s">
        <v>11100</v>
      </c>
      <c r="W3023" t="s">
        <v>14079</v>
      </c>
      <c r="X3023">
        <v>39</v>
      </c>
      <c r="Y3023" t="s">
        <v>19531</v>
      </c>
      <c r="Z3023" t="s">
        <v>25028</v>
      </c>
      <c r="AA3023">
        <v>0.54176877904323284</v>
      </c>
      <c r="AB3023" t="str">
        <f>HYPERLINK("Melting_Curves/meltCurve_Q14980_2_NUMA1.pdf", "Melting_Curves/meltCurve_Q14980_2_NUMA1.pdf")</f>
        <v>Melting_Curves/meltCurve_Q14980_2_NUMA1.pdf</v>
      </c>
    </row>
    <row r="3024" spans="1:28" x14ac:dyDescent="0.25">
      <c r="A3024" t="s">
        <v>3028</v>
      </c>
      <c r="B3024">
        <v>0.99299721793515405</v>
      </c>
      <c r="C3024">
        <v>1.00020288180992</v>
      </c>
      <c r="D3024">
        <v>0.97241484536411704</v>
      </c>
      <c r="E3024">
        <v>0.88124131209159595</v>
      </c>
      <c r="F3024">
        <v>0.70275403217938903</v>
      </c>
      <c r="G3024">
        <v>0.37394633882128597</v>
      </c>
      <c r="H3024">
        <v>0.26529080444768099</v>
      </c>
      <c r="I3024">
        <v>0.22774382523436301</v>
      </c>
      <c r="J3024">
        <v>0.232415283677052</v>
      </c>
      <c r="K3024">
        <v>0.17604811698388101</v>
      </c>
      <c r="L3024">
        <v>1089.26791673464</v>
      </c>
      <c r="M3024">
        <v>21.3242538565205</v>
      </c>
      <c r="N3024">
        <v>52.295479483571597</v>
      </c>
      <c r="O3024">
        <v>50.638318390208497</v>
      </c>
      <c r="P3024">
        <v>-8.4722907889406202E-2</v>
      </c>
      <c r="Q3024">
        <v>0.195260590999841</v>
      </c>
      <c r="R3024">
        <v>0.99660636542830405</v>
      </c>
      <c r="S3024" t="s">
        <v>8575</v>
      </c>
      <c r="T3024" t="s">
        <v>11100</v>
      </c>
      <c r="U3024" t="s">
        <v>11100</v>
      </c>
      <c r="V3024" t="s">
        <v>11100</v>
      </c>
      <c r="W3024" t="s">
        <v>14080</v>
      </c>
      <c r="X3024">
        <v>26</v>
      </c>
      <c r="Y3024" t="s">
        <v>19532</v>
      </c>
      <c r="Z3024" t="s">
        <v>25029</v>
      </c>
      <c r="AA3024">
        <v>0.58242919297935758</v>
      </c>
      <c r="AB3024" t="str">
        <f>HYPERLINK("Melting_Curves/meltCurve_Q14C86_6_GAPVD1.pdf", "Melting_Curves/meltCurve_Q14C86_6_GAPVD1.pdf")</f>
        <v>Melting_Curves/meltCurve_Q14C86_6_GAPVD1.pdf</v>
      </c>
    </row>
    <row r="3025" spans="1:28" x14ac:dyDescent="0.25">
      <c r="A3025" t="s">
        <v>3029</v>
      </c>
      <c r="B3025">
        <v>0.99299721793515405</v>
      </c>
      <c r="C3025">
        <v>0.93781514498531204</v>
      </c>
      <c r="D3025">
        <v>0.92956277836795098</v>
      </c>
      <c r="E3025">
        <v>0.86491929864488803</v>
      </c>
      <c r="F3025">
        <v>0.62019649316129399</v>
      </c>
      <c r="G3025">
        <v>0.427959379021424</v>
      </c>
      <c r="H3025">
        <v>0.25647589169857499</v>
      </c>
      <c r="I3025">
        <v>0.21847677828243001</v>
      </c>
      <c r="J3025">
        <v>0.20292377030828801</v>
      </c>
      <c r="K3025">
        <v>0.246816638989451</v>
      </c>
      <c r="L3025">
        <v>864.15626605488296</v>
      </c>
      <c r="M3025">
        <v>17.0819378697311</v>
      </c>
      <c r="N3025">
        <v>52.082590438086299</v>
      </c>
      <c r="O3025">
        <v>49.910830669842497</v>
      </c>
      <c r="P3025">
        <v>-6.8996767787876404E-2</v>
      </c>
      <c r="Q3025">
        <v>0.19365644567451501</v>
      </c>
      <c r="R3025">
        <v>0.99231352788912497</v>
      </c>
      <c r="S3025" t="s">
        <v>8576</v>
      </c>
      <c r="T3025" t="s">
        <v>11100</v>
      </c>
      <c r="U3025" t="s">
        <v>11100</v>
      </c>
      <c r="V3025" t="s">
        <v>11100</v>
      </c>
      <c r="W3025" t="s">
        <v>14081</v>
      </c>
      <c r="X3025">
        <v>5</v>
      </c>
      <c r="Y3025" t="s">
        <v>19533</v>
      </c>
      <c r="Z3025" t="s">
        <v>25030</v>
      </c>
      <c r="AA3025">
        <v>0.57257201096667465</v>
      </c>
      <c r="AB3025" t="str">
        <f>HYPERLINK("Melting_Curves/meltCurve_Q14CS0_UBXN2B.pdf", "Melting_Curves/meltCurve_Q14CS0_UBXN2B.pdf")</f>
        <v>Melting_Curves/meltCurve_Q14CS0_UBXN2B.pdf</v>
      </c>
    </row>
    <row r="3026" spans="1:28" x14ac:dyDescent="0.25">
      <c r="A3026" t="s">
        <v>3030</v>
      </c>
      <c r="B3026">
        <v>0.99299721793515405</v>
      </c>
      <c r="C3026">
        <v>1.01225366806808</v>
      </c>
      <c r="D3026">
        <v>0.95751915022304102</v>
      </c>
      <c r="E3026">
        <v>0.88394298705371599</v>
      </c>
      <c r="F3026">
        <v>0.72443753646920295</v>
      </c>
      <c r="G3026">
        <v>0.574852970472152</v>
      </c>
      <c r="H3026">
        <v>0.21002616265197299</v>
      </c>
      <c r="I3026">
        <v>0.159486765978745</v>
      </c>
      <c r="J3026">
        <v>0.129508680422357</v>
      </c>
      <c r="K3026">
        <v>0.108981472801205</v>
      </c>
      <c r="L3026">
        <v>844.70557241117297</v>
      </c>
      <c r="M3026">
        <v>15.840905426931201</v>
      </c>
      <c r="N3026">
        <v>53.716770157106097</v>
      </c>
      <c r="O3026">
        <v>52.496209787020199</v>
      </c>
      <c r="P3026">
        <v>-7.1322084353459797E-2</v>
      </c>
      <c r="Q3026">
        <v>5.4641215401495302E-2</v>
      </c>
      <c r="R3026">
        <v>0.98898414093099496</v>
      </c>
      <c r="S3026" t="s">
        <v>8577</v>
      </c>
      <c r="T3026" t="s">
        <v>11100</v>
      </c>
      <c r="U3026" t="s">
        <v>11100</v>
      </c>
      <c r="V3026" t="s">
        <v>11100</v>
      </c>
      <c r="W3026" t="s">
        <v>14082</v>
      </c>
      <c r="X3026">
        <v>14</v>
      </c>
      <c r="Y3026" t="s">
        <v>19534</v>
      </c>
      <c r="Z3026" t="s">
        <v>25031</v>
      </c>
      <c r="AA3026">
        <v>0.58463847274990088</v>
      </c>
      <c r="AB3026" t="str">
        <f>HYPERLINK("Melting_Curves/meltCurve_Q14CX7_2_NAA25.pdf", "Melting_Curves/meltCurve_Q14CX7_2_NAA25.pdf")</f>
        <v>Melting_Curves/meltCurve_Q14CX7_2_NAA25.pdf</v>
      </c>
    </row>
    <row r="3027" spans="1:28" x14ac:dyDescent="0.25">
      <c r="A3027" t="s">
        <v>3031</v>
      </c>
      <c r="B3027">
        <v>0.99299721793515405</v>
      </c>
      <c r="C3027">
        <v>1.0976651311357799</v>
      </c>
      <c r="D3027">
        <v>1.10813056526769</v>
      </c>
      <c r="E3027">
        <v>1.0432335553657801</v>
      </c>
      <c r="F3027">
        <v>0.59276631307655103</v>
      </c>
      <c r="G3027">
        <v>0.49841162022271202</v>
      </c>
      <c r="H3027">
        <v>0.32483976430060602</v>
      </c>
      <c r="I3027">
        <v>0.53224919880900801</v>
      </c>
      <c r="J3027">
        <v>0.451537507642984</v>
      </c>
      <c r="K3027">
        <v>0</v>
      </c>
      <c r="L3027">
        <v>1792.87168002317</v>
      </c>
      <c r="M3027">
        <v>35.874223451765602</v>
      </c>
      <c r="N3027">
        <v>51.657243056760102</v>
      </c>
      <c r="O3027">
        <v>49.822066514986403</v>
      </c>
      <c r="P3027">
        <v>-0.11802078410250599</v>
      </c>
      <c r="Q3027">
        <v>0.34437375833134898</v>
      </c>
      <c r="R3027">
        <v>0.83744445559369995</v>
      </c>
      <c r="S3027" t="s">
        <v>8578</v>
      </c>
      <c r="T3027" t="s">
        <v>11100</v>
      </c>
      <c r="U3027" t="s">
        <v>11100</v>
      </c>
      <c r="V3027" t="s">
        <v>11100</v>
      </c>
      <c r="W3027" t="s">
        <v>14083</v>
      </c>
      <c r="X3027">
        <v>1</v>
      </c>
      <c r="Y3027" t="s">
        <v>19535</v>
      </c>
      <c r="Z3027" t="s">
        <v>25032</v>
      </c>
      <c r="AA3027">
        <v>0.63078331583718716</v>
      </c>
      <c r="AB3027" t="str">
        <f>HYPERLINK("Melting_Curves/meltCurve_Q14CZ7_FASTKD3.pdf", "Melting_Curves/meltCurve_Q14CZ7_FASTKD3.pdf")</f>
        <v>Melting_Curves/meltCurve_Q14CZ7_FASTKD3.pdf</v>
      </c>
    </row>
    <row r="3028" spans="1:28" x14ac:dyDescent="0.25">
      <c r="A3028" t="s">
        <v>3032</v>
      </c>
      <c r="B3028">
        <v>0.99299721793515405</v>
      </c>
      <c r="C3028">
        <v>0.96365105780530302</v>
      </c>
      <c r="D3028">
        <v>1.09144035384712</v>
      </c>
      <c r="E3028">
        <v>0.91900520520495499</v>
      </c>
      <c r="F3028">
        <v>0.76396727257716501</v>
      </c>
      <c r="G3028">
        <v>0.661824122453332</v>
      </c>
      <c r="H3028">
        <v>0.73962801162625602</v>
      </c>
      <c r="I3028">
        <v>0.84485135959302804</v>
      </c>
      <c r="J3028">
        <v>0.90408612896560103</v>
      </c>
      <c r="K3028">
        <v>0.66108404122910402</v>
      </c>
      <c r="L3028">
        <v>10645.5425738881</v>
      </c>
      <c r="M3028">
        <v>227.786885273683</v>
      </c>
      <c r="O3028">
        <v>46.731057480855</v>
      </c>
      <c r="P3028">
        <v>-0.28932924836780699</v>
      </c>
      <c r="Q3028">
        <v>0.76257348329990604</v>
      </c>
      <c r="R3028">
        <v>0.69713531626440195</v>
      </c>
      <c r="S3028" t="s">
        <v>8579</v>
      </c>
      <c r="T3028" t="s">
        <v>11100</v>
      </c>
      <c r="U3028" t="s">
        <v>11100</v>
      </c>
      <c r="V3028" t="s">
        <v>11100</v>
      </c>
      <c r="W3028" t="s">
        <v>14084</v>
      </c>
      <c r="X3028">
        <v>8</v>
      </c>
      <c r="Y3028" t="s">
        <v>19536</v>
      </c>
      <c r="Z3028" t="s">
        <v>25033</v>
      </c>
      <c r="AA3028">
        <v>0.83963915259974198</v>
      </c>
      <c r="AB3028" t="str">
        <f>HYPERLINK("Melting_Curves/meltCurve_Q15004_KIAA0101.pdf", "Melting_Curves/meltCurve_Q15004_KIAA0101.pdf")</f>
        <v>Melting_Curves/meltCurve_Q15004_KIAA0101.pdf</v>
      </c>
    </row>
    <row r="3029" spans="1:28" x14ac:dyDescent="0.25">
      <c r="A3029" t="s">
        <v>3033</v>
      </c>
      <c r="B3029">
        <v>0.99299721793515405</v>
      </c>
      <c r="C3029">
        <v>0.99264046053352295</v>
      </c>
      <c r="D3029">
        <v>0.89583585147273803</v>
      </c>
      <c r="E3029">
        <v>0.75886760628086902</v>
      </c>
      <c r="F3029">
        <v>0.71397021395761395</v>
      </c>
      <c r="G3029">
        <v>0.71314931422085903</v>
      </c>
      <c r="H3029">
        <v>0.74011850347280295</v>
      </c>
      <c r="I3029">
        <v>0.275611675146964</v>
      </c>
      <c r="J3029">
        <v>0.25236571502136601</v>
      </c>
      <c r="K3029">
        <v>0.161695355113157</v>
      </c>
      <c r="L3029">
        <v>491.405247408766</v>
      </c>
      <c r="M3029">
        <v>8.5309492167947205</v>
      </c>
      <c r="N3029">
        <v>57.602640933262101</v>
      </c>
      <c r="O3029">
        <v>54.699171611468799</v>
      </c>
      <c r="P3029">
        <v>-3.9024958796250897E-2</v>
      </c>
      <c r="Q3029">
        <v>0</v>
      </c>
      <c r="R3029">
        <v>0.88444955637092904</v>
      </c>
      <c r="S3029" t="s">
        <v>8580</v>
      </c>
      <c r="T3029" t="s">
        <v>11100</v>
      </c>
      <c r="U3029" t="s">
        <v>11100</v>
      </c>
      <c r="V3029" t="s">
        <v>11100</v>
      </c>
      <c r="W3029" t="s">
        <v>14085</v>
      </c>
      <c r="X3029">
        <v>3</v>
      </c>
      <c r="Y3029" t="s">
        <v>19537</v>
      </c>
      <c r="Z3029" t="s">
        <v>25034</v>
      </c>
      <c r="AA3029">
        <v>0.67358625089954038</v>
      </c>
      <c r="AB3029" t="str">
        <f>HYPERLINK("Melting_Curves/meltCurve_Q15006_EMC2.pdf", "Melting_Curves/meltCurve_Q15006_EMC2.pdf")</f>
        <v>Melting_Curves/meltCurve_Q15006_EMC2.pdf</v>
      </c>
    </row>
    <row r="3030" spans="1:28" x14ac:dyDescent="0.25">
      <c r="A3030" t="s">
        <v>3034</v>
      </c>
      <c r="B3030">
        <v>0.99299721793515405</v>
      </c>
      <c r="C3030">
        <v>0.93317095767013503</v>
      </c>
      <c r="D3030">
        <v>0.85960996829443503</v>
      </c>
      <c r="E3030">
        <v>0.81555985786935703</v>
      </c>
      <c r="F3030">
        <v>0.65121132611194898</v>
      </c>
      <c r="G3030">
        <v>0.44811772467250799</v>
      </c>
      <c r="H3030">
        <v>0.34413905201204698</v>
      </c>
      <c r="I3030">
        <v>0.34687517178493499</v>
      </c>
      <c r="J3030">
        <v>0.34563200546119699</v>
      </c>
      <c r="K3030">
        <v>0.33703759673567202</v>
      </c>
      <c r="L3030">
        <v>642.356791997193</v>
      </c>
      <c r="M3030">
        <v>12.9840302219178</v>
      </c>
      <c r="N3030">
        <v>53.053178868843297</v>
      </c>
      <c r="O3030">
        <v>48.343400633747599</v>
      </c>
      <c r="P3030">
        <v>-4.7558557961324903E-2</v>
      </c>
      <c r="Q3030">
        <v>0.29182715926034097</v>
      </c>
      <c r="R3030">
        <v>0.98376340838219001</v>
      </c>
      <c r="S3030" t="s">
        <v>8581</v>
      </c>
      <c r="T3030" t="s">
        <v>11100</v>
      </c>
      <c r="U3030" t="s">
        <v>11100</v>
      </c>
      <c r="V3030" t="s">
        <v>11100</v>
      </c>
      <c r="W3030" t="s">
        <v>14086</v>
      </c>
      <c r="X3030">
        <v>3</v>
      </c>
      <c r="Y3030" t="s">
        <v>19538</v>
      </c>
      <c r="Z3030" t="s">
        <v>25035</v>
      </c>
      <c r="AA3030">
        <v>0.60474820794058248</v>
      </c>
      <c r="AB3030" t="str">
        <f>HYPERLINK("Melting_Curves/meltCurve_Q15007_WTAP.pdf", "Melting_Curves/meltCurve_Q15007_WTAP.pdf")</f>
        <v>Melting_Curves/meltCurve_Q15007_WTAP.pdf</v>
      </c>
    </row>
    <row r="3031" spans="1:28" x14ac:dyDescent="0.25">
      <c r="A3031" t="s">
        <v>3035</v>
      </c>
      <c r="B3031">
        <v>0.99299721793515405</v>
      </c>
      <c r="C3031">
        <v>0.98970979851311403</v>
      </c>
      <c r="D3031">
        <v>0.95713164316369503</v>
      </c>
      <c r="E3031">
        <v>0.95004905397842898</v>
      </c>
      <c r="F3031">
        <v>0.78775362713868802</v>
      </c>
      <c r="G3031">
        <v>0.62970873803764504</v>
      </c>
      <c r="H3031">
        <v>0.52089837057266997</v>
      </c>
      <c r="I3031">
        <v>0.364088872901776</v>
      </c>
      <c r="J3031">
        <v>0.153783926944218</v>
      </c>
      <c r="K3031">
        <v>0.113448093707871</v>
      </c>
      <c r="L3031">
        <v>658.57025296595305</v>
      </c>
      <c r="M3031">
        <v>11.590610580446899</v>
      </c>
      <c r="N3031">
        <v>56.819289134028701</v>
      </c>
      <c r="O3031">
        <v>55.206942044268899</v>
      </c>
      <c r="P3031">
        <v>-5.2501578693582303E-2</v>
      </c>
      <c r="Q3031">
        <v>0</v>
      </c>
      <c r="R3031">
        <v>0.98823490952258897</v>
      </c>
      <c r="S3031" t="s">
        <v>8582</v>
      </c>
      <c r="T3031" t="s">
        <v>11100</v>
      </c>
      <c r="U3031" t="s">
        <v>11100</v>
      </c>
      <c r="V3031" t="s">
        <v>11100</v>
      </c>
      <c r="W3031" t="s">
        <v>14087</v>
      </c>
      <c r="X3031">
        <v>12</v>
      </c>
      <c r="Y3031" t="s">
        <v>16855</v>
      </c>
      <c r="Z3031" t="s">
        <v>25036</v>
      </c>
      <c r="AA3031">
        <v>0.66548466593866351</v>
      </c>
      <c r="AB3031" t="str">
        <f>HYPERLINK("Melting_Curves/meltCurve_Q15008_PSMD6.pdf", "Melting_Curves/meltCurve_Q15008_PSMD6.pdf")</f>
        <v>Melting_Curves/meltCurve_Q15008_PSMD6.pdf</v>
      </c>
    </row>
    <row r="3032" spans="1:28" x14ac:dyDescent="0.25">
      <c r="A3032" t="s">
        <v>3036</v>
      </c>
      <c r="B3032">
        <v>0.99299721793515405</v>
      </c>
      <c r="C3032">
        <v>0.86060632893975997</v>
      </c>
      <c r="D3032">
        <v>0.87070737959473599</v>
      </c>
      <c r="E3032">
        <v>0.77017382444566096</v>
      </c>
      <c r="F3032">
        <v>0.56101770941558204</v>
      </c>
      <c r="G3032">
        <v>0.46390924749608298</v>
      </c>
      <c r="H3032">
        <v>0.19865327369022201</v>
      </c>
      <c r="I3032">
        <v>0.23006713743895499</v>
      </c>
      <c r="J3032">
        <v>0.226934263527275</v>
      </c>
      <c r="K3032">
        <v>0.31462451408770098</v>
      </c>
      <c r="L3032">
        <v>603.214734441019</v>
      </c>
      <c r="M3032">
        <v>12.234650651825101</v>
      </c>
      <c r="N3032">
        <v>51.348927248276098</v>
      </c>
      <c r="O3032">
        <v>48.042101792891202</v>
      </c>
      <c r="P3032">
        <v>-5.13994882101734E-2</v>
      </c>
      <c r="Q3032">
        <v>0.19285399852683999</v>
      </c>
      <c r="R3032">
        <v>0.95543020111264199</v>
      </c>
      <c r="S3032" t="s">
        <v>8583</v>
      </c>
      <c r="T3032" t="s">
        <v>11100</v>
      </c>
      <c r="U3032" t="s">
        <v>11100</v>
      </c>
      <c r="V3032" t="s">
        <v>11100</v>
      </c>
      <c r="W3032" t="s">
        <v>14088</v>
      </c>
      <c r="X3032">
        <v>1</v>
      </c>
      <c r="Y3032" t="s">
        <v>19539</v>
      </c>
      <c r="Z3032" t="s">
        <v>25037</v>
      </c>
      <c r="AA3032">
        <v>0.54688420075391841</v>
      </c>
      <c r="AB3032" t="str">
        <f>HYPERLINK("Melting_Curves/meltCurve_Q15011_3_HERPUD1.pdf", "Melting_Curves/meltCurve_Q15011_3_HERPUD1.pdf")</f>
        <v>Melting_Curves/meltCurve_Q15011_3_HERPUD1.pdf</v>
      </c>
    </row>
    <row r="3033" spans="1:28" x14ac:dyDescent="0.25">
      <c r="A3033" t="s">
        <v>3037</v>
      </c>
      <c r="B3033">
        <v>0.99299721793515405</v>
      </c>
      <c r="C3033">
        <v>1.01695298380362</v>
      </c>
      <c r="D3033">
        <v>0.84082603946755896</v>
      </c>
      <c r="E3033">
        <v>0.83976673849471095</v>
      </c>
      <c r="F3033">
        <v>0.74259132319676402</v>
      </c>
      <c r="G3033">
        <v>0.50709537755543499</v>
      </c>
      <c r="H3033">
        <v>0.43229016145361299</v>
      </c>
      <c r="I3033">
        <v>0.37782086252582398</v>
      </c>
      <c r="J3033">
        <v>0.398803674057433</v>
      </c>
      <c r="K3033">
        <v>0.32585511976738202</v>
      </c>
      <c r="L3033">
        <v>586.38724275046104</v>
      </c>
      <c r="M3033">
        <v>11.4763097678458</v>
      </c>
      <c r="N3033">
        <v>55.383385467975998</v>
      </c>
      <c r="O3033">
        <v>49.617881607430597</v>
      </c>
      <c r="P3033">
        <v>-4.0813680200927398E-2</v>
      </c>
      <c r="Q3033">
        <v>0.29436955429626299</v>
      </c>
      <c r="R3033">
        <v>0.97331968049081996</v>
      </c>
      <c r="S3033" t="s">
        <v>8584</v>
      </c>
      <c r="T3033" t="s">
        <v>11100</v>
      </c>
      <c r="U3033" t="s">
        <v>11100</v>
      </c>
      <c r="V3033" t="s">
        <v>11100</v>
      </c>
      <c r="W3033" t="s">
        <v>14089</v>
      </c>
      <c r="X3033">
        <v>1</v>
      </c>
      <c r="Y3033" t="s">
        <v>19540</v>
      </c>
      <c r="Z3033" t="s">
        <v>25038</v>
      </c>
      <c r="AA3033">
        <v>0.64491864982716263</v>
      </c>
      <c r="AB3033" t="str">
        <f>HYPERLINK("Melting_Curves/meltCurve_Q15012_LAPTM4A.pdf", "Melting_Curves/meltCurve_Q15012_LAPTM4A.pdf")</f>
        <v>Melting_Curves/meltCurve_Q15012_LAPTM4A.pdf</v>
      </c>
    </row>
    <row r="3034" spans="1:28" x14ac:dyDescent="0.25">
      <c r="A3034" t="s">
        <v>3038</v>
      </c>
      <c r="B3034">
        <v>0.99299721793515405</v>
      </c>
      <c r="C3034">
        <v>1.03537957348281</v>
      </c>
      <c r="D3034">
        <v>0.90474121567222598</v>
      </c>
      <c r="E3034">
        <v>0.89499418141387499</v>
      </c>
      <c r="F3034">
        <v>0.77059398693470704</v>
      </c>
      <c r="G3034">
        <v>0.66653985237303504</v>
      </c>
      <c r="H3034">
        <v>0.32028710632155399</v>
      </c>
      <c r="I3034">
        <v>0.26189795280907002</v>
      </c>
      <c r="J3034">
        <v>0.127693002287735</v>
      </c>
      <c r="K3034">
        <v>0.130907582741811</v>
      </c>
      <c r="L3034">
        <v>691.10949186855896</v>
      </c>
      <c r="M3034">
        <v>12.4923912979266</v>
      </c>
      <c r="N3034">
        <v>55.348816783634597</v>
      </c>
      <c r="O3034">
        <v>53.962195816701097</v>
      </c>
      <c r="P3034">
        <v>-5.7715760452628197E-2</v>
      </c>
      <c r="Q3034">
        <v>2.96849311897619E-3</v>
      </c>
      <c r="R3034">
        <v>0.98327491401005296</v>
      </c>
      <c r="S3034" t="s">
        <v>8585</v>
      </c>
      <c r="T3034" t="s">
        <v>11100</v>
      </c>
      <c r="U3034" t="s">
        <v>11100</v>
      </c>
      <c r="V3034" t="s">
        <v>11100</v>
      </c>
      <c r="W3034" t="s">
        <v>14090</v>
      </c>
      <c r="X3034">
        <v>1</v>
      </c>
      <c r="Y3034" t="s">
        <v>19541</v>
      </c>
      <c r="Z3034" t="s">
        <v>25039</v>
      </c>
      <c r="AA3034">
        <v>0.62499248002298402</v>
      </c>
      <c r="AB3034" t="str">
        <f>HYPERLINK("Melting_Curves/meltCurve_Q15013_MAD2L1BP.pdf", "Melting_Curves/meltCurve_Q15013_MAD2L1BP.pdf")</f>
        <v>Melting_Curves/meltCurve_Q15013_MAD2L1BP.pdf</v>
      </c>
    </row>
    <row r="3035" spans="1:28" x14ac:dyDescent="0.25">
      <c r="A3035" t="s">
        <v>3039</v>
      </c>
      <c r="B3035">
        <v>0.99299721793515405</v>
      </c>
      <c r="C3035">
        <v>0.91645218847519605</v>
      </c>
      <c r="D3035">
        <v>0.91081286645791604</v>
      </c>
      <c r="E3035">
        <v>0.82709555644105504</v>
      </c>
      <c r="F3035">
        <v>0.76744683175679496</v>
      </c>
      <c r="G3035">
        <v>0.97204532372068098</v>
      </c>
      <c r="H3035">
        <v>0.92455450636952496</v>
      </c>
      <c r="I3035">
        <v>1.0679415660574101</v>
      </c>
      <c r="J3035">
        <v>0.93586304756105199</v>
      </c>
      <c r="K3035">
        <v>0.64361073574043104</v>
      </c>
      <c r="L3035">
        <v>81.349154889732702</v>
      </c>
      <c r="M3035">
        <v>1.0000000000000001E-5</v>
      </c>
      <c r="Q3035">
        <v>0.384686816313486</v>
      </c>
      <c r="R3035">
        <v>5.1895012624475198E-2</v>
      </c>
      <c r="S3035" t="s">
        <v>8586</v>
      </c>
      <c r="T3035" t="s">
        <v>11100</v>
      </c>
      <c r="U3035" t="s">
        <v>11100</v>
      </c>
      <c r="V3035" t="s">
        <v>11100</v>
      </c>
      <c r="W3035" t="s">
        <v>14091</v>
      </c>
      <c r="X3035">
        <v>9</v>
      </c>
      <c r="Y3035" t="s">
        <v>19542</v>
      </c>
      <c r="Z3035" t="s">
        <v>25040</v>
      </c>
      <c r="AA3035">
        <v>0.89534688653899674</v>
      </c>
      <c r="AB3035" t="str">
        <f>HYPERLINK("Melting_Curves/meltCurve_Q15018_FAM175B.pdf", "Melting_Curves/meltCurve_Q15018_FAM175B.pdf")</f>
        <v>Melting_Curves/meltCurve_Q15018_FAM175B.pdf</v>
      </c>
    </row>
    <row r="3036" spans="1:28" x14ac:dyDescent="0.25">
      <c r="A3036" t="s">
        <v>3040</v>
      </c>
      <c r="B3036">
        <v>0.99299721793515405</v>
      </c>
      <c r="C3036">
        <v>1.0121943921933301</v>
      </c>
      <c r="D3036">
        <v>0.98943139455736695</v>
      </c>
      <c r="E3036">
        <v>0.80159130503670994</v>
      </c>
      <c r="F3036">
        <v>0.68154321683387398</v>
      </c>
      <c r="G3036">
        <v>0.66233259009257395</v>
      </c>
      <c r="H3036">
        <v>0.68147030615846105</v>
      </c>
      <c r="I3036">
        <v>0.73742167336553699</v>
      </c>
      <c r="J3036">
        <v>0.62559539088809701</v>
      </c>
      <c r="K3036">
        <v>0.40732234734476003</v>
      </c>
      <c r="L3036">
        <v>866.44813680439495</v>
      </c>
      <c r="M3036">
        <v>18.321934611058101</v>
      </c>
      <c r="O3036">
        <v>46.7376577391708</v>
      </c>
      <c r="P3036">
        <v>-3.8804140339148502E-2</v>
      </c>
      <c r="Q3036">
        <v>0.60407430143499996</v>
      </c>
      <c r="R3036">
        <v>0.80990538338774998</v>
      </c>
      <c r="S3036" t="s">
        <v>8587</v>
      </c>
      <c r="T3036" t="s">
        <v>11100</v>
      </c>
      <c r="U3036" t="s">
        <v>11100</v>
      </c>
      <c r="V3036" t="s">
        <v>11100</v>
      </c>
      <c r="W3036" t="s">
        <v>11284</v>
      </c>
      <c r="X3036">
        <v>30</v>
      </c>
      <c r="Y3036" t="s">
        <v>16778</v>
      </c>
      <c r="Z3036" t="s">
        <v>25041</v>
      </c>
      <c r="AA3036">
        <v>0.74601767412733766</v>
      </c>
      <c r="AB3036" t="str">
        <f>HYPERLINK("Melting_Curves/meltCurve_Q15019_SEPT2.pdf", "Melting_Curves/meltCurve_Q15019_SEPT2.pdf")</f>
        <v>Melting_Curves/meltCurve_Q15019_SEPT2.pdf</v>
      </c>
    </row>
    <row r="3037" spans="1:28" x14ac:dyDescent="0.25">
      <c r="A3037" t="s">
        <v>3041</v>
      </c>
      <c r="B3037">
        <v>0.99299721793515405</v>
      </c>
      <c r="C3037">
        <v>0.90270190299596498</v>
      </c>
      <c r="D3037">
        <v>0.79890498065094195</v>
      </c>
      <c r="E3037">
        <v>0.67702625346502998</v>
      </c>
      <c r="F3037">
        <v>0.46771603290059</v>
      </c>
      <c r="G3037">
        <v>9.4797873765959703E-2</v>
      </c>
      <c r="H3037">
        <v>6.2901869759489901E-2</v>
      </c>
      <c r="I3037">
        <v>4.4182413060674101E-2</v>
      </c>
      <c r="J3037">
        <v>2.8241673962928801E-2</v>
      </c>
      <c r="K3037">
        <v>2.7840445777262E-2</v>
      </c>
      <c r="L3037">
        <v>709.56395972001803</v>
      </c>
      <c r="M3037">
        <v>14.6250614859482</v>
      </c>
      <c r="N3037">
        <v>48.516989898875302</v>
      </c>
      <c r="O3037">
        <v>47.636963163945197</v>
      </c>
      <c r="P3037">
        <v>-7.6761238397478698E-2</v>
      </c>
      <c r="Q3037">
        <v>0</v>
      </c>
      <c r="R3037">
        <v>0.98133502949758</v>
      </c>
      <c r="S3037" t="s">
        <v>8588</v>
      </c>
      <c r="T3037" t="s">
        <v>11100</v>
      </c>
      <c r="U3037" t="s">
        <v>11100</v>
      </c>
      <c r="V3037" t="s">
        <v>11100</v>
      </c>
      <c r="W3037" t="s">
        <v>14092</v>
      </c>
      <c r="X3037">
        <v>6</v>
      </c>
      <c r="Y3037" t="s">
        <v>19543</v>
      </c>
      <c r="Z3037" t="s">
        <v>25042</v>
      </c>
      <c r="AA3037">
        <v>0.40657434188087188</v>
      </c>
      <c r="AB3037" t="str">
        <f>HYPERLINK("Melting_Curves/meltCurve_Q15021_NCAPD2.pdf", "Melting_Curves/meltCurve_Q15021_NCAPD2.pdf")</f>
        <v>Melting_Curves/meltCurve_Q15021_NCAPD2.pdf</v>
      </c>
    </row>
    <row r="3038" spans="1:28" x14ac:dyDescent="0.25">
      <c r="A3038" t="s">
        <v>3042</v>
      </c>
      <c r="B3038">
        <v>0.99299721793515405</v>
      </c>
      <c r="C3038">
        <v>0.79549674561781802</v>
      </c>
      <c r="D3038">
        <v>0.873904199969884</v>
      </c>
      <c r="E3038">
        <v>0.885972463933691</v>
      </c>
      <c r="F3038">
        <v>0.91489622567471596</v>
      </c>
      <c r="G3038">
        <v>1.2293870635216899</v>
      </c>
      <c r="H3038">
        <v>1.7205934825701801</v>
      </c>
      <c r="I3038">
        <v>1.6903889452624501</v>
      </c>
      <c r="J3038">
        <v>1.14870259932941</v>
      </c>
      <c r="K3038">
        <v>0.71611301974368602</v>
      </c>
      <c r="L3038">
        <v>13399.402366586501</v>
      </c>
      <c r="M3038">
        <v>250</v>
      </c>
      <c r="O3038">
        <v>53.5941795554427</v>
      </c>
      <c r="P3038">
        <v>0.37194977851386701</v>
      </c>
      <c r="Q3038">
        <v>1.31894949118609</v>
      </c>
      <c r="R3038">
        <v>0.32211612840505099</v>
      </c>
      <c r="S3038" t="s">
        <v>8589</v>
      </c>
      <c r="T3038" t="s">
        <v>11100</v>
      </c>
      <c r="U3038" t="s">
        <v>11100</v>
      </c>
      <c r="V3038" t="s">
        <v>11100</v>
      </c>
      <c r="W3038" t="s">
        <v>14093</v>
      </c>
      <c r="X3038">
        <v>6</v>
      </c>
      <c r="Y3038" t="s">
        <v>19544</v>
      </c>
      <c r="Z3038" t="s">
        <v>25043</v>
      </c>
      <c r="AA3038">
        <v>1.142459520042977</v>
      </c>
      <c r="AB3038" t="str">
        <f>HYPERLINK("Melting_Curves/meltCurve_Q15024_EXOSC7.pdf", "Melting_Curves/meltCurve_Q15024_EXOSC7.pdf")</f>
        <v>Melting_Curves/meltCurve_Q15024_EXOSC7.pdf</v>
      </c>
    </row>
    <row r="3039" spans="1:28" x14ac:dyDescent="0.25">
      <c r="A3039" t="s">
        <v>3043</v>
      </c>
      <c r="B3039">
        <v>0.99299721793515405</v>
      </c>
      <c r="C3039">
        <v>0.962647700282945</v>
      </c>
      <c r="D3039">
        <v>0.90305783949933705</v>
      </c>
      <c r="E3039">
        <v>0.89400893613536703</v>
      </c>
      <c r="F3039">
        <v>0.81572908640227504</v>
      </c>
      <c r="G3039">
        <v>0.97022680252836402</v>
      </c>
      <c r="H3039">
        <v>1.5697283689383199</v>
      </c>
      <c r="I3039">
        <v>1.6122745673605201</v>
      </c>
      <c r="J3039">
        <v>0.79950542384623802</v>
      </c>
      <c r="K3039">
        <v>0.23812001669334201</v>
      </c>
      <c r="L3039">
        <v>15000</v>
      </c>
      <c r="M3039">
        <v>232.97953501944201</v>
      </c>
      <c r="N3039">
        <v>64.562461351416701</v>
      </c>
      <c r="O3039">
        <v>64.378593522455105</v>
      </c>
      <c r="P3039">
        <v>-0.68936894282388606</v>
      </c>
      <c r="Q3039">
        <v>0.238034314758754</v>
      </c>
      <c r="R3039">
        <v>0.448375242224472</v>
      </c>
      <c r="S3039" t="s">
        <v>8590</v>
      </c>
      <c r="T3039" t="s">
        <v>11100</v>
      </c>
      <c r="U3039" t="s">
        <v>11100</v>
      </c>
      <c r="V3039" t="s">
        <v>11100</v>
      </c>
      <c r="W3039" t="s">
        <v>14094</v>
      </c>
      <c r="X3039">
        <v>37</v>
      </c>
      <c r="Y3039" t="s">
        <v>19545</v>
      </c>
      <c r="Z3039" t="s">
        <v>25044</v>
      </c>
      <c r="AA3039">
        <v>0.93363804273865503</v>
      </c>
      <c r="AB3039" t="str">
        <f>HYPERLINK("Melting_Curves/meltCurve_Q15029_2_EFTUD2.pdf", "Melting_Curves/meltCurve_Q15029_2_EFTUD2.pdf")</f>
        <v>Melting_Curves/meltCurve_Q15029_2_EFTUD2.pdf</v>
      </c>
    </row>
    <row r="3040" spans="1:28" x14ac:dyDescent="0.25">
      <c r="A3040" t="s">
        <v>3044</v>
      </c>
      <c r="B3040">
        <v>0.99299721793515405</v>
      </c>
      <c r="C3040">
        <v>1.0122514939313201</v>
      </c>
      <c r="D3040">
        <v>0.92147306140080198</v>
      </c>
      <c r="E3040">
        <v>0.85988461824575402</v>
      </c>
      <c r="F3040">
        <v>0.72882175578349795</v>
      </c>
      <c r="G3040">
        <v>0.315015156350267</v>
      </c>
      <c r="H3040">
        <v>0.25556601021521003</v>
      </c>
      <c r="I3040">
        <v>0.15136261419914701</v>
      </c>
      <c r="J3040">
        <v>0.17825652572787101</v>
      </c>
      <c r="K3040">
        <v>0.140482642577548</v>
      </c>
      <c r="L3040">
        <v>1068.57326353844</v>
      </c>
      <c r="M3040">
        <v>20.840650332371901</v>
      </c>
      <c r="N3040">
        <v>52.1029129890821</v>
      </c>
      <c r="O3040">
        <v>50.808440926056498</v>
      </c>
      <c r="P3040">
        <v>-8.8071615513343998E-2</v>
      </c>
      <c r="Q3040">
        <v>0.141167610722052</v>
      </c>
      <c r="R3040">
        <v>0.98745913043937406</v>
      </c>
      <c r="S3040" t="s">
        <v>8591</v>
      </c>
      <c r="T3040" t="s">
        <v>11100</v>
      </c>
      <c r="U3040" t="s">
        <v>11100</v>
      </c>
      <c r="V3040" t="s">
        <v>11100</v>
      </c>
      <c r="W3040" t="s">
        <v>14095</v>
      </c>
      <c r="X3040">
        <v>7</v>
      </c>
      <c r="Y3040" t="s">
        <v>19546</v>
      </c>
      <c r="Z3040" t="s">
        <v>25045</v>
      </c>
      <c r="AA3040">
        <v>0.56025669845410797</v>
      </c>
      <c r="AB3040" t="str">
        <f>HYPERLINK("Melting_Curves/meltCurve_Q15031_LARS2.pdf", "Melting_Curves/meltCurve_Q15031_LARS2.pdf")</f>
        <v>Melting_Curves/meltCurve_Q15031_LARS2.pdf</v>
      </c>
    </row>
    <row r="3041" spans="1:28" x14ac:dyDescent="0.25">
      <c r="A3041" t="s">
        <v>3045</v>
      </c>
      <c r="B3041">
        <v>0.99299721793515405</v>
      </c>
      <c r="C3041">
        <v>1.2890554924414399</v>
      </c>
      <c r="D3041">
        <v>1.1482266038158699</v>
      </c>
      <c r="E3041">
        <v>1.08037875862745</v>
      </c>
      <c r="F3041">
        <v>0.79418126853726601</v>
      </c>
      <c r="G3041">
        <v>0.33013872290340701</v>
      </c>
      <c r="H3041">
        <v>0.25740128341875501</v>
      </c>
      <c r="I3041">
        <v>0.29475438159752598</v>
      </c>
      <c r="J3041">
        <v>0.27181308780962399</v>
      </c>
      <c r="K3041">
        <v>0.14338464982156099</v>
      </c>
      <c r="L3041">
        <v>2375.9938964008702</v>
      </c>
      <c r="M3041">
        <v>46.285995136565603</v>
      </c>
      <c r="N3041">
        <v>52.0754627693168</v>
      </c>
      <c r="O3041">
        <v>51.237345721288399</v>
      </c>
      <c r="P3041">
        <v>-0.171284119108637</v>
      </c>
      <c r="Q3041">
        <v>0.241573324274759</v>
      </c>
      <c r="R3041">
        <v>0.928036712150764</v>
      </c>
      <c r="S3041" t="s">
        <v>8592</v>
      </c>
      <c r="T3041" t="s">
        <v>11100</v>
      </c>
      <c r="U3041" t="s">
        <v>11100</v>
      </c>
      <c r="V3041" t="s">
        <v>11100</v>
      </c>
      <c r="W3041" t="s">
        <v>14096</v>
      </c>
      <c r="X3041">
        <v>1</v>
      </c>
      <c r="Y3041" t="s">
        <v>19547</v>
      </c>
      <c r="Z3041" t="s">
        <v>25046</v>
      </c>
      <c r="AA3041">
        <v>0.60592637933765803</v>
      </c>
      <c r="AB3041" t="str">
        <f>HYPERLINK("Melting_Curves/meltCurve_Q15032_2_R3HDM1.pdf", "Melting_Curves/meltCurve_Q15032_2_R3HDM1.pdf")</f>
        <v>Melting_Curves/meltCurve_Q15032_2_R3HDM1.pdf</v>
      </c>
    </row>
    <row r="3042" spans="1:28" x14ac:dyDescent="0.25">
      <c r="A3042" t="s">
        <v>3046</v>
      </c>
      <c r="B3042">
        <v>0.99299721793515405</v>
      </c>
      <c r="C3042">
        <v>0.98671483264336002</v>
      </c>
      <c r="D3042">
        <v>0.89304783518921105</v>
      </c>
      <c r="E3042">
        <v>0.88825195258165601</v>
      </c>
      <c r="F3042">
        <v>0.62007757980302303</v>
      </c>
      <c r="G3042">
        <v>0.289415244303941</v>
      </c>
      <c r="H3042">
        <v>0.223817044879072</v>
      </c>
      <c r="I3042">
        <v>0.20679629848277001</v>
      </c>
      <c r="J3042">
        <v>0.17916176226260799</v>
      </c>
      <c r="K3042">
        <v>0.19785458671896</v>
      </c>
      <c r="L3042">
        <v>1191.44501374334</v>
      </c>
      <c r="M3042">
        <v>23.7178543691969</v>
      </c>
      <c r="N3042">
        <v>51.216145006386</v>
      </c>
      <c r="O3042">
        <v>49.881075300543799</v>
      </c>
      <c r="P3042">
        <v>-9.7154975980842898E-2</v>
      </c>
      <c r="Q3042">
        <v>0.18270608283850701</v>
      </c>
      <c r="R3042">
        <v>0.99079982279368295</v>
      </c>
      <c r="S3042" t="s">
        <v>8593</v>
      </c>
      <c r="T3042" t="s">
        <v>11100</v>
      </c>
      <c r="U3042" t="s">
        <v>11100</v>
      </c>
      <c r="V3042" t="s">
        <v>11100</v>
      </c>
      <c r="W3042" t="s">
        <v>14097</v>
      </c>
      <c r="X3042">
        <v>14</v>
      </c>
      <c r="Y3042" t="s">
        <v>19548</v>
      </c>
      <c r="Z3042" t="s">
        <v>25047</v>
      </c>
      <c r="AA3042">
        <v>0.5511543654655513</v>
      </c>
      <c r="AB3042" t="str">
        <f>HYPERLINK("Melting_Curves/meltCurve_Q15036_2_SNX17.pdf", "Melting_Curves/meltCurve_Q15036_2_SNX17.pdf")</f>
        <v>Melting_Curves/meltCurve_Q15036_2_SNX17.pdf</v>
      </c>
    </row>
    <row r="3043" spans="1:28" x14ac:dyDescent="0.25">
      <c r="A3043" t="s">
        <v>3047</v>
      </c>
      <c r="B3043">
        <v>0.99299721793515405</v>
      </c>
      <c r="C3043">
        <v>0.67414551922794497</v>
      </c>
      <c r="D3043">
        <v>0.60475327248673905</v>
      </c>
      <c r="E3043">
        <v>0.70287275095533297</v>
      </c>
      <c r="F3043">
        <v>0.51522359982011501</v>
      </c>
      <c r="G3043">
        <v>0.25798795456363299</v>
      </c>
      <c r="H3043">
        <v>0.21155411055916001</v>
      </c>
      <c r="I3043">
        <v>0.68590305598336299</v>
      </c>
      <c r="J3043">
        <v>0.33720762086672001</v>
      </c>
      <c r="K3043">
        <v>0.30044027284640601</v>
      </c>
      <c r="L3043">
        <v>423.38351413930502</v>
      </c>
      <c r="M3043">
        <v>9.8864061291707497</v>
      </c>
      <c r="N3043">
        <v>48.478494161711303</v>
      </c>
      <c r="O3043">
        <v>41.183093811938498</v>
      </c>
      <c r="P3043">
        <v>-3.9500723013817601E-2</v>
      </c>
      <c r="Q3043">
        <v>0.34215274590177702</v>
      </c>
      <c r="R3043">
        <v>0.61816547582011305</v>
      </c>
      <c r="S3043" t="s">
        <v>8594</v>
      </c>
      <c r="T3043" t="s">
        <v>11100</v>
      </c>
      <c r="U3043" t="s">
        <v>11100</v>
      </c>
      <c r="V3043" t="s">
        <v>11100</v>
      </c>
      <c r="W3043" t="s">
        <v>14098</v>
      </c>
      <c r="X3043">
        <v>1</v>
      </c>
      <c r="Y3043" t="s">
        <v>19549</v>
      </c>
      <c r="Z3043" t="s">
        <v>25048</v>
      </c>
      <c r="AA3043">
        <v>0.50918218734167298</v>
      </c>
      <c r="AB3043" t="str">
        <f>HYPERLINK("Melting_Curves/meltCurve_Q15038_2_DAZAP2.pdf", "Melting_Curves/meltCurve_Q15038_2_DAZAP2.pdf")</f>
        <v>Melting_Curves/meltCurve_Q15038_2_DAZAP2.pdf</v>
      </c>
    </row>
    <row r="3044" spans="1:28" x14ac:dyDescent="0.25">
      <c r="A3044" t="s">
        <v>3048</v>
      </c>
      <c r="B3044">
        <v>0.99299721793515405</v>
      </c>
      <c r="C3044">
        <v>0.98010430994347197</v>
      </c>
      <c r="D3044">
        <v>0.92985518172356096</v>
      </c>
      <c r="E3044">
        <v>0.88476873754446494</v>
      </c>
      <c r="F3044">
        <v>0.72378735673490302</v>
      </c>
      <c r="G3044">
        <v>0.61658838983896902</v>
      </c>
      <c r="H3044">
        <v>0.67471851321215404</v>
      </c>
      <c r="I3044">
        <v>0.82250287751891504</v>
      </c>
      <c r="J3044">
        <v>0.982881433705034</v>
      </c>
      <c r="K3044">
        <v>0.80524351616794698</v>
      </c>
      <c r="L3044">
        <v>1341.73161791502</v>
      </c>
      <c r="M3044">
        <v>29.655064941756599</v>
      </c>
      <c r="O3044">
        <v>45.040365801318799</v>
      </c>
      <c r="P3044">
        <v>-3.7267287504644003E-2</v>
      </c>
      <c r="Q3044">
        <v>0.77359409324006401</v>
      </c>
      <c r="R3044">
        <v>0.46172893989038699</v>
      </c>
      <c r="S3044" t="s">
        <v>8595</v>
      </c>
      <c r="T3044" t="s">
        <v>11100</v>
      </c>
      <c r="U3044" t="s">
        <v>11100</v>
      </c>
      <c r="V3044" t="s">
        <v>11100</v>
      </c>
      <c r="W3044" t="s">
        <v>14099</v>
      </c>
      <c r="X3044">
        <v>3</v>
      </c>
      <c r="Y3044" t="s">
        <v>19550</v>
      </c>
      <c r="Z3044" t="s">
        <v>25049</v>
      </c>
      <c r="AA3044">
        <v>0.83712117405599951</v>
      </c>
      <c r="AB3044" t="str">
        <f>HYPERLINK("Melting_Curves/meltCurve_Q15043_2_SLC39A14.pdf", "Melting_Curves/meltCurve_Q15043_2_SLC39A14.pdf")</f>
        <v>Melting_Curves/meltCurve_Q15043_2_SLC39A14.pdf</v>
      </c>
    </row>
    <row r="3045" spans="1:28" x14ac:dyDescent="0.25">
      <c r="A3045" t="s">
        <v>3049</v>
      </c>
      <c r="B3045">
        <v>0.99299721793515405</v>
      </c>
      <c r="C3045">
        <v>0.94885407606086503</v>
      </c>
      <c r="D3045">
        <v>1.19162445644508</v>
      </c>
      <c r="E3045">
        <v>0.96086994887906596</v>
      </c>
      <c r="F3045">
        <v>1.0143108970661101</v>
      </c>
      <c r="G3045">
        <v>1.0005184187354299</v>
      </c>
      <c r="H3045">
        <v>1.1553823340454401</v>
      </c>
      <c r="I3045">
        <v>0.49593912349539099</v>
      </c>
      <c r="J3045">
        <v>0.24958635282136099</v>
      </c>
      <c r="K3045">
        <v>0.236464984774855</v>
      </c>
      <c r="L3045">
        <v>15000</v>
      </c>
      <c r="M3045">
        <v>246.59128121827601</v>
      </c>
      <c r="N3045">
        <v>60.994043675050797</v>
      </c>
      <c r="O3045">
        <v>60.825400406535799</v>
      </c>
      <c r="P3045">
        <v>-0.76721080522598295</v>
      </c>
      <c r="Q3045">
        <v>0.24302426227500001</v>
      </c>
      <c r="R3045">
        <v>0.94356516314500205</v>
      </c>
      <c r="S3045" t="s">
        <v>8596</v>
      </c>
      <c r="T3045" t="s">
        <v>11100</v>
      </c>
      <c r="U3045" t="s">
        <v>11100</v>
      </c>
      <c r="V3045" t="s">
        <v>11100</v>
      </c>
      <c r="W3045" t="s">
        <v>14100</v>
      </c>
      <c r="X3045">
        <v>6</v>
      </c>
      <c r="Y3045" t="s">
        <v>19551</v>
      </c>
      <c r="Z3045" t="s">
        <v>25050</v>
      </c>
      <c r="AA3045">
        <v>0.8443832771095483</v>
      </c>
      <c r="AB3045" t="str">
        <f>HYPERLINK("Melting_Curves/meltCurve_Q15046_KARS.pdf", "Melting_Curves/meltCurve_Q15046_KARS.pdf")</f>
        <v>Melting_Curves/meltCurve_Q15046_KARS.pdf</v>
      </c>
    </row>
    <row r="3046" spans="1:28" x14ac:dyDescent="0.25">
      <c r="A3046" t="s">
        <v>3050</v>
      </c>
      <c r="B3046">
        <v>0.99299721793515405</v>
      </c>
      <c r="C3046">
        <v>0.98173427262813795</v>
      </c>
      <c r="D3046">
        <v>0.88301136447994999</v>
      </c>
      <c r="E3046">
        <v>0.78038664411828396</v>
      </c>
      <c r="F3046">
        <v>0.49001815687710298</v>
      </c>
      <c r="G3046">
        <v>0.240888162863265</v>
      </c>
      <c r="H3046">
        <v>0.212986297929039</v>
      </c>
      <c r="I3046">
        <v>0.19748842431932701</v>
      </c>
      <c r="J3046">
        <v>0.17634356148118199</v>
      </c>
      <c r="K3046">
        <v>0.16511854444930099</v>
      </c>
      <c r="L3046">
        <v>919.31522551178398</v>
      </c>
      <c r="M3046">
        <v>18.836512647316098</v>
      </c>
      <c r="N3046">
        <v>49.836930448860798</v>
      </c>
      <c r="O3046">
        <v>48.264875060274598</v>
      </c>
      <c r="P3046">
        <v>-8.1815726121213794E-2</v>
      </c>
      <c r="Q3046">
        <v>0.16148747782155601</v>
      </c>
      <c r="R3046">
        <v>0.994470732347982</v>
      </c>
      <c r="S3046" t="s">
        <v>8597</v>
      </c>
      <c r="T3046" t="s">
        <v>11100</v>
      </c>
      <c r="U3046" t="s">
        <v>11100</v>
      </c>
      <c r="V3046" t="s">
        <v>11100</v>
      </c>
      <c r="W3046" t="s">
        <v>14101</v>
      </c>
      <c r="X3046">
        <v>4</v>
      </c>
      <c r="Y3046" t="s">
        <v>19552</v>
      </c>
      <c r="Z3046" t="s">
        <v>25051</v>
      </c>
      <c r="AA3046">
        <v>0.50375422715805729</v>
      </c>
      <c r="AB3046" t="str">
        <f>HYPERLINK("Melting_Curves/meltCurve_Q15047_3_SETDB1.pdf", "Melting_Curves/meltCurve_Q15047_3_SETDB1.pdf")</f>
        <v>Melting_Curves/meltCurve_Q15047_3_SETDB1.pdf</v>
      </c>
    </row>
    <row r="3047" spans="1:28" x14ac:dyDescent="0.25">
      <c r="A3047" t="s">
        <v>3051</v>
      </c>
      <c r="B3047">
        <v>0.99299721793515405</v>
      </c>
      <c r="C3047">
        <v>1.0132748218829899</v>
      </c>
      <c r="D3047">
        <v>0.84875550837207603</v>
      </c>
      <c r="E3047">
        <v>0.77072788322632002</v>
      </c>
      <c r="F3047">
        <v>0.318732317750684</v>
      </c>
      <c r="G3047">
        <v>0.174830315179651</v>
      </c>
      <c r="H3047">
        <v>0.16540609877778401</v>
      </c>
      <c r="I3047">
        <v>0.14387521746426599</v>
      </c>
      <c r="J3047">
        <v>0.14085197965503299</v>
      </c>
      <c r="K3047">
        <v>0.139439607427256</v>
      </c>
      <c r="L3047">
        <v>1223.97810041864</v>
      </c>
      <c r="M3047">
        <v>25.5204701965142</v>
      </c>
      <c r="N3047">
        <v>48.569990604594203</v>
      </c>
      <c r="O3047">
        <v>47.669066235178001</v>
      </c>
      <c r="P3047">
        <v>-0.11550844973595099</v>
      </c>
      <c r="Q3047">
        <v>0.13698901163245999</v>
      </c>
      <c r="R3047">
        <v>0.98825872266182202</v>
      </c>
      <c r="S3047" t="s">
        <v>8598</v>
      </c>
      <c r="T3047" t="s">
        <v>11100</v>
      </c>
      <c r="U3047" t="s">
        <v>11100</v>
      </c>
      <c r="V3047" t="s">
        <v>11100</v>
      </c>
      <c r="W3047" t="s">
        <v>14102</v>
      </c>
      <c r="X3047">
        <v>4</v>
      </c>
      <c r="Y3047" t="s">
        <v>19553</v>
      </c>
      <c r="Z3047" t="s">
        <v>25052</v>
      </c>
      <c r="AA3047">
        <v>0.45935009707010799</v>
      </c>
      <c r="AB3047" t="str">
        <f>HYPERLINK("Melting_Curves/meltCurve_Q15051_IQCB1.pdf", "Melting_Curves/meltCurve_Q15051_IQCB1.pdf")</f>
        <v>Melting_Curves/meltCurve_Q15051_IQCB1.pdf</v>
      </c>
    </row>
    <row r="3048" spans="1:28" x14ac:dyDescent="0.25">
      <c r="A3048" t="s">
        <v>3052</v>
      </c>
      <c r="B3048">
        <v>0.99299721793515405</v>
      </c>
      <c r="C3048">
        <v>1.0282102706549201</v>
      </c>
      <c r="D3048">
        <v>1.4582122712574099</v>
      </c>
      <c r="E3048">
        <v>0.99877081652215305</v>
      </c>
      <c r="F3048">
        <v>0.84844180931643098</v>
      </c>
      <c r="G3048">
        <v>0.62126578793455201</v>
      </c>
      <c r="H3048">
        <v>0.35406390929149101</v>
      </c>
      <c r="I3048">
        <v>0.33367223242224903</v>
      </c>
      <c r="J3048">
        <v>0.32932028291413401</v>
      </c>
      <c r="K3048">
        <v>0.38042488707723798</v>
      </c>
      <c r="L3048">
        <v>1562.5741613882301</v>
      </c>
      <c r="M3048">
        <v>29.542887308772801</v>
      </c>
      <c r="N3048">
        <v>54.953645088451097</v>
      </c>
      <c r="O3048">
        <v>52.6511688132763</v>
      </c>
      <c r="P3048">
        <v>-9.3288911141831798E-2</v>
      </c>
      <c r="Q3048">
        <v>0.33496891667105699</v>
      </c>
      <c r="R3048">
        <v>0.84045036967640696</v>
      </c>
      <c r="S3048" t="s">
        <v>8599</v>
      </c>
      <c r="T3048" t="s">
        <v>11100</v>
      </c>
      <c r="U3048" t="s">
        <v>11100</v>
      </c>
      <c r="V3048" t="s">
        <v>11100</v>
      </c>
      <c r="W3048" t="s">
        <v>14103</v>
      </c>
      <c r="X3048">
        <v>22</v>
      </c>
      <c r="Y3048" t="s">
        <v>19554</v>
      </c>
      <c r="Z3048" t="s">
        <v>25053</v>
      </c>
      <c r="AA3048">
        <v>0.6916051615985882</v>
      </c>
      <c r="AB3048" t="str">
        <f>HYPERLINK("Melting_Curves/meltCurve_Q15056_EIF4H.pdf", "Melting_Curves/meltCurve_Q15056_EIF4H.pdf")</f>
        <v>Melting_Curves/meltCurve_Q15056_EIF4H.pdf</v>
      </c>
    </row>
    <row r="3049" spans="1:28" x14ac:dyDescent="0.25">
      <c r="A3049" t="s">
        <v>3053</v>
      </c>
      <c r="B3049">
        <v>0.99299721793515405</v>
      </c>
      <c r="C3049">
        <v>1.02860785950926</v>
      </c>
      <c r="D3049">
        <v>1.0702829646282099</v>
      </c>
      <c r="E3049">
        <v>0.97969931511352504</v>
      </c>
      <c r="F3049">
        <v>0.77236863701243497</v>
      </c>
      <c r="G3049">
        <v>0.48702079350229699</v>
      </c>
      <c r="H3049">
        <v>0.32038448439447298</v>
      </c>
      <c r="I3049">
        <v>0.30177435547832399</v>
      </c>
      <c r="J3049">
        <v>0.33420497728960602</v>
      </c>
      <c r="K3049">
        <v>0.286879487134924</v>
      </c>
      <c r="L3049">
        <v>1459.6743356756999</v>
      </c>
      <c r="M3049">
        <v>28.263605809726101</v>
      </c>
      <c r="N3049">
        <v>53.378936238784199</v>
      </c>
      <c r="O3049">
        <v>51.388549888773802</v>
      </c>
      <c r="P3049">
        <v>-9.6200694793740799E-2</v>
      </c>
      <c r="Q3049">
        <v>0.30036197522256702</v>
      </c>
      <c r="R3049">
        <v>0.992101410613066</v>
      </c>
      <c r="S3049" t="s">
        <v>8600</v>
      </c>
      <c r="T3049" t="s">
        <v>11100</v>
      </c>
      <c r="U3049" t="s">
        <v>11100</v>
      </c>
      <c r="V3049" t="s">
        <v>11100</v>
      </c>
      <c r="W3049" t="s">
        <v>14104</v>
      </c>
      <c r="X3049">
        <v>22</v>
      </c>
      <c r="Y3049" t="s">
        <v>19554</v>
      </c>
      <c r="Z3049" t="s">
        <v>25054</v>
      </c>
      <c r="AA3049">
        <v>0.64683018307166928</v>
      </c>
      <c r="AB3049" t="str">
        <f>HYPERLINK("Melting_Curves/meltCurve_Q15056_2_EIF4H.pdf", "Melting_Curves/meltCurve_Q15056_2_EIF4H.pdf")</f>
        <v>Melting_Curves/meltCurve_Q15056_2_EIF4H.pdf</v>
      </c>
    </row>
    <row r="3050" spans="1:28" x14ac:dyDescent="0.25">
      <c r="A3050" t="s">
        <v>3054</v>
      </c>
      <c r="B3050">
        <v>0.99299721793515405</v>
      </c>
      <c r="C3050">
        <v>0.90675928132894201</v>
      </c>
      <c r="D3050">
        <v>1.0317436950005701</v>
      </c>
      <c r="E3050">
        <v>0.81455679659177005</v>
      </c>
      <c r="F3050">
        <v>0.73606791776782399</v>
      </c>
      <c r="G3050">
        <v>0.34391835650131303</v>
      </c>
      <c r="H3050">
        <v>0.15377082856625099</v>
      </c>
      <c r="I3050">
        <v>0.14797874553214899</v>
      </c>
      <c r="J3050">
        <v>0.132524234513127</v>
      </c>
      <c r="K3050">
        <v>0.15199168621794701</v>
      </c>
      <c r="L3050">
        <v>1118.9130860678499</v>
      </c>
      <c r="M3050">
        <v>21.762688589024201</v>
      </c>
      <c r="N3050">
        <v>52.047148685360298</v>
      </c>
      <c r="O3050">
        <v>50.986071502584601</v>
      </c>
      <c r="P3050">
        <v>-9.4306067399268403E-2</v>
      </c>
      <c r="Q3050">
        <v>0.116251867238334</v>
      </c>
      <c r="R3050">
        <v>0.97932964673788103</v>
      </c>
      <c r="S3050" t="s">
        <v>8601</v>
      </c>
      <c r="T3050" t="s">
        <v>11100</v>
      </c>
      <c r="U3050" t="s">
        <v>11100</v>
      </c>
      <c r="V3050" t="s">
        <v>11100</v>
      </c>
      <c r="W3050" t="s">
        <v>14105</v>
      </c>
      <c r="X3050">
        <v>5</v>
      </c>
      <c r="Y3050" t="s">
        <v>19555</v>
      </c>
      <c r="Z3050" t="s">
        <v>25055</v>
      </c>
      <c r="AA3050">
        <v>0.550872756681686</v>
      </c>
      <c r="AB3050" t="str">
        <f>HYPERLINK("Melting_Curves/meltCurve_Q15057_ACAP2.pdf", "Melting_Curves/meltCurve_Q15057_ACAP2.pdf")</f>
        <v>Melting_Curves/meltCurve_Q15057_ACAP2.pdf</v>
      </c>
    </row>
    <row r="3051" spans="1:28" x14ac:dyDescent="0.25">
      <c r="A3051" t="s">
        <v>3055</v>
      </c>
      <c r="B3051">
        <v>0.99299721793515405</v>
      </c>
      <c r="C3051">
        <v>1.0622981650787999</v>
      </c>
      <c r="D3051">
        <v>0.86287152288630597</v>
      </c>
      <c r="E3051">
        <v>0.78380490944627201</v>
      </c>
      <c r="F3051">
        <v>0.66924897982067999</v>
      </c>
      <c r="G3051">
        <v>0.28904267977896297</v>
      </c>
      <c r="H3051">
        <v>0.17394820984171799</v>
      </c>
      <c r="I3051">
        <v>0.14901459309688</v>
      </c>
      <c r="J3051">
        <v>0.123705323640953</v>
      </c>
      <c r="K3051">
        <v>0.108771038812008</v>
      </c>
      <c r="L3051">
        <v>804.87852704704301</v>
      </c>
      <c r="M3051">
        <v>15.8628340334495</v>
      </c>
      <c r="N3051">
        <v>51.288362181211703</v>
      </c>
      <c r="O3051">
        <v>49.954053688926003</v>
      </c>
      <c r="P3051">
        <v>-7.3199821470982598E-2</v>
      </c>
      <c r="Q3051">
        <v>7.8013170392342707E-2</v>
      </c>
      <c r="R3051">
        <v>0.98017928254143405</v>
      </c>
      <c r="S3051" t="s">
        <v>8602</v>
      </c>
      <c r="T3051" t="s">
        <v>11100</v>
      </c>
      <c r="U3051" t="s">
        <v>11100</v>
      </c>
      <c r="V3051" t="s">
        <v>11100</v>
      </c>
      <c r="W3051" t="s">
        <v>14106</v>
      </c>
      <c r="X3051">
        <v>6</v>
      </c>
      <c r="Y3051" t="s">
        <v>19556</v>
      </c>
      <c r="Z3051" t="s">
        <v>25056</v>
      </c>
      <c r="AA3051">
        <v>0.51764639485839903</v>
      </c>
      <c r="AB3051" t="str">
        <f>HYPERLINK("Melting_Curves/meltCurve_Q15059_BRD3.pdf", "Melting_Curves/meltCurve_Q15059_BRD3.pdf")</f>
        <v>Melting_Curves/meltCurve_Q15059_BRD3.pdf</v>
      </c>
    </row>
    <row r="3052" spans="1:28" x14ac:dyDescent="0.25">
      <c r="A3052" t="s">
        <v>3056</v>
      </c>
      <c r="B3052">
        <v>0.99299721793515405</v>
      </c>
      <c r="C3052">
        <v>0.89415934817475795</v>
      </c>
      <c r="D3052">
        <v>1.0037520272909199</v>
      </c>
      <c r="E3052">
        <v>0.79189456426642402</v>
      </c>
      <c r="F3052">
        <v>0.70326900543002102</v>
      </c>
      <c r="G3052">
        <v>1.6424766122727401</v>
      </c>
      <c r="H3052">
        <v>1.93979361821</v>
      </c>
      <c r="I3052">
        <v>1.4514016396193701</v>
      </c>
      <c r="J3052">
        <v>0.50725373619915304</v>
      </c>
      <c r="K3052">
        <v>0.256278448239948</v>
      </c>
      <c r="L3052">
        <v>15000</v>
      </c>
      <c r="M3052">
        <v>234.68372953044801</v>
      </c>
      <c r="N3052">
        <v>64.112095209404899</v>
      </c>
      <c r="O3052">
        <v>63.911165765415198</v>
      </c>
      <c r="P3052">
        <v>-0.68276680591694106</v>
      </c>
      <c r="Q3052">
        <v>0.256251423772689</v>
      </c>
      <c r="R3052">
        <v>0.32549219067774099</v>
      </c>
      <c r="S3052" t="s">
        <v>8603</v>
      </c>
      <c r="T3052" t="s">
        <v>11100</v>
      </c>
      <c r="U3052" t="s">
        <v>11100</v>
      </c>
      <c r="V3052" t="s">
        <v>11100</v>
      </c>
      <c r="W3052" t="s">
        <v>14107</v>
      </c>
      <c r="X3052">
        <v>7</v>
      </c>
      <c r="Y3052" t="s">
        <v>19557</v>
      </c>
      <c r="Z3052" t="s">
        <v>25057</v>
      </c>
      <c r="AA3052">
        <v>0.92363238814579496</v>
      </c>
      <c r="AB3052" t="str">
        <f>HYPERLINK("Melting_Curves/meltCurve_Q15061_WDR43.pdf", "Melting_Curves/meltCurve_Q15061_WDR43.pdf")</f>
        <v>Melting_Curves/meltCurve_Q15061_WDR43.pdf</v>
      </c>
    </row>
    <row r="3053" spans="1:28" x14ac:dyDescent="0.25">
      <c r="A3053" t="s">
        <v>3057</v>
      </c>
      <c r="B3053">
        <v>0.99299721793515405</v>
      </c>
      <c r="C3053">
        <v>0.911887102576179</v>
      </c>
      <c r="D3053">
        <v>0.87160975577425404</v>
      </c>
      <c r="E3053">
        <v>0.85513877282522299</v>
      </c>
      <c r="F3053">
        <v>0.74472201994095</v>
      </c>
      <c r="G3053">
        <v>0.62046328838812403</v>
      </c>
      <c r="H3053">
        <v>0.57233393915092401</v>
      </c>
      <c r="I3053">
        <v>0.49138648470541502</v>
      </c>
      <c r="J3053">
        <v>0.44754667454997699</v>
      </c>
      <c r="K3053">
        <v>0.33519464823016898</v>
      </c>
      <c r="L3053">
        <v>319.990786910959</v>
      </c>
      <c r="M3053">
        <v>5.3212870951879099</v>
      </c>
      <c r="N3053">
        <v>60.134095638979801</v>
      </c>
      <c r="O3053">
        <v>53.217965655104997</v>
      </c>
      <c r="P3053">
        <v>-2.5121169660702301E-2</v>
      </c>
      <c r="Q3053">
        <v>0</v>
      </c>
      <c r="R3053">
        <v>0.986944346475085</v>
      </c>
      <c r="S3053" t="s">
        <v>8604</v>
      </c>
      <c r="T3053" t="s">
        <v>11100</v>
      </c>
      <c r="U3053" t="s">
        <v>11100</v>
      </c>
      <c r="V3053" t="s">
        <v>11100</v>
      </c>
      <c r="W3053" t="s">
        <v>14108</v>
      </c>
      <c r="X3053">
        <v>7</v>
      </c>
      <c r="Y3053" t="s">
        <v>19558</v>
      </c>
      <c r="Z3053" t="s">
        <v>25058</v>
      </c>
      <c r="AA3053">
        <v>0.68727477398913739</v>
      </c>
      <c r="AB3053" t="str">
        <f>HYPERLINK("Melting_Curves/meltCurve_Q15067_2_ACOX1.pdf", "Melting_Curves/meltCurve_Q15067_2_ACOX1.pdf")</f>
        <v>Melting_Curves/meltCurve_Q15067_2_ACOX1.pdf</v>
      </c>
    </row>
    <row r="3054" spans="1:28" x14ac:dyDescent="0.25">
      <c r="A3054" t="s">
        <v>3058</v>
      </c>
      <c r="B3054">
        <v>0.99299721793515405</v>
      </c>
      <c r="C3054">
        <v>0.97599739326089996</v>
      </c>
      <c r="D3054">
        <v>0.94541696091843497</v>
      </c>
      <c r="E3054">
        <v>0.84332483269334102</v>
      </c>
      <c r="F3054">
        <v>0.73113453854246502</v>
      </c>
      <c r="G3054">
        <v>0.52891488511284201</v>
      </c>
      <c r="H3054">
        <v>0.59973193450774698</v>
      </c>
      <c r="I3054">
        <v>0.70681174667596303</v>
      </c>
      <c r="J3054">
        <v>0.80369365410480698</v>
      </c>
      <c r="K3054">
        <v>0.69636685610235804</v>
      </c>
      <c r="L3054">
        <v>1390.56592945376</v>
      </c>
      <c r="M3054">
        <v>29.873479362302401</v>
      </c>
      <c r="O3054">
        <v>46.341416647609996</v>
      </c>
      <c r="P3054">
        <v>-5.29492844440324E-2</v>
      </c>
      <c r="Q3054">
        <v>0.67145058139908698</v>
      </c>
      <c r="R3054">
        <v>0.78420790427370102</v>
      </c>
      <c r="S3054" t="s">
        <v>8605</v>
      </c>
      <c r="T3054" t="s">
        <v>11100</v>
      </c>
      <c r="U3054" t="s">
        <v>11100</v>
      </c>
      <c r="V3054" t="s">
        <v>11100</v>
      </c>
      <c r="W3054" t="s">
        <v>14109</v>
      </c>
      <c r="X3054">
        <v>98</v>
      </c>
      <c r="Y3054" t="s">
        <v>19559</v>
      </c>
      <c r="Z3054" t="s">
        <v>25059</v>
      </c>
      <c r="AA3054">
        <v>0.77793223762734687</v>
      </c>
      <c r="AB3054" t="str">
        <f>HYPERLINK("Melting_Curves/meltCurve_Q15075_EEA1.pdf", "Melting_Curves/meltCurve_Q15075_EEA1.pdf")</f>
        <v>Melting_Curves/meltCurve_Q15075_EEA1.pdf</v>
      </c>
    </row>
    <row r="3055" spans="1:28" x14ac:dyDescent="0.25">
      <c r="A3055" t="s">
        <v>3059</v>
      </c>
      <c r="B3055">
        <v>0.99299721793515405</v>
      </c>
      <c r="C3055">
        <v>0.95061109565844004</v>
      </c>
      <c r="D3055">
        <v>1.06929743888724</v>
      </c>
      <c r="E3055">
        <v>0.85356601259193299</v>
      </c>
      <c r="F3055">
        <v>0.66006027644329501</v>
      </c>
      <c r="G3055">
        <v>0.27784108572856198</v>
      </c>
      <c r="H3055">
        <v>0.156955558201746</v>
      </c>
      <c r="I3055">
        <v>0.124802304036896</v>
      </c>
      <c r="J3055">
        <v>0.120384780609255</v>
      </c>
      <c r="K3055">
        <v>0.128589507067427</v>
      </c>
      <c r="L3055">
        <v>1236.97979087918</v>
      </c>
      <c r="M3055">
        <v>24.320545753726801</v>
      </c>
      <c r="N3055">
        <v>51.397880971097301</v>
      </c>
      <c r="O3055">
        <v>50.521365712999803</v>
      </c>
      <c r="P3055">
        <v>-0.106861270640384</v>
      </c>
      <c r="Q3055">
        <v>0.11207609389396</v>
      </c>
      <c r="R3055">
        <v>0.99061199492900398</v>
      </c>
      <c r="S3055" t="s">
        <v>8606</v>
      </c>
      <c r="T3055" t="s">
        <v>11100</v>
      </c>
      <c r="U3055" t="s">
        <v>11100</v>
      </c>
      <c r="V3055" t="s">
        <v>11100</v>
      </c>
      <c r="W3055" t="s">
        <v>14110</v>
      </c>
      <c r="X3055">
        <v>14</v>
      </c>
      <c r="Y3055" t="s">
        <v>19560</v>
      </c>
      <c r="Z3055" t="s">
        <v>25060</v>
      </c>
      <c r="AA3055">
        <v>0.53057853213743156</v>
      </c>
      <c r="AB3055" t="str">
        <f>HYPERLINK("Melting_Curves/meltCurve_Q15102_PAFAH1B3.pdf", "Melting_Curves/meltCurve_Q15102_PAFAH1B3.pdf")</f>
        <v>Melting_Curves/meltCurve_Q15102_PAFAH1B3.pdf</v>
      </c>
    </row>
    <row r="3056" spans="1:28" x14ac:dyDescent="0.25">
      <c r="A3056" t="s">
        <v>3060</v>
      </c>
      <c r="B3056">
        <v>0.99299721793515405</v>
      </c>
      <c r="C3056">
        <v>1.15725194107991</v>
      </c>
      <c r="D3056">
        <v>1.01469173128788</v>
      </c>
      <c r="E3056">
        <v>1.0089782844778801</v>
      </c>
      <c r="F3056">
        <v>0.79900148765303203</v>
      </c>
      <c r="G3056">
        <v>0.53704184530478705</v>
      </c>
      <c r="H3056">
        <v>0.58240756169254904</v>
      </c>
      <c r="I3056">
        <v>0.437618539117692</v>
      </c>
      <c r="J3056">
        <v>0.658110964691352</v>
      </c>
      <c r="K3056">
        <v>0.39163422187725999</v>
      </c>
      <c r="L3056">
        <v>2610.7687569088898</v>
      </c>
      <c r="M3056">
        <v>51.658065315842997</v>
      </c>
      <c r="O3056">
        <v>50.463855042581301</v>
      </c>
      <c r="P3056">
        <v>-0.123604080280535</v>
      </c>
      <c r="Q3056">
        <v>0.51701375512321801</v>
      </c>
      <c r="R3056">
        <v>0.89383570987969096</v>
      </c>
      <c r="S3056" t="s">
        <v>8607</v>
      </c>
      <c r="T3056" t="s">
        <v>11100</v>
      </c>
      <c r="U3056" t="s">
        <v>11100</v>
      </c>
      <c r="V3056" t="s">
        <v>11100</v>
      </c>
      <c r="W3056" t="s">
        <v>14111</v>
      </c>
      <c r="X3056">
        <v>3</v>
      </c>
      <c r="Y3056" t="s">
        <v>19561</v>
      </c>
      <c r="Z3056" t="s">
        <v>25061</v>
      </c>
      <c r="AA3056">
        <v>0.73600050986714805</v>
      </c>
      <c r="AB3056" t="str">
        <f>HYPERLINK("Melting_Curves/meltCurve_Q15111_PLCL1.pdf", "Melting_Curves/meltCurve_Q15111_PLCL1.pdf")</f>
        <v>Melting_Curves/meltCurve_Q15111_PLCL1.pdf</v>
      </c>
    </row>
    <row r="3057" spans="1:28" x14ac:dyDescent="0.25">
      <c r="A3057" t="s">
        <v>3061</v>
      </c>
      <c r="B3057">
        <v>0.99299721793515405</v>
      </c>
      <c r="C3057">
        <v>0.98947107379822596</v>
      </c>
      <c r="D3057">
        <v>0.84262132844194104</v>
      </c>
      <c r="E3057">
        <v>0.88269472662445203</v>
      </c>
      <c r="F3057">
        <v>0.64569271922178895</v>
      </c>
      <c r="G3057">
        <v>0.23854628033645001</v>
      </c>
      <c r="H3057">
        <v>0.20722113071936801</v>
      </c>
      <c r="I3057">
        <v>0.168093767737549</v>
      </c>
      <c r="J3057">
        <v>0.14440211496954899</v>
      </c>
      <c r="K3057">
        <v>0.111823246130808</v>
      </c>
      <c r="L3057">
        <v>1130.72062030385</v>
      </c>
      <c r="M3057">
        <v>22.372455320666798</v>
      </c>
      <c r="N3057">
        <v>51.2135005798837</v>
      </c>
      <c r="O3057">
        <v>50.142147529472503</v>
      </c>
      <c r="P3057">
        <v>-9.7345191004529402E-2</v>
      </c>
      <c r="Q3057">
        <v>0.127320675227654</v>
      </c>
      <c r="R3057">
        <v>0.978271301453838</v>
      </c>
      <c r="S3057" t="s">
        <v>8608</v>
      </c>
      <c r="T3057" t="s">
        <v>11100</v>
      </c>
      <c r="U3057" t="s">
        <v>11100</v>
      </c>
      <c r="V3057" t="s">
        <v>11100</v>
      </c>
      <c r="W3057" t="s">
        <v>14112</v>
      </c>
      <c r="X3057">
        <v>3</v>
      </c>
      <c r="Y3057" t="s">
        <v>19562</v>
      </c>
      <c r="Z3057" t="s">
        <v>25062</v>
      </c>
      <c r="AA3057">
        <v>0.5306275124248192</v>
      </c>
      <c r="AB3057" t="str">
        <f>HYPERLINK("Melting_Curves/meltCurve_Q15118_PDK1.pdf", "Melting_Curves/meltCurve_Q15118_PDK1.pdf")</f>
        <v>Melting_Curves/meltCurve_Q15118_PDK1.pdf</v>
      </c>
    </row>
    <row r="3058" spans="1:28" x14ac:dyDescent="0.25">
      <c r="A3058" t="s">
        <v>3062</v>
      </c>
      <c r="B3058">
        <v>0.99299721793515405</v>
      </c>
      <c r="C3058">
        <v>0.91211343973439296</v>
      </c>
      <c r="D3058">
        <v>0.758153146653743</v>
      </c>
      <c r="E3058">
        <v>0.73724163379416496</v>
      </c>
      <c r="F3058">
        <v>0.55870684049185104</v>
      </c>
      <c r="G3058">
        <v>0.35794970096624901</v>
      </c>
      <c r="H3058">
        <v>0.19560523891249601</v>
      </c>
      <c r="I3058">
        <v>0.16177336915137999</v>
      </c>
      <c r="J3058">
        <v>0.14060333021143001</v>
      </c>
      <c r="K3058">
        <v>0.11869777011089599</v>
      </c>
      <c r="L3058">
        <v>467.9426009156</v>
      </c>
      <c r="M3058">
        <v>9.2561038709572294</v>
      </c>
      <c r="N3058">
        <v>50.585996837283503</v>
      </c>
      <c r="O3058">
        <v>48.363359130936601</v>
      </c>
      <c r="P3058">
        <v>-4.7742649156955301E-2</v>
      </c>
      <c r="Q3058">
        <v>2.82527027854482E-3</v>
      </c>
      <c r="R3058">
        <v>0.98564633175209904</v>
      </c>
      <c r="S3058" t="s">
        <v>8609</v>
      </c>
      <c r="T3058" t="s">
        <v>11100</v>
      </c>
      <c r="U3058" t="s">
        <v>11100</v>
      </c>
      <c r="V3058" t="s">
        <v>11100</v>
      </c>
      <c r="W3058" t="s">
        <v>14113</v>
      </c>
      <c r="X3058">
        <v>5</v>
      </c>
      <c r="Y3058" t="s">
        <v>19563</v>
      </c>
      <c r="Z3058" t="s">
        <v>25063</v>
      </c>
      <c r="AA3058">
        <v>0.48735702950952259</v>
      </c>
      <c r="AB3058" t="str">
        <f>HYPERLINK("Melting_Curves/meltCurve_Q15120_PDK3.pdf", "Melting_Curves/meltCurve_Q15120_PDK3.pdf")</f>
        <v>Melting_Curves/meltCurve_Q15120_PDK3.pdf</v>
      </c>
    </row>
    <row r="3059" spans="1:28" x14ac:dyDescent="0.25">
      <c r="A3059" t="s">
        <v>3063</v>
      </c>
      <c r="B3059">
        <v>0.99299721793515405</v>
      </c>
      <c r="C3059">
        <v>1.00986716473609</v>
      </c>
      <c r="D3059">
        <v>1.0945863617773499</v>
      </c>
      <c r="E3059">
        <v>0.86621918850954605</v>
      </c>
      <c r="F3059">
        <v>0.733708173130455</v>
      </c>
      <c r="G3059">
        <v>0.53876700248748999</v>
      </c>
      <c r="H3059">
        <v>0.51606462476408099</v>
      </c>
      <c r="I3059">
        <v>0.66602917066047895</v>
      </c>
      <c r="J3059">
        <v>0.61888805177718298</v>
      </c>
      <c r="K3059">
        <v>0.52246779743205896</v>
      </c>
      <c r="L3059">
        <v>1458.7966222008299</v>
      </c>
      <c r="M3059">
        <v>29.997705995039802</v>
      </c>
      <c r="O3059">
        <v>48.415709858720803</v>
      </c>
      <c r="P3059">
        <v>-6.6303266135019606E-2</v>
      </c>
      <c r="Q3059">
        <v>0.57195424742217504</v>
      </c>
      <c r="R3059">
        <v>0.92095515296575103</v>
      </c>
      <c r="S3059" t="s">
        <v>8610</v>
      </c>
      <c r="T3059" t="s">
        <v>11100</v>
      </c>
      <c r="U3059" t="s">
        <v>11100</v>
      </c>
      <c r="V3059" t="s">
        <v>11100</v>
      </c>
      <c r="W3059" t="s">
        <v>14114</v>
      </c>
      <c r="X3059">
        <v>1</v>
      </c>
      <c r="Y3059" t="s">
        <v>19564</v>
      </c>
      <c r="Z3059" t="s">
        <v>25064</v>
      </c>
      <c r="AA3059">
        <v>0.74046235382493308</v>
      </c>
      <c r="AB3059" t="str">
        <f>HYPERLINK("Melting_Curves/meltCurve_Q15125_EBP.pdf", "Melting_Curves/meltCurve_Q15125_EBP.pdf")</f>
        <v>Melting_Curves/meltCurve_Q15125_EBP.pdf</v>
      </c>
    </row>
    <row r="3060" spans="1:28" x14ac:dyDescent="0.25">
      <c r="A3060" t="s">
        <v>3064</v>
      </c>
      <c r="B3060">
        <v>0.99299721793515405</v>
      </c>
      <c r="C3060">
        <v>0.95919548788027797</v>
      </c>
      <c r="D3060">
        <v>0.95462724709311397</v>
      </c>
      <c r="E3060">
        <v>0.91887360262191897</v>
      </c>
      <c r="F3060">
        <v>0.54713246869503596</v>
      </c>
      <c r="G3060">
        <v>0.20419142846681301</v>
      </c>
      <c r="H3060">
        <v>0.16120842708468899</v>
      </c>
      <c r="I3060">
        <v>0.15584043037252801</v>
      </c>
      <c r="J3060">
        <v>0.14910431322119599</v>
      </c>
      <c r="K3060">
        <v>0.12937824336225601</v>
      </c>
      <c r="L3060">
        <v>1611.8804492798199</v>
      </c>
      <c r="M3060">
        <v>32.255624031471598</v>
      </c>
      <c r="N3060">
        <v>50.494553454757799</v>
      </c>
      <c r="O3060">
        <v>49.781174721077001</v>
      </c>
      <c r="P3060">
        <v>-0.139004055003946</v>
      </c>
      <c r="Q3060">
        <v>0.14188590713625901</v>
      </c>
      <c r="R3060">
        <v>0.99711726479120399</v>
      </c>
      <c r="S3060" t="s">
        <v>8611</v>
      </c>
      <c r="T3060" t="s">
        <v>11100</v>
      </c>
      <c r="U3060" t="s">
        <v>11100</v>
      </c>
      <c r="V3060" t="s">
        <v>11100</v>
      </c>
      <c r="W3060" t="s">
        <v>14115</v>
      </c>
      <c r="X3060">
        <v>17</v>
      </c>
      <c r="Y3060" t="s">
        <v>19565</v>
      </c>
      <c r="Z3060" t="s">
        <v>25065</v>
      </c>
      <c r="AA3060">
        <v>0.5174945637406404</v>
      </c>
      <c r="AB3060" t="str">
        <f>HYPERLINK("Melting_Curves/meltCurve_Q15126_PMVK.pdf", "Melting_Curves/meltCurve_Q15126_PMVK.pdf")</f>
        <v>Melting_Curves/meltCurve_Q15126_PMVK.pdf</v>
      </c>
    </row>
    <row r="3061" spans="1:28" x14ac:dyDescent="0.25">
      <c r="A3061" t="s">
        <v>3065</v>
      </c>
      <c r="B3061">
        <v>0.99299721793515405</v>
      </c>
      <c r="C3061">
        <v>0.961969050124865</v>
      </c>
      <c r="D3061">
        <v>0.95321814475548305</v>
      </c>
      <c r="E3061">
        <v>0.79365056216757901</v>
      </c>
      <c r="F3061">
        <v>0.62479232800193696</v>
      </c>
      <c r="G3061">
        <v>0.40982399689825</v>
      </c>
      <c r="H3061">
        <v>0.26636678148734699</v>
      </c>
      <c r="I3061">
        <v>0.21485631085424201</v>
      </c>
      <c r="J3061">
        <v>0.19110285773788799</v>
      </c>
      <c r="K3061">
        <v>0.160820330978376</v>
      </c>
      <c r="L3061">
        <v>708.74414349363803</v>
      </c>
      <c r="M3061">
        <v>13.9304286208432</v>
      </c>
      <c r="N3061">
        <v>52.047828563340403</v>
      </c>
      <c r="O3061">
        <v>49.8633589161713</v>
      </c>
      <c r="P3061">
        <v>-6.0459416848315697E-2</v>
      </c>
      <c r="Q3061">
        <v>0.13446944796749599</v>
      </c>
      <c r="R3061">
        <v>0.99851244011237095</v>
      </c>
      <c r="S3061" t="s">
        <v>8612</v>
      </c>
      <c r="T3061" t="s">
        <v>11100</v>
      </c>
      <c r="U3061" t="s">
        <v>11100</v>
      </c>
      <c r="V3061" t="s">
        <v>11100</v>
      </c>
      <c r="W3061" t="s">
        <v>14116</v>
      </c>
      <c r="X3061">
        <v>65</v>
      </c>
      <c r="Y3061" t="s">
        <v>19566</v>
      </c>
      <c r="Z3061" t="s">
        <v>25066</v>
      </c>
      <c r="AA3061">
        <v>0.554097336250999</v>
      </c>
      <c r="AB3061" t="str">
        <f>HYPERLINK("Melting_Curves/meltCurve_Q15149_4_PLEC.pdf", "Melting_Curves/meltCurve_Q15149_4_PLEC.pdf")</f>
        <v>Melting_Curves/meltCurve_Q15149_4_PLEC.pdf</v>
      </c>
    </row>
    <row r="3062" spans="1:28" x14ac:dyDescent="0.25">
      <c r="A3062" t="s">
        <v>3066</v>
      </c>
      <c r="B3062">
        <v>0.99299721793515405</v>
      </c>
      <c r="C3062">
        <v>0.892790027386822</v>
      </c>
      <c r="D3062">
        <v>1.3091902175432</v>
      </c>
      <c r="E3062">
        <v>0.78886516006015694</v>
      </c>
      <c r="F3062">
        <v>0.96857034691470001</v>
      </c>
      <c r="G3062">
        <v>0.51449531990083397</v>
      </c>
      <c r="H3062">
        <v>0.34900413731093999</v>
      </c>
      <c r="I3062">
        <v>0.136270536260481</v>
      </c>
      <c r="J3062">
        <v>7.9551945564223001E-2</v>
      </c>
      <c r="K3062">
        <v>0</v>
      </c>
      <c r="L3062">
        <v>1028.6143530311299</v>
      </c>
      <c r="M3062">
        <v>18.733517023036399</v>
      </c>
      <c r="N3062">
        <v>54.907704263676003</v>
      </c>
      <c r="O3062">
        <v>54.293507879719201</v>
      </c>
      <c r="P3062">
        <v>-8.6264027494804496E-2</v>
      </c>
      <c r="Q3062">
        <v>0</v>
      </c>
      <c r="R3062">
        <v>0.91002363244495399</v>
      </c>
      <c r="S3062" t="s">
        <v>8613</v>
      </c>
      <c r="T3062" t="s">
        <v>11100</v>
      </c>
      <c r="U3062" t="s">
        <v>11100</v>
      </c>
      <c r="V3062" t="s">
        <v>11100</v>
      </c>
      <c r="W3062" t="s">
        <v>14117</v>
      </c>
      <c r="X3062">
        <v>24</v>
      </c>
      <c r="Y3062" t="s">
        <v>19567</v>
      </c>
      <c r="Z3062" t="s">
        <v>25067</v>
      </c>
      <c r="AA3062">
        <v>0.60915305657140417</v>
      </c>
      <c r="AB3062" t="str">
        <f>HYPERLINK("Melting_Curves/meltCurve_Q15155_NOMO1.pdf", "Melting_Curves/meltCurve_Q15155_NOMO1.pdf")</f>
        <v>Melting_Curves/meltCurve_Q15155_NOMO1.pdf</v>
      </c>
    </row>
    <row r="3063" spans="1:28" x14ac:dyDescent="0.25">
      <c r="A3063" t="s">
        <v>3067</v>
      </c>
      <c r="B3063">
        <v>0.99299721793515405</v>
      </c>
      <c r="C3063">
        <v>0.88284328375260701</v>
      </c>
      <c r="D3063">
        <v>0.90760377185869701</v>
      </c>
      <c r="E3063">
        <v>0.86225542166323299</v>
      </c>
      <c r="F3063">
        <v>0.85299587786648001</v>
      </c>
      <c r="G3063">
        <v>0.65358097141557703</v>
      </c>
      <c r="H3063">
        <v>0.63067950684753105</v>
      </c>
      <c r="I3063">
        <v>0.76316319092806695</v>
      </c>
      <c r="J3063">
        <v>0.81606260752528503</v>
      </c>
      <c r="K3063">
        <v>0.750986850373768</v>
      </c>
      <c r="L3063">
        <v>517.98384214694704</v>
      </c>
      <c r="M3063">
        <v>11.613542244764901</v>
      </c>
      <c r="O3063">
        <v>43.340819558657003</v>
      </c>
      <c r="P3063">
        <v>-1.8442758468628001E-2</v>
      </c>
      <c r="Q3063">
        <v>0.724767658468919</v>
      </c>
      <c r="R3063">
        <v>0.63533196092292699</v>
      </c>
      <c r="S3063" t="s">
        <v>8614</v>
      </c>
      <c r="T3063" t="s">
        <v>11100</v>
      </c>
      <c r="U3063" t="s">
        <v>11100</v>
      </c>
      <c r="V3063" t="s">
        <v>11100</v>
      </c>
      <c r="W3063" t="s">
        <v>14118</v>
      </c>
      <c r="X3063">
        <v>5</v>
      </c>
      <c r="Y3063" t="s">
        <v>19568</v>
      </c>
      <c r="Z3063" t="s">
        <v>25068</v>
      </c>
      <c r="AA3063">
        <v>0.80537847611880597</v>
      </c>
      <c r="AB3063" t="str">
        <f>HYPERLINK("Melting_Curves/meltCurve_Q15170_2_TCEAL1.pdf", "Melting_Curves/meltCurve_Q15170_2_TCEAL1.pdf")</f>
        <v>Melting_Curves/meltCurve_Q15170_2_TCEAL1.pdf</v>
      </c>
    </row>
    <row r="3064" spans="1:28" x14ac:dyDescent="0.25">
      <c r="A3064" t="s">
        <v>3068</v>
      </c>
      <c r="B3064">
        <v>0.99299721793515405</v>
      </c>
      <c r="C3064">
        <v>0.96878469607713902</v>
      </c>
      <c r="D3064">
        <v>0.91355516583557805</v>
      </c>
      <c r="E3064">
        <v>0.76189393092284796</v>
      </c>
      <c r="F3064">
        <v>0.72888358015343502</v>
      </c>
      <c r="G3064">
        <v>0.37794060040028898</v>
      </c>
      <c r="H3064">
        <v>0.220191548531364</v>
      </c>
      <c r="I3064">
        <v>0.226532167068765</v>
      </c>
      <c r="J3064">
        <v>0.13897265696785699</v>
      </c>
      <c r="K3064">
        <v>4.9314017666797598E-2</v>
      </c>
      <c r="L3064">
        <v>608.05961184114301</v>
      </c>
      <c r="M3064">
        <v>11.6001404679203</v>
      </c>
      <c r="N3064">
        <v>52.481866172359297</v>
      </c>
      <c r="O3064">
        <v>50.933165184872699</v>
      </c>
      <c r="P3064">
        <v>-5.6556377356916397E-2</v>
      </c>
      <c r="Q3064">
        <v>6.9762327114263204E-3</v>
      </c>
      <c r="R3064">
        <v>0.98134774958514603</v>
      </c>
      <c r="S3064" t="s">
        <v>8615</v>
      </c>
      <c r="T3064" t="s">
        <v>11100</v>
      </c>
      <c r="U3064" t="s">
        <v>11100</v>
      </c>
      <c r="V3064" t="s">
        <v>11100</v>
      </c>
      <c r="W3064" t="s">
        <v>14119</v>
      </c>
      <c r="X3064">
        <v>5</v>
      </c>
      <c r="Y3064" t="s">
        <v>19569</v>
      </c>
      <c r="Z3064" t="s">
        <v>25069</v>
      </c>
      <c r="AA3064">
        <v>0.54036893601761848</v>
      </c>
      <c r="AB3064" t="str">
        <f>HYPERLINK("Melting_Curves/meltCurve_Q15172_PPP2R5A.pdf", "Melting_Curves/meltCurve_Q15172_PPP2R5A.pdf")</f>
        <v>Melting_Curves/meltCurve_Q15172_PPP2R5A.pdf</v>
      </c>
    </row>
    <row r="3065" spans="1:28" x14ac:dyDescent="0.25">
      <c r="A3065" t="s">
        <v>3069</v>
      </c>
      <c r="B3065">
        <v>0.99299721793515405</v>
      </c>
      <c r="C3065">
        <v>0.97738860754099499</v>
      </c>
      <c r="D3065">
        <v>0.92349773314079198</v>
      </c>
      <c r="E3065">
        <v>0.87765604239000305</v>
      </c>
      <c r="F3065">
        <v>0.68529711961097295</v>
      </c>
      <c r="G3065">
        <v>0.27934495121903302</v>
      </c>
      <c r="H3065">
        <v>0.25508216715346299</v>
      </c>
      <c r="I3065">
        <v>0.19481557343893699</v>
      </c>
      <c r="J3065">
        <v>0.15812495892210501</v>
      </c>
      <c r="K3065">
        <v>0.14158212413344201</v>
      </c>
      <c r="L3065">
        <v>1143.89396447237</v>
      </c>
      <c r="M3065">
        <v>22.507200412641598</v>
      </c>
      <c r="N3065">
        <v>51.6798183763973</v>
      </c>
      <c r="O3065">
        <v>50.427364914640897</v>
      </c>
      <c r="P3065">
        <v>-9.4216422322833601E-2</v>
      </c>
      <c r="Q3065">
        <v>0.15565004442081001</v>
      </c>
      <c r="R3065">
        <v>0.98881715426031502</v>
      </c>
      <c r="S3065" t="s">
        <v>8616</v>
      </c>
      <c r="T3065" t="s">
        <v>11100</v>
      </c>
      <c r="U3065" t="s">
        <v>11100</v>
      </c>
      <c r="V3065" t="s">
        <v>11100</v>
      </c>
      <c r="W3065" t="s">
        <v>14120</v>
      </c>
      <c r="X3065">
        <v>3</v>
      </c>
      <c r="Y3065" t="s">
        <v>19570</v>
      </c>
      <c r="Z3065" t="s">
        <v>25070</v>
      </c>
      <c r="AA3065">
        <v>0.55372861675397977</v>
      </c>
      <c r="AB3065" t="str">
        <f>HYPERLINK("Melting_Curves/meltCurve_Q15173_2_PPP2R5B.pdf", "Melting_Curves/meltCurve_Q15173_2_PPP2R5B.pdf")</f>
        <v>Melting_Curves/meltCurve_Q15173_2_PPP2R5B.pdf</v>
      </c>
    </row>
    <row r="3066" spans="1:28" x14ac:dyDescent="0.25">
      <c r="A3066" t="s">
        <v>3070</v>
      </c>
      <c r="B3066">
        <v>0.99299721793515405</v>
      </c>
      <c r="C3066">
        <v>1.01232122960126</v>
      </c>
      <c r="D3066">
        <v>0.97907329013566902</v>
      </c>
      <c r="E3066">
        <v>0.87902866582458705</v>
      </c>
      <c r="F3066">
        <v>0.76907134425798496</v>
      </c>
      <c r="G3066">
        <v>0.63987082265262596</v>
      </c>
      <c r="H3066">
        <v>0.40703747838066801</v>
      </c>
      <c r="I3066">
        <v>0.208071634262875</v>
      </c>
      <c r="J3066">
        <v>0.12418971861609</v>
      </c>
      <c r="K3066">
        <v>0.104044640825716</v>
      </c>
      <c r="L3066">
        <v>716.27222462160705</v>
      </c>
      <c r="M3066">
        <v>12.9216652275301</v>
      </c>
      <c r="N3066">
        <v>55.431882305193703</v>
      </c>
      <c r="O3066">
        <v>54.154623340857803</v>
      </c>
      <c r="P3066">
        <v>-5.96625035780095E-2</v>
      </c>
      <c r="Q3066">
        <v>0</v>
      </c>
      <c r="R3066">
        <v>0.99499809041287701</v>
      </c>
      <c r="S3066" t="s">
        <v>8617</v>
      </c>
      <c r="T3066" t="s">
        <v>11100</v>
      </c>
      <c r="U3066" t="s">
        <v>11100</v>
      </c>
      <c r="V3066" t="s">
        <v>11100</v>
      </c>
      <c r="W3066" t="s">
        <v>14121</v>
      </c>
      <c r="X3066">
        <v>23</v>
      </c>
      <c r="Y3066" t="s">
        <v>19571</v>
      </c>
      <c r="Z3066" t="s">
        <v>25071</v>
      </c>
      <c r="AA3066">
        <v>0.62728780179086763</v>
      </c>
      <c r="AB3066" t="str">
        <f>HYPERLINK("Melting_Curves/meltCurve_Q15181_PPA1.pdf", "Melting_Curves/meltCurve_Q15181_PPA1.pdf")</f>
        <v>Melting_Curves/meltCurve_Q15181_PPA1.pdf</v>
      </c>
    </row>
    <row r="3067" spans="1:28" x14ac:dyDescent="0.25">
      <c r="A3067" t="s">
        <v>3071</v>
      </c>
      <c r="B3067">
        <v>0.99299721793515405</v>
      </c>
      <c r="C3067">
        <v>0.99006084727564803</v>
      </c>
      <c r="D3067">
        <v>1.04199069098042</v>
      </c>
      <c r="E3067">
        <v>0.81508067598173495</v>
      </c>
      <c r="F3067">
        <v>0.59795515892630402</v>
      </c>
      <c r="G3067">
        <v>0.25252313050189401</v>
      </c>
      <c r="H3067">
        <v>0.155430154987065</v>
      </c>
      <c r="I3067">
        <v>0.144520706473829</v>
      </c>
      <c r="J3067">
        <v>0.130762180091827</v>
      </c>
      <c r="K3067">
        <v>0.12783052835068001</v>
      </c>
      <c r="L3067">
        <v>1130.0182620810299</v>
      </c>
      <c r="M3067">
        <v>22.5119411473889</v>
      </c>
      <c r="N3067">
        <v>50.809093139872601</v>
      </c>
      <c r="O3067">
        <v>49.805316352923299</v>
      </c>
      <c r="P3067">
        <v>-9.9569411571944197E-2</v>
      </c>
      <c r="Q3067">
        <v>0.118869970725773</v>
      </c>
      <c r="R3067">
        <v>0.99366655148534799</v>
      </c>
      <c r="S3067" t="s">
        <v>8618</v>
      </c>
      <c r="T3067" t="s">
        <v>11100</v>
      </c>
      <c r="U3067" t="s">
        <v>11100</v>
      </c>
      <c r="V3067" t="s">
        <v>11100</v>
      </c>
      <c r="W3067" t="s">
        <v>14122</v>
      </c>
      <c r="X3067">
        <v>8</v>
      </c>
      <c r="Y3067" t="s">
        <v>19572</v>
      </c>
      <c r="Z3067" t="s">
        <v>25072</v>
      </c>
      <c r="AA3067">
        <v>0.51585021921538465</v>
      </c>
      <c r="AB3067" t="str">
        <f>HYPERLINK("Melting_Curves/meltCurve_Q15208_STK38.pdf", "Melting_Curves/meltCurve_Q15208_STK38.pdf")</f>
        <v>Melting_Curves/meltCurve_Q15208_STK38.pdf</v>
      </c>
    </row>
    <row r="3068" spans="1:28" x14ac:dyDescent="0.25">
      <c r="A3068" t="s">
        <v>3072</v>
      </c>
      <c r="B3068">
        <v>0.99299721793515405</v>
      </c>
      <c r="C3068">
        <v>0.91563203339003396</v>
      </c>
      <c r="D3068">
        <v>1.0839690610702599</v>
      </c>
      <c r="E3068">
        <v>0.74221585311431704</v>
      </c>
      <c r="F3068">
        <v>0.49294170391125702</v>
      </c>
      <c r="G3068">
        <v>0.27409634875343902</v>
      </c>
      <c r="H3068">
        <v>0.20957531172805199</v>
      </c>
      <c r="I3068">
        <v>0.19639656368973099</v>
      </c>
      <c r="J3068">
        <v>0.17948865065795899</v>
      </c>
      <c r="K3068">
        <v>0.13379360626978901</v>
      </c>
      <c r="L3068">
        <v>1053.2120277526401</v>
      </c>
      <c r="M3068">
        <v>21.5018924301617</v>
      </c>
      <c r="N3068">
        <v>49.927036579950702</v>
      </c>
      <c r="O3068">
        <v>48.564521357472699</v>
      </c>
      <c r="P3068">
        <v>-9.2189875752902106E-2</v>
      </c>
      <c r="Q3068">
        <v>0.16713420663402401</v>
      </c>
      <c r="R3068">
        <v>0.97968936564428499</v>
      </c>
      <c r="S3068" t="s">
        <v>8619</v>
      </c>
      <c r="T3068" t="s">
        <v>11100</v>
      </c>
      <c r="U3068" t="s">
        <v>11100</v>
      </c>
      <c r="V3068" t="s">
        <v>11100</v>
      </c>
      <c r="W3068" t="s">
        <v>14123</v>
      </c>
      <c r="X3068">
        <v>20</v>
      </c>
      <c r="Y3068" t="s">
        <v>19573</v>
      </c>
      <c r="Z3068" t="s">
        <v>25073</v>
      </c>
      <c r="AA3068">
        <v>0.50938642628336361</v>
      </c>
      <c r="AB3068" t="str">
        <f>HYPERLINK("Melting_Curves/meltCurve_Q15233_NONO.pdf", "Melting_Curves/meltCurve_Q15233_NONO.pdf")</f>
        <v>Melting_Curves/meltCurve_Q15233_NONO.pdf</v>
      </c>
    </row>
    <row r="3069" spans="1:28" x14ac:dyDescent="0.25">
      <c r="A3069" t="s">
        <v>3073</v>
      </c>
      <c r="B3069">
        <v>0.99299721793515405</v>
      </c>
      <c r="C3069">
        <v>1.02213796733468</v>
      </c>
      <c r="D3069">
        <v>1.0136407237368299</v>
      </c>
      <c r="E3069">
        <v>0.89421727345533197</v>
      </c>
      <c r="F3069">
        <v>0.75384081856733598</v>
      </c>
      <c r="G3069">
        <v>0.72258177289771297</v>
      </c>
      <c r="H3069">
        <v>0.65822539522993995</v>
      </c>
      <c r="I3069">
        <v>0.39332111972599898</v>
      </c>
      <c r="J3069">
        <v>0.122109318324987</v>
      </c>
      <c r="K3069">
        <v>0.104215979826751</v>
      </c>
      <c r="L3069">
        <v>726.75407190540602</v>
      </c>
      <c r="M3069">
        <v>12.539518879148901</v>
      </c>
      <c r="N3069">
        <v>57.957093916708203</v>
      </c>
      <c r="O3069">
        <v>56.5423377579462</v>
      </c>
      <c r="P3069">
        <v>-5.5454320368897997E-2</v>
      </c>
      <c r="Q3069">
        <v>0</v>
      </c>
      <c r="R3069">
        <v>0.95249773098291901</v>
      </c>
      <c r="S3069" t="s">
        <v>8620</v>
      </c>
      <c r="T3069" t="s">
        <v>11100</v>
      </c>
      <c r="U3069" t="s">
        <v>11100</v>
      </c>
      <c r="V3069" t="s">
        <v>11100</v>
      </c>
      <c r="W3069" t="s">
        <v>14124</v>
      </c>
      <c r="X3069">
        <v>7</v>
      </c>
      <c r="Y3069" t="s">
        <v>19574</v>
      </c>
      <c r="Z3069" t="s">
        <v>25074</v>
      </c>
      <c r="AA3069">
        <v>0.6988479083923379</v>
      </c>
      <c r="AB3069" t="str">
        <f>HYPERLINK("Melting_Curves/meltCurve_Q15257_PPP2R4.pdf", "Melting_Curves/meltCurve_Q15257_PPP2R4.pdf")</f>
        <v>Melting_Curves/meltCurve_Q15257_PPP2R4.pdf</v>
      </c>
    </row>
    <row r="3070" spans="1:28" x14ac:dyDescent="0.25">
      <c r="A3070" t="s">
        <v>3074</v>
      </c>
      <c r="B3070">
        <v>0.99299721793515405</v>
      </c>
      <c r="C3070">
        <v>0.93699930909839202</v>
      </c>
      <c r="D3070">
        <v>0.92715088861950801</v>
      </c>
      <c r="E3070">
        <v>0.88310142955925697</v>
      </c>
      <c r="F3070">
        <v>0.75822954517762398</v>
      </c>
      <c r="G3070">
        <v>0.53044120389309601</v>
      </c>
      <c r="H3070">
        <v>0.309881565755523</v>
      </c>
      <c r="I3070">
        <v>0.26418879235912701</v>
      </c>
      <c r="J3070">
        <v>0.22515564754350101</v>
      </c>
      <c r="K3070">
        <v>0.19665440593830899</v>
      </c>
      <c r="L3070">
        <v>773.35886794151395</v>
      </c>
      <c r="M3070">
        <v>14.657578397972401</v>
      </c>
      <c r="N3070">
        <v>54.138591317485201</v>
      </c>
      <c r="O3070">
        <v>51.808816714706097</v>
      </c>
      <c r="P3070">
        <v>-5.9730946941061E-2</v>
      </c>
      <c r="Q3070">
        <v>0.15559107974387501</v>
      </c>
      <c r="R3070">
        <v>0.99165662347961403</v>
      </c>
      <c r="S3070" t="s">
        <v>8621</v>
      </c>
      <c r="T3070" t="s">
        <v>11100</v>
      </c>
      <c r="U3070" t="s">
        <v>11100</v>
      </c>
      <c r="V3070" t="s">
        <v>11100</v>
      </c>
      <c r="W3070" t="s">
        <v>14125</v>
      </c>
      <c r="X3070">
        <v>35</v>
      </c>
      <c r="Y3070" t="s">
        <v>19575</v>
      </c>
      <c r="Z3070" t="s">
        <v>25075</v>
      </c>
      <c r="AA3070">
        <v>0.61494579497295854</v>
      </c>
      <c r="AB3070" t="str">
        <f>HYPERLINK("Melting_Curves/meltCurve_Q15276_RABEP1.pdf", "Melting_Curves/meltCurve_Q15276_RABEP1.pdf")</f>
        <v>Melting_Curves/meltCurve_Q15276_RABEP1.pdf</v>
      </c>
    </row>
    <row r="3071" spans="1:28" x14ac:dyDescent="0.25">
      <c r="A3071" t="s">
        <v>3075</v>
      </c>
      <c r="B3071">
        <v>0.99299721793515405</v>
      </c>
      <c r="C3071">
        <v>1.02503810011076</v>
      </c>
      <c r="D3071">
        <v>1.1800805461489099</v>
      </c>
      <c r="E3071">
        <v>0.90326239376652095</v>
      </c>
      <c r="F3071">
        <v>0.80688545887612495</v>
      </c>
      <c r="G3071">
        <v>0.808446924314007</v>
      </c>
      <c r="H3071">
        <v>0.58982322164578804</v>
      </c>
      <c r="I3071">
        <v>0.52999522898566098</v>
      </c>
      <c r="J3071">
        <v>0.37326454742701298</v>
      </c>
      <c r="K3071">
        <v>0.197254405425662</v>
      </c>
      <c r="L3071">
        <v>623.10027340916497</v>
      </c>
      <c r="M3071">
        <v>10.3471288184003</v>
      </c>
      <c r="N3071">
        <v>60.219630438084401</v>
      </c>
      <c r="O3071">
        <v>58.100510958979299</v>
      </c>
      <c r="P3071">
        <v>-4.4541536754467197E-2</v>
      </c>
      <c r="Q3071">
        <v>0</v>
      </c>
      <c r="R3071">
        <v>0.93208658312147896</v>
      </c>
      <c r="S3071" t="s">
        <v>8622</v>
      </c>
      <c r="T3071" t="s">
        <v>11100</v>
      </c>
      <c r="U3071" t="s">
        <v>11100</v>
      </c>
      <c r="V3071" t="s">
        <v>11100</v>
      </c>
      <c r="W3071" t="s">
        <v>14126</v>
      </c>
      <c r="X3071">
        <v>11</v>
      </c>
      <c r="Y3071" t="s">
        <v>19576</v>
      </c>
      <c r="Z3071" t="s">
        <v>25076</v>
      </c>
      <c r="AA3071">
        <v>0.747081446617194</v>
      </c>
      <c r="AB3071" t="str">
        <f>HYPERLINK("Melting_Curves/meltCurve_Q15286_RAB35.pdf", "Melting_Curves/meltCurve_Q15286_RAB35.pdf")</f>
        <v>Melting_Curves/meltCurve_Q15286_RAB35.pdf</v>
      </c>
    </row>
    <row r="3072" spans="1:28" x14ac:dyDescent="0.25">
      <c r="A3072" t="s">
        <v>3076</v>
      </c>
      <c r="B3072">
        <v>0.99299721793515405</v>
      </c>
      <c r="C3072">
        <v>0.91401233965645301</v>
      </c>
      <c r="D3072">
        <v>0.84856679526319301</v>
      </c>
      <c r="E3072">
        <v>0.76672022091340597</v>
      </c>
      <c r="F3072">
        <v>0.73285076199582599</v>
      </c>
      <c r="G3072">
        <v>0.36290203259521597</v>
      </c>
      <c r="H3072">
        <v>0.94851793458253497</v>
      </c>
      <c r="I3072">
        <v>1.3742317235905299</v>
      </c>
      <c r="J3072">
        <v>1.4278650020480499</v>
      </c>
      <c r="K3072">
        <v>1.0402206647907599</v>
      </c>
      <c r="L3072">
        <v>14770.526957202001</v>
      </c>
      <c r="M3072">
        <v>250</v>
      </c>
      <c r="O3072">
        <v>59.078342137186198</v>
      </c>
      <c r="P3072">
        <v>0.29704760226543903</v>
      </c>
      <c r="Q3072">
        <v>1.2807852058964799</v>
      </c>
      <c r="R3072">
        <v>0.235831753785916</v>
      </c>
      <c r="S3072" t="s">
        <v>8623</v>
      </c>
      <c r="T3072" t="s">
        <v>11100</v>
      </c>
      <c r="U3072" t="s">
        <v>11100</v>
      </c>
      <c r="V3072" t="s">
        <v>11100</v>
      </c>
      <c r="W3072" t="s">
        <v>14127</v>
      </c>
      <c r="X3072">
        <v>3</v>
      </c>
      <c r="Y3072" t="s">
        <v>19577</v>
      </c>
      <c r="Z3072" t="s">
        <v>25077</v>
      </c>
      <c r="AA3072">
        <v>1.074078452011584</v>
      </c>
      <c r="AB3072" t="str">
        <f>HYPERLINK("Melting_Curves/meltCurve_Q15291_RBBP5.pdf", "Melting_Curves/meltCurve_Q15291_RBBP5.pdf")</f>
        <v>Melting_Curves/meltCurve_Q15291_RBBP5.pdf</v>
      </c>
    </row>
    <row r="3073" spans="1:28" x14ac:dyDescent="0.25">
      <c r="A3073" t="s">
        <v>3077</v>
      </c>
      <c r="B3073">
        <v>0.99299721793515405</v>
      </c>
      <c r="C3073">
        <v>0.95741030549498596</v>
      </c>
      <c r="D3073">
        <v>0.98847533697168499</v>
      </c>
      <c r="E3073">
        <v>0.892832028681805</v>
      </c>
      <c r="F3073">
        <v>0.78316748047179896</v>
      </c>
      <c r="G3073">
        <v>0.56112745561014699</v>
      </c>
      <c r="H3073">
        <v>0.53646856391028896</v>
      </c>
      <c r="I3073">
        <v>0.56744328284051304</v>
      </c>
      <c r="J3073">
        <v>0.60328520041935896</v>
      </c>
      <c r="K3073">
        <v>0.51820870292752697</v>
      </c>
      <c r="L3073">
        <v>1222.6960607859901</v>
      </c>
      <c r="M3073">
        <v>24.624873309374799</v>
      </c>
      <c r="O3073">
        <v>49.328909198050802</v>
      </c>
      <c r="P3073">
        <v>-5.6703630886732498E-2</v>
      </c>
      <c r="Q3073">
        <v>0.54564829000320003</v>
      </c>
      <c r="R3073">
        <v>0.96973494335741495</v>
      </c>
      <c r="S3073" t="s">
        <v>8624</v>
      </c>
      <c r="T3073" t="s">
        <v>11100</v>
      </c>
      <c r="U3073" t="s">
        <v>11100</v>
      </c>
      <c r="V3073" t="s">
        <v>11100</v>
      </c>
      <c r="W3073" t="s">
        <v>14128</v>
      </c>
      <c r="X3073">
        <v>21</v>
      </c>
      <c r="Y3073" t="s">
        <v>19578</v>
      </c>
      <c r="Z3073" t="s">
        <v>25078</v>
      </c>
      <c r="AA3073">
        <v>0.74135147756442021</v>
      </c>
      <c r="AB3073" t="str">
        <f>HYPERLINK("Melting_Curves/meltCurve_Q15293_RCN1.pdf", "Melting_Curves/meltCurve_Q15293_RCN1.pdf")</f>
        <v>Melting_Curves/meltCurve_Q15293_RCN1.pdf</v>
      </c>
    </row>
    <row r="3074" spans="1:28" x14ac:dyDescent="0.25">
      <c r="A3074" t="s">
        <v>3078</v>
      </c>
      <c r="B3074">
        <v>0.99299721793515405</v>
      </c>
      <c r="C3074">
        <v>1.0006417212293699</v>
      </c>
      <c r="D3074">
        <v>0.97899279726719401</v>
      </c>
      <c r="E3074">
        <v>0.84190895603580096</v>
      </c>
      <c r="F3074">
        <v>0.506826597372244</v>
      </c>
      <c r="G3074">
        <v>0.29478105335805899</v>
      </c>
      <c r="H3074">
        <v>0.218186827747684</v>
      </c>
      <c r="I3074">
        <v>0.19454784825504401</v>
      </c>
      <c r="J3074">
        <v>0.16948305399931199</v>
      </c>
      <c r="K3074">
        <v>0.135888511695054</v>
      </c>
      <c r="L3074">
        <v>1090.7105438518399</v>
      </c>
      <c r="M3074">
        <v>22.022072843863199</v>
      </c>
      <c r="N3074">
        <v>50.439879571991398</v>
      </c>
      <c r="O3074">
        <v>49.1250855400462</v>
      </c>
      <c r="P3074">
        <v>-9.3671057807743E-2</v>
      </c>
      <c r="Q3074">
        <v>0.16420285755355399</v>
      </c>
      <c r="R3074">
        <v>0.99849055386485297</v>
      </c>
      <c r="S3074" t="s">
        <v>8625</v>
      </c>
      <c r="T3074" t="s">
        <v>11100</v>
      </c>
      <c r="U3074" t="s">
        <v>11100</v>
      </c>
      <c r="V3074" t="s">
        <v>11100</v>
      </c>
      <c r="W3074" t="s">
        <v>14129</v>
      </c>
      <c r="X3074">
        <v>8</v>
      </c>
      <c r="Y3074" t="s">
        <v>19579</v>
      </c>
      <c r="Z3074" t="s">
        <v>25079</v>
      </c>
      <c r="AA3074">
        <v>0.52247558111231729</v>
      </c>
      <c r="AB3074" t="str">
        <f>HYPERLINK("Melting_Curves/meltCurve_Q15311_RALBP1.pdf", "Melting_Curves/meltCurve_Q15311_RALBP1.pdf")</f>
        <v>Melting_Curves/meltCurve_Q15311_RALBP1.pdf</v>
      </c>
    </row>
    <row r="3075" spans="1:28" x14ac:dyDescent="0.25">
      <c r="A3075" t="s">
        <v>3079</v>
      </c>
      <c r="B3075">
        <v>0.99299721793515405</v>
      </c>
      <c r="C3075">
        <v>0.94117157000919904</v>
      </c>
      <c r="D3075">
        <v>0.96471186610158299</v>
      </c>
      <c r="E3075">
        <v>0.886150773753141</v>
      </c>
      <c r="F3075">
        <v>0.75865011649039205</v>
      </c>
      <c r="G3075">
        <v>0.49056899651041302</v>
      </c>
      <c r="H3075">
        <v>0.26663081193878402</v>
      </c>
      <c r="I3075">
        <v>0.22971585729268201</v>
      </c>
      <c r="J3075">
        <v>0.18734431315539099</v>
      </c>
      <c r="K3075">
        <v>0.15542291404810701</v>
      </c>
      <c r="L3075">
        <v>897.35349004129898</v>
      </c>
      <c r="M3075">
        <v>17.077887907764499</v>
      </c>
      <c r="N3075">
        <v>53.565181329597699</v>
      </c>
      <c r="O3075">
        <v>51.840163430837201</v>
      </c>
      <c r="P3075">
        <v>-7.0926676610058303E-2</v>
      </c>
      <c r="Q3075">
        <v>0.13885664794667599</v>
      </c>
      <c r="R3075">
        <v>0.99429036552709404</v>
      </c>
      <c r="S3075" t="s">
        <v>8626</v>
      </c>
      <c r="T3075" t="s">
        <v>11100</v>
      </c>
      <c r="U3075" t="s">
        <v>11100</v>
      </c>
      <c r="V3075" t="s">
        <v>11100</v>
      </c>
      <c r="W3075" t="s">
        <v>14130</v>
      </c>
      <c r="X3075">
        <v>20</v>
      </c>
      <c r="Y3075" t="s">
        <v>19580</v>
      </c>
      <c r="Z3075" t="s">
        <v>25080</v>
      </c>
      <c r="AA3075">
        <v>0.59874848250828172</v>
      </c>
      <c r="AB3075" t="str">
        <f>HYPERLINK("Melting_Curves/meltCurve_Q15334_LLGL1.pdf", "Melting_Curves/meltCurve_Q15334_LLGL1.pdf")</f>
        <v>Melting_Curves/meltCurve_Q15334_LLGL1.pdf</v>
      </c>
    </row>
    <row r="3076" spans="1:28" x14ac:dyDescent="0.25">
      <c r="A3076" t="s">
        <v>3080</v>
      </c>
      <c r="B3076">
        <v>0.99299721793515405</v>
      </c>
      <c r="C3076">
        <v>0.98412625678336496</v>
      </c>
      <c r="D3076">
        <v>0.81736897493820704</v>
      </c>
      <c r="E3076">
        <v>0.79241514304746297</v>
      </c>
      <c r="F3076">
        <v>0.51639371842220105</v>
      </c>
      <c r="G3076">
        <v>0.44979614730400802</v>
      </c>
      <c r="H3076">
        <v>0.24762396524355801</v>
      </c>
      <c r="I3076">
        <v>0.21100444053722101</v>
      </c>
      <c r="J3076">
        <v>0.18781204459738801</v>
      </c>
      <c r="K3076">
        <v>0.15942486651203799</v>
      </c>
      <c r="L3076">
        <v>553.07409639339801</v>
      </c>
      <c r="M3076">
        <v>10.972761334140399</v>
      </c>
      <c r="N3076">
        <v>51.439079275116796</v>
      </c>
      <c r="O3076">
        <v>48.816918813849298</v>
      </c>
      <c r="P3076">
        <v>-5.0645434985435098E-2</v>
      </c>
      <c r="Q3076">
        <v>9.9037276127104196E-2</v>
      </c>
      <c r="R3076">
        <v>0.98605206587333005</v>
      </c>
      <c r="S3076" t="s">
        <v>8627</v>
      </c>
      <c r="T3076" t="s">
        <v>11100</v>
      </c>
      <c r="U3076" t="s">
        <v>11100</v>
      </c>
      <c r="V3076" t="s">
        <v>11100</v>
      </c>
      <c r="W3076" t="s">
        <v>14131</v>
      </c>
      <c r="X3076">
        <v>2</v>
      </c>
      <c r="Y3076" t="s">
        <v>19581</v>
      </c>
      <c r="Z3076" t="s">
        <v>25081</v>
      </c>
      <c r="AA3076">
        <v>0.5285303994274827</v>
      </c>
      <c r="AB3076" t="str">
        <f>HYPERLINK("Melting_Curves/meltCurve_Q15345_LRRC41.pdf", "Melting_Curves/meltCurve_Q15345_LRRC41.pdf")</f>
        <v>Melting_Curves/meltCurve_Q15345_LRRC41.pdf</v>
      </c>
    </row>
    <row r="3077" spans="1:28" x14ac:dyDescent="0.25">
      <c r="A3077" t="s">
        <v>3081</v>
      </c>
      <c r="B3077">
        <v>0.99299721793515405</v>
      </c>
      <c r="C3077">
        <v>0.98259221919807205</v>
      </c>
      <c r="D3077">
        <v>0.96438852826106403</v>
      </c>
      <c r="E3077">
        <v>0.84387227179883895</v>
      </c>
      <c r="F3077">
        <v>0.73851954247191398</v>
      </c>
      <c r="G3077">
        <v>0.33992952678351501</v>
      </c>
      <c r="H3077">
        <v>0.18468171433882299</v>
      </c>
      <c r="I3077">
        <v>0.141773591445474</v>
      </c>
      <c r="J3077">
        <v>0.12030615994617901</v>
      </c>
      <c r="K3077">
        <v>9.19496603352985E-2</v>
      </c>
      <c r="L3077">
        <v>1038.87557803082</v>
      </c>
      <c r="M3077">
        <v>20.095865402137299</v>
      </c>
      <c r="N3077">
        <v>52.202261254666801</v>
      </c>
      <c r="O3077">
        <v>51.192245156619002</v>
      </c>
      <c r="P3077">
        <v>-8.9452983614791995E-2</v>
      </c>
      <c r="Q3077">
        <v>8.8538379859256902E-2</v>
      </c>
      <c r="R3077">
        <v>0.99264487035900095</v>
      </c>
      <c r="S3077" t="s">
        <v>8628</v>
      </c>
      <c r="T3077" t="s">
        <v>11100</v>
      </c>
      <c r="U3077" t="s">
        <v>11100</v>
      </c>
      <c r="V3077" t="s">
        <v>11100</v>
      </c>
      <c r="W3077" t="s">
        <v>14132</v>
      </c>
      <c r="X3077">
        <v>28</v>
      </c>
      <c r="Y3077" t="s">
        <v>19582</v>
      </c>
      <c r="Z3077" t="s">
        <v>25082</v>
      </c>
      <c r="AA3077">
        <v>0.54677441717369335</v>
      </c>
      <c r="AB3077" t="str">
        <f>HYPERLINK("Melting_Curves/meltCurve_Q15365_PCBP1.pdf", "Melting_Curves/meltCurve_Q15365_PCBP1.pdf")</f>
        <v>Melting_Curves/meltCurve_Q15365_PCBP1.pdf</v>
      </c>
    </row>
    <row r="3078" spans="1:28" x14ac:dyDescent="0.25">
      <c r="A3078" t="s">
        <v>3082</v>
      </c>
      <c r="B3078">
        <v>0.99299721793515405</v>
      </c>
      <c r="C3078">
        <v>1.1666170553694899</v>
      </c>
      <c r="D3078">
        <v>1.0471977564345201</v>
      </c>
      <c r="E3078">
        <v>1.2169464010720199</v>
      </c>
      <c r="F3078">
        <v>0.85182176220769801</v>
      </c>
      <c r="G3078">
        <v>0.14830255971947801</v>
      </c>
      <c r="H3078">
        <v>0.229111078558284</v>
      </c>
      <c r="I3078">
        <v>0.10494168214430601</v>
      </c>
      <c r="J3078">
        <v>6.3443740190540707E-2</v>
      </c>
      <c r="K3078">
        <v>0</v>
      </c>
      <c r="L3078">
        <v>3372.09180993071</v>
      </c>
      <c r="M3078">
        <v>65.525187634189393</v>
      </c>
      <c r="N3078">
        <v>51.636394050511498</v>
      </c>
      <c r="O3078">
        <v>51.414659581233401</v>
      </c>
      <c r="P3078">
        <v>-0.287070696880173</v>
      </c>
      <c r="Q3078">
        <v>9.8994564815116301E-2</v>
      </c>
      <c r="R3078">
        <v>0.95521067095533696</v>
      </c>
      <c r="S3078" t="s">
        <v>8629</v>
      </c>
      <c r="T3078" t="s">
        <v>11100</v>
      </c>
      <c r="U3078" t="s">
        <v>11100</v>
      </c>
      <c r="V3078" t="s">
        <v>11100</v>
      </c>
      <c r="W3078" t="s">
        <v>14133</v>
      </c>
      <c r="X3078">
        <v>22</v>
      </c>
      <c r="Y3078" t="s">
        <v>19583</v>
      </c>
      <c r="Z3078" t="s">
        <v>25083</v>
      </c>
      <c r="AA3078">
        <v>0.53454323435338935</v>
      </c>
      <c r="AB3078" t="str">
        <f>HYPERLINK("Melting_Curves/meltCurve_Q15366_2_PCBP2.pdf", "Melting_Curves/meltCurve_Q15366_2_PCBP2.pdf")</f>
        <v>Melting_Curves/meltCurve_Q15366_2_PCBP2.pdf</v>
      </c>
    </row>
    <row r="3079" spans="1:28" x14ac:dyDescent="0.25">
      <c r="A3079" t="s">
        <v>3083</v>
      </c>
      <c r="B3079">
        <v>0.99299721793515405</v>
      </c>
      <c r="C3079">
        <v>1.0028579876127499</v>
      </c>
      <c r="D3079">
        <v>0.98588462467994498</v>
      </c>
      <c r="E3079">
        <v>0.90555708538939395</v>
      </c>
      <c r="F3079">
        <v>0.67526542238203002</v>
      </c>
      <c r="G3079">
        <v>0.228020225631346</v>
      </c>
      <c r="H3079">
        <v>0.113532017051536</v>
      </c>
      <c r="I3079">
        <v>8.8930843064136594E-2</v>
      </c>
      <c r="J3079">
        <v>7.1124083944124894E-2</v>
      </c>
      <c r="K3079">
        <v>4.92556019045199E-2</v>
      </c>
      <c r="L3079">
        <v>1435.9369165610599</v>
      </c>
      <c r="M3079">
        <v>28.076810514359501</v>
      </c>
      <c r="N3079">
        <v>51.391764243122701</v>
      </c>
      <c r="O3079">
        <v>50.885819292602697</v>
      </c>
      <c r="P3079">
        <v>-0.12918221445303399</v>
      </c>
      <c r="Q3079">
        <v>6.3499287376331495E-2</v>
      </c>
      <c r="R3079">
        <v>0.99814818652688497</v>
      </c>
      <c r="S3079" t="s">
        <v>8630</v>
      </c>
      <c r="T3079" t="s">
        <v>11100</v>
      </c>
      <c r="U3079" t="s">
        <v>11100</v>
      </c>
      <c r="V3079" t="s">
        <v>11100</v>
      </c>
      <c r="W3079" t="s">
        <v>14134</v>
      </c>
      <c r="X3079">
        <v>22</v>
      </c>
      <c r="Y3079" t="s">
        <v>19583</v>
      </c>
      <c r="Z3079" t="s">
        <v>25084</v>
      </c>
      <c r="AA3079">
        <v>0.51164651308029185</v>
      </c>
      <c r="AB3079" t="str">
        <f>HYPERLINK("Melting_Curves/meltCurve_Q15366_3_PCBP2.pdf", "Melting_Curves/meltCurve_Q15366_3_PCBP2.pdf")</f>
        <v>Melting_Curves/meltCurve_Q15366_3_PCBP2.pdf</v>
      </c>
    </row>
    <row r="3080" spans="1:28" x14ac:dyDescent="0.25">
      <c r="A3080" t="s">
        <v>3084</v>
      </c>
      <c r="B3080">
        <v>0.99299721793515405</v>
      </c>
      <c r="C3080">
        <v>0.99721839429929904</v>
      </c>
      <c r="D3080">
        <v>0.93605221095408897</v>
      </c>
      <c r="E3080">
        <v>0.86778752326314301</v>
      </c>
      <c r="F3080">
        <v>0.671794637518912</v>
      </c>
      <c r="G3080">
        <v>0.49809421053540898</v>
      </c>
      <c r="H3080">
        <v>0.28602523775045102</v>
      </c>
      <c r="I3080">
        <v>0.22787406905254001</v>
      </c>
      <c r="J3080">
        <v>0.19148934738992299</v>
      </c>
      <c r="K3080">
        <v>0.128664621784705</v>
      </c>
      <c r="L3080">
        <v>694.32983826242298</v>
      </c>
      <c r="M3080">
        <v>13.220321821288501</v>
      </c>
      <c r="N3080">
        <v>53.364086283292004</v>
      </c>
      <c r="O3080">
        <v>51.361826668140502</v>
      </c>
      <c r="P3080">
        <v>-5.8286700981605599E-2</v>
      </c>
      <c r="Q3080">
        <v>9.4359078743953398E-2</v>
      </c>
      <c r="R3080">
        <v>0.99754666004436898</v>
      </c>
      <c r="S3080" t="s">
        <v>8631</v>
      </c>
      <c r="T3080" t="s">
        <v>11100</v>
      </c>
      <c r="U3080" t="s">
        <v>11100</v>
      </c>
      <c r="V3080" t="s">
        <v>11100</v>
      </c>
      <c r="W3080" t="s">
        <v>14135</v>
      </c>
      <c r="X3080">
        <v>6</v>
      </c>
      <c r="Y3080" t="s">
        <v>19584</v>
      </c>
      <c r="Z3080" t="s">
        <v>25085</v>
      </c>
      <c r="AA3080">
        <v>0.5817630723861329</v>
      </c>
      <c r="AB3080" t="str">
        <f>HYPERLINK("Melting_Curves/meltCurve_Q15375_EPHA7.pdf", "Melting_Curves/meltCurve_Q15375_EPHA7.pdf")</f>
        <v>Melting_Curves/meltCurve_Q15375_EPHA7.pdf</v>
      </c>
    </row>
    <row r="3081" spans="1:28" x14ac:dyDescent="0.25">
      <c r="A3081" t="s">
        <v>3085</v>
      </c>
      <c r="B3081">
        <v>0.99299721793515405</v>
      </c>
      <c r="C3081">
        <v>0.92885500777407504</v>
      </c>
      <c r="D3081">
        <v>0.91256624614679505</v>
      </c>
      <c r="E3081">
        <v>0.82745555521410497</v>
      </c>
      <c r="F3081">
        <v>0.70755920139292905</v>
      </c>
      <c r="G3081">
        <v>0.44134431387286099</v>
      </c>
      <c r="H3081">
        <v>0.303322653526782</v>
      </c>
      <c r="I3081">
        <v>0.22958980147149199</v>
      </c>
      <c r="J3081">
        <v>0.175373578223078</v>
      </c>
      <c r="K3081">
        <v>0.142778987296034</v>
      </c>
      <c r="L3081">
        <v>617.30151389828598</v>
      </c>
      <c r="M3081">
        <v>11.759102702936501</v>
      </c>
      <c r="N3081">
        <v>53.195665364175802</v>
      </c>
      <c r="O3081">
        <v>51.046437499264698</v>
      </c>
      <c r="P3081">
        <v>-5.34759051088163E-2</v>
      </c>
      <c r="Q3081">
        <v>7.1683334205599802E-2</v>
      </c>
      <c r="R3081">
        <v>0.993697410915658</v>
      </c>
      <c r="S3081" t="s">
        <v>8632</v>
      </c>
      <c r="T3081" t="s">
        <v>11100</v>
      </c>
      <c r="U3081" t="s">
        <v>11100</v>
      </c>
      <c r="V3081" t="s">
        <v>11100</v>
      </c>
      <c r="W3081" t="s">
        <v>14136</v>
      </c>
      <c r="X3081">
        <v>4</v>
      </c>
      <c r="Y3081" t="s">
        <v>19585</v>
      </c>
      <c r="Z3081" t="s">
        <v>25086</v>
      </c>
      <c r="AA3081">
        <v>0.5723253964558066</v>
      </c>
      <c r="AB3081" t="str">
        <f>HYPERLINK("Melting_Curves/meltCurve_Q15382_RHEB.pdf", "Melting_Curves/meltCurve_Q15382_RHEB.pdf")</f>
        <v>Melting_Curves/meltCurve_Q15382_RHEB.pdf</v>
      </c>
    </row>
    <row r="3082" spans="1:28" x14ac:dyDescent="0.25">
      <c r="A3082" t="s">
        <v>3086</v>
      </c>
      <c r="B3082">
        <v>0.99299721793515405</v>
      </c>
      <c r="C3082">
        <v>1.24576208216692</v>
      </c>
      <c r="D3082">
        <v>1.1398048384125501</v>
      </c>
      <c r="E3082">
        <v>0.86201577181829503</v>
      </c>
      <c r="F3082">
        <v>0.820907104661729</v>
      </c>
      <c r="G3082">
        <v>0.65839350584775103</v>
      </c>
      <c r="H3082">
        <v>0.30040281263496399</v>
      </c>
      <c r="I3082">
        <v>0.32064612366312101</v>
      </c>
      <c r="J3082">
        <v>0.25510280589134099</v>
      </c>
      <c r="K3082">
        <v>0.13148199369618399</v>
      </c>
      <c r="L3082">
        <v>936.78716001791702</v>
      </c>
      <c r="M3082">
        <v>17.294339710512102</v>
      </c>
      <c r="N3082">
        <v>55.362415089976899</v>
      </c>
      <c r="O3082">
        <v>53.458595324551702</v>
      </c>
      <c r="P3082">
        <v>-6.8281663201038498E-2</v>
      </c>
      <c r="Q3082">
        <v>0.15578598969229099</v>
      </c>
      <c r="R3082">
        <v>0.92296671159754995</v>
      </c>
      <c r="S3082" t="s">
        <v>8633</v>
      </c>
      <c r="T3082" t="s">
        <v>11100</v>
      </c>
      <c r="U3082" t="s">
        <v>11100</v>
      </c>
      <c r="V3082" t="s">
        <v>11100</v>
      </c>
      <c r="W3082" t="s">
        <v>14137</v>
      </c>
      <c r="X3082">
        <v>3</v>
      </c>
      <c r="Y3082" t="s">
        <v>19586</v>
      </c>
      <c r="Z3082" t="s">
        <v>25087</v>
      </c>
      <c r="AA3082">
        <v>0.65079406465462075</v>
      </c>
      <c r="AB3082" t="str">
        <f>HYPERLINK("Melting_Curves/meltCurve_Q15386_UBE3C.pdf", "Melting_Curves/meltCurve_Q15386_UBE3C.pdf")</f>
        <v>Melting_Curves/meltCurve_Q15386_UBE3C.pdf</v>
      </c>
    </row>
    <row r="3083" spans="1:28" x14ac:dyDescent="0.25">
      <c r="A3083" t="s">
        <v>3087</v>
      </c>
      <c r="B3083">
        <v>0.99299721793515405</v>
      </c>
      <c r="C3083">
        <v>0.91526866558346098</v>
      </c>
      <c r="D3083">
        <v>1.1649787673624299</v>
      </c>
      <c r="E3083">
        <v>0.76779304835156004</v>
      </c>
      <c r="F3083">
        <v>0.72529577398217004</v>
      </c>
      <c r="G3083">
        <v>0.64539320940164202</v>
      </c>
      <c r="H3083">
        <v>0.439469496167534</v>
      </c>
      <c r="I3083">
        <v>0.53393767973709805</v>
      </c>
      <c r="J3083">
        <v>0.46465508624146001</v>
      </c>
      <c r="K3083">
        <v>0.33773451839801899</v>
      </c>
      <c r="L3083">
        <v>698.38379122421702</v>
      </c>
      <c r="M3083">
        <v>13.6562797302007</v>
      </c>
      <c r="N3083">
        <v>57.603496408883103</v>
      </c>
      <c r="O3083">
        <v>50.080934014118398</v>
      </c>
      <c r="P3083">
        <v>-4.1455396646701198E-2</v>
      </c>
      <c r="Q3083">
        <v>0.391980443664183</v>
      </c>
      <c r="R3083">
        <v>0.87489859760244604</v>
      </c>
      <c r="S3083" t="s">
        <v>8634</v>
      </c>
      <c r="T3083" t="s">
        <v>11100</v>
      </c>
      <c r="U3083" t="s">
        <v>11100</v>
      </c>
      <c r="V3083" t="s">
        <v>11100</v>
      </c>
      <c r="W3083" t="s">
        <v>14138</v>
      </c>
      <c r="X3083">
        <v>3</v>
      </c>
      <c r="Y3083" t="s">
        <v>19587</v>
      </c>
      <c r="Z3083" t="s">
        <v>25088</v>
      </c>
      <c r="AA3083">
        <v>0.69220572270584602</v>
      </c>
      <c r="AB3083" t="str">
        <f>HYPERLINK("Melting_Curves/meltCurve_Q15388_TOMM20.pdf", "Melting_Curves/meltCurve_Q15388_TOMM20.pdf")</f>
        <v>Melting_Curves/meltCurve_Q15388_TOMM20.pdf</v>
      </c>
    </row>
    <row r="3084" spans="1:28" x14ac:dyDescent="0.25">
      <c r="A3084" t="s">
        <v>3088</v>
      </c>
      <c r="B3084">
        <v>0.99299721793515405</v>
      </c>
      <c r="C3084">
        <v>1.03004963764818</v>
      </c>
      <c r="D3084">
        <v>0.90321575196405202</v>
      </c>
      <c r="E3084">
        <v>0.907889441108089</v>
      </c>
      <c r="F3084">
        <v>0.75343483689492696</v>
      </c>
      <c r="G3084">
        <v>0.81647130505519405</v>
      </c>
      <c r="H3084">
        <v>0.86715224344549002</v>
      </c>
      <c r="I3084">
        <v>0.39061179459723</v>
      </c>
      <c r="J3084">
        <v>0.228848347020362</v>
      </c>
      <c r="K3084">
        <v>0.17253710043972101</v>
      </c>
      <c r="L3084">
        <v>961.07178735370098</v>
      </c>
      <c r="M3084">
        <v>15.9537006126902</v>
      </c>
      <c r="N3084">
        <v>60.2413080061228</v>
      </c>
      <c r="O3084">
        <v>59.318646524183997</v>
      </c>
      <c r="P3084">
        <v>-6.7242634282690297E-2</v>
      </c>
      <c r="Q3084">
        <v>0</v>
      </c>
      <c r="R3084">
        <v>0.89029847220700298</v>
      </c>
      <c r="S3084" t="s">
        <v>8635</v>
      </c>
      <c r="T3084" t="s">
        <v>11100</v>
      </c>
      <c r="U3084" t="s">
        <v>11100</v>
      </c>
      <c r="V3084" t="s">
        <v>11100</v>
      </c>
      <c r="W3084" t="s">
        <v>14139</v>
      </c>
      <c r="X3084">
        <v>22</v>
      </c>
      <c r="Y3084" t="s">
        <v>19588</v>
      </c>
      <c r="Z3084" t="s">
        <v>25089</v>
      </c>
      <c r="AA3084">
        <v>0.76847414894233679</v>
      </c>
      <c r="AB3084" t="str">
        <f>HYPERLINK("Melting_Curves/meltCurve_Q15393_SF3B3.pdf", "Melting_Curves/meltCurve_Q15393_SF3B3.pdf")</f>
        <v>Melting_Curves/meltCurve_Q15393_SF3B3.pdf</v>
      </c>
    </row>
    <row r="3085" spans="1:28" x14ac:dyDescent="0.25">
      <c r="A3085" t="s">
        <v>3089</v>
      </c>
      <c r="B3085">
        <v>0.99299721793515405</v>
      </c>
      <c r="C3085">
        <v>1.0143134267459999</v>
      </c>
      <c r="D3085">
        <v>0.90481895699147796</v>
      </c>
      <c r="E3085">
        <v>0.88736954597842199</v>
      </c>
      <c r="F3085">
        <v>0.74786862832867296</v>
      </c>
      <c r="G3085">
        <v>0.41068007116182198</v>
      </c>
      <c r="H3085">
        <v>0.230056322304793</v>
      </c>
      <c r="I3085">
        <v>0.17611059544035301</v>
      </c>
      <c r="J3085">
        <v>0.15152042315033101</v>
      </c>
      <c r="K3085">
        <v>8.8124677001154603E-2</v>
      </c>
      <c r="L3085">
        <v>925.69377815529197</v>
      </c>
      <c r="M3085">
        <v>17.711903883350999</v>
      </c>
      <c r="N3085">
        <v>52.876269888957196</v>
      </c>
      <c r="O3085">
        <v>51.6113576591314</v>
      </c>
      <c r="P3085">
        <v>-7.7843608877284295E-2</v>
      </c>
      <c r="Q3085">
        <v>9.2722375707917498E-2</v>
      </c>
      <c r="R3085">
        <v>0.99200555191212503</v>
      </c>
      <c r="S3085" t="s">
        <v>8636</v>
      </c>
      <c r="T3085" t="s">
        <v>11100</v>
      </c>
      <c r="U3085" t="s">
        <v>11100</v>
      </c>
      <c r="V3085" t="s">
        <v>11100</v>
      </c>
      <c r="W3085" t="s">
        <v>14140</v>
      </c>
      <c r="X3085">
        <v>13</v>
      </c>
      <c r="Y3085" t="s">
        <v>19589</v>
      </c>
      <c r="Z3085" t="s">
        <v>25090</v>
      </c>
      <c r="AA3085">
        <v>0.56824761643098975</v>
      </c>
      <c r="AB3085" t="str">
        <f>HYPERLINK("Melting_Curves/meltCurve_Q15398_3_DLGAP5.pdf", "Melting_Curves/meltCurve_Q15398_3_DLGAP5.pdf")</f>
        <v>Melting_Curves/meltCurve_Q15398_3_DLGAP5.pdf</v>
      </c>
    </row>
    <row r="3086" spans="1:28" x14ac:dyDescent="0.25">
      <c r="A3086" t="s">
        <v>3090</v>
      </c>
      <c r="B3086">
        <v>0.99299721793515405</v>
      </c>
      <c r="C3086">
        <v>1.0047533448558199</v>
      </c>
      <c r="D3086">
        <v>1.0314228502538001</v>
      </c>
      <c r="E3086">
        <v>0.88917323641839996</v>
      </c>
      <c r="F3086">
        <v>0.67058723359198602</v>
      </c>
      <c r="G3086">
        <v>0.59382086193051098</v>
      </c>
      <c r="H3086">
        <v>0.41196104332554301</v>
      </c>
      <c r="I3086">
        <v>0.42979728388388699</v>
      </c>
      <c r="J3086">
        <v>0.303254217090554</v>
      </c>
      <c r="K3086">
        <v>0.19176302761762201</v>
      </c>
      <c r="L3086">
        <v>606.71394711361802</v>
      </c>
      <c r="M3086">
        <v>11.320820933712101</v>
      </c>
      <c r="N3086">
        <v>55.7390057581473</v>
      </c>
      <c r="O3086">
        <v>52.002190178282298</v>
      </c>
      <c r="P3086">
        <v>-4.4823426157159001E-2</v>
      </c>
      <c r="Q3086">
        <v>0.176663017065744</v>
      </c>
      <c r="R3086">
        <v>0.972526209505992</v>
      </c>
      <c r="S3086" t="s">
        <v>8637</v>
      </c>
      <c r="T3086" t="s">
        <v>11100</v>
      </c>
      <c r="U3086" t="s">
        <v>11100</v>
      </c>
      <c r="V3086" t="s">
        <v>11100</v>
      </c>
      <c r="W3086" t="s">
        <v>14141</v>
      </c>
      <c r="X3086">
        <v>14</v>
      </c>
      <c r="Y3086" t="s">
        <v>19590</v>
      </c>
      <c r="Z3086" t="s">
        <v>25091</v>
      </c>
      <c r="AA3086">
        <v>0.64814668770060047</v>
      </c>
      <c r="AB3086" t="str">
        <f>HYPERLINK("Melting_Curves/meltCurve_Q15404_RSU1.pdf", "Melting_Curves/meltCurve_Q15404_RSU1.pdf")</f>
        <v>Melting_Curves/meltCurve_Q15404_RSU1.pdf</v>
      </c>
    </row>
    <row r="3087" spans="1:28" x14ac:dyDescent="0.25">
      <c r="A3087" t="s">
        <v>3091</v>
      </c>
      <c r="B3087">
        <v>0.99299721793515405</v>
      </c>
      <c r="C3087">
        <v>0.87640215196457705</v>
      </c>
      <c r="D3087">
        <v>0.95068975952769597</v>
      </c>
      <c r="E3087">
        <v>0.88834623076167696</v>
      </c>
      <c r="F3087">
        <v>0.76101351046564403</v>
      </c>
      <c r="G3087">
        <v>0.436333337995221</v>
      </c>
      <c r="H3087">
        <v>0.52627331121843601</v>
      </c>
      <c r="I3087">
        <v>0.65040551451274597</v>
      </c>
      <c r="J3087">
        <v>0.77080704390418397</v>
      </c>
      <c r="K3087">
        <v>0.65207262083881201</v>
      </c>
      <c r="L3087">
        <v>1594.0955657406901</v>
      </c>
      <c r="M3087">
        <v>33.042454004016598</v>
      </c>
      <c r="O3087">
        <v>48.068183568079696</v>
      </c>
      <c r="P3087">
        <v>-6.62829241752112E-2</v>
      </c>
      <c r="Q3087">
        <v>0.61430399240307998</v>
      </c>
      <c r="R3087">
        <v>0.69329545415244898</v>
      </c>
      <c r="S3087" t="s">
        <v>8638</v>
      </c>
      <c r="T3087" t="s">
        <v>11100</v>
      </c>
      <c r="U3087" t="s">
        <v>11100</v>
      </c>
      <c r="V3087" t="s">
        <v>11100</v>
      </c>
      <c r="W3087" t="s">
        <v>14142</v>
      </c>
      <c r="X3087">
        <v>11</v>
      </c>
      <c r="Y3087" t="s">
        <v>19591</v>
      </c>
      <c r="Z3087" t="s">
        <v>25092</v>
      </c>
      <c r="AA3087">
        <v>0.76075104209109878</v>
      </c>
      <c r="AB3087" t="str">
        <f>HYPERLINK("Melting_Curves/meltCurve_Q15424_2_SAFB.pdf", "Melting_Curves/meltCurve_Q15424_2_SAFB.pdf")</f>
        <v>Melting_Curves/meltCurve_Q15424_2_SAFB.pdf</v>
      </c>
    </row>
    <row r="3088" spans="1:28" x14ac:dyDescent="0.25">
      <c r="A3088" t="s">
        <v>3092</v>
      </c>
      <c r="B3088">
        <v>0.99299721793515405</v>
      </c>
      <c r="C3088">
        <v>1.0618770191883899</v>
      </c>
      <c r="D3088">
        <v>1.4543863883817401</v>
      </c>
      <c r="E3088">
        <v>0.90032687695512004</v>
      </c>
      <c r="F3088">
        <v>0.70016900362304502</v>
      </c>
      <c r="G3088">
        <v>0.46220375692805499</v>
      </c>
      <c r="H3088">
        <v>0.21918885901614299</v>
      </c>
      <c r="I3088">
        <v>0.148480817458986</v>
      </c>
      <c r="J3088">
        <v>0.13733108520898599</v>
      </c>
      <c r="K3088">
        <v>0.159490165592926</v>
      </c>
      <c r="L3088">
        <v>1188.6039076909201</v>
      </c>
      <c r="M3088">
        <v>22.813905138216999</v>
      </c>
      <c r="N3088">
        <v>52.833041283741402</v>
      </c>
      <c r="O3088">
        <v>51.704649772693401</v>
      </c>
      <c r="P3088">
        <v>-9.5345015518395193E-2</v>
      </c>
      <c r="Q3088">
        <v>0.13567044913588699</v>
      </c>
      <c r="R3088">
        <v>0.88651438954265704</v>
      </c>
      <c r="S3088" t="s">
        <v>8639</v>
      </c>
      <c r="T3088" t="s">
        <v>11100</v>
      </c>
      <c r="U3088" t="s">
        <v>11100</v>
      </c>
      <c r="V3088" t="s">
        <v>11100</v>
      </c>
      <c r="W3088" t="s">
        <v>14143</v>
      </c>
      <c r="X3088">
        <v>8</v>
      </c>
      <c r="Y3088" t="s">
        <v>19592</v>
      </c>
      <c r="Z3088" t="s">
        <v>25093</v>
      </c>
      <c r="AA3088">
        <v>0.57970255188073017</v>
      </c>
      <c r="AB3088" t="str">
        <f>HYPERLINK("Melting_Curves/meltCurve_Q15428_SF3A2.pdf", "Melting_Curves/meltCurve_Q15428_SF3A2.pdf")</f>
        <v>Melting_Curves/meltCurve_Q15428_SF3A2.pdf</v>
      </c>
    </row>
    <row r="3089" spans="1:28" x14ac:dyDescent="0.25">
      <c r="A3089" t="s">
        <v>3093</v>
      </c>
      <c r="B3089">
        <v>0.99299721793515405</v>
      </c>
      <c r="C3089">
        <v>0.99683124980897997</v>
      </c>
      <c r="D3089">
        <v>0.94086655791164697</v>
      </c>
      <c r="E3089">
        <v>0.91078495844554497</v>
      </c>
      <c r="F3089">
        <v>0.75332158837387597</v>
      </c>
      <c r="G3089">
        <v>0.55647445078245905</v>
      </c>
      <c r="H3089">
        <v>0.44952141680301799</v>
      </c>
      <c r="I3089">
        <v>0.28001578037602898</v>
      </c>
      <c r="J3089">
        <v>0.13062530475265899</v>
      </c>
      <c r="K3089">
        <v>0.10777240553683699</v>
      </c>
      <c r="L3089">
        <v>632.19718598173995</v>
      </c>
      <c r="M3089">
        <v>11.414988724423599</v>
      </c>
      <c r="N3089">
        <v>55.383075832010697</v>
      </c>
      <c r="O3089">
        <v>53.765091952446497</v>
      </c>
      <c r="P3089">
        <v>-5.3093592241910501E-2</v>
      </c>
      <c r="Q3089">
        <v>0</v>
      </c>
      <c r="R3089">
        <v>0.99418055955832996</v>
      </c>
      <c r="S3089" t="s">
        <v>8640</v>
      </c>
      <c r="T3089" t="s">
        <v>11100</v>
      </c>
      <c r="U3089" t="s">
        <v>11100</v>
      </c>
      <c r="V3089" t="s">
        <v>11100</v>
      </c>
      <c r="W3089" t="s">
        <v>14144</v>
      </c>
      <c r="X3089">
        <v>17</v>
      </c>
      <c r="Y3089" t="s">
        <v>19593</v>
      </c>
      <c r="Z3089" t="s">
        <v>25094</v>
      </c>
      <c r="AA3089">
        <v>0.62483690432939543</v>
      </c>
      <c r="AB3089" t="str">
        <f>HYPERLINK("Melting_Curves/meltCurve_Q15435_PPP1R7.pdf", "Melting_Curves/meltCurve_Q15435_PPP1R7.pdf")</f>
        <v>Melting_Curves/meltCurve_Q15435_PPP1R7.pdf</v>
      </c>
    </row>
    <row r="3090" spans="1:28" x14ac:dyDescent="0.25">
      <c r="A3090" t="s">
        <v>3094</v>
      </c>
      <c r="B3090">
        <v>0.99299721793515405</v>
      </c>
      <c r="C3090">
        <v>1.04633027525792</v>
      </c>
      <c r="D3090">
        <v>0.94948645528562403</v>
      </c>
      <c r="E3090">
        <v>0.87314430329934201</v>
      </c>
      <c r="F3090">
        <v>0.71117532375925196</v>
      </c>
      <c r="G3090">
        <v>0.45974919598616398</v>
      </c>
      <c r="H3090">
        <v>0.29305360336790398</v>
      </c>
      <c r="I3090">
        <v>0.170719365583546</v>
      </c>
      <c r="J3090">
        <v>0.16724449039123301</v>
      </c>
      <c r="K3090">
        <v>0.135309923617046</v>
      </c>
      <c r="L3090">
        <v>812.61325951966705</v>
      </c>
      <c r="M3090">
        <v>15.5066683575662</v>
      </c>
      <c r="N3090">
        <v>53.196139360079201</v>
      </c>
      <c r="O3090">
        <v>51.555796555374101</v>
      </c>
      <c r="P3090">
        <v>-6.7448619656835906E-2</v>
      </c>
      <c r="Q3090">
        <v>0.10308034128415899</v>
      </c>
      <c r="R3090">
        <v>0.99648600456328396</v>
      </c>
      <c r="S3090" t="s">
        <v>8641</v>
      </c>
      <c r="T3090" t="s">
        <v>11100</v>
      </c>
      <c r="U3090" t="s">
        <v>11100</v>
      </c>
      <c r="V3090" t="s">
        <v>11100</v>
      </c>
      <c r="W3090" t="s">
        <v>14145</v>
      </c>
      <c r="X3090">
        <v>10</v>
      </c>
      <c r="Y3090" t="s">
        <v>19594</v>
      </c>
      <c r="Z3090" t="s">
        <v>25095</v>
      </c>
      <c r="AA3090">
        <v>0.57974931975425548</v>
      </c>
      <c r="AB3090" t="str">
        <f>HYPERLINK("Melting_Curves/meltCurve_Q15437_SEC23B.pdf", "Melting_Curves/meltCurve_Q15437_SEC23B.pdf")</f>
        <v>Melting_Curves/meltCurve_Q15437_SEC23B.pdf</v>
      </c>
    </row>
    <row r="3091" spans="1:28" x14ac:dyDescent="0.25">
      <c r="A3091" t="s">
        <v>3095</v>
      </c>
      <c r="B3091">
        <v>0.99299721793515405</v>
      </c>
      <c r="C3091">
        <v>0.97232493692295996</v>
      </c>
      <c r="D3091">
        <v>0.87937639016372604</v>
      </c>
      <c r="E3091">
        <v>0.85668252134130896</v>
      </c>
      <c r="F3091">
        <v>0.75111469727656499</v>
      </c>
      <c r="G3091">
        <v>0.45005777626219801</v>
      </c>
      <c r="H3091">
        <v>0.27430028894139902</v>
      </c>
      <c r="I3091">
        <v>0.26629873187497399</v>
      </c>
      <c r="J3091">
        <v>0.17059488406540499</v>
      </c>
      <c r="K3091">
        <v>0.16182347524458299</v>
      </c>
      <c r="L3091">
        <v>719.99285336140701</v>
      </c>
      <c r="M3091">
        <v>13.747514800598299</v>
      </c>
      <c r="N3091">
        <v>53.381314740503001</v>
      </c>
      <c r="O3091">
        <v>51.301710965974301</v>
      </c>
      <c r="P3091">
        <v>-5.9338475215538103E-2</v>
      </c>
      <c r="Q3091">
        <v>0.114390373972707</v>
      </c>
      <c r="R3091">
        <v>0.98566312026077696</v>
      </c>
      <c r="S3091" t="s">
        <v>8642</v>
      </c>
      <c r="T3091" t="s">
        <v>11100</v>
      </c>
      <c r="U3091" t="s">
        <v>11100</v>
      </c>
      <c r="V3091" t="s">
        <v>11100</v>
      </c>
      <c r="W3091" t="s">
        <v>14146</v>
      </c>
      <c r="X3091">
        <v>6</v>
      </c>
      <c r="Y3091" t="s">
        <v>19595</v>
      </c>
      <c r="Z3091" t="s">
        <v>25096</v>
      </c>
      <c r="AA3091">
        <v>0.58627430387741175</v>
      </c>
      <c r="AB3091" t="str">
        <f>HYPERLINK("Melting_Curves/meltCurve_Q15438_2_CYTH1.pdf", "Melting_Curves/meltCurve_Q15438_2_CYTH1.pdf")</f>
        <v>Melting_Curves/meltCurve_Q15438_2_CYTH1.pdf</v>
      </c>
    </row>
    <row r="3092" spans="1:28" x14ac:dyDescent="0.25">
      <c r="A3092" t="s">
        <v>3096</v>
      </c>
      <c r="B3092">
        <v>0.99299721793515405</v>
      </c>
      <c r="C3092">
        <v>0.98900518498066103</v>
      </c>
      <c r="D3092">
        <v>0.96833489496761105</v>
      </c>
      <c r="E3092">
        <v>0.84590930295139399</v>
      </c>
      <c r="F3092">
        <v>0.65285350312554202</v>
      </c>
      <c r="G3092">
        <v>0.34173483705042101</v>
      </c>
      <c r="H3092">
        <v>0.24603366501625001</v>
      </c>
      <c r="I3092">
        <v>0.19264783240613101</v>
      </c>
      <c r="J3092">
        <v>0.18299101649777699</v>
      </c>
      <c r="K3092">
        <v>0.136161244602756</v>
      </c>
      <c r="L3092">
        <v>938.18075188277101</v>
      </c>
      <c r="M3092">
        <v>18.458230032828901</v>
      </c>
      <c r="N3092">
        <v>51.801054056389397</v>
      </c>
      <c r="O3092">
        <v>50.241928524587301</v>
      </c>
      <c r="P3092">
        <v>-7.8385746873548295E-2</v>
      </c>
      <c r="Q3092">
        <v>0.14659753138055401</v>
      </c>
      <c r="R3092">
        <v>0.99738667809363901</v>
      </c>
      <c r="S3092" t="s">
        <v>8643</v>
      </c>
      <c r="T3092" t="s">
        <v>11100</v>
      </c>
      <c r="U3092" t="s">
        <v>11100</v>
      </c>
      <c r="V3092" t="s">
        <v>11100</v>
      </c>
      <c r="W3092" t="s">
        <v>14147</v>
      </c>
      <c r="X3092">
        <v>24</v>
      </c>
      <c r="Y3092" t="s">
        <v>19596</v>
      </c>
      <c r="Z3092" t="s">
        <v>25097</v>
      </c>
      <c r="AA3092">
        <v>0.55269955518865033</v>
      </c>
      <c r="AB3092" t="str">
        <f>HYPERLINK("Melting_Curves/meltCurve_Q15459_SF3A1.pdf", "Melting_Curves/meltCurve_Q15459_SF3A1.pdf")</f>
        <v>Melting_Curves/meltCurve_Q15459_SF3A1.pdf</v>
      </c>
    </row>
    <row r="3093" spans="1:28" x14ac:dyDescent="0.25">
      <c r="A3093" t="s">
        <v>3097</v>
      </c>
      <c r="B3093">
        <v>0.99299721793515405</v>
      </c>
      <c r="C3093">
        <v>0.95567101071796801</v>
      </c>
      <c r="D3093">
        <v>1.00388167713397</v>
      </c>
      <c r="E3093">
        <v>0.86083669570815102</v>
      </c>
      <c r="F3093">
        <v>0.67586293543051601</v>
      </c>
      <c r="G3093">
        <v>0.382239079517599</v>
      </c>
      <c r="H3093">
        <v>0.259881338950954</v>
      </c>
      <c r="I3093">
        <v>0.230992531664161</v>
      </c>
      <c r="J3093">
        <v>0.211024546452075</v>
      </c>
      <c r="K3093">
        <v>0.17207887344206199</v>
      </c>
      <c r="L3093">
        <v>989.457377794477</v>
      </c>
      <c r="M3093">
        <v>19.409490264825301</v>
      </c>
      <c r="N3093">
        <v>52.198011028438501</v>
      </c>
      <c r="O3093">
        <v>50.446137512794202</v>
      </c>
      <c r="P3093">
        <v>-7.8652556729855105E-2</v>
      </c>
      <c r="Q3093">
        <v>0.18234386454857601</v>
      </c>
      <c r="R3093">
        <v>0.99592743380079796</v>
      </c>
      <c r="S3093" t="s">
        <v>8644</v>
      </c>
      <c r="T3093" t="s">
        <v>11100</v>
      </c>
      <c r="U3093" t="s">
        <v>11100</v>
      </c>
      <c r="V3093" t="s">
        <v>11100</v>
      </c>
      <c r="W3093" t="s">
        <v>14148</v>
      </c>
      <c r="X3093">
        <v>3</v>
      </c>
      <c r="Y3093" t="s">
        <v>19597</v>
      </c>
      <c r="Z3093" t="s">
        <v>25098</v>
      </c>
      <c r="AA3093">
        <v>0.57456854559522552</v>
      </c>
      <c r="AB3093" t="str">
        <f>HYPERLINK("Melting_Curves/meltCurve_Q15464_SHB.pdf", "Melting_Curves/meltCurve_Q15464_SHB.pdf")</f>
        <v>Melting_Curves/meltCurve_Q15464_SHB.pdf</v>
      </c>
    </row>
    <row r="3094" spans="1:28" x14ac:dyDescent="0.25">
      <c r="A3094" t="s">
        <v>3098</v>
      </c>
      <c r="B3094">
        <v>0.99299721793515405</v>
      </c>
      <c r="C3094">
        <v>0.89303253139988803</v>
      </c>
      <c r="D3094">
        <v>1.32294094839986</v>
      </c>
      <c r="E3094">
        <v>1.13963251940674</v>
      </c>
      <c r="F3094">
        <v>1.0280253846352401</v>
      </c>
      <c r="G3094">
        <v>0.79010655435697996</v>
      </c>
      <c r="H3094">
        <v>0.41876749841102101</v>
      </c>
      <c r="I3094">
        <v>0.75596582673593404</v>
      </c>
      <c r="J3094">
        <v>0.62077673259491595</v>
      </c>
      <c r="K3094">
        <v>1.23087576654505</v>
      </c>
      <c r="L3094">
        <v>13351.2901721862</v>
      </c>
      <c r="M3094">
        <v>250</v>
      </c>
      <c r="O3094">
        <v>53.401751511703203</v>
      </c>
      <c r="P3094">
        <v>-0.28487311365220502</v>
      </c>
      <c r="Q3094">
        <v>0.75659646683197102</v>
      </c>
      <c r="R3094">
        <v>0.30433725031078201</v>
      </c>
      <c r="S3094" t="s">
        <v>8645</v>
      </c>
      <c r="T3094" t="s">
        <v>11100</v>
      </c>
      <c r="U3094" t="s">
        <v>11100</v>
      </c>
      <c r="V3094" t="s">
        <v>11100</v>
      </c>
      <c r="W3094" t="s">
        <v>14149</v>
      </c>
      <c r="X3094">
        <v>4</v>
      </c>
      <c r="Y3094" t="s">
        <v>19598</v>
      </c>
      <c r="Z3094" t="s">
        <v>25099</v>
      </c>
      <c r="AA3094">
        <v>0.88972174901074585</v>
      </c>
      <c r="AB3094" t="str">
        <f>HYPERLINK("Melting_Curves/meltCurve_Q15506_SPA17.pdf", "Melting_Curves/meltCurve_Q15506_SPA17.pdf")</f>
        <v>Melting_Curves/meltCurve_Q15506_SPA17.pdf</v>
      </c>
    </row>
    <row r="3095" spans="1:28" x14ac:dyDescent="0.25">
      <c r="A3095" t="s">
        <v>3099</v>
      </c>
      <c r="B3095">
        <v>0.99299721793515405</v>
      </c>
      <c r="C3095">
        <v>0.98531918895471604</v>
      </c>
      <c r="D3095">
        <v>1.07095469568696</v>
      </c>
      <c r="E3095">
        <v>0.92423674649431897</v>
      </c>
      <c r="F3095">
        <v>0.78681963552497602</v>
      </c>
      <c r="G3095">
        <v>0.61929251924431505</v>
      </c>
      <c r="H3095">
        <v>0.25290850384938102</v>
      </c>
      <c r="I3095">
        <v>0.18789761208236</v>
      </c>
      <c r="J3095">
        <v>0.16997283156983001</v>
      </c>
      <c r="K3095">
        <v>0.16326711847505601</v>
      </c>
      <c r="L3095">
        <v>1087.41029577066</v>
      </c>
      <c r="M3095">
        <v>20.273387445365199</v>
      </c>
      <c r="N3095">
        <v>54.436821850350803</v>
      </c>
      <c r="O3095">
        <v>53.123610934725797</v>
      </c>
      <c r="P3095">
        <v>-8.3125018409435203E-2</v>
      </c>
      <c r="Q3095">
        <v>0.12875600371311199</v>
      </c>
      <c r="R3095">
        <v>0.98670990283467797</v>
      </c>
      <c r="S3095" t="s">
        <v>8646</v>
      </c>
      <c r="T3095" t="s">
        <v>11100</v>
      </c>
      <c r="U3095" t="s">
        <v>11100</v>
      </c>
      <c r="V3095" t="s">
        <v>11100</v>
      </c>
      <c r="W3095" t="s">
        <v>14150</v>
      </c>
      <c r="X3095">
        <v>9</v>
      </c>
      <c r="Y3095" t="s">
        <v>19599</v>
      </c>
      <c r="Z3095" t="s">
        <v>25100</v>
      </c>
      <c r="AA3095">
        <v>0.62244926177605775</v>
      </c>
      <c r="AB3095" t="str">
        <f>HYPERLINK("Melting_Curves/meltCurve_Q15526_2_SURF1.pdf", "Melting_Curves/meltCurve_Q15526_2_SURF1.pdf")</f>
        <v>Melting_Curves/meltCurve_Q15526_2_SURF1.pdf</v>
      </c>
    </row>
    <row r="3096" spans="1:28" x14ac:dyDescent="0.25">
      <c r="A3096" t="s">
        <v>3100</v>
      </c>
      <c r="B3096">
        <v>0.99299721793515405</v>
      </c>
      <c r="C3096">
        <v>0.89668543990610505</v>
      </c>
      <c r="D3096">
        <v>0.95900051641267103</v>
      </c>
      <c r="E3096">
        <v>0.86253503627646699</v>
      </c>
      <c r="F3096">
        <v>0.76845224770547205</v>
      </c>
      <c r="G3096">
        <v>0.77248673589033401</v>
      </c>
      <c r="H3096">
        <v>0.53573147991935199</v>
      </c>
      <c r="I3096">
        <v>0.52027837404673505</v>
      </c>
      <c r="J3096">
        <v>0.50339793310593595</v>
      </c>
      <c r="K3096">
        <v>0.46705125177377199</v>
      </c>
      <c r="L3096">
        <v>423.12586850681902</v>
      </c>
      <c r="M3096">
        <v>7.6627647333157203</v>
      </c>
      <c r="N3096">
        <v>63.337445935699598</v>
      </c>
      <c r="O3096">
        <v>51.834878994463502</v>
      </c>
      <c r="P3096">
        <v>-2.5432109339225802E-2</v>
      </c>
      <c r="Q3096">
        <v>0.31276910715699402</v>
      </c>
      <c r="R3096">
        <v>0.95125602659380903</v>
      </c>
      <c r="S3096" t="s">
        <v>8647</v>
      </c>
      <c r="T3096" t="s">
        <v>11100</v>
      </c>
      <c r="U3096" t="s">
        <v>11100</v>
      </c>
      <c r="V3096" t="s">
        <v>11100</v>
      </c>
      <c r="W3096" t="s">
        <v>14151</v>
      </c>
      <c r="X3096">
        <v>9</v>
      </c>
      <c r="Y3096" t="s">
        <v>19600</v>
      </c>
      <c r="Z3096" t="s">
        <v>25101</v>
      </c>
      <c r="AA3096">
        <v>0.73249055072201952</v>
      </c>
      <c r="AB3096" t="str">
        <f>HYPERLINK("Melting_Curves/meltCurve_Q15527_SURF2.pdf", "Melting_Curves/meltCurve_Q15527_SURF2.pdf")</f>
        <v>Melting_Curves/meltCurve_Q15527_SURF2.pdf</v>
      </c>
    </row>
    <row r="3097" spans="1:28" x14ac:dyDescent="0.25">
      <c r="A3097" t="s">
        <v>3101</v>
      </c>
      <c r="B3097">
        <v>0.99299721793515405</v>
      </c>
      <c r="C3097">
        <v>1.1280918262040101</v>
      </c>
      <c r="D3097">
        <v>1.1263129276224799</v>
      </c>
      <c r="E3097">
        <v>1.2245893356438999</v>
      </c>
      <c r="F3097">
        <v>0.79755251070756095</v>
      </c>
      <c r="G3097">
        <v>0.90284484024376399</v>
      </c>
      <c r="H3097">
        <v>0.593789799409149</v>
      </c>
      <c r="I3097">
        <v>0.54016962650303701</v>
      </c>
      <c r="J3097">
        <v>0.48622738070261701</v>
      </c>
      <c r="K3097">
        <v>0.40736260597901702</v>
      </c>
      <c r="L3097">
        <v>1142.2049073317601</v>
      </c>
      <c r="M3097">
        <v>20.3506875283482</v>
      </c>
      <c r="N3097">
        <v>61.559754257291203</v>
      </c>
      <c r="O3097">
        <v>55.5925901047247</v>
      </c>
      <c r="P3097">
        <v>-5.3352200972564399E-2</v>
      </c>
      <c r="Q3097">
        <v>0.41704239386484898</v>
      </c>
      <c r="R3097">
        <v>0.84851258859738699</v>
      </c>
      <c r="S3097" t="s">
        <v>8648</v>
      </c>
      <c r="T3097" t="s">
        <v>11100</v>
      </c>
      <c r="U3097" t="s">
        <v>11100</v>
      </c>
      <c r="V3097" t="s">
        <v>11100</v>
      </c>
      <c r="W3097" t="s">
        <v>14152</v>
      </c>
      <c r="X3097">
        <v>1</v>
      </c>
      <c r="Y3097" t="s">
        <v>19601</v>
      </c>
      <c r="Z3097" t="s">
        <v>25102</v>
      </c>
      <c r="AA3097">
        <v>0.79451573964092403</v>
      </c>
      <c r="AB3097" t="str">
        <f>HYPERLINK("Melting_Curves/meltCurve_Q15543_TAF13.pdf", "Melting_Curves/meltCurve_Q15543_TAF13.pdf")</f>
        <v>Melting_Curves/meltCurve_Q15543_TAF13.pdf</v>
      </c>
    </row>
    <row r="3098" spans="1:28" x14ac:dyDescent="0.25">
      <c r="A3098" t="s">
        <v>3102</v>
      </c>
      <c r="B3098">
        <v>0.99299721793515405</v>
      </c>
      <c r="C3098">
        <v>0.87146644745524904</v>
      </c>
      <c r="D3098">
        <v>0.87352817266082405</v>
      </c>
      <c r="E3098">
        <v>0.82893051246167404</v>
      </c>
      <c r="F3098">
        <v>0.588202610171498</v>
      </c>
      <c r="G3098">
        <v>0.49796822297604998</v>
      </c>
      <c r="H3098">
        <v>0.33745371408261599</v>
      </c>
      <c r="I3098">
        <v>0.361577343702492</v>
      </c>
      <c r="J3098">
        <v>0.40522284056681901</v>
      </c>
      <c r="K3098">
        <v>0.35460570231079902</v>
      </c>
      <c r="L3098">
        <v>612.79621833736701</v>
      </c>
      <c r="M3098">
        <v>12.5477874250019</v>
      </c>
      <c r="N3098">
        <v>53.218451040129302</v>
      </c>
      <c r="O3098">
        <v>47.646370627879399</v>
      </c>
      <c r="P3098">
        <v>-4.46445982298634E-2</v>
      </c>
      <c r="Q3098">
        <v>0.32204082224997099</v>
      </c>
      <c r="R3098">
        <v>0.96223310214287705</v>
      </c>
      <c r="S3098" t="s">
        <v>8649</v>
      </c>
      <c r="T3098" t="s">
        <v>11100</v>
      </c>
      <c r="U3098" t="s">
        <v>11100</v>
      </c>
      <c r="V3098" t="s">
        <v>11100</v>
      </c>
      <c r="W3098" t="s">
        <v>14153</v>
      </c>
      <c r="X3098">
        <v>5</v>
      </c>
      <c r="Y3098" t="s">
        <v>19602</v>
      </c>
      <c r="Z3098" t="s">
        <v>25103</v>
      </c>
      <c r="AA3098">
        <v>0.60866152435443743</v>
      </c>
      <c r="AB3098" t="str">
        <f>HYPERLINK("Melting_Curves/meltCurve_Q15545_TAF7.pdf", "Melting_Curves/meltCurve_Q15545_TAF7.pdf")</f>
        <v>Melting_Curves/meltCurve_Q15545_TAF7.pdf</v>
      </c>
    </row>
    <row r="3099" spans="1:28" x14ac:dyDescent="0.25">
      <c r="A3099" t="s">
        <v>3103</v>
      </c>
      <c r="B3099">
        <v>0.99299721793515405</v>
      </c>
      <c r="C3099">
        <v>0.96322019230452705</v>
      </c>
      <c r="D3099">
        <v>0.90679894344948397</v>
      </c>
      <c r="E3099">
        <v>0.74752347281980802</v>
      </c>
      <c r="F3099">
        <v>0.34116844373560101</v>
      </c>
      <c r="G3099">
        <v>0.226275617565667</v>
      </c>
      <c r="H3099">
        <v>0.183785238175869</v>
      </c>
      <c r="I3099">
        <v>0.15633113057905701</v>
      </c>
      <c r="J3099">
        <v>0.15573856488311999</v>
      </c>
      <c r="K3099">
        <v>0.113966163926495</v>
      </c>
      <c r="L3099">
        <v>1096.6098070671901</v>
      </c>
      <c r="M3099">
        <v>22.844875499654201</v>
      </c>
      <c r="N3099">
        <v>48.728296136174102</v>
      </c>
      <c r="O3099">
        <v>47.639183549950801</v>
      </c>
      <c r="P3099">
        <v>-0.10259708884764999</v>
      </c>
      <c r="Q3099">
        <v>0.144220303291204</v>
      </c>
      <c r="R3099">
        <v>0.99510689486645498</v>
      </c>
      <c r="S3099" t="s">
        <v>8650</v>
      </c>
      <c r="T3099" t="s">
        <v>11100</v>
      </c>
      <c r="U3099" t="s">
        <v>11100</v>
      </c>
      <c r="V3099" t="s">
        <v>11100</v>
      </c>
      <c r="W3099" t="s">
        <v>14154</v>
      </c>
      <c r="X3099">
        <v>7</v>
      </c>
      <c r="Y3099" t="s">
        <v>19603</v>
      </c>
      <c r="Z3099" t="s">
        <v>25104</v>
      </c>
      <c r="AA3099">
        <v>0.46678237746359608</v>
      </c>
      <c r="AB3099" t="str">
        <f>HYPERLINK("Melting_Curves/meltCurve_Q15555_MAPRE2.pdf", "Melting_Curves/meltCurve_Q15555_MAPRE2.pdf")</f>
        <v>Melting_Curves/meltCurve_Q15555_MAPRE2.pdf</v>
      </c>
    </row>
    <row r="3100" spans="1:28" x14ac:dyDescent="0.25">
      <c r="A3100" t="s">
        <v>3104</v>
      </c>
      <c r="B3100">
        <v>0.99299721793515405</v>
      </c>
      <c r="C3100">
        <v>1.0063444885825199</v>
      </c>
      <c r="D3100">
        <v>0.88591249347102397</v>
      </c>
      <c r="E3100">
        <v>0.85450664936904597</v>
      </c>
      <c r="F3100">
        <v>0.47443767974212597</v>
      </c>
      <c r="G3100">
        <v>0.23263323430270599</v>
      </c>
      <c r="H3100">
        <v>0.22262609828072599</v>
      </c>
      <c r="I3100">
        <v>0.19522651480834899</v>
      </c>
      <c r="J3100">
        <v>0.229958595074782</v>
      </c>
      <c r="K3100">
        <v>0.176852336436473</v>
      </c>
      <c r="L3100">
        <v>1303.9777187310799</v>
      </c>
      <c r="M3100">
        <v>26.630826914973401</v>
      </c>
      <c r="N3100">
        <v>49.890722053408197</v>
      </c>
      <c r="O3100">
        <v>48.6913739757914</v>
      </c>
      <c r="P3100">
        <v>-0.110077469510259</v>
      </c>
      <c r="Q3100">
        <v>0.19495299314016401</v>
      </c>
      <c r="R3100">
        <v>0.98989212488098999</v>
      </c>
      <c r="S3100" t="s">
        <v>8651</v>
      </c>
      <c r="T3100" t="s">
        <v>11100</v>
      </c>
      <c r="U3100" t="s">
        <v>11100</v>
      </c>
      <c r="V3100" t="s">
        <v>11100</v>
      </c>
      <c r="W3100" t="s">
        <v>14155</v>
      </c>
      <c r="X3100">
        <v>6</v>
      </c>
      <c r="Y3100" t="s">
        <v>19604</v>
      </c>
      <c r="Z3100" t="s">
        <v>25105</v>
      </c>
      <c r="AA3100">
        <v>0.52217655273153951</v>
      </c>
      <c r="AB3100" t="str">
        <f>HYPERLINK("Melting_Curves/meltCurve_Q15596_NCOA2.pdf", "Melting_Curves/meltCurve_Q15596_NCOA2.pdf")</f>
        <v>Melting_Curves/meltCurve_Q15596_NCOA2.pdf</v>
      </c>
    </row>
    <row r="3101" spans="1:28" x14ac:dyDescent="0.25">
      <c r="A3101" t="s">
        <v>3105</v>
      </c>
      <c r="B3101">
        <v>0.99299721793515405</v>
      </c>
      <c r="C3101">
        <v>0.94774720581599103</v>
      </c>
      <c r="D3101">
        <v>1.1802350245962601</v>
      </c>
      <c r="E3101">
        <v>0.93925310776813997</v>
      </c>
      <c r="F3101">
        <v>0.80605520034779798</v>
      </c>
      <c r="G3101">
        <v>0.74248486319694296</v>
      </c>
      <c r="H3101">
        <v>0.53147287406024002</v>
      </c>
      <c r="I3101">
        <v>0.63606946156644795</v>
      </c>
      <c r="J3101">
        <v>0.614905211270935</v>
      </c>
      <c r="K3101">
        <v>0.65848522511446295</v>
      </c>
      <c r="L3101">
        <v>1333.51695586848</v>
      </c>
      <c r="M3101">
        <v>26.393010419214701</v>
      </c>
      <c r="O3101">
        <v>50.238022344245799</v>
      </c>
      <c r="P3101">
        <v>-5.0378215949913201E-2</v>
      </c>
      <c r="Q3101">
        <v>0.616432786381792</v>
      </c>
      <c r="R3101">
        <v>0.85925737497974197</v>
      </c>
      <c r="S3101" t="s">
        <v>8652</v>
      </c>
      <c r="T3101" t="s">
        <v>11100</v>
      </c>
      <c r="U3101" t="s">
        <v>11100</v>
      </c>
      <c r="V3101" t="s">
        <v>11100</v>
      </c>
      <c r="W3101" t="s">
        <v>14156</v>
      </c>
      <c r="X3101">
        <v>18</v>
      </c>
      <c r="Y3101" t="s">
        <v>19605</v>
      </c>
      <c r="Z3101" t="s">
        <v>25106</v>
      </c>
      <c r="AA3101">
        <v>0.79240462082606777</v>
      </c>
      <c r="AB3101" t="str">
        <f>HYPERLINK("Melting_Curves/meltCurve_Q15599_2_SLC9A3R2.pdf", "Melting_Curves/meltCurve_Q15599_2_SLC9A3R2.pdf")</f>
        <v>Melting_Curves/meltCurve_Q15599_2_SLC9A3R2.pdf</v>
      </c>
    </row>
    <row r="3102" spans="1:28" x14ac:dyDescent="0.25">
      <c r="A3102" t="s">
        <v>3106</v>
      </c>
      <c r="B3102">
        <v>0.99299721793515405</v>
      </c>
      <c r="C3102">
        <v>0.95082620494355596</v>
      </c>
      <c r="D3102">
        <v>0.84938106283585701</v>
      </c>
      <c r="E3102">
        <v>0.96133161955730095</v>
      </c>
      <c r="F3102">
        <v>0.79376325968622896</v>
      </c>
      <c r="G3102">
        <v>0.413291938933256</v>
      </c>
      <c r="H3102">
        <v>0.32341682366340502</v>
      </c>
      <c r="I3102">
        <v>0.29858859657273901</v>
      </c>
      <c r="J3102">
        <v>0.25376737717179498</v>
      </c>
      <c r="K3102">
        <v>0.20673076529798101</v>
      </c>
      <c r="L3102">
        <v>1420.7040738881401</v>
      </c>
      <c r="M3102">
        <v>27.467536313941</v>
      </c>
      <c r="N3102">
        <v>53.063785930331697</v>
      </c>
      <c r="O3102">
        <v>51.451200876045</v>
      </c>
      <c r="P3102">
        <v>-0.100069793878269</v>
      </c>
      <c r="Q3102">
        <v>0.25021838995191198</v>
      </c>
      <c r="R3102">
        <v>0.96980235221882205</v>
      </c>
      <c r="S3102" t="s">
        <v>8653</v>
      </c>
      <c r="T3102" t="s">
        <v>11100</v>
      </c>
      <c r="U3102" t="s">
        <v>11100</v>
      </c>
      <c r="V3102" t="s">
        <v>11100</v>
      </c>
      <c r="W3102" t="s">
        <v>14157</v>
      </c>
      <c r="X3102">
        <v>4</v>
      </c>
      <c r="Y3102" t="s">
        <v>19606</v>
      </c>
      <c r="Z3102" t="s">
        <v>25107</v>
      </c>
      <c r="AA3102">
        <v>0.62376494116211301</v>
      </c>
      <c r="AB3102" t="str">
        <f>HYPERLINK("Melting_Curves/meltCurve_Q15628_TRADD.pdf", "Melting_Curves/meltCurve_Q15628_TRADD.pdf")</f>
        <v>Melting_Curves/meltCurve_Q15628_TRADD.pdf</v>
      </c>
    </row>
    <row r="3103" spans="1:28" x14ac:dyDescent="0.25">
      <c r="A3103" t="s">
        <v>3107</v>
      </c>
      <c r="B3103">
        <v>0.99299721793515405</v>
      </c>
      <c r="C3103">
        <v>0.91985603533348903</v>
      </c>
      <c r="D3103">
        <v>0.94163739995419404</v>
      </c>
      <c r="E3103">
        <v>0.822910611183022</v>
      </c>
      <c r="F3103">
        <v>0.748188395512979</v>
      </c>
      <c r="G3103">
        <v>0.51932811848012195</v>
      </c>
      <c r="H3103">
        <v>0.53067801855825103</v>
      </c>
      <c r="I3103">
        <v>0.57192686451111097</v>
      </c>
      <c r="J3103">
        <v>0.55515146255168701</v>
      </c>
      <c r="K3103">
        <v>0.46182294207872798</v>
      </c>
      <c r="L3103">
        <v>707.20749170506303</v>
      </c>
      <c r="M3103">
        <v>14.5417422641704</v>
      </c>
      <c r="O3103">
        <v>47.740984224919302</v>
      </c>
      <c r="P3103">
        <v>-3.8281364245796E-2</v>
      </c>
      <c r="Q3103">
        <v>0.49734183556318801</v>
      </c>
      <c r="R3103">
        <v>0.946923875199562</v>
      </c>
      <c r="S3103" t="s">
        <v>8654</v>
      </c>
      <c r="T3103" t="s">
        <v>11100</v>
      </c>
      <c r="U3103" t="s">
        <v>11100</v>
      </c>
      <c r="V3103" t="s">
        <v>11100</v>
      </c>
      <c r="W3103" t="s">
        <v>14158</v>
      </c>
      <c r="X3103">
        <v>26</v>
      </c>
      <c r="Y3103" t="s">
        <v>19607</v>
      </c>
      <c r="Z3103" t="s">
        <v>25108</v>
      </c>
      <c r="AA3103">
        <v>0.70372048375370511</v>
      </c>
      <c r="AB3103" t="str">
        <f>HYPERLINK("Melting_Curves/meltCurve_Q15637_5_SF1.pdf", "Melting_Curves/meltCurve_Q15637_5_SF1.pdf")</f>
        <v>Melting_Curves/meltCurve_Q15637_5_SF1.pdf</v>
      </c>
    </row>
    <row r="3104" spans="1:28" x14ac:dyDescent="0.25">
      <c r="A3104" t="s">
        <v>3108</v>
      </c>
      <c r="B3104">
        <v>0.99299721793515405</v>
      </c>
      <c r="C3104">
        <v>0.99010244778974399</v>
      </c>
      <c r="D3104">
        <v>0.987977186634031</v>
      </c>
      <c r="E3104">
        <v>0.83171799086685305</v>
      </c>
      <c r="F3104">
        <v>0.80138757250975201</v>
      </c>
      <c r="G3104">
        <v>0.409108781323066</v>
      </c>
      <c r="H3104">
        <v>0.25912679852627502</v>
      </c>
      <c r="I3104">
        <v>0.24806598040130501</v>
      </c>
      <c r="J3104">
        <v>0.27609248200405601</v>
      </c>
      <c r="K3104">
        <v>0.17900205647742901</v>
      </c>
      <c r="L3104">
        <v>1136.69326824889</v>
      </c>
      <c r="M3104">
        <v>21.996177397037901</v>
      </c>
      <c r="N3104">
        <v>52.978698665409198</v>
      </c>
      <c r="O3104">
        <v>51.255419951667001</v>
      </c>
      <c r="P3104">
        <v>-8.4889859971114506E-2</v>
      </c>
      <c r="Q3104">
        <v>0.208777390338304</v>
      </c>
      <c r="R3104">
        <v>0.97974201670273797</v>
      </c>
      <c r="S3104" t="s">
        <v>8655</v>
      </c>
      <c r="T3104" t="s">
        <v>11100</v>
      </c>
      <c r="U3104" t="s">
        <v>11100</v>
      </c>
      <c r="V3104" t="s">
        <v>11100</v>
      </c>
      <c r="W3104" t="s">
        <v>14159</v>
      </c>
      <c r="X3104">
        <v>15</v>
      </c>
      <c r="Y3104" t="s">
        <v>19608</v>
      </c>
      <c r="Z3104" t="s">
        <v>25109</v>
      </c>
      <c r="AA3104">
        <v>0.6046448697863348</v>
      </c>
      <c r="AB3104" t="str">
        <f>HYPERLINK("Melting_Curves/meltCurve_Q15642_2_TRIP10.pdf", "Melting_Curves/meltCurve_Q15642_2_TRIP10.pdf")</f>
        <v>Melting_Curves/meltCurve_Q15642_2_TRIP10.pdf</v>
      </c>
    </row>
    <row r="3105" spans="1:28" x14ac:dyDescent="0.25">
      <c r="A3105" t="s">
        <v>3109</v>
      </c>
      <c r="B3105">
        <v>0.99299721793515405</v>
      </c>
      <c r="C3105">
        <v>0.95763475925919495</v>
      </c>
      <c r="D3105">
        <v>0.90780300901862299</v>
      </c>
      <c r="E3105">
        <v>0.80607452875642105</v>
      </c>
      <c r="F3105">
        <v>0.39349278628694001</v>
      </c>
      <c r="G3105">
        <v>0.221080526707681</v>
      </c>
      <c r="H3105">
        <v>0.21885109941268799</v>
      </c>
      <c r="I3105">
        <v>0.158448641639653</v>
      </c>
      <c r="J3105">
        <v>0.13027598594729201</v>
      </c>
      <c r="K3105">
        <v>0.12505001044994299</v>
      </c>
      <c r="L3105">
        <v>1130.31117873781</v>
      </c>
      <c r="M3105">
        <v>23.265385501464401</v>
      </c>
      <c r="N3105">
        <v>49.310893610334404</v>
      </c>
      <c r="O3105">
        <v>48.228718468983097</v>
      </c>
      <c r="P3105">
        <v>-0.103081833252728</v>
      </c>
      <c r="Q3105">
        <v>0.14526827988916499</v>
      </c>
      <c r="R3105">
        <v>0.99243327963721495</v>
      </c>
      <c r="S3105" t="s">
        <v>8656</v>
      </c>
      <c r="T3105" t="s">
        <v>11100</v>
      </c>
      <c r="U3105" t="s">
        <v>11100</v>
      </c>
      <c r="V3105" t="s">
        <v>11100</v>
      </c>
      <c r="W3105" t="s">
        <v>14160</v>
      </c>
      <c r="X3105">
        <v>15</v>
      </c>
      <c r="Y3105" t="s">
        <v>19609</v>
      </c>
      <c r="Z3105" t="s">
        <v>25110</v>
      </c>
      <c r="AA3105">
        <v>0.48373868798775033</v>
      </c>
      <c r="AB3105" t="str">
        <f>HYPERLINK("Melting_Curves/meltCurve_Q15643_TRIP11.pdf", "Melting_Curves/meltCurve_Q15643_TRIP11.pdf")</f>
        <v>Melting_Curves/meltCurve_Q15643_TRIP11.pdf</v>
      </c>
    </row>
    <row r="3106" spans="1:28" x14ac:dyDescent="0.25">
      <c r="A3106" t="s">
        <v>3110</v>
      </c>
      <c r="B3106">
        <v>0.99299721793515405</v>
      </c>
      <c r="C3106">
        <v>1.1860542206237801</v>
      </c>
      <c r="D3106">
        <v>1.2727683143572599</v>
      </c>
      <c r="E3106">
        <v>1.0941024506227801</v>
      </c>
      <c r="F3106">
        <v>0.99514923108861897</v>
      </c>
      <c r="G3106">
        <v>0.66954851523610903</v>
      </c>
      <c r="H3106">
        <v>0.24907373809800401</v>
      </c>
      <c r="I3106">
        <v>0.189648308830209</v>
      </c>
      <c r="J3106">
        <v>0.15003939001917299</v>
      </c>
      <c r="K3106">
        <v>0.14671305226866099</v>
      </c>
      <c r="L3106">
        <v>2285.50309684373</v>
      </c>
      <c r="M3106">
        <v>42.019558825867698</v>
      </c>
      <c r="N3106">
        <v>54.894307557370901</v>
      </c>
      <c r="O3106">
        <v>54.268660193532703</v>
      </c>
      <c r="P3106">
        <v>-0.16264781130137701</v>
      </c>
      <c r="Q3106">
        <v>0.15975676183572199</v>
      </c>
      <c r="R3106">
        <v>0.93932253554043998</v>
      </c>
      <c r="S3106" t="s">
        <v>8657</v>
      </c>
      <c r="T3106" t="s">
        <v>11100</v>
      </c>
      <c r="U3106" t="s">
        <v>11100</v>
      </c>
      <c r="V3106" t="s">
        <v>11100</v>
      </c>
      <c r="W3106" t="s">
        <v>14161</v>
      </c>
      <c r="X3106">
        <v>13</v>
      </c>
      <c r="Y3106" t="s">
        <v>19610</v>
      </c>
      <c r="Z3106" t="s">
        <v>25111</v>
      </c>
      <c r="AA3106">
        <v>0.64969686134339932</v>
      </c>
      <c r="AB3106" t="str">
        <f>HYPERLINK("Melting_Curves/meltCurve_Q15645_TRIP13.pdf", "Melting_Curves/meltCurve_Q15645_TRIP13.pdf")</f>
        <v>Melting_Curves/meltCurve_Q15645_TRIP13.pdf</v>
      </c>
    </row>
    <row r="3107" spans="1:28" x14ac:dyDescent="0.25">
      <c r="A3107" t="s">
        <v>3111</v>
      </c>
      <c r="B3107">
        <v>0.99299721793515405</v>
      </c>
      <c r="C3107">
        <v>0.778769020632469</v>
      </c>
      <c r="D3107">
        <v>0.76716399381484701</v>
      </c>
      <c r="E3107">
        <v>0.73564143470852805</v>
      </c>
      <c r="F3107">
        <v>0.59491736646350701</v>
      </c>
      <c r="G3107">
        <v>0.57787788192468703</v>
      </c>
      <c r="H3107">
        <v>0.29067765953663499</v>
      </c>
      <c r="I3107">
        <v>0.211843591623018</v>
      </c>
      <c r="J3107">
        <v>0.16071806233264399</v>
      </c>
      <c r="K3107">
        <v>0.116043148228682</v>
      </c>
      <c r="L3107">
        <v>386.222220303504</v>
      </c>
      <c r="M3107">
        <v>7.4188829420188096</v>
      </c>
      <c r="N3107">
        <v>52.059349505827697</v>
      </c>
      <c r="O3107">
        <v>48.678533060891098</v>
      </c>
      <c r="P3107">
        <v>-3.81584401149389E-2</v>
      </c>
      <c r="Q3107">
        <v>0</v>
      </c>
      <c r="R3107">
        <v>0.94245741626341495</v>
      </c>
      <c r="S3107" t="s">
        <v>8658</v>
      </c>
      <c r="T3107" t="s">
        <v>11100</v>
      </c>
      <c r="U3107" t="s">
        <v>11100</v>
      </c>
      <c r="V3107" t="s">
        <v>11100</v>
      </c>
      <c r="W3107" t="s">
        <v>14162</v>
      </c>
      <c r="X3107">
        <v>2</v>
      </c>
      <c r="Y3107" t="s">
        <v>19611</v>
      </c>
      <c r="Z3107" t="s">
        <v>25112</v>
      </c>
      <c r="AA3107">
        <v>0.5302737392593091</v>
      </c>
      <c r="AB3107" t="str">
        <f>HYPERLINK("Melting_Curves/meltCurve_Q15648_MED1.pdf", "Melting_Curves/meltCurve_Q15648_MED1.pdf")</f>
        <v>Melting_Curves/meltCurve_Q15648_MED1.pdf</v>
      </c>
    </row>
    <row r="3108" spans="1:28" x14ac:dyDescent="0.25">
      <c r="A3108" t="s">
        <v>3112</v>
      </c>
      <c r="B3108">
        <v>0.99299721793515405</v>
      </c>
      <c r="C3108">
        <v>0.89343684222047903</v>
      </c>
      <c r="D3108">
        <v>0.93256350383325803</v>
      </c>
      <c r="E3108">
        <v>0.84854635761178798</v>
      </c>
      <c r="F3108">
        <v>0.79011152867684697</v>
      </c>
      <c r="G3108">
        <v>0.64519757660927002</v>
      </c>
      <c r="H3108">
        <v>0.62307357124375495</v>
      </c>
      <c r="I3108">
        <v>0.66850001280571902</v>
      </c>
      <c r="J3108">
        <v>0.76060259127906304</v>
      </c>
      <c r="K3108">
        <v>0.52094428233831702</v>
      </c>
      <c r="L3108">
        <v>474.05799677513698</v>
      </c>
      <c r="M3108">
        <v>9.8243322938321196</v>
      </c>
      <c r="O3108">
        <v>46.381681456978399</v>
      </c>
      <c r="P3108">
        <v>-2.1438450640466001E-2</v>
      </c>
      <c r="Q3108">
        <v>0.59535815788520896</v>
      </c>
      <c r="R3108">
        <v>0.81258057771011005</v>
      </c>
      <c r="S3108" t="s">
        <v>8659</v>
      </c>
      <c r="T3108" t="s">
        <v>11100</v>
      </c>
      <c r="U3108" t="s">
        <v>11100</v>
      </c>
      <c r="V3108" t="s">
        <v>11100</v>
      </c>
      <c r="W3108" t="s">
        <v>14163</v>
      </c>
      <c r="X3108">
        <v>2</v>
      </c>
      <c r="Y3108" t="s">
        <v>19612</v>
      </c>
      <c r="Z3108" t="s">
        <v>25113</v>
      </c>
      <c r="AA3108">
        <v>0.76343847749363658</v>
      </c>
      <c r="AB3108" t="str">
        <f>HYPERLINK("Melting_Curves/meltCurve_Q15649_ZNHIT3.pdf", "Melting_Curves/meltCurve_Q15649_ZNHIT3.pdf")</f>
        <v>Melting_Curves/meltCurve_Q15649_ZNHIT3.pdf</v>
      </c>
    </row>
    <row r="3109" spans="1:28" x14ac:dyDescent="0.25">
      <c r="A3109" t="s">
        <v>3113</v>
      </c>
      <c r="B3109">
        <v>0.99299721793515405</v>
      </c>
      <c r="C3109">
        <v>1.00187569971692</v>
      </c>
      <c r="D3109">
        <v>1.0550748636641301</v>
      </c>
      <c r="E3109">
        <v>0.82199659661029201</v>
      </c>
      <c r="F3109">
        <v>0.67986858012264295</v>
      </c>
      <c r="G3109">
        <v>0.40562412378455898</v>
      </c>
      <c r="H3109">
        <v>0.40168506620643502</v>
      </c>
      <c r="I3109">
        <v>0.39226799663610701</v>
      </c>
      <c r="J3109">
        <v>0.30439238952323699</v>
      </c>
      <c r="K3109">
        <v>0.240351755331733</v>
      </c>
      <c r="L3109">
        <v>937.05664669126702</v>
      </c>
      <c r="M3109">
        <v>18.6633942381895</v>
      </c>
      <c r="N3109">
        <v>52.796986695818603</v>
      </c>
      <c r="O3109">
        <v>49.642476232719901</v>
      </c>
      <c r="P3109">
        <v>-6.5817592073730904E-2</v>
      </c>
      <c r="Q3109">
        <v>0.29976094100587602</v>
      </c>
      <c r="R3109">
        <v>0.97440214593949803</v>
      </c>
      <c r="S3109" t="s">
        <v>8660</v>
      </c>
      <c r="T3109" t="s">
        <v>11100</v>
      </c>
      <c r="U3109" t="s">
        <v>11100</v>
      </c>
      <c r="V3109" t="s">
        <v>11100</v>
      </c>
      <c r="W3109" t="s">
        <v>14164</v>
      </c>
      <c r="X3109">
        <v>4</v>
      </c>
      <c r="Y3109" t="s">
        <v>19613</v>
      </c>
      <c r="Z3109" t="s">
        <v>25114</v>
      </c>
      <c r="AA3109">
        <v>0.61842467957300651</v>
      </c>
      <c r="AB3109" t="str">
        <f>HYPERLINK("Melting_Curves/meltCurve_Q15652_2_JMJD1C.pdf", "Melting_Curves/meltCurve_Q15652_2_JMJD1C.pdf")</f>
        <v>Melting_Curves/meltCurve_Q15652_2_JMJD1C.pdf</v>
      </c>
    </row>
    <row r="3110" spans="1:28" x14ac:dyDescent="0.25">
      <c r="A3110" t="s">
        <v>3114</v>
      </c>
      <c r="B3110">
        <v>0.99299721793515405</v>
      </c>
      <c r="C3110">
        <v>0.94956387635619299</v>
      </c>
      <c r="D3110">
        <v>0.96733461562850298</v>
      </c>
      <c r="E3110">
        <v>0.88589854911245902</v>
      </c>
      <c r="F3110">
        <v>0.76005423744425504</v>
      </c>
      <c r="G3110">
        <v>0.47246723987202</v>
      </c>
      <c r="H3110">
        <v>0.38208193997595102</v>
      </c>
      <c r="I3110">
        <v>0.35892013131899603</v>
      </c>
      <c r="J3110">
        <v>0.27517492642268199</v>
      </c>
      <c r="K3110">
        <v>0.20608186622712599</v>
      </c>
      <c r="L3110">
        <v>773.450101145958</v>
      </c>
      <c r="M3110">
        <v>14.8163879876954</v>
      </c>
      <c r="N3110">
        <v>54.322728327013898</v>
      </c>
      <c r="O3110">
        <v>51.279064696128302</v>
      </c>
      <c r="P3110">
        <v>-5.6378704007124698E-2</v>
      </c>
      <c r="Q3110">
        <v>0.219582872750272</v>
      </c>
      <c r="R3110">
        <v>0.98752537696244602</v>
      </c>
      <c r="S3110" t="s">
        <v>8661</v>
      </c>
      <c r="T3110" t="s">
        <v>11100</v>
      </c>
      <c r="U3110" t="s">
        <v>11100</v>
      </c>
      <c r="V3110" t="s">
        <v>11100</v>
      </c>
      <c r="W3110" t="s">
        <v>14165</v>
      </c>
      <c r="X3110">
        <v>23</v>
      </c>
      <c r="Y3110" t="s">
        <v>19614</v>
      </c>
      <c r="Z3110" t="s">
        <v>25115</v>
      </c>
      <c r="AA3110">
        <v>0.63000778368619559</v>
      </c>
      <c r="AB3110" t="str">
        <f>HYPERLINK("Melting_Curves/meltCurve_Q15654_TRIP6.pdf", "Melting_Curves/meltCurve_Q15654_TRIP6.pdf")</f>
        <v>Melting_Curves/meltCurve_Q15654_TRIP6.pdf</v>
      </c>
    </row>
    <row r="3111" spans="1:28" x14ac:dyDescent="0.25">
      <c r="A3111" t="s">
        <v>3115</v>
      </c>
      <c r="B3111">
        <v>0.99299721793515405</v>
      </c>
      <c r="C3111">
        <v>1.0495388427165799</v>
      </c>
      <c r="D3111">
        <v>1.00074659460508</v>
      </c>
      <c r="E3111">
        <v>0.966951213331249</v>
      </c>
      <c r="F3111">
        <v>0.84314800754659502</v>
      </c>
      <c r="G3111">
        <v>0.60262311743927</v>
      </c>
      <c r="H3111">
        <v>0.22978387581951801</v>
      </c>
      <c r="I3111">
        <v>0.17138652671298399</v>
      </c>
      <c r="J3111">
        <v>0.13304724458432199</v>
      </c>
      <c r="K3111">
        <v>0.11015803119577</v>
      </c>
      <c r="L3111">
        <v>1300.60593852887</v>
      </c>
      <c r="M3111">
        <v>24.118712487714198</v>
      </c>
      <c r="N3111">
        <v>54.454826856004601</v>
      </c>
      <c r="O3111">
        <v>53.558572294105602</v>
      </c>
      <c r="P3111">
        <v>-0.100812096222053</v>
      </c>
      <c r="Q3111">
        <v>0.104551169713141</v>
      </c>
      <c r="R3111">
        <v>0.995174942640213</v>
      </c>
      <c r="S3111" t="s">
        <v>8662</v>
      </c>
      <c r="T3111" t="s">
        <v>11100</v>
      </c>
      <c r="U3111" t="s">
        <v>11100</v>
      </c>
      <c r="V3111" t="s">
        <v>11100</v>
      </c>
      <c r="W3111" t="s">
        <v>14166</v>
      </c>
      <c r="X3111">
        <v>12</v>
      </c>
      <c r="Y3111" t="s">
        <v>19615</v>
      </c>
      <c r="Z3111" t="s">
        <v>25116</v>
      </c>
      <c r="AA3111">
        <v>0.61803025984840299</v>
      </c>
      <c r="AB3111" t="str">
        <f>HYPERLINK("Melting_Curves/meltCurve_Q15691_MAPRE1.pdf", "Melting_Curves/meltCurve_Q15691_MAPRE1.pdf")</f>
        <v>Melting_Curves/meltCurve_Q15691_MAPRE1.pdf</v>
      </c>
    </row>
    <row r="3112" spans="1:28" x14ac:dyDescent="0.25">
      <c r="A3112" t="s">
        <v>3116</v>
      </c>
      <c r="B3112">
        <v>0.99299721793515405</v>
      </c>
      <c r="C3112">
        <v>1.2178510073719999</v>
      </c>
      <c r="D3112">
        <v>0.83085800429073497</v>
      </c>
      <c r="E3112">
        <v>0.86704392962947097</v>
      </c>
      <c r="F3112">
        <v>0.78011701606468498</v>
      </c>
      <c r="G3112">
        <v>0.45117040271721898</v>
      </c>
      <c r="H3112">
        <v>0.61127312201850803</v>
      </c>
      <c r="I3112">
        <v>0.73422627454449396</v>
      </c>
      <c r="J3112">
        <v>1.00570344258857</v>
      </c>
      <c r="K3112">
        <v>0.70634087458668604</v>
      </c>
      <c r="L3112">
        <v>1166.7778062534501</v>
      </c>
      <c r="M3112">
        <v>25.761591547338998</v>
      </c>
      <c r="O3112">
        <v>45.021102046844597</v>
      </c>
      <c r="P3112">
        <v>-4.0852522225607799E-2</v>
      </c>
      <c r="Q3112">
        <v>0.71442701669182596</v>
      </c>
      <c r="R3112">
        <v>0.44401398050069402</v>
      </c>
      <c r="S3112" t="s">
        <v>8663</v>
      </c>
      <c r="T3112" t="s">
        <v>11100</v>
      </c>
      <c r="U3112" t="s">
        <v>11100</v>
      </c>
      <c r="V3112" t="s">
        <v>11100</v>
      </c>
      <c r="W3112" t="s">
        <v>14167</v>
      </c>
      <c r="X3112">
        <v>1</v>
      </c>
      <c r="Y3112" t="s">
        <v>19616</v>
      </c>
      <c r="Z3112" t="s">
        <v>25117</v>
      </c>
      <c r="AA3112">
        <v>0.79556016331611135</v>
      </c>
      <c r="AB3112" t="str">
        <f>HYPERLINK("Melting_Curves/meltCurve_Q15714_TSC22D1.pdf", "Melting_Curves/meltCurve_Q15714_TSC22D1.pdf")</f>
        <v>Melting_Curves/meltCurve_Q15714_TSC22D1.pdf</v>
      </c>
    </row>
    <row r="3113" spans="1:28" x14ac:dyDescent="0.25">
      <c r="A3113" t="s">
        <v>3117</v>
      </c>
      <c r="B3113">
        <v>0.99299721793515405</v>
      </c>
      <c r="C3113">
        <v>0.91865904477645899</v>
      </c>
      <c r="D3113">
        <v>0.89618255449832696</v>
      </c>
      <c r="E3113">
        <v>0.78445567548094997</v>
      </c>
      <c r="F3113">
        <v>0.689693057198976</v>
      </c>
      <c r="G3113">
        <v>0.40611981251037998</v>
      </c>
      <c r="H3113">
        <v>0.22308413413505801</v>
      </c>
      <c r="I3113">
        <v>7.2187828135045498E-2</v>
      </c>
      <c r="J3113">
        <v>5.1321476957325501E-2</v>
      </c>
      <c r="K3113">
        <v>4.1406005070926198E-2</v>
      </c>
      <c r="L3113">
        <v>703.96734133803898</v>
      </c>
      <c r="M3113">
        <v>13.5091131852034</v>
      </c>
      <c r="N3113">
        <v>52.110538134958198</v>
      </c>
      <c r="O3113">
        <v>51.008422362867698</v>
      </c>
      <c r="P3113">
        <v>-6.6220280365946099E-2</v>
      </c>
      <c r="Q3113">
        <v>0</v>
      </c>
      <c r="R3113">
        <v>0.98811949115843201</v>
      </c>
      <c r="S3113" t="s">
        <v>8664</v>
      </c>
      <c r="T3113" t="s">
        <v>11100</v>
      </c>
      <c r="U3113" t="s">
        <v>11100</v>
      </c>
      <c r="V3113" t="s">
        <v>11100</v>
      </c>
      <c r="W3113" t="s">
        <v>14168</v>
      </c>
      <c r="X3113">
        <v>6</v>
      </c>
      <c r="Y3113" t="s">
        <v>19617</v>
      </c>
      <c r="Z3113" t="s">
        <v>25118</v>
      </c>
      <c r="AA3113">
        <v>0.52489419072356835</v>
      </c>
      <c r="AB3113" t="str">
        <f>HYPERLINK("Melting_Curves/meltCurve_Q15738_NSDHL.pdf", "Melting_Curves/meltCurve_Q15738_NSDHL.pdf")</f>
        <v>Melting_Curves/meltCurve_Q15738_NSDHL.pdf</v>
      </c>
    </row>
    <row r="3114" spans="1:28" x14ac:dyDescent="0.25">
      <c r="A3114" t="s">
        <v>3118</v>
      </c>
      <c r="B3114">
        <v>0.99299721793515405</v>
      </c>
      <c r="C3114">
        <v>0.96479578345610095</v>
      </c>
      <c r="D3114">
        <v>0.94587406925471296</v>
      </c>
      <c r="E3114">
        <v>0.90695316119204294</v>
      </c>
      <c r="F3114">
        <v>0.71019636649250995</v>
      </c>
      <c r="G3114">
        <v>0.40876899699902802</v>
      </c>
      <c r="H3114">
        <v>0.27966347429089999</v>
      </c>
      <c r="I3114">
        <v>0.254606434563664</v>
      </c>
      <c r="J3114">
        <v>0.24495815689668399</v>
      </c>
      <c r="K3114">
        <v>0.20472198316606199</v>
      </c>
      <c r="L3114">
        <v>1087.86216802893</v>
      </c>
      <c r="M3114">
        <v>21.2430488341573</v>
      </c>
      <c r="N3114">
        <v>52.6159876954409</v>
      </c>
      <c r="O3114">
        <v>50.762941810112203</v>
      </c>
      <c r="P3114">
        <v>-8.1966650456480494E-2</v>
      </c>
      <c r="Q3114">
        <v>0.21654163933287299</v>
      </c>
      <c r="R3114">
        <v>0.99588967332692702</v>
      </c>
      <c r="S3114" t="s">
        <v>8665</v>
      </c>
      <c r="T3114" t="s">
        <v>11100</v>
      </c>
      <c r="U3114" t="s">
        <v>11100</v>
      </c>
      <c r="V3114" t="s">
        <v>11100</v>
      </c>
      <c r="W3114" t="s">
        <v>14169</v>
      </c>
      <c r="X3114">
        <v>13</v>
      </c>
      <c r="Y3114" t="s">
        <v>19618</v>
      </c>
      <c r="Z3114" t="s">
        <v>25119</v>
      </c>
      <c r="AA3114">
        <v>0.59689741364799687</v>
      </c>
      <c r="AB3114" t="str">
        <f>HYPERLINK("Melting_Curves/meltCurve_Q15750_TAB1.pdf", "Melting_Curves/meltCurve_Q15750_TAB1.pdf")</f>
        <v>Melting_Curves/meltCurve_Q15750_TAB1.pdf</v>
      </c>
    </row>
    <row r="3115" spans="1:28" x14ac:dyDescent="0.25">
      <c r="A3115" t="s">
        <v>3119</v>
      </c>
      <c r="B3115">
        <v>0.99299721793515405</v>
      </c>
      <c r="C3115">
        <v>1.02864575327325</v>
      </c>
      <c r="D3115">
        <v>0.93941734868536697</v>
      </c>
      <c r="E3115">
        <v>0.92027300018061398</v>
      </c>
      <c r="F3115">
        <v>0.80188421533813903</v>
      </c>
      <c r="G3115">
        <v>0.61911896944457201</v>
      </c>
      <c r="H3115">
        <v>0.75112143630307004</v>
      </c>
      <c r="I3115">
        <v>0.93471955037327603</v>
      </c>
      <c r="J3115">
        <v>1.0797479020458201</v>
      </c>
      <c r="K3115">
        <v>1.1643779087006401</v>
      </c>
      <c r="L3115">
        <v>15000</v>
      </c>
      <c r="M3115">
        <v>233.94981391106001</v>
      </c>
      <c r="O3115">
        <v>64.111625749258806</v>
      </c>
      <c r="P3115">
        <v>0.149964613130214</v>
      </c>
      <c r="Q3115">
        <v>1.1643852688434799</v>
      </c>
      <c r="R3115">
        <v>-0.10835180526258099</v>
      </c>
      <c r="S3115" t="s">
        <v>8666</v>
      </c>
      <c r="T3115" t="s">
        <v>11100</v>
      </c>
      <c r="U3115" t="s">
        <v>11100</v>
      </c>
      <c r="V3115" t="s">
        <v>11100</v>
      </c>
      <c r="W3115" t="s">
        <v>14170</v>
      </c>
      <c r="X3115">
        <v>12</v>
      </c>
      <c r="Y3115" t="s">
        <v>19619</v>
      </c>
      <c r="Z3115" t="s">
        <v>25120</v>
      </c>
      <c r="AA3115">
        <v>1.0157801241560209</v>
      </c>
      <c r="AB3115" t="str">
        <f>HYPERLINK("Melting_Curves/meltCurve_Q15758_SLC1A5.pdf", "Melting_Curves/meltCurve_Q15758_SLC1A5.pdf")</f>
        <v>Melting_Curves/meltCurve_Q15758_SLC1A5.pdf</v>
      </c>
    </row>
    <row r="3116" spans="1:28" x14ac:dyDescent="0.25">
      <c r="A3116" t="s">
        <v>3120</v>
      </c>
      <c r="B3116">
        <v>0.99299721793515405</v>
      </c>
      <c r="C3116">
        <v>0.91851712269136099</v>
      </c>
      <c r="D3116">
        <v>0.73923945847382</v>
      </c>
      <c r="E3116">
        <v>0.82561068588338704</v>
      </c>
      <c r="F3116">
        <v>0.66290356373465398</v>
      </c>
      <c r="G3116">
        <v>0.22227348473801001</v>
      </c>
      <c r="H3116">
        <v>0.284042021436964</v>
      </c>
      <c r="I3116">
        <v>0.41565482774789703</v>
      </c>
      <c r="J3116">
        <v>0.36966696914368202</v>
      </c>
      <c r="K3116">
        <v>0.23041179734258499</v>
      </c>
      <c r="L3116">
        <v>602.45242645864505</v>
      </c>
      <c r="M3116">
        <v>12.450745434521201</v>
      </c>
      <c r="N3116">
        <v>51.3727563742058</v>
      </c>
      <c r="O3116">
        <v>47.1895182124914</v>
      </c>
      <c r="P3116">
        <v>-4.8985643872855797E-2</v>
      </c>
      <c r="Q3116">
        <v>0.25751430893856497</v>
      </c>
      <c r="R3116">
        <v>0.86202601441293802</v>
      </c>
      <c r="S3116" t="s">
        <v>8667</v>
      </c>
      <c r="T3116" t="s">
        <v>11100</v>
      </c>
      <c r="U3116" t="s">
        <v>11100</v>
      </c>
      <c r="V3116" t="s">
        <v>11100</v>
      </c>
      <c r="W3116" t="s">
        <v>14171</v>
      </c>
      <c r="X3116">
        <v>2</v>
      </c>
      <c r="Y3116" t="s">
        <v>19620</v>
      </c>
      <c r="Z3116" t="s">
        <v>25121</v>
      </c>
      <c r="AA3116">
        <v>0.56095877650691661</v>
      </c>
      <c r="AB3116" t="str">
        <f>HYPERLINK("Melting_Curves/meltCurve_Q15759_MAPK11.pdf", "Melting_Curves/meltCurve_Q15759_MAPK11.pdf")</f>
        <v>Melting_Curves/meltCurve_Q15759_MAPK11.pdf</v>
      </c>
    </row>
    <row r="3117" spans="1:28" x14ac:dyDescent="0.25">
      <c r="A3117" t="s">
        <v>3121</v>
      </c>
      <c r="B3117">
        <v>0.99299721793515405</v>
      </c>
      <c r="C3117">
        <v>1.04331551104644</v>
      </c>
      <c r="D3117">
        <v>0.80232039429795199</v>
      </c>
      <c r="E3117">
        <v>0.91066356439679397</v>
      </c>
      <c r="F3117">
        <v>0.67664735179062696</v>
      </c>
      <c r="G3117">
        <v>0.46579606030911502</v>
      </c>
      <c r="H3117">
        <v>0.37407663115440298</v>
      </c>
      <c r="I3117">
        <v>0.33885937456084397</v>
      </c>
      <c r="J3117">
        <v>0.28808937845055699</v>
      </c>
      <c r="K3117">
        <v>0.19782866550912101</v>
      </c>
      <c r="L3117">
        <v>605.70002953672099</v>
      </c>
      <c r="M3117">
        <v>11.664269016080199</v>
      </c>
      <c r="N3117">
        <v>53.9879665478608</v>
      </c>
      <c r="O3117">
        <v>50.471972918592101</v>
      </c>
      <c r="P3117">
        <v>-4.74109796660118E-2</v>
      </c>
      <c r="Q3117">
        <v>0.179620446527678</v>
      </c>
      <c r="R3117">
        <v>0.96222714173315604</v>
      </c>
      <c r="S3117" t="s">
        <v>8668</v>
      </c>
      <c r="T3117" t="s">
        <v>11100</v>
      </c>
      <c r="U3117" t="s">
        <v>11100</v>
      </c>
      <c r="V3117" t="s">
        <v>11100</v>
      </c>
      <c r="W3117" t="s">
        <v>14172</v>
      </c>
      <c r="X3117">
        <v>2</v>
      </c>
      <c r="Y3117" t="s">
        <v>19621</v>
      </c>
      <c r="Z3117" t="s">
        <v>25122</v>
      </c>
      <c r="AA3117">
        <v>0.60790823938707106</v>
      </c>
      <c r="AB3117" t="str">
        <f>HYPERLINK("Melting_Curves/meltCurve_Q15768_EFNB3.pdf", "Melting_Curves/meltCurve_Q15768_EFNB3.pdf")</f>
        <v>Melting_Curves/meltCurve_Q15768_EFNB3.pdf</v>
      </c>
    </row>
    <row r="3118" spans="1:28" x14ac:dyDescent="0.25">
      <c r="A3118" t="s">
        <v>3122</v>
      </c>
      <c r="B3118">
        <v>0.99299721793515405</v>
      </c>
      <c r="C3118">
        <v>0.99855771032381202</v>
      </c>
      <c r="D3118">
        <v>0.77960528473453405</v>
      </c>
      <c r="E3118">
        <v>0.60266536194025599</v>
      </c>
      <c r="F3118">
        <v>0.427103830653979</v>
      </c>
      <c r="G3118">
        <v>0.24623452796621101</v>
      </c>
      <c r="H3118">
        <v>0.21639936644206401</v>
      </c>
      <c r="I3118">
        <v>0.238358968155964</v>
      </c>
      <c r="J3118">
        <v>0.19384395827622</v>
      </c>
      <c r="K3118">
        <v>0.141288751504034</v>
      </c>
      <c r="L3118">
        <v>681.34016920393594</v>
      </c>
      <c r="M3118">
        <v>14.5323583176247</v>
      </c>
      <c r="N3118">
        <v>48.234974213954899</v>
      </c>
      <c r="O3118">
        <v>46.023390973699897</v>
      </c>
      <c r="P3118">
        <v>-6.5752732109723794E-2</v>
      </c>
      <c r="Q3118">
        <v>0.167150210864382</v>
      </c>
      <c r="R3118">
        <v>0.98944069331672801</v>
      </c>
      <c r="S3118" t="s">
        <v>8669</v>
      </c>
      <c r="T3118" t="s">
        <v>11100</v>
      </c>
      <c r="U3118" t="s">
        <v>11100</v>
      </c>
      <c r="V3118" t="s">
        <v>11100</v>
      </c>
      <c r="W3118" t="s">
        <v>14173</v>
      </c>
      <c r="X3118">
        <v>1</v>
      </c>
      <c r="Y3118" t="s">
        <v>19622</v>
      </c>
      <c r="Z3118" t="s">
        <v>25123</v>
      </c>
      <c r="AA3118">
        <v>0.46145137060937319</v>
      </c>
      <c r="AB3118" t="str">
        <f>HYPERLINK("Melting_Curves/meltCurve_Q15773_MLF2.pdf", "Melting_Curves/meltCurve_Q15773_MLF2.pdf")</f>
        <v>Melting_Curves/meltCurve_Q15773_MLF2.pdf</v>
      </c>
    </row>
    <row r="3119" spans="1:28" x14ac:dyDescent="0.25">
      <c r="A3119" t="s">
        <v>3123</v>
      </c>
      <c r="B3119">
        <v>0.99299721793515405</v>
      </c>
      <c r="C3119">
        <v>0.91844216418250302</v>
      </c>
      <c r="D3119">
        <v>0.92606023173491703</v>
      </c>
      <c r="E3119">
        <v>0.87791164954160394</v>
      </c>
      <c r="F3119">
        <v>0.53255547636010503</v>
      </c>
      <c r="G3119">
        <v>0.17916516277139699</v>
      </c>
      <c r="H3119">
        <v>0.13960837137821899</v>
      </c>
      <c r="I3119">
        <v>0.13719747279528</v>
      </c>
      <c r="J3119">
        <v>0.16324193589184899</v>
      </c>
      <c r="K3119">
        <v>0.16271422913324601</v>
      </c>
      <c r="L3119">
        <v>1477.7935043387099</v>
      </c>
      <c r="M3119">
        <v>29.732688987942101</v>
      </c>
      <c r="N3119">
        <v>50.254519247354203</v>
      </c>
      <c r="O3119">
        <v>49.4794457433605</v>
      </c>
      <c r="P3119">
        <v>-0.129304582793588</v>
      </c>
      <c r="Q3119">
        <v>0.139280599106681</v>
      </c>
      <c r="R3119">
        <v>0.98883322843882404</v>
      </c>
      <c r="S3119" t="s">
        <v>8670</v>
      </c>
      <c r="T3119" t="s">
        <v>11100</v>
      </c>
      <c r="U3119" t="s">
        <v>11100</v>
      </c>
      <c r="V3119" t="s">
        <v>11100</v>
      </c>
      <c r="W3119" t="s">
        <v>14174</v>
      </c>
      <c r="X3119">
        <v>19</v>
      </c>
      <c r="Y3119" t="s">
        <v>19623</v>
      </c>
      <c r="Z3119" t="s">
        <v>25124</v>
      </c>
      <c r="AA3119">
        <v>0.5090770023055422</v>
      </c>
      <c r="AB3119" t="str">
        <f>HYPERLINK("Melting_Curves/meltCurve_Q15785_TOMM34.pdf", "Melting_Curves/meltCurve_Q15785_TOMM34.pdf")</f>
        <v>Melting_Curves/meltCurve_Q15785_TOMM34.pdf</v>
      </c>
    </row>
    <row r="3120" spans="1:28" x14ac:dyDescent="0.25">
      <c r="A3120" t="s">
        <v>3124</v>
      </c>
      <c r="B3120">
        <v>0.99299721793515405</v>
      </c>
      <c r="C3120">
        <v>1.1798015495534</v>
      </c>
      <c r="D3120">
        <v>1.16422735799474</v>
      </c>
      <c r="E3120">
        <v>0.81850979395885703</v>
      </c>
      <c r="F3120">
        <v>0.74888075176850899</v>
      </c>
      <c r="G3120">
        <v>0.156790556989404</v>
      </c>
      <c r="H3120">
        <v>0</v>
      </c>
      <c r="I3120">
        <v>5.3953103735191299E-2</v>
      </c>
      <c r="J3120">
        <v>0</v>
      </c>
      <c r="K3120">
        <v>0</v>
      </c>
      <c r="L3120">
        <v>1859.4869489827799</v>
      </c>
      <c r="M3120">
        <v>36.122349094359102</v>
      </c>
      <c r="N3120">
        <v>51.4887255275112</v>
      </c>
      <c r="O3120">
        <v>51.320466774743998</v>
      </c>
      <c r="P3120">
        <v>-0.17527302461063901</v>
      </c>
      <c r="Q3120">
        <v>3.93363827230905E-3</v>
      </c>
      <c r="R3120">
        <v>0.96234794899831799</v>
      </c>
      <c r="S3120" t="s">
        <v>8671</v>
      </c>
      <c r="T3120" t="s">
        <v>11100</v>
      </c>
      <c r="U3120" t="s">
        <v>11100</v>
      </c>
      <c r="V3120" t="s">
        <v>11100</v>
      </c>
      <c r="W3120" t="s">
        <v>14175</v>
      </c>
      <c r="X3120">
        <v>8</v>
      </c>
      <c r="Y3120" t="s">
        <v>19624</v>
      </c>
      <c r="Z3120" t="s">
        <v>25125</v>
      </c>
      <c r="AA3120">
        <v>0.48895351980231011</v>
      </c>
      <c r="AB3120" t="str">
        <f>HYPERLINK("Melting_Curves/meltCurve_Q15797_SMAD1.pdf", "Melting_Curves/meltCurve_Q15797_SMAD1.pdf")</f>
        <v>Melting_Curves/meltCurve_Q15797_SMAD1.pdf</v>
      </c>
    </row>
    <row r="3121" spans="1:28" x14ac:dyDescent="0.25">
      <c r="A3121" t="s">
        <v>3125</v>
      </c>
      <c r="B3121">
        <v>0.99299721793515405</v>
      </c>
      <c r="C3121">
        <v>1.31794379281854</v>
      </c>
      <c r="D3121">
        <v>1.1824054591769999</v>
      </c>
      <c r="E3121">
        <v>1.1623300532946701</v>
      </c>
      <c r="F3121">
        <v>0.92791887498648296</v>
      </c>
      <c r="G3121">
        <v>0.652484623105961</v>
      </c>
      <c r="H3121">
        <v>0.692363534886967</v>
      </c>
      <c r="I3121">
        <v>0.674106801477517</v>
      </c>
      <c r="J3121">
        <v>0.44893256900431799</v>
      </c>
      <c r="K3121">
        <v>0.18428851169576799</v>
      </c>
      <c r="L3121">
        <v>704.63992961226199</v>
      </c>
      <c r="M3121">
        <v>11.395012103725501</v>
      </c>
      <c r="N3121">
        <v>61.837595935469103</v>
      </c>
      <c r="O3121">
        <v>60.024992873556101</v>
      </c>
      <c r="P3121">
        <v>-4.7473423075010603E-2</v>
      </c>
      <c r="Q3121">
        <v>0</v>
      </c>
      <c r="R3121">
        <v>0.78801373799740204</v>
      </c>
      <c r="S3121" t="s">
        <v>8672</v>
      </c>
      <c r="T3121" t="s">
        <v>11100</v>
      </c>
      <c r="U3121" t="s">
        <v>11100</v>
      </c>
      <c r="V3121" t="s">
        <v>11100</v>
      </c>
      <c r="W3121" t="s">
        <v>14176</v>
      </c>
      <c r="X3121">
        <v>1</v>
      </c>
      <c r="Y3121" t="s">
        <v>19625</v>
      </c>
      <c r="Z3121" t="s">
        <v>25126</v>
      </c>
      <c r="AA3121">
        <v>0.79034301606936253</v>
      </c>
      <c r="AB3121" t="str">
        <f>HYPERLINK("Melting_Curves/meltCurve_Q15800_2_MSMO1.pdf", "Melting_Curves/meltCurve_Q15800_2_MSMO1.pdf")</f>
        <v>Melting_Curves/meltCurve_Q15800_2_MSMO1.pdf</v>
      </c>
    </row>
    <row r="3122" spans="1:28" x14ac:dyDescent="0.25">
      <c r="A3122" t="s">
        <v>3126</v>
      </c>
      <c r="B3122">
        <v>0.99299721793515405</v>
      </c>
      <c r="C3122">
        <v>0.96910734567087797</v>
      </c>
      <c r="D3122">
        <v>1.09512206892348</v>
      </c>
      <c r="E3122">
        <v>0.93177208529144595</v>
      </c>
      <c r="F3122">
        <v>0.81578629473623798</v>
      </c>
      <c r="G3122">
        <v>0.63036987637804798</v>
      </c>
      <c r="H3122">
        <v>0.34598022410130203</v>
      </c>
      <c r="I3122">
        <v>0.20738942788885101</v>
      </c>
      <c r="J3122">
        <v>0.16895631392152799</v>
      </c>
      <c r="K3122">
        <v>0.139108877634018</v>
      </c>
      <c r="L3122">
        <v>975.13813634479902</v>
      </c>
      <c r="M3122">
        <v>17.907600166058799</v>
      </c>
      <c r="N3122">
        <v>55.1768070709143</v>
      </c>
      <c r="O3122">
        <v>53.788435748337797</v>
      </c>
      <c r="P3122">
        <v>-7.4532048284315894E-2</v>
      </c>
      <c r="Q3122">
        <v>0.104567806989211</v>
      </c>
      <c r="R3122">
        <v>0.98926176820431799</v>
      </c>
      <c r="S3122" t="s">
        <v>8673</v>
      </c>
      <c r="T3122" t="s">
        <v>11100</v>
      </c>
      <c r="U3122" t="s">
        <v>11100</v>
      </c>
      <c r="V3122" t="s">
        <v>11100</v>
      </c>
      <c r="W3122" t="s">
        <v>14177</v>
      </c>
      <c r="X3122">
        <v>12</v>
      </c>
      <c r="Y3122" t="s">
        <v>19626</v>
      </c>
      <c r="Z3122" t="s">
        <v>25127</v>
      </c>
      <c r="AA3122">
        <v>0.63744113916383993</v>
      </c>
      <c r="AB3122" t="str">
        <f>HYPERLINK("Melting_Curves/meltCurve_Q15814_TBCC.pdf", "Melting_Curves/meltCurve_Q15814_TBCC.pdf")</f>
        <v>Melting_Curves/meltCurve_Q15814_TBCC.pdf</v>
      </c>
    </row>
    <row r="3123" spans="1:28" x14ac:dyDescent="0.25">
      <c r="A3123" t="s">
        <v>3127</v>
      </c>
      <c r="B3123">
        <v>0.99299721793515405</v>
      </c>
      <c r="C3123">
        <v>0.82036494038532604</v>
      </c>
      <c r="D3123">
        <v>1.08486697854945</v>
      </c>
      <c r="E3123">
        <v>0.85741818557662397</v>
      </c>
      <c r="F3123">
        <v>0.67462075736871896</v>
      </c>
      <c r="G3123">
        <v>0.59271880469611204</v>
      </c>
      <c r="H3123">
        <v>0.42128523212443603</v>
      </c>
      <c r="I3123">
        <v>0.484409741369415</v>
      </c>
      <c r="J3123">
        <v>0.44450593293992702</v>
      </c>
      <c r="K3123">
        <v>0.35816566307729703</v>
      </c>
      <c r="L3123">
        <v>829.05335769460601</v>
      </c>
      <c r="M3123">
        <v>16.4945622169842</v>
      </c>
      <c r="N3123">
        <v>55.727479923705502</v>
      </c>
      <c r="O3123">
        <v>49.540873311100903</v>
      </c>
      <c r="P3123">
        <v>-4.9877766774388897E-2</v>
      </c>
      <c r="Q3123">
        <v>0.40081677177681702</v>
      </c>
      <c r="R3123">
        <v>0.90602330190051295</v>
      </c>
      <c r="S3123" t="s">
        <v>8674</v>
      </c>
      <c r="T3123" t="s">
        <v>11100</v>
      </c>
      <c r="U3123" t="s">
        <v>11100</v>
      </c>
      <c r="V3123" t="s">
        <v>11100</v>
      </c>
      <c r="W3123" t="s">
        <v>14178</v>
      </c>
      <c r="X3123">
        <v>2</v>
      </c>
      <c r="Y3123" t="s">
        <v>19627</v>
      </c>
      <c r="Z3123" t="s">
        <v>25128</v>
      </c>
      <c r="AA3123">
        <v>0.67649689913634647</v>
      </c>
      <c r="AB3123" t="str">
        <f>HYPERLINK("Melting_Curves/meltCurve_Q15818_NPTX1.pdf", "Melting_Curves/meltCurve_Q15818_NPTX1.pdf")</f>
        <v>Melting_Curves/meltCurve_Q15818_NPTX1.pdf</v>
      </c>
    </row>
    <row r="3124" spans="1:28" x14ac:dyDescent="0.25">
      <c r="A3124" t="s">
        <v>3128</v>
      </c>
      <c r="B3124">
        <v>0.99299721793515405</v>
      </c>
      <c r="C3124">
        <v>0.97566956278901995</v>
      </c>
      <c r="D3124">
        <v>0.85186753404059501</v>
      </c>
      <c r="E3124">
        <v>0.78152810888094804</v>
      </c>
      <c r="F3124">
        <v>0.66322419802063104</v>
      </c>
      <c r="G3124">
        <v>0.59019852401723505</v>
      </c>
      <c r="H3124">
        <v>0.34323064846130602</v>
      </c>
      <c r="I3124">
        <v>0.242076417136666</v>
      </c>
      <c r="J3124">
        <v>0.156105547079642</v>
      </c>
      <c r="K3124">
        <v>0.16368658625812599</v>
      </c>
      <c r="L3124">
        <v>483.81760651481</v>
      </c>
      <c r="M3124">
        <v>8.9675819486170205</v>
      </c>
      <c r="N3124">
        <v>53.9518533383185</v>
      </c>
      <c r="O3124">
        <v>51.471446469004903</v>
      </c>
      <c r="P3124">
        <v>-4.3588166775671899E-2</v>
      </c>
      <c r="Q3124">
        <v>0</v>
      </c>
      <c r="R3124">
        <v>0.98582914553166701</v>
      </c>
      <c r="S3124" t="s">
        <v>8675</v>
      </c>
      <c r="T3124" t="s">
        <v>11100</v>
      </c>
      <c r="U3124" t="s">
        <v>11100</v>
      </c>
      <c r="V3124" t="s">
        <v>11100</v>
      </c>
      <c r="W3124" t="s">
        <v>14179</v>
      </c>
      <c r="X3124">
        <v>8</v>
      </c>
      <c r="Y3124" t="s">
        <v>19628</v>
      </c>
      <c r="Z3124" t="s">
        <v>25129</v>
      </c>
      <c r="AA3124">
        <v>0.58185587837457498</v>
      </c>
      <c r="AB3124" t="str">
        <f>HYPERLINK("Melting_Curves/meltCurve_Q15819_UBE2V2.pdf", "Melting_Curves/meltCurve_Q15819_UBE2V2.pdf")</f>
        <v>Melting_Curves/meltCurve_Q15819_UBE2V2.pdf</v>
      </c>
    </row>
    <row r="3125" spans="1:28" x14ac:dyDescent="0.25">
      <c r="A3125" t="s">
        <v>3129</v>
      </c>
      <c r="B3125">
        <v>0.99299721793515405</v>
      </c>
      <c r="C3125">
        <v>1.0035696270569301</v>
      </c>
      <c r="D3125">
        <v>0.80851646371858099</v>
      </c>
      <c r="E3125">
        <v>0.82058884066915305</v>
      </c>
      <c r="F3125">
        <v>0.77211689163011399</v>
      </c>
      <c r="G3125">
        <v>0.47489674860718001</v>
      </c>
      <c r="H3125">
        <v>0.59359233672052703</v>
      </c>
      <c r="I3125">
        <v>0.562263772869254</v>
      </c>
      <c r="J3125">
        <v>0.36236793850210097</v>
      </c>
      <c r="K3125">
        <v>0.160016850245285</v>
      </c>
      <c r="L3125">
        <v>363.200921532834</v>
      </c>
      <c r="M3125">
        <v>6.2757269848393502</v>
      </c>
      <c r="N3125">
        <v>57.873920055579198</v>
      </c>
      <c r="O3125">
        <v>52.830330743244303</v>
      </c>
      <c r="P3125">
        <v>-2.9779437694088699E-2</v>
      </c>
      <c r="Q3125">
        <v>0</v>
      </c>
      <c r="R3125">
        <v>0.88113742695068298</v>
      </c>
      <c r="S3125" t="s">
        <v>8676</v>
      </c>
      <c r="T3125" t="s">
        <v>11100</v>
      </c>
      <c r="U3125" t="s">
        <v>11100</v>
      </c>
      <c r="V3125" t="s">
        <v>11100</v>
      </c>
      <c r="W3125" t="s">
        <v>14180</v>
      </c>
      <c r="X3125">
        <v>5</v>
      </c>
      <c r="Y3125" t="s">
        <v>19629</v>
      </c>
      <c r="Z3125" t="s">
        <v>25130</v>
      </c>
      <c r="AA3125">
        <v>0.65923462882566342</v>
      </c>
      <c r="AB3125" t="str">
        <f>HYPERLINK("Melting_Curves/meltCurve_Q15831_STK11.pdf", "Melting_Curves/meltCurve_Q15831_STK11.pdf")</f>
        <v>Melting_Curves/meltCurve_Q15831_STK11.pdf</v>
      </c>
    </row>
    <row r="3126" spans="1:28" x14ac:dyDescent="0.25">
      <c r="A3126" t="s">
        <v>3130</v>
      </c>
      <c r="B3126">
        <v>0.99299721793515405</v>
      </c>
      <c r="C3126">
        <v>0.87065880423331199</v>
      </c>
      <c r="D3126">
        <v>0.82408802625254396</v>
      </c>
      <c r="E3126">
        <v>0.71698103416619297</v>
      </c>
      <c r="F3126">
        <v>0.68604632811071797</v>
      </c>
      <c r="G3126">
        <v>0.34438692414870598</v>
      </c>
      <c r="H3126">
        <v>0.22417958724471901</v>
      </c>
      <c r="I3126">
        <v>0.237988599939152</v>
      </c>
      <c r="J3126">
        <v>0.20212698999376799</v>
      </c>
      <c r="K3126">
        <v>0.169595169222723</v>
      </c>
      <c r="L3126">
        <v>478.884501318319</v>
      </c>
      <c r="M3126">
        <v>9.4332913889248093</v>
      </c>
      <c r="N3126">
        <v>51.525824331274301</v>
      </c>
      <c r="O3126">
        <v>48.640886007026999</v>
      </c>
      <c r="P3126">
        <v>-4.5361225152872199E-2</v>
      </c>
      <c r="Q3126">
        <v>6.4983597098318802E-2</v>
      </c>
      <c r="R3126">
        <v>0.96422023531279</v>
      </c>
      <c r="S3126" t="s">
        <v>8677</v>
      </c>
      <c r="T3126" t="s">
        <v>11100</v>
      </c>
      <c r="U3126" t="s">
        <v>11100</v>
      </c>
      <c r="V3126" t="s">
        <v>11100</v>
      </c>
      <c r="W3126" t="s">
        <v>14181</v>
      </c>
      <c r="X3126">
        <v>6</v>
      </c>
      <c r="Y3126" t="s">
        <v>19630</v>
      </c>
      <c r="Z3126" t="s">
        <v>25131</v>
      </c>
      <c r="AA3126">
        <v>0.52461296096149168</v>
      </c>
      <c r="AB3126" t="str">
        <f>HYPERLINK("Melting_Curves/meltCurve_Q15833_2_STXBP2.pdf", "Melting_Curves/meltCurve_Q15833_2_STXBP2.pdf")</f>
        <v>Melting_Curves/meltCurve_Q15833_2_STXBP2.pdf</v>
      </c>
    </row>
    <row r="3127" spans="1:28" x14ac:dyDescent="0.25">
      <c r="A3127" t="s">
        <v>3131</v>
      </c>
      <c r="B3127">
        <v>0.99299721793515405</v>
      </c>
      <c r="C3127">
        <v>1.0158224237262901</v>
      </c>
      <c r="D3127">
        <v>0.86665179241457702</v>
      </c>
      <c r="E3127">
        <v>0.88798941408035803</v>
      </c>
      <c r="F3127">
        <v>0.72369670124083596</v>
      </c>
      <c r="G3127">
        <v>0.46174279757175801</v>
      </c>
      <c r="H3127">
        <v>0.52608405128306901</v>
      </c>
      <c r="I3127">
        <v>0.66509953383994402</v>
      </c>
      <c r="J3127">
        <v>0.80290561617690204</v>
      </c>
      <c r="K3127">
        <v>0.71192264020514695</v>
      </c>
      <c r="L3127">
        <v>1450.0646593900599</v>
      </c>
      <c r="M3127">
        <v>30.619102884438099</v>
      </c>
      <c r="O3127">
        <v>47.1575460829199</v>
      </c>
      <c r="P3127">
        <v>-5.86903525360985E-2</v>
      </c>
      <c r="Q3127">
        <v>0.63843800482333501</v>
      </c>
      <c r="R3127">
        <v>0.68437255679110098</v>
      </c>
      <c r="S3127" t="s">
        <v>8678</v>
      </c>
      <c r="T3127" t="s">
        <v>11100</v>
      </c>
      <c r="U3127" t="s">
        <v>11100</v>
      </c>
      <c r="V3127" t="s">
        <v>11100</v>
      </c>
      <c r="W3127" t="s">
        <v>14182</v>
      </c>
      <c r="X3127">
        <v>6</v>
      </c>
      <c r="Y3127" t="s">
        <v>19631</v>
      </c>
      <c r="Z3127" t="s">
        <v>25132</v>
      </c>
      <c r="AA3127">
        <v>0.76530560220723842</v>
      </c>
      <c r="AB3127" t="str">
        <f>HYPERLINK("Melting_Curves/meltCurve_Q15836_VAMP3.pdf", "Melting_Curves/meltCurve_Q15836_VAMP3.pdf")</f>
        <v>Melting_Curves/meltCurve_Q15836_VAMP3.pdf</v>
      </c>
    </row>
    <row r="3128" spans="1:28" x14ac:dyDescent="0.25">
      <c r="A3128" t="s">
        <v>3132</v>
      </c>
      <c r="B3128">
        <v>0.99299721793515405</v>
      </c>
      <c r="C3128">
        <v>0.96663080774785204</v>
      </c>
      <c r="D3128">
        <v>0.91978397909131104</v>
      </c>
      <c r="E3128">
        <v>0.89639577516594204</v>
      </c>
      <c r="F3128">
        <v>0.65189807103925002</v>
      </c>
      <c r="G3128">
        <v>0.69965917381309795</v>
      </c>
      <c r="H3128">
        <v>0.29163224397415799</v>
      </c>
      <c r="I3128">
        <v>0.11768300774816701</v>
      </c>
      <c r="J3128">
        <v>0.19460591838869101</v>
      </c>
      <c r="K3128">
        <v>0.247007337089729</v>
      </c>
      <c r="L3128">
        <v>729.03353309541501</v>
      </c>
      <c r="M3128">
        <v>13.657244270541399</v>
      </c>
      <c r="N3128">
        <v>54.330977124977501</v>
      </c>
      <c r="O3128">
        <v>52.275244182491697</v>
      </c>
      <c r="P3128">
        <v>-5.8383619394669697E-2</v>
      </c>
      <c r="Q3128">
        <v>0.106240304355009</v>
      </c>
      <c r="R3128">
        <v>0.93993513531837203</v>
      </c>
      <c r="S3128" t="s">
        <v>8679</v>
      </c>
      <c r="T3128" t="s">
        <v>11100</v>
      </c>
      <c r="U3128" t="s">
        <v>11100</v>
      </c>
      <c r="V3128" t="s">
        <v>11100</v>
      </c>
      <c r="W3128" t="s">
        <v>14183</v>
      </c>
      <c r="X3128">
        <v>2</v>
      </c>
      <c r="Y3128" t="s">
        <v>19632</v>
      </c>
      <c r="Z3128" t="s">
        <v>25133</v>
      </c>
      <c r="AA3128">
        <v>0.610859940496849</v>
      </c>
      <c r="AB3128" t="str">
        <f>HYPERLINK("Melting_Curves/meltCurve_Q15904_ATP6AP1.pdf", "Melting_Curves/meltCurve_Q15904_ATP6AP1.pdf")</f>
        <v>Melting_Curves/meltCurve_Q15904_ATP6AP1.pdf</v>
      </c>
    </row>
    <row r="3129" spans="1:28" x14ac:dyDescent="0.25">
      <c r="A3129" t="s">
        <v>3133</v>
      </c>
      <c r="B3129">
        <v>0.99299721793515405</v>
      </c>
      <c r="C3129">
        <v>1.0466918736440201</v>
      </c>
      <c r="D3129">
        <v>1.0614843772817</v>
      </c>
      <c r="E3129">
        <v>0.95429304686805005</v>
      </c>
      <c r="F3129">
        <v>0.78035125745364997</v>
      </c>
      <c r="G3129">
        <v>0.66069526322585703</v>
      </c>
      <c r="H3129">
        <v>0.61302911367944801</v>
      </c>
      <c r="I3129">
        <v>0.61842906614257598</v>
      </c>
      <c r="J3129">
        <v>0.49683109464014702</v>
      </c>
      <c r="K3129">
        <v>0.26254764086128102</v>
      </c>
      <c r="L3129">
        <v>455.63497100758599</v>
      </c>
      <c r="M3129">
        <v>7.3975520222775897</v>
      </c>
      <c r="N3129">
        <v>61.592667686540899</v>
      </c>
      <c r="O3129">
        <v>57.572075424026103</v>
      </c>
      <c r="P3129">
        <v>-3.2171601067768597E-2</v>
      </c>
      <c r="Q3129">
        <v>0</v>
      </c>
      <c r="R3129">
        <v>0.92016542159665504</v>
      </c>
      <c r="S3129" t="s">
        <v>8680</v>
      </c>
      <c r="T3129" t="s">
        <v>11100</v>
      </c>
      <c r="U3129" t="s">
        <v>11100</v>
      </c>
      <c r="V3129" t="s">
        <v>11100</v>
      </c>
      <c r="W3129" t="s">
        <v>14184</v>
      </c>
      <c r="X3129">
        <v>19</v>
      </c>
      <c r="Y3129" t="s">
        <v>19633</v>
      </c>
      <c r="Z3129" t="s">
        <v>25134</v>
      </c>
      <c r="AA3129">
        <v>0.74826216313477789</v>
      </c>
      <c r="AB3129" t="str">
        <f>HYPERLINK("Melting_Curves/meltCurve_Q15907_RAB11B.pdf", "Melting_Curves/meltCurve_Q15907_RAB11B.pdf")</f>
        <v>Melting_Curves/meltCurve_Q15907_RAB11B.pdf</v>
      </c>
    </row>
    <row r="3130" spans="1:28" x14ac:dyDescent="0.25">
      <c r="A3130" t="s">
        <v>3134</v>
      </c>
      <c r="B3130">
        <v>0.99299721793515405</v>
      </c>
      <c r="C3130">
        <v>0.92458901571655505</v>
      </c>
      <c r="D3130">
        <v>0.94723076878322998</v>
      </c>
      <c r="E3130">
        <v>0.80317012929278397</v>
      </c>
      <c r="F3130">
        <v>0.73748895227536004</v>
      </c>
      <c r="G3130">
        <v>0.53326060832797995</v>
      </c>
      <c r="H3130">
        <v>0.61390966548178505</v>
      </c>
      <c r="I3130">
        <v>0.85248567431572198</v>
      </c>
      <c r="J3130">
        <v>0.98324733211172599</v>
      </c>
      <c r="K3130">
        <v>0.903573901098076</v>
      </c>
      <c r="L3130">
        <v>1627.98333547993</v>
      </c>
      <c r="M3130">
        <v>36.8618083082646</v>
      </c>
      <c r="O3130">
        <v>44.035123473360002</v>
      </c>
      <c r="P3130">
        <v>-4.7943094787987701E-2</v>
      </c>
      <c r="Q3130">
        <v>0.77090933567224895</v>
      </c>
      <c r="R3130">
        <v>0.294447779470981</v>
      </c>
      <c r="S3130" t="s">
        <v>8681</v>
      </c>
      <c r="T3130" t="s">
        <v>11100</v>
      </c>
      <c r="U3130" t="s">
        <v>11100</v>
      </c>
      <c r="V3130" t="s">
        <v>11100</v>
      </c>
      <c r="W3130" t="s">
        <v>14185</v>
      </c>
      <c r="X3130">
        <v>23</v>
      </c>
      <c r="Y3130" t="s">
        <v>19634</v>
      </c>
      <c r="Z3130" t="s">
        <v>25135</v>
      </c>
      <c r="AA3130">
        <v>0.82644986355173533</v>
      </c>
      <c r="AB3130" t="str">
        <f>HYPERLINK("Melting_Curves/meltCurve_Q15942_ZYX.pdf", "Melting_Curves/meltCurve_Q15942_ZYX.pdf")</f>
        <v>Melting_Curves/meltCurve_Q15942_ZYX.pdf</v>
      </c>
    </row>
    <row r="3131" spans="1:28" x14ac:dyDescent="0.25">
      <c r="A3131" t="s">
        <v>3135</v>
      </c>
      <c r="B3131">
        <v>0.99299721793515405</v>
      </c>
      <c r="C3131">
        <v>1.06213299234615</v>
      </c>
      <c r="D3131">
        <v>0.93592243311126699</v>
      </c>
      <c r="E3131">
        <v>0.94789194723228298</v>
      </c>
      <c r="F3131">
        <v>0.79356742521117496</v>
      </c>
      <c r="G3131">
        <v>0.61282045664152796</v>
      </c>
      <c r="H3131">
        <v>0.47135694822399399</v>
      </c>
      <c r="I3131">
        <v>0.20948589616709501</v>
      </c>
      <c r="J3131">
        <v>0.178057446132383</v>
      </c>
      <c r="K3131">
        <v>0.15157478475171701</v>
      </c>
      <c r="L3131">
        <v>732.56968733453198</v>
      </c>
      <c r="M3131">
        <v>13.187906043096101</v>
      </c>
      <c r="N3131">
        <v>55.896055822230998</v>
      </c>
      <c r="O3131">
        <v>54.3179432120195</v>
      </c>
      <c r="P3131">
        <v>-5.8318793632367701E-2</v>
      </c>
      <c r="Q3131">
        <v>3.9353852558406302E-2</v>
      </c>
      <c r="R3131">
        <v>0.98846526212631702</v>
      </c>
      <c r="S3131" t="s">
        <v>8682</v>
      </c>
      <c r="T3131" t="s">
        <v>11100</v>
      </c>
      <c r="U3131" t="s">
        <v>11100</v>
      </c>
      <c r="V3131" t="s">
        <v>11100</v>
      </c>
      <c r="W3131" t="s">
        <v>14186</v>
      </c>
      <c r="X3131">
        <v>18</v>
      </c>
      <c r="Y3131" t="s">
        <v>19635</v>
      </c>
      <c r="Z3131" t="s">
        <v>25136</v>
      </c>
      <c r="AA3131">
        <v>0.64537484463866823</v>
      </c>
      <c r="AB3131" t="str">
        <f>HYPERLINK("Melting_Curves/meltCurve_Q16134_ETFDH.pdf", "Melting_Curves/meltCurve_Q16134_ETFDH.pdf")</f>
        <v>Melting_Curves/meltCurve_Q16134_ETFDH.pdf</v>
      </c>
    </row>
    <row r="3132" spans="1:28" x14ac:dyDescent="0.25">
      <c r="A3132" t="s">
        <v>3136</v>
      </c>
      <c r="B3132">
        <v>0.99299721793515405</v>
      </c>
      <c r="C3132">
        <v>1.0124230104583301</v>
      </c>
      <c r="D3132">
        <v>0.95640770031945299</v>
      </c>
      <c r="E3132">
        <v>0.86988347722910997</v>
      </c>
      <c r="F3132">
        <v>0.79334515207065404</v>
      </c>
      <c r="G3132">
        <v>0.48230161924985998</v>
      </c>
      <c r="H3132">
        <v>0.61157748342422302</v>
      </c>
      <c r="I3132">
        <v>0.65144779829462196</v>
      </c>
      <c r="J3132">
        <v>0.793049707440169</v>
      </c>
      <c r="K3132">
        <v>0.66659722735233995</v>
      </c>
      <c r="L3132">
        <v>1378.69550474073</v>
      </c>
      <c r="M3132">
        <v>28.838592397157701</v>
      </c>
      <c r="O3132">
        <v>47.579202447329202</v>
      </c>
      <c r="P3132">
        <v>-5.3140281523777998E-2</v>
      </c>
      <c r="Q3132">
        <v>0.64930981737450499</v>
      </c>
      <c r="R3132">
        <v>0.78278366208051398</v>
      </c>
      <c r="S3132" t="s">
        <v>8683</v>
      </c>
      <c r="T3132" t="s">
        <v>11100</v>
      </c>
      <c r="U3132" t="s">
        <v>11100</v>
      </c>
      <c r="V3132" t="s">
        <v>11100</v>
      </c>
      <c r="W3132" t="s">
        <v>14187</v>
      </c>
      <c r="X3132">
        <v>6</v>
      </c>
      <c r="Y3132" t="s">
        <v>19636</v>
      </c>
      <c r="Z3132" t="s">
        <v>25137</v>
      </c>
      <c r="AA3132">
        <v>0.77788408260375286</v>
      </c>
      <c r="AB3132" t="str">
        <f>HYPERLINK("Melting_Curves/meltCurve_Q16143_SNCB.pdf", "Melting_Curves/meltCurve_Q16143_SNCB.pdf")</f>
        <v>Melting_Curves/meltCurve_Q16143_SNCB.pdf</v>
      </c>
    </row>
    <row r="3133" spans="1:28" x14ac:dyDescent="0.25">
      <c r="A3133" t="s">
        <v>3137</v>
      </c>
      <c r="B3133">
        <v>0.99299721793515405</v>
      </c>
      <c r="C3133">
        <v>0.95147408442627901</v>
      </c>
      <c r="D3133">
        <v>0.96177587652827801</v>
      </c>
      <c r="E3133">
        <v>0.83430997359090298</v>
      </c>
      <c r="F3133">
        <v>0.71727662732534003</v>
      </c>
      <c r="G3133">
        <v>0.78324386343853103</v>
      </c>
      <c r="H3133">
        <v>0.88566326810706097</v>
      </c>
      <c r="I3133">
        <v>0.30708425099086101</v>
      </c>
      <c r="J3133">
        <v>0.16261154455750501</v>
      </c>
      <c r="K3133">
        <v>0.13508600251775099</v>
      </c>
      <c r="L3133">
        <v>1075.7620892934201</v>
      </c>
      <c r="M3133">
        <v>18.051162746702701</v>
      </c>
      <c r="N3133">
        <v>59.595171000280203</v>
      </c>
      <c r="O3133">
        <v>58.878195746529002</v>
      </c>
      <c r="P3133">
        <v>-7.6649927711933005E-2</v>
      </c>
      <c r="Q3133">
        <v>0</v>
      </c>
      <c r="R3133">
        <v>0.84523994349170295</v>
      </c>
      <c r="S3133" t="s">
        <v>8684</v>
      </c>
      <c r="T3133" t="s">
        <v>11100</v>
      </c>
      <c r="U3133" t="s">
        <v>11100</v>
      </c>
      <c r="V3133" t="s">
        <v>11100</v>
      </c>
      <c r="W3133" t="s">
        <v>14188</v>
      </c>
      <c r="X3133">
        <v>21</v>
      </c>
      <c r="Y3133" t="s">
        <v>19637</v>
      </c>
      <c r="Z3133" t="s">
        <v>25138</v>
      </c>
      <c r="AA3133">
        <v>0.75356229886255244</v>
      </c>
      <c r="AB3133" t="str">
        <f>HYPERLINK("Melting_Curves/meltCurve_Q16181_SEPT7.pdf", "Melting_Curves/meltCurve_Q16181_SEPT7.pdf")</f>
        <v>Melting_Curves/meltCurve_Q16181_SEPT7.pdf</v>
      </c>
    </row>
    <row r="3134" spans="1:28" x14ac:dyDescent="0.25">
      <c r="A3134" t="s">
        <v>3138</v>
      </c>
      <c r="B3134">
        <v>0.99299721793515405</v>
      </c>
      <c r="C3134">
        <v>0.75136498627604797</v>
      </c>
      <c r="D3134">
        <v>0.85504409236615297</v>
      </c>
      <c r="E3134">
        <v>0.65386980018197105</v>
      </c>
      <c r="F3134">
        <v>0.70713141084099196</v>
      </c>
      <c r="G3134">
        <v>0.29844351828047</v>
      </c>
      <c r="H3134">
        <v>0.26907467965424198</v>
      </c>
      <c r="I3134">
        <v>0.17328755058426401</v>
      </c>
      <c r="J3134">
        <v>0.223460640553616</v>
      </c>
      <c r="K3134">
        <v>0.208834186289729</v>
      </c>
      <c r="L3134">
        <v>406.45241402049902</v>
      </c>
      <c r="M3134">
        <v>8.0485074103241292</v>
      </c>
      <c r="N3134">
        <v>51.0786309700541</v>
      </c>
      <c r="O3134">
        <v>47.669144865361503</v>
      </c>
      <c r="P3134">
        <v>-4.0416792852412599E-2</v>
      </c>
      <c r="Q3134">
        <v>4.3546412117846697E-2</v>
      </c>
      <c r="R3134">
        <v>0.91086213357628598</v>
      </c>
      <c r="S3134" t="s">
        <v>8685</v>
      </c>
      <c r="T3134" t="s">
        <v>11100</v>
      </c>
      <c r="U3134" t="s">
        <v>11100</v>
      </c>
      <c r="V3134" t="s">
        <v>11100</v>
      </c>
      <c r="W3134" t="s">
        <v>14189</v>
      </c>
      <c r="X3134">
        <v>2</v>
      </c>
      <c r="Y3134" t="s">
        <v>19638</v>
      </c>
      <c r="Z3134" t="s">
        <v>25139</v>
      </c>
      <c r="AA3134">
        <v>0.51000842642787614</v>
      </c>
      <c r="AB3134" t="str">
        <f>HYPERLINK("Melting_Curves/meltCurve_Q16186_ADRM1.pdf", "Melting_Curves/meltCurve_Q16186_ADRM1.pdf")</f>
        <v>Melting_Curves/meltCurve_Q16186_ADRM1.pdf</v>
      </c>
    </row>
    <row r="3135" spans="1:28" x14ac:dyDescent="0.25">
      <c r="A3135" t="s">
        <v>3139</v>
      </c>
      <c r="B3135">
        <v>0.99299721793515405</v>
      </c>
      <c r="C3135">
        <v>0.92816486145559096</v>
      </c>
      <c r="D3135">
        <v>0.98718207726467</v>
      </c>
      <c r="E3135">
        <v>0.88479416787022103</v>
      </c>
      <c r="F3135">
        <v>0.77921656141521101</v>
      </c>
      <c r="G3135">
        <v>0.66993717602868896</v>
      </c>
      <c r="H3135">
        <v>0.582467146565537</v>
      </c>
      <c r="I3135">
        <v>0.48896680853340702</v>
      </c>
      <c r="J3135">
        <v>0.43324362904091501</v>
      </c>
      <c r="K3135">
        <v>0.29602326711691201</v>
      </c>
      <c r="L3135">
        <v>410.14212497839401</v>
      </c>
      <c r="M3135">
        <v>6.8198810159082903</v>
      </c>
      <c r="N3135">
        <v>60.139190458649203</v>
      </c>
      <c r="O3135">
        <v>55.604318128615901</v>
      </c>
      <c r="P3135">
        <v>-3.0725081721342799E-2</v>
      </c>
      <c r="Q3135">
        <v>0</v>
      </c>
      <c r="R3135">
        <v>0.98608722474773403</v>
      </c>
      <c r="S3135" t="s">
        <v>8686</v>
      </c>
      <c r="T3135" t="s">
        <v>11100</v>
      </c>
      <c r="U3135" t="s">
        <v>11100</v>
      </c>
      <c r="V3135" t="s">
        <v>11100</v>
      </c>
      <c r="W3135" t="s">
        <v>14190</v>
      </c>
      <c r="X3135">
        <v>25</v>
      </c>
      <c r="Y3135" t="s">
        <v>19639</v>
      </c>
      <c r="Z3135" t="s">
        <v>25140</v>
      </c>
      <c r="AA3135">
        <v>0.71208856928483522</v>
      </c>
      <c r="AB3135" t="str">
        <f>HYPERLINK("Melting_Curves/meltCurve_Q16204_CCDC6.pdf", "Melting_Curves/meltCurve_Q16204_CCDC6.pdf")</f>
        <v>Melting_Curves/meltCurve_Q16204_CCDC6.pdf</v>
      </c>
    </row>
    <row r="3136" spans="1:28" x14ac:dyDescent="0.25">
      <c r="A3136" t="s">
        <v>3140</v>
      </c>
      <c r="B3136">
        <v>0.99299721793515405</v>
      </c>
      <c r="C3136">
        <v>1.15662759636958</v>
      </c>
      <c r="D3136">
        <v>1.02848691604239</v>
      </c>
      <c r="E3136">
        <v>0.96417259347084305</v>
      </c>
      <c r="F3136">
        <v>0.82314709970001798</v>
      </c>
      <c r="G3136">
        <v>0.57173494777634803</v>
      </c>
      <c r="H3136">
        <v>0.28125407511983702</v>
      </c>
      <c r="I3136">
        <v>0.19088502963479301</v>
      </c>
      <c r="J3136">
        <v>0.15097507568180599</v>
      </c>
      <c r="K3136">
        <v>0.121785321127919</v>
      </c>
      <c r="L3136">
        <v>1134.34530961729</v>
      </c>
      <c r="M3136">
        <v>21.0990239604088</v>
      </c>
      <c r="N3136">
        <v>54.439049085463999</v>
      </c>
      <c r="O3136">
        <v>53.286960598952199</v>
      </c>
      <c r="P3136">
        <v>-8.7580331779188295E-2</v>
      </c>
      <c r="Q3136">
        <v>0.115263948925086</v>
      </c>
      <c r="R3136">
        <v>0.98233990925927295</v>
      </c>
      <c r="S3136" t="s">
        <v>8687</v>
      </c>
      <c r="T3136" t="s">
        <v>11100</v>
      </c>
      <c r="U3136" t="s">
        <v>11100</v>
      </c>
      <c r="V3136" t="s">
        <v>11100</v>
      </c>
      <c r="W3136" t="s">
        <v>14191</v>
      </c>
      <c r="X3136">
        <v>16</v>
      </c>
      <c r="Y3136" t="s">
        <v>19640</v>
      </c>
      <c r="Z3136" t="s">
        <v>25141</v>
      </c>
      <c r="AA3136">
        <v>0.61968013569550406</v>
      </c>
      <c r="AB3136" t="str">
        <f>HYPERLINK("Melting_Curves/meltCurve_Q16222_2_UAP1.pdf", "Melting_Curves/meltCurve_Q16222_2_UAP1.pdf")</f>
        <v>Melting_Curves/meltCurve_Q16222_2_UAP1.pdf</v>
      </c>
    </row>
    <row r="3137" spans="1:28" x14ac:dyDescent="0.25">
      <c r="A3137" t="s">
        <v>3141</v>
      </c>
      <c r="B3137">
        <v>0.99299721793515405</v>
      </c>
      <c r="C3137">
        <v>1.0278160612679501</v>
      </c>
      <c r="D3137">
        <v>0.92535511236258505</v>
      </c>
      <c r="E3137">
        <v>0.92829296103358805</v>
      </c>
      <c r="F3137">
        <v>0.83317978347000599</v>
      </c>
      <c r="G3137">
        <v>0.408371684965112</v>
      </c>
      <c r="H3137">
        <v>0.41877616892979802</v>
      </c>
      <c r="I3137">
        <v>0.26009404857878599</v>
      </c>
      <c r="J3137">
        <v>0.24198291342498199</v>
      </c>
      <c r="K3137">
        <v>0.114158772499942</v>
      </c>
      <c r="L3137">
        <v>870.73443035065895</v>
      </c>
      <c r="M3137">
        <v>16.424414312216399</v>
      </c>
      <c r="N3137">
        <v>54.244539293726298</v>
      </c>
      <c r="O3137">
        <v>52.247432493664398</v>
      </c>
      <c r="P3137">
        <v>-6.63768550342555E-2</v>
      </c>
      <c r="Q3137">
        <v>0.15545847255110701</v>
      </c>
      <c r="R3137">
        <v>0.96865075852179905</v>
      </c>
      <c r="S3137" t="s">
        <v>8688</v>
      </c>
      <c r="T3137" t="s">
        <v>11100</v>
      </c>
      <c r="U3137" t="s">
        <v>11100</v>
      </c>
      <c r="V3137" t="s">
        <v>11100</v>
      </c>
      <c r="W3137" t="s">
        <v>14192</v>
      </c>
      <c r="X3137">
        <v>2</v>
      </c>
      <c r="Y3137" t="s">
        <v>19641</v>
      </c>
      <c r="Z3137" t="s">
        <v>25142</v>
      </c>
      <c r="AA3137">
        <v>0.61999167983232617</v>
      </c>
      <c r="AB3137" t="str">
        <f>HYPERLINK("Melting_Curves/meltCurve_Q16254_E2F4.pdf", "Melting_Curves/meltCurve_Q16254_E2F4.pdf")</f>
        <v>Melting_Curves/meltCurve_Q16254_E2F4.pdf</v>
      </c>
    </row>
    <row r="3138" spans="1:28" x14ac:dyDescent="0.25">
      <c r="A3138" t="s">
        <v>3142</v>
      </c>
      <c r="B3138">
        <v>0.99299721793515405</v>
      </c>
      <c r="C3138">
        <v>1.06726333767639</v>
      </c>
      <c r="D3138">
        <v>0.25353726721783498</v>
      </c>
      <c r="E3138">
        <v>1.12272060828874</v>
      </c>
      <c r="F3138">
        <v>0.36927083573661601</v>
      </c>
      <c r="G3138">
        <v>0</v>
      </c>
      <c r="H3138">
        <v>0.33932709012088402</v>
      </c>
      <c r="I3138">
        <v>0</v>
      </c>
      <c r="J3138">
        <v>0.33751738387243402</v>
      </c>
      <c r="K3138">
        <v>0</v>
      </c>
      <c r="L3138">
        <v>488.76841083803799</v>
      </c>
      <c r="M3138">
        <v>10.110031214102399</v>
      </c>
      <c r="N3138">
        <v>48.649155748137098</v>
      </c>
      <c r="O3138">
        <v>46.567782073783498</v>
      </c>
      <c r="P3138">
        <v>-5.2637634756469598E-2</v>
      </c>
      <c r="Q3138">
        <v>3.06360861873505E-2</v>
      </c>
      <c r="R3138">
        <v>0.57586407634675696</v>
      </c>
      <c r="S3138" t="s">
        <v>8689</v>
      </c>
      <c r="T3138" t="s">
        <v>11100</v>
      </c>
      <c r="U3138" t="s">
        <v>11100</v>
      </c>
      <c r="V3138" t="s">
        <v>11100</v>
      </c>
      <c r="W3138" t="s">
        <v>14193</v>
      </c>
      <c r="X3138">
        <v>2</v>
      </c>
      <c r="Y3138" t="s">
        <v>19642</v>
      </c>
      <c r="Z3138" t="s">
        <v>25143</v>
      </c>
      <c r="AA3138">
        <v>0.43463716655882878</v>
      </c>
      <c r="AB3138" t="str">
        <f>HYPERLINK("Melting_Curves/meltCurve_Q16401_2_PSMD5.pdf", "Melting_Curves/meltCurve_Q16401_2_PSMD5.pdf")</f>
        <v>Melting_Curves/meltCurve_Q16401_2_PSMD5.pdf</v>
      </c>
    </row>
    <row r="3139" spans="1:28" x14ac:dyDescent="0.25">
      <c r="A3139" t="s">
        <v>3143</v>
      </c>
      <c r="B3139">
        <v>0.99299721793515405</v>
      </c>
      <c r="C3139">
        <v>0.93788093823629803</v>
      </c>
      <c r="D3139">
        <v>1.0843080851237601</v>
      </c>
      <c r="E3139">
        <v>0.89409409292826902</v>
      </c>
      <c r="F3139">
        <v>0.76132939134433497</v>
      </c>
      <c r="G3139">
        <v>0.30773899196138899</v>
      </c>
      <c r="H3139">
        <v>0.171936081136281</v>
      </c>
      <c r="I3139">
        <v>0.12444689886855299</v>
      </c>
      <c r="J3139">
        <v>0.12356270501361399</v>
      </c>
      <c r="K3139">
        <v>9.9758492698534998E-2</v>
      </c>
      <c r="L3139">
        <v>1483.70887332455</v>
      </c>
      <c r="M3139">
        <v>28.7045852922374</v>
      </c>
      <c r="N3139">
        <v>52.145683889656603</v>
      </c>
      <c r="O3139">
        <v>51.4399995046847</v>
      </c>
      <c r="P3139">
        <v>-0.12399886979663299</v>
      </c>
      <c r="Q3139">
        <v>0.111159182988293</v>
      </c>
      <c r="R3139">
        <v>0.98862339351039297</v>
      </c>
      <c r="S3139" t="s">
        <v>8690</v>
      </c>
      <c r="T3139" t="s">
        <v>11100</v>
      </c>
      <c r="U3139" t="s">
        <v>11100</v>
      </c>
      <c r="V3139" t="s">
        <v>11100</v>
      </c>
      <c r="W3139" t="s">
        <v>14194</v>
      </c>
      <c r="X3139">
        <v>21</v>
      </c>
      <c r="Y3139" t="s">
        <v>19643</v>
      </c>
      <c r="Z3139" t="s">
        <v>25144</v>
      </c>
      <c r="AA3139">
        <v>0.55244423950863231</v>
      </c>
      <c r="AB3139" t="str">
        <f>HYPERLINK("Melting_Curves/meltCurve_Q16512_PKN1.pdf", "Melting_Curves/meltCurve_Q16512_PKN1.pdf")</f>
        <v>Melting_Curves/meltCurve_Q16512_PKN1.pdf</v>
      </c>
    </row>
    <row r="3140" spans="1:28" x14ac:dyDescent="0.25">
      <c r="A3140" t="s">
        <v>3144</v>
      </c>
      <c r="B3140">
        <v>0.99299721793515405</v>
      </c>
      <c r="C3140">
        <v>0.98452403188757498</v>
      </c>
      <c r="D3140">
        <v>1.0109120852083999</v>
      </c>
      <c r="E3140">
        <v>0.90207896219194605</v>
      </c>
      <c r="F3140">
        <v>0.69966370655855104</v>
      </c>
      <c r="G3140">
        <v>0.22775064429785599</v>
      </c>
      <c r="H3140">
        <v>0.17329573447315</v>
      </c>
      <c r="I3140">
        <v>0.15748548818660801</v>
      </c>
      <c r="J3140">
        <v>0.15070640847046601</v>
      </c>
      <c r="K3140">
        <v>0.119278662923663</v>
      </c>
      <c r="L3140">
        <v>1767.5478004572999</v>
      </c>
      <c r="M3140">
        <v>34.704708050043401</v>
      </c>
      <c r="N3140">
        <v>51.418651392092301</v>
      </c>
      <c r="O3140">
        <v>50.7628504471054</v>
      </c>
      <c r="P3140">
        <v>-0.146951991005835</v>
      </c>
      <c r="Q3140">
        <v>0.14021180461798399</v>
      </c>
      <c r="R3140">
        <v>0.99524277269480999</v>
      </c>
      <c r="S3140" t="s">
        <v>8691</v>
      </c>
      <c r="T3140" t="s">
        <v>11100</v>
      </c>
      <c r="U3140" t="s">
        <v>11100</v>
      </c>
      <c r="V3140" t="s">
        <v>11100</v>
      </c>
      <c r="W3140" t="s">
        <v>14195</v>
      </c>
      <c r="X3140">
        <v>19</v>
      </c>
      <c r="Y3140" t="s">
        <v>19644</v>
      </c>
      <c r="Z3140" t="s">
        <v>25145</v>
      </c>
      <c r="AA3140">
        <v>0.54348561553988184</v>
      </c>
      <c r="AB3140" t="str">
        <f>HYPERLINK("Melting_Curves/meltCurve_Q16513_PKN2.pdf", "Melting_Curves/meltCurve_Q16513_PKN2.pdf")</f>
        <v>Melting_Curves/meltCurve_Q16513_PKN2.pdf</v>
      </c>
    </row>
    <row r="3141" spans="1:28" x14ac:dyDescent="0.25">
      <c r="A3141" t="s">
        <v>3145</v>
      </c>
      <c r="B3141">
        <v>0.99299721793515405</v>
      </c>
      <c r="C3141">
        <v>1.0387451866281301</v>
      </c>
      <c r="D3141">
        <v>1.0518971964156401</v>
      </c>
      <c r="E3141">
        <v>1.22334102249229</v>
      </c>
      <c r="F3141">
        <v>0.85402365859615503</v>
      </c>
      <c r="G3141">
        <v>0.81600700160818695</v>
      </c>
      <c r="H3141">
        <v>0.50797035333296303</v>
      </c>
      <c r="I3141">
        <v>0.51308204596861395</v>
      </c>
      <c r="J3141">
        <v>0.59533208279106198</v>
      </c>
      <c r="K3141">
        <v>0.56445657293645501</v>
      </c>
      <c r="L3141">
        <v>1912.7203379494399</v>
      </c>
      <c r="M3141">
        <v>35.610816945935099</v>
      </c>
      <c r="O3141">
        <v>53.543239427255202</v>
      </c>
      <c r="P3141">
        <v>-7.6608593738730399E-2</v>
      </c>
      <c r="Q3141">
        <v>0.539256946216501</v>
      </c>
      <c r="R3141">
        <v>0.86688143699781794</v>
      </c>
      <c r="S3141" t="s">
        <v>8692</v>
      </c>
      <c r="T3141" t="s">
        <v>11100</v>
      </c>
      <c r="U3141" t="s">
        <v>11100</v>
      </c>
      <c r="V3141" t="s">
        <v>11100</v>
      </c>
      <c r="W3141" t="s">
        <v>14196</v>
      </c>
      <c r="X3141">
        <v>2</v>
      </c>
      <c r="Y3141" t="s">
        <v>19645</v>
      </c>
      <c r="Z3141" t="s">
        <v>25146</v>
      </c>
      <c r="AA3141">
        <v>0.79804882825106305</v>
      </c>
      <c r="AB3141" t="str">
        <f>HYPERLINK("Melting_Curves/meltCurve_Q16514_2_TAF12.pdf", "Melting_Curves/meltCurve_Q16514_2_TAF12.pdf")</f>
        <v>Melting_Curves/meltCurve_Q16514_2_TAF12.pdf</v>
      </c>
    </row>
    <row r="3142" spans="1:28" x14ac:dyDescent="0.25">
      <c r="A3142" t="s">
        <v>3146</v>
      </c>
      <c r="B3142">
        <v>0.99299721793515405</v>
      </c>
      <c r="C3142">
        <v>0.97280449927197499</v>
      </c>
      <c r="D3142">
        <v>0.91081338582751803</v>
      </c>
      <c r="E3142">
        <v>0.84889464391813896</v>
      </c>
      <c r="F3142">
        <v>0.79340364844019495</v>
      </c>
      <c r="G3142">
        <v>0.87197177697513295</v>
      </c>
      <c r="H3142">
        <v>1.20680812893488</v>
      </c>
      <c r="I3142">
        <v>1.57306762966458</v>
      </c>
      <c r="J3142">
        <v>1.3690499084919701</v>
      </c>
      <c r="K3142">
        <v>0.38862729713581501</v>
      </c>
      <c r="L3142">
        <v>15000</v>
      </c>
      <c r="M3142">
        <v>224.333272697919</v>
      </c>
      <c r="N3142">
        <v>66.864800769955195</v>
      </c>
      <c r="O3142">
        <v>66.859483954408802</v>
      </c>
      <c r="P3142">
        <v>-0.83882361883604495</v>
      </c>
      <c r="Q3142">
        <v>0</v>
      </c>
      <c r="R3142">
        <v>0.38425097321451301</v>
      </c>
      <c r="S3142" t="s">
        <v>8693</v>
      </c>
      <c r="T3142" t="s">
        <v>11100</v>
      </c>
      <c r="U3142" t="s">
        <v>11100</v>
      </c>
      <c r="V3142" t="s">
        <v>11100</v>
      </c>
      <c r="W3142" t="s">
        <v>14197</v>
      </c>
      <c r="X3142">
        <v>40</v>
      </c>
      <c r="Y3142" t="s">
        <v>19646</v>
      </c>
      <c r="Z3142" t="s">
        <v>25147</v>
      </c>
      <c r="AA3142">
        <v>0.99067883869499818</v>
      </c>
      <c r="AB3142" t="str">
        <f>HYPERLINK("Melting_Curves/meltCurve_Q16531_DDB1.pdf", "Melting_Curves/meltCurve_Q16531_DDB1.pdf")</f>
        <v>Melting_Curves/meltCurve_Q16531_DDB1.pdf</v>
      </c>
    </row>
    <row r="3143" spans="1:28" x14ac:dyDescent="0.25">
      <c r="A3143" t="s">
        <v>3147</v>
      </c>
      <c r="B3143">
        <v>0.99299721793515405</v>
      </c>
      <c r="C3143">
        <v>1.16463512566918</v>
      </c>
      <c r="D3143">
        <v>0.96310812069588203</v>
      </c>
      <c r="E3143">
        <v>0.93657998011780796</v>
      </c>
      <c r="F3143">
        <v>0.59365637930174997</v>
      </c>
      <c r="G3143">
        <v>0.228859096957089</v>
      </c>
      <c r="H3143">
        <v>0.13601005867826499</v>
      </c>
      <c r="I3143">
        <v>0.130053521795715</v>
      </c>
      <c r="J3143">
        <v>0.107743259609726</v>
      </c>
      <c r="K3143">
        <v>6.8914909892246495E-2</v>
      </c>
      <c r="L3143">
        <v>1474.1043318500799</v>
      </c>
      <c r="M3143">
        <v>29.165949021049698</v>
      </c>
      <c r="N3143">
        <v>50.9359513886644</v>
      </c>
      <c r="O3143">
        <v>50.306154668487103</v>
      </c>
      <c r="P3143">
        <v>-0.130306876709048</v>
      </c>
      <c r="Q3143">
        <v>0.100980507610512</v>
      </c>
      <c r="R3143">
        <v>0.98304185047810599</v>
      </c>
      <c r="S3143" t="s">
        <v>8694</v>
      </c>
      <c r="T3143" t="s">
        <v>11100</v>
      </c>
      <c r="U3143" t="s">
        <v>11100</v>
      </c>
      <c r="V3143" t="s">
        <v>11100</v>
      </c>
      <c r="W3143" t="s">
        <v>14198</v>
      </c>
      <c r="X3143">
        <v>9</v>
      </c>
      <c r="Y3143" t="s">
        <v>19647</v>
      </c>
      <c r="Z3143" t="s">
        <v>25148</v>
      </c>
      <c r="AA3143">
        <v>0.51267594155834539</v>
      </c>
      <c r="AB3143" t="str">
        <f>HYPERLINK("Melting_Curves/meltCurve_Q16539_MAPK14.pdf", "Melting_Curves/meltCurve_Q16539_MAPK14.pdf")</f>
        <v>Melting_Curves/meltCurve_Q16539_MAPK14.pdf</v>
      </c>
    </row>
    <row r="3144" spans="1:28" x14ac:dyDescent="0.25">
      <c r="A3144" t="s">
        <v>3148</v>
      </c>
      <c r="B3144">
        <v>0.99299721793515405</v>
      </c>
      <c r="C3144">
        <v>0.95305518798612399</v>
      </c>
      <c r="D3144">
        <v>0.86673667227213402</v>
      </c>
      <c r="E3144">
        <v>0.73972374311015499</v>
      </c>
      <c r="F3144">
        <v>0.55656757407975399</v>
      </c>
      <c r="G3144">
        <v>0.24772724233895299</v>
      </c>
      <c r="H3144">
        <v>0.24862763647547401</v>
      </c>
      <c r="I3144">
        <v>0.220497520021459</v>
      </c>
      <c r="J3144">
        <v>0.24237180392559499</v>
      </c>
      <c r="K3144">
        <v>0.21341529280045901</v>
      </c>
      <c r="L3144">
        <v>783.91830998392197</v>
      </c>
      <c r="M3144">
        <v>16.140311667445001</v>
      </c>
      <c r="N3144">
        <v>50.091714413133801</v>
      </c>
      <c r="O3144">
        <v>47.841755725629802</v>
      </c>
      <c r="P3144">
        <v>-6.7994539243960095E-2</v>
      </c>
      <c r="Q3144">
        <v>0.193886292530593</v>
      </c>
      <c r="R3144">
        <v>0.98475614747707696</v>
      </c>
      <c r="S3144" t="s">
        <v>8695</v>
      </c>
      <c r="T3144" t="s">
        <v>11100</v>
      </c>
      <c r="U3144" t="s">
        <v>11100</v>
      </c>
      <c r="V3144" t="s">
        <v>11100</v>
      </c>
      <c r="W3144" t="s">
        <v>14199</v>
      </c>
      <c r="X3144">
        <v>9</v>
      </c>
      <c r="Y3144" t="s">
        <v>19647</v>
      </c>
      <c r="Z3144" t="s">
        <v>25149</v>
      </c>
      <c r="AA3144">
        <v>0.52027561160116143</v>
      </c>
      <c r="AB3144" t="str">
        <f>HYPERLINK("Melting_Curves/meltCurve_Q16539_2_MAPK14.pdf", "Melting_Curves/meltCurve_Q16539_2_MAPK14.pdf")</f>
        <v>Melting_Curves/meltCurve_Q16539_2_MAPK14.pdf</v>
      </c>
    </row>
    <row r="3145" spans="1:28" x14ac:dyDescent="0.25">
      <c r="A3145" t="s">
        <v>3149</v>
      </c>
      <c r="B3145">
        <v>0.99299721793515405</v>
      </c>
      <c r="C3145">
        <v>0.99967491263214203</v>
      </c>
      <c r="D3145">
        <v>0.94907846321759104</v>
      </c>
      <c r="E3145">
        <v>0.91339029727403198</v>
      </c>
      <c r="F3145">
        <v>0.82421486422126899</v>
      </c>
      <c r="G3145">
        <v>0.68053559208672898</v>
      </c>
      <c r="H3145">
        <v>0.56548526742269101</v>
      </c>
      <c r="I3145">
        <v>0.34963021478026102</v>
      </c>
      <c r="J3145">
        <v>0.238583424615082</v>
      </c>
      <c r="K3145">
        <v>0.16023794718408099</v>
      </c>
      <c r="L3145">
        <v>629.42500500278197</v>
      </c>
      <c r="M3145">
        <v>10.9052589427166</v>
      </c>
      <c r="N3145">
        <v>57.7175662482544</v>
      </c>
      <c r="O3145">
        <v>55.878502278049901</v>
      </c>
      <c r="P3145">
        <v>-4.8807065383319199E-2</v>
      </c>
      <c r="Q3145">
        <v>0</v>
      </c>
      <c r="R3145">
        <v>0.99509482513688596</v>
      </c>
      <c r="S3145" t="s">
        <v>8696</v>
      </c>
      <c r="T3145" t="s">
        <v>11100</v>
      </c>
      <c r="U3145" t="s">
        <v>11100</v>
      </c>
      <c r="V3145" t="s">
        <v>11100</v>
      </c>
      <c r="W3145" t="s">
        <v>14200</v>
      </c>
      <c r="X3145">
        <v>29</v>
      </c>
      <c r="Y3145" t="s">
        <v>17669</v>
      </c>
      <c r="Z3145" t="s">
        <v>25150</v>
      </c>
      <c r="AA3145">
        <v>0.68780738970765254</v>
      </c>
      <c r="AB3145" t="str">
        <f>HYPERLINK("Melting_Curves/meltCurve_Q16543_CDC37.pdf", "Melting_Curves/meltCurve_Q16543_CDC37.pdf")</f>
        <v>Melting_Curves/meltCurve_Q16543_CDC37.pdf</v>
      </c>
    </row>
    <row r="3146" spans="1:28" x14ac:dyDescent="0.25">
      <c r="A3146" t="s">
        <v>3150</v>
      </c>
      <c r="B3146">
        <v>0.99299721793515405</v>
      </c>
      <c r="C3146">
        <v>0.94699563564737599</v>
      </c>
      <c r="D3146">
        <v>0.90763444932670301</v>
      </c>
      <c r="E3146">
        <v>0.86530645906394099</v>
      </c>
      <c r="F3146">
        <v>0.77976898467630495</v>
      </c>
      <c r="G3146">
        <v>0.84408441893733099</v>
      </c>
      <c r="H3146">
        <v>0.87686001669496505</v>
      </c>
      <c r="I3146">
        <v>0.81173280247468904</v>
      </c>
      <c r="J3146">
        <v>0.53445769935406395</v>
      </c>
      <c r="K3146">
        <v>0.27520860878869102</v>
      </c>
      <c r="L3146">
        <v>1171.38676500306</v>
      </c>
      <c r="M3146">
        <v>18.1934910578623</v>
      </c>
      <c r="N3146">
        <v>64.384936932110307</v>
      </c>
      <c r="O3146">
        <v>63.622194057320698</v>
      </c>
      <c r="P3146">
        <v>-7.1493729425211802E-2</v>
      </c>
      <c r="Q3146">
        <v>0</v>
      </c>
      <c r="R3146">
        <v>0.76124252515465396</v>
      </c>
      <c r="S3146" t="s">
        <v>8697</v>
      </c>
      <c r="T3146" t="s">
        <v>11100</v>
      </c>
      <c r="U3146" t="s">
        <v>11100</v>
      </c>
      <c r="V3146" t="s">
        <v>11100</v>
      </c>
      <c r="W3146" t="s">
        <v>14201</v>
      </c>
      <c r="X3146">
        <v>21</v>
      </c>
      <c r="Y3146" t="s">
        <v>19648</v>
      </c>
      <c r="Z3146" t="s">
        <v>25151</v>
      </c>
      <c r="AA3146">
        <v>0.87605861052015999</v>
      </c>
      <c r="AB3146" t="str">
        <f>HYPERLINK("Melting_Curves/meltCurve_Q16555_DPYSL2.pdf", "Melting_Curves/meltCurve_Q16555_DPYSL2.pdf")</f>
        <v>Melting_Curves/meltCurve_Q16555_DPYSL2.pdf</v>
      </c>
    </row>
    <row r="3147" spans="1:28" x14ac:dyDescent="0.25">
      <c r="A3147" t="s">
        <v>3151</v>
      </c>
      <c r="B3147">
        <v>0.99299721793515405</v>
      </c>
      <c r="C3147">
        <v>0.89864667450962599</v>
      </c>
      <c r="D3147">
        <v>0.84318349508047996</v>
      </c>
      <c r="E3147">
        <v>0.76677366767029098</v>
      </c>
      <c r="F3147">
        <v>0.69291676510773204</v>
      </c>
      <c r="G3147">
        <v>0.49431594039312499</v>
      </c>
      <c r="H3147">
        <v>0.28524091260297901</v>
      </c>
      <c r="I3147">
        <v>0.18890132197845899</v>
      </c>
      <c r="J3147">
        <v>0.18086653188214399</v>
      </c>
      <c r="K3147">
        <v>0.17036245556388999</v>
      </c>
      <c r="L3147">
        <v>472.26271163249902</v>
      </c>
      <c r="M3147">
        <v>8.9077398481315608</v>
      </c>
      <c r="N3147">
        <v>53.017119905993198</v>
      </c>
      <c r="O3147">
        <v>50.549309267662899</v>
      </c>
      <c r="P3147">
        <v>-4.4087958711799297E-2</v>
      </c>
      <c r="Q3147">
        <v>0</v>
      </c>
      <c r="R3147">
        <v>0.98243732723243704</v>
      </c>
      <c r="S3147" t="s">
        <v>8698</v>
      </c>
      <c r="T3147" t="s">
        <v>11100</v>
      </c>
      <c r="U3147" t="s">
        <v>11100</v>
      </c>
      <c r="V3147" t="s">
        <v>11100</v>
      </c>
      <c r="W3147" t="s">
        <v>14202</v>
      </c>
      <c r="X3147">
        <v>7</v>
      </c>
      <c r="Y3147" t="s">
        <v>19649</v>
      </c>
      <c r="Z3147" t="s">
        <v>25152</v>
      </c>
      <c r="AA3147">
        <v>0.55622335593205574</v>
      </c>
      <c r="AB3147" t="str">
        <f>HYPERLINK("Melting_Curves/meltCurve_Q16566_CAMK4.pdf", "Melting_Curves/meltCurve_Q16566_CAMK4.pdf")</f>
        <v>Melting_Curves/meltCurve_Q16566_CAMK4.pdf</v>
      </c>
    </row>
    <row r="3148" spans="1:28" x14ac:dyDescent="0.25">
      <c r="A3148" t="s">
        <v>3152</v>
      </c>
      <c r="B3148">
        <v>0.99299721793515405</v>
      </c>
      <c r="C3148">
        <v>1.00086875789501</v>
      </c>
      <c r="D3148">
        <v>1.09840986378155</v>
      </c>
      <c r="E3148">
        <v>0.89201964777676201</v>
      </c>
      <c r="F3148">
        <v>0.81105373466467401</v>
      </c>
      <c r="G3148">
        <v>0.82864398040638998</v>
      </c>
      <c r="H3148">
        <v>0.51712822768972699</v>
      </c>
      <c r="I3148">
        <v>0.33817863059540698</v>
      </c>
      <c r="J3148">
        <v>0.17164486104874499</v>
      </c>
      <c r="K3148">
        <v>0.14271405248252</v>
      </c>
      <c r="L3148">
        <v>807.35745614126904</v>
      </c>
      <c r="M3148">
        <v>13.9382635617427</v>
      </c>
      <c r="N3148">
        <v>57.9238191200347</v>
      </c>
      <c r="O3148">
        <v>56.770578112859098</v>
      </c>
      <c r="P3148">
        <v>-6.1388049080707302E-2</v>
      </c>
      <c r="Q3148">
        <v>0</v>
      </c>
      <c r="R3148">
        <v>0.97145798829360297</v>
      </c>
      <c r="S3148" t="s">
        <v>8699</v>
      </c>
      <c r="T3148" t="s">
        <v>11100</v>
      </c>
      <c r="U3148" t="s">
        <v>11100</v>
      </c>
      <c r="V3148" t="s">
        <v>11100</v>
      </c>
      <c r="W3148" t="s">
        <v>14203</v>
      </c>
      <c r="X3148">
        <v>16</v>
      </c>
      <c r="Y3148" t="s">
        <v>19650</v>
      </c>
      <c r="Z3148" t="s">
        <v>25153</v>
      </c>
      <c r="AA3148">
        <v>0.70057117568301108</v>
      </c>
      <c r="AB3148" t="str">
        <f>HYPERLINK("Melting_Curves/meltCurve_Q16576_RBBP7.pdf", "Melting_Curves/meltCurve_Q16576_RBBP7.pdf")</f>
        <v>Melting_Curves/meltCurve_Q16576_RBBP7.pdf</v>
      </c>
    </row>
    <row r="3149" spans="1:28" x14ac:dyDescent="0.25">
      <c r="A3149" t="s">
        <v>3153</v>
      </c>
      <c r="B3149">
        <v>0.99299721793515405</v>
      </c>
      <c r="C3149">
        <v>0.99532424688209198</v>
      </c>
      <c r="D3149">
        <v>0.90867854603715903</v>
      </c>
      <c r="E3149">
        <v>0.98300081415229801</v>
      </c>
      <c r="F3149">
        <v>0.83277618984092106</v>
      </c>
      <c r="G3149">
        <v>0.77988932128631105</v>
      </c>
      <c r="H3149">
        <v>0.612807399213955</v>
      </c>
      <c r="I3149">
        <v>0.60758545873094305</v>
      </c>
      <c r="J3149">
        <v>0.33861121748814099</v>
      </c>
      <c r="K3149">
        <v>0.20191319360391399</v>
      </c>
      <c r="L3149">
        <v>609.38156186022297</v>
      </c>
      <c r="M3149">
        <v>10.061751748396301</v>
      </c>
      <c r="N3149">
        <v>60.564173600404899</v>
      </c>
      <c r="O3149">
        <v>58.317750141759802</v>
      </c>
      <c r="P3149">
        <v>-4.31538022914386E-2</v>
      </c>
      <c r="Q3149">
        <v>0</v>
      </c>
      <c r="R3149">
        <v>0.95478444381554495</v>
      </c>
      <c r="S3149" t="s">
        <v>8700</v>
      </c>
      <c r="T3149" t="s">
        <v>11100</v>
      </c>
      <c r="U3149" t="s">
        <v>11100</v>
      </c>
      <c r="V3149" t="s">
        <v>11100</v>
      </c>
      <c r="W3149" t="s">
        <v>14204</v>
      </c>
      <c r="X3149">
        <v>15</v>
      </c>
      <c r="Y3149" t="s">
        <v>19650</v>
      </c>
      <c r="Z3149" t="s">
        <v>25154</v>
      </c>
      <c r="AA3149">
        <v>0.75309498808360087</v>
      </c>
      <c r="AB3149" t="str">
        <f>HYPERLINK("Melting_Curves/meltCurve_Q16576_2_RBBP7.pdf", "Melting_Curves/meltCurve_Q16576_2_RBBP7.pdf")</f>
        <v>Melting_Curves/meltCurve_Q16576_2_RBBP7.pdf</v>
      </c>
    </row>
    <row r="3150" spans="1:28" x14ac:dyDescent="0.25">
      <c r="A3150" t="s">
        <v>3154</v>
      </c>
      <c r="B3150">
        <v>0.99299721793515405</v>
      </c>
      <c r="C3150">
        <v>0.72909599983917295</v>
      </c>
      <c r="D3150">
        <v>1.20976433742469</v>
      </c>
      <c r="E3150">
        <v>0.81636359798284897</v>
      </c>
      <c r="F3150">
        <v>0.84831788365209604</v>
      </c>
      <c r="G3150">
        <v>0.56939451748283698</v>
      </c>
      <c r="H3150">
        <v>0.51073147670164898</v>
      </c>
      <c r="I3150">
        <v>0.69510149793551801</v>
      </c>
      <c r="J3150">
        <v>1.0063372439349101</v>
      </c>
      <c r="K3150">
        <v>0.71143965049004099</v>
      </c>
      <c r="L3150">
        <v>7918.6649776589902</v>
      </c>
      <c r="M3150">
        <v>170.61078924171699</v>
      </c>
      <c r="O3150">
        <v>46.4072470892051</v>
      </c>
      <c r="P3150">
        <v>-0.254080964302831</v>
      </c>
      <c r="Q3150">
        <v>0.72355328599073698</v>
      </c>
      <c r="R3150">
        <v>0.310226102194258</v>
      </c>
      <c r="S3150" t="s">
        <v>8701</v>
      </c>
      <c r="T3150" t="s">
        <v>11100</v>
      </c>
      <c r="U3150" t="s">
        <v>11100</v>
      </c>
      <c r="V3150" t="s">
        <v>11100</v>
      </c>
      <c r="W3150" t="s">
        <v>14205</v>
      </c>
      <c r="X3150">
        <v>1</v>
      </c>
      <c r="Y3150" t="s">
        <v>19651</v>
      </c>
      <c r="Z3150" t="s">
        <v>25155</v>
      </c>
      <c r="AA3150">
        <v>0.81034716000250206</v>
      </c>
      <c r="AB3150" t="str">
        <f>HYPERLINK("Melting_Curves/meltCurve_Q16587_5_ZNF74.pdf", "Melting_Curves/meltCurve_Q16587_5_ZNF74.pdf")</f>
        <v>Melting_Curves/meltCurve_Q16587_5_ZNF74.pdf</v>
      </c>
    </row>
    <row r="3151" spans="1:28" x14ac:dyDescent="0.25">
      <c r="A3151" t="s">
        <v>3155</v>
      </c>
      <c r="B3151">
        <v>0.99299721793515405</v>
      </c>
      <c r="C3151">
        <v>0.94714648591973005</v>
      </c>
      <c r="D3151">
        <v>0.87293436401423996</v>
      </c>
      <c r="E3151">
        <v>0.83763923762407699</v>
      </c>
      <c r="F3151">
        <v>0.61767589740723805</v>
      </c>
      <c r="G3151">
        <v>0.54924791654488603</v>
      </c>
      <c r="H3151">
        <v>0.54557626172641505</v>
      </c>
      <c r="I3151">
        <v>0.684816625552231</v>
      </c>
      <c r="J3151">
        <v>0.73341917701470905</v>
      </c>
      <c r="K3151">
        <v>0.64927105011319097</v>
      </c>
      <c r="L3151">
        <v>956.09587035886602</v>
      </c>
      <c r="M3151">
        <v>21.086989331683501</v>
      </c>
      <c r="O3151">
        <v>44.938697417359201</v>
      </c>
      <c r="P3151">
        <v>-4.3714693682157198E-2</v>
      </c>
      <c r="Q3151">
        <v>0.62736647521181599</v>
      </c>
      <c r="R3151">
        <v>0.82357142025146901</v>
      </c>
      <c r="S3151" t="s">
        <v>8702</v>
      </c>
      <c r="T3151" t="s">
        <v>11100</v>
      </c>
      <c r="U3151" t="s">
        <v>11100</v>
      </c>
      <c r="V3151" t="s">
        <v>11100</v>
      </c>
      <c r="W3151" t="s">
        <v>14206</v>
      </c>
      <c r="X3151">
        <v>6</v>
      </c>
      <c r="Y3151" t="s">
        <v>19652</v>
      </c>
      <c r="Z3151" t="s">
        <v>25156</v>
      </c>
      <c r="AA3151">
        <v>0.73533885606769189</v>
      </c>
      <c r="AB3151" t="str">
        <f>HYPERLINK("Melting_Curves/meltCurve_Q16594_TAF9.pdf", "Melting_Curves/meltCurve_Q16594_TAF9.pdf")</f>
        <v>Melting_Curves/meltCurve_Q16594_TAF9.pdf</v>
      </c>
    </row>
    <row r="3152" spans="1:28" x14ac:dyDescent="0.25">
      <c r="A3152" t="s">
        <v>3156</v>
      </c>
      <c r="B3152">
        <v>0.99299721793515405</v>
      </c>
      <c r="C3152">
        <v>0.96837695855960704</v>
      </c>
      <c r="D3152">
        <v>0.94199099455852298</v>
      </c>
      <c r="E3152">
        <v>0.88802099627211495</v>
      </c>
      <c r="F3152">
        <v>0.73966602631283096</v>
      </c>
      <c r="G3152">
        <v>0.54660072026072304</v>
      </c>
      <c r="H3152">
        <v>0.59188609932658898</v>
      </c>
      <c r="I3152">
        <v>0.67532213957024201</v>
      </c>
      <c r="J3152">
        <v>0.71954121705913898</v>
      </c>
      <c r="K3152">
        <v>0.62752489975695802</v>
      </c>
      <c r="L3152">
        <v>1422.9474070656499</v>
      </c>
      <c r="M3152">
        <v>29.729035431862101</v>
      </c>
      <c r="O3152">
        <v>47.648893249447603</v>
      </c>
      <c r="P3152">
        <v>-5.7019859053174297E-2</v>
      </c>
      <c r="Q3152">
        <v>0.63444294568269799</v>
      </c>
      <c r="R3152">
        <v>0.89777862730767499</v>
      </c>
      <c r="S3152" t="s">
        <v>8703</v>
      </c>
      <c r="T3152" t="s">
        <v>11100</v>
      </c>
      <c r="U3152" t="s">
        <v>11100</v>
      </c>
      <c r="V3152" t="s">
        <v>11100</v>
      </c>
      <c r="W3152" t="s">
        <v>14207</v>
      </c>
      <c r="X3152">
        <v>9</v>
      </c>
      <c r="Y3152" t="s">
        <v>19653</v>
      </c>
      <c r="Z3152" t="s">
        <v>25157</v>
      </c>
      <c r="AA3152">
        <v>0.76902131161399223</v>
      </c>
      <c r="AB3152" t="str">
        <f>HYPERLINK("Melting_Curves/meltCurve_Q16625_4_OCLN.pdf", "Melting_Curves/meltCurve_Q16625_4_OCLN.pdf")</f>
        <v>Melting_Curves/meltCurve_Q16625_4_OCLN.pdf</v>
      </c>
    </row>
    <row r="3153" spans="1:28" x14ac:dyDescent="0.25">
      <c r="A3153" t="s">
        <v>3157</v>
      </c>
      <c r="B3153">
        <v>0.99299721793515405</v>
      </c>
      <c r="C3153">
        <v>0.99478267604988002</v>
      </c>
      <c r="D3153">
        <v>0.90142295424387697</v>
      </c>
      <c r="E3153">
        <v>0.98356378300142899</v>
      </c>
      <c r="F3153">
        <v>0.85595967299073805</v>
      </c>
      <c r="G3153">
        <v>0.54282735894805001</v>
      </c>
      <c r="H3153">
        <v>0.58469870404050195</v>
      </c>
      <c r="I3153">
        <v>0.63502181444828698</v>
      </c>
      <c r="J3153">
        <v>0.76483902621001398</v>
      </c>
      <c r="K3153">
        <v>0.83504923847416501</v>
      </c>
      <c r="L3153">
        <v>12562.146932322999</v>
      </c>
      <c r="M3153">
        <v>250</v>
      </c>
      <c r="O3153">
        <v>50.245372170430201</v>
      </c>
      <c r="P3153">
        <v>-0.40739171303606703</v>
      </c>
      <c r="Q3153">
        <v>0.67248722864736798</v>
      </c>
      <c r="R3153">
        <v>0.73092212285496805</v>
      </c>
      <c r="S3153" t="s">
        <v>8704</v>
      </c>
      <c r="T3153" t="s">
        <v>11100</v>
      </c>
      <c r="U3153" t="s">
        <v>11100</v>
      </c>
      <c r="V3153" t="s">
        <v>11100</v>
      </c>
      <c r="W3153" t="s">
        <v>14208</v>
      </c>
      <c r="X3153">
        <v>3</v>
      </c>
      <c r="Y3153" t="s">
        <v>19654</v>
      </c>
      <c r="Z3153" t="s">
        <v>25158</v>
      </c>
      <c r="AA3153">
        <v>0.81715216664569923</v>
      </c>
      <c r="AB3153" t="str">
        <f>HYPERLINK("Melting_Curves/meltCurve_Q16626_MEA1.pdf", "Melting_Curves/meltCurve_Q16626_MEA1.pdf")</f>
        <v>Melting_Curves/meltCurve_Q16626_MEA1.pdf</v>
      </c>
    </row>
    <row r="3154" spans="1:28" x14ac:dyDescent="0.25">
      <c r="A3154" t="s">
        <v>3158</v>
      </c>
      <c r="B3154">
        <v>0.99299721793515405</v>
      </c>
      <c r="C3154">
        <v>0.87168150183568105</v>
      </c>
      <c r="D3154">
        <v>0.93011069831160198</v>
      </c>
      <c r="E3154">
        <v>0.734063539717559</v>
      </c>
      <c r="F3154">
        <v>0.71990165623253899</v>
      </c>
      <c r="G3154">
        <v>0.67917880233668304</v>
      </c>
      <c r="H3154">
        <v>0.43633820297569997</v>
      </c>
      <c r="I3154">
        <v>0.36755435544926701</v>
      </c>
      <c r="J3154">
        <v>0.39175474295610901</v>
      </c>
      <c r="K3154">
        <v>0.29205684637944102</v>
      </c>
      <c r="L3154">
        <v>341.74213329017601</v>
      </c>
      <c r="M3154">
        <v>5.9629313566614099</v>
      </c>
      <c r="N3154">
        <v>57.311098524093403</v>
      </c>
      <c r="O3154">
        <v>51.860187641903899</v>
      </c>
      <c r="P3154">
        <v>-2.88403952775255E-2</v>
      </c>
      <c r="Q3154">
        <v>0</v>
      </c>
      <c r="R3154">
        <v>0.95502793978607803</v>
      </c>
      <c r="S3154" t="s">
        <v>8705</v>
      </c>
      <c r="T3154" t="s">
        <v>11100</v>
      </c>
      <c r="U3154" t="s">
        <v>11100</v>
      </c>
      <c r="V3154" t="s">
        <v>11100</v>
      </c>
      <c r="W3154" t="s">
        <v>14209</v>
      </c>
      <c r="X3154">
        <v>9</v>
      </c>
      <c r="Y3154" t="s">
        <v>19655</v>
      </c>
      <c r="Z3154" t="s">
        <v>25159</v>
      </c>
      <c r="AA3154">
        <v>0.64387142198454961</v>
      </c>
      <c r="AB3154" t="str">
        <f>HYPERLINK("Melting_Curves/meltCurve_Q16630_CPSF6.pdf", "Melting_Curves/meltCurve_Q16630_CPSF6.pdf")</f>
        <v>Melting_Curves/meltCurve_Q16630_CPSF6.pdf</v>
      </c>
    </row>
    <row r="3155" spans="1:28" x14ac:dyDescent="0.25">
      <c r="A3155" t="s">
        <v>3159</v>
      </c>
      <c r="B3155">
        <v>0.99299721793515405</v>
      </c>
      <c r="C3155">
        <v>0.86775069556607798</v>
      </c>
      <c r="D3155">
        <v>0.94233937909749699</v>
      </c>
      <c r="E3155">
        <v>0.70441731582446498</v>
      </c>
      <c r="F3155">
        <v>0.58199780117390798</v>
      </c>
      <c r="G3155">
        <v>0.28821699193512201</v>
      </c>
      <c r="H3155">
        <v>0.18357807973448401</v>
      </c>
      <c r="I3155">
        <v>0.14914348651027901</v>
      </c>
      <c r="J3155">
        <v>0.14722170689267899</v>
      </c>
      <c r="K3155">
        <v>0.117494628926663</v>
      </c>
      <c r="L3155">
        <v>667.41507910108101</v>
      </c>
      <c r="M3155">
        <v>13.402455395139199</v>
      </c>
      <c r="N3155">
        <v>50.454054325639198</v>
      </c>
      <c r="O3155">
        <v>48.728517915258003</v>
      </c>
      <c r="P3155">
        <v>-6.3272019129877205E-2</v>
      </c>
      <c r="Q3155">
        <v>7.9969157635427807E-2</v>
      </c>
      <c r="R3155">
        <v>0.98243454404564901</v>
      </c>
      <c r="S3155" t="s">
        <v>8706</v>
      </c>
      <c r="T3155" t="s">
        <v>11100</v>
      </c>
      <c r="U3155" t="s">
        <v>11100</v>
      </c>
      <c r="V3155" t="s">
        <v>11100</v>
      </c>
      <c r="W3155" t="s">
        <v>14210</v>
      </c>
      <c r="X3155">
        <v>25</v>
      </c>
      <c r="Y3155" t="s">
        <v>19656</v>
      </c>
      <c r="Z3155" t="s">
        <v>25160</v>
      </c>
      <c r="AA3155">
        <v>0.4951265270194376</v>
      </c>
      <c r="AB3155" t="str">
        <f>HYPERLINK("Melting_Curves/meltCurve_Q16643_DBN1.pdf", "Melting_Curves/meltCurve_Q16643_DBN1.pdf")</f>
        <v>Melting_Curves/meltCurve_Q16643_DBN1.pdf</v>
      </c>
    </row>
    <row r="3156" spans="1:28" x14ac:dyDescent="0.25">
      <c r="A3156" t="s">
        <v>3160</v>
      </c>
      <c r="B3156">
        <v>0.99299721793515405</v>
      </c>
      <c r="C3156">
        <v>1.0277782782248499</v>
      </c>
      <c r="D3156">
        <v>1.0152076839048201</v>
      </c>
      <c r="E3156">
        <v>0.93267468191206304</v>
      </c>
      <c r="F3156">
        <v>0.794000279905688</v>
      </c>
      <c r="G3156">
        <v>0.63733885415871105</v>
      </c>
      <c r="H3156">
        <v>0.43264808252942399</v>
      </c>
      <c r="I3156">
        <v>0.261710819304315</v>
      </c>
      <c r="J3156">
        <v>0.146074854455777</v>
      </c>
      <c r="K3156">
        <v>9.9616123692909106E-2</v>
      </c>
      <c r="L3156">
        <v>733.77172448192096</v>
      </c>
      <c r="M3156">
        <v>13.1014159930223</v>
      </c>
      <c r="N3156">
        <v>56.007055077123603</v>
      </c>
      <c r="O3156">
        <v>54.750415008904596</v>
      </c>
      <c r="P3156">
        <v>-5.9833618269269001E-2</v>
      </c>
      <c r="Q3156">
        <v>0</v>
      </c>
      <c r="R3156">
        <v>0.99729418201090803</v>
      </c>
      <c r="S3156" t="s">
        <v>8707</v>
      </c>
      <c r="T3156" t="s">
        <v>11100</v>
      </c>
      <c r="U3156" t="s">
        <v>11100</v>
      </c>
      <c r="V3156" t="s">
        <v>11100</v>
      </c>
      <c r="W3156" t="s">
        <v>14211</v>
      </c>
      <c r="X3156">
        <v>45</v>
      </c>
      <c r="Y3156" t="s">
        <v>19657</v>
      </c>
      <c r="Z3156" t="s">
        <v>25161</v>
      </c>
      <c r="AA3156">
        <v>0.64433941976440501</v>
      </c>
      <c r="AB3156" t="str">
        <f>HYPERLINK("Melting_Curves/meltCurve_Q16658_FSCN1.pdf", "Melting_Curves/meltCurve_Q16658_FSCN1.pdf")</f>
        <v>Melting_Curves/meltCurve_Q16658_FSCN1.pdf</v>
      </c>
    </row>
    <row r="3157" spans="1:28" x14ac:dyDescent="0.25">
      <c r="A3157" t="s">
        <v>3161</v>
      </c>
      <c r="B3157">
        <v>0.99299721793515405</v>
      </c>
      <c r="C3157">
        <v>1.0080940884110901</v>
      </c>
      <c r="D3157">
        <v>0.97897817034049195</v>
      </c>
      <c r="E3157">
        <v>0.79315643059803298</v>
      </c>
      <c r="F3157">
        <v>0.75942310160541304</v>
      </c>
      <c r="G3157">
        <v>0.588710216382757</v>
      </c>
      <c r="H3157">
        <v>0.59742443082399499</v>
      </c>
      <c r="I3157">
        <v>0.343583919953938</v>
      </c>
      <c r="J3157">
        <v>0.22174779431486</v>
      </c>
      <c r="K3157">
        <v>0.16889762828528901</v>
      </c>
      <c r="L3157">
        <v>506.300279247292</v>
      </c>
      <c r="M3157">
        <v>8.9180269251223194</v>
      </c>
      <c r="N3157">
        <v>56.772673900439102</v>
      </c>
      <c r="O3157">
        <v>54.135704769171298</v>
      </c>
      <c r="P3157">
        <v>-4.1214627142451297E-2</v>
      </c>
      <c r="Q3157">
        <v>0</v>
      </c>
      <c r="R3157">
        <v>0.96917716026868095</v>
      </c>
      <c r="S3157" t="s">
        <v>8708</v>
      </c>
      <c r="T3157" t="s">
        <v>11100</v>
      </c>
      <c r="U3157" t="s">
        <v>11100</v>
      </c>
      <c r="V3157" t="s">
        <v>11100</v>
      </c>
      <c r="W3157" t="s">
        <v>14212</v>
      </c>
      <c r="X3157">
        <v>4</v>
      </c>
      <c r="Y3157" t="s">
        <v>19658</v>
      </c>
      <c r="Z3157" t="s">
        <v>25162</v>
      </c>
      <c r="AA3157">
        <v>0.65543425497971797</v>
      </c>
      <c r="AB3157" t="str">
        <f>HYPERLINK("Melting_Curves/meltCurve_Q16706_MAN2A1.pdf", "Melting_Curves/meltCurve_Q16706_MAN2A1.pdf")</f>
        <v>Melting_Curves/meltCurve_Q16706_MAN2A1.pdf</v>
      </c>
    </row>
    <row r="3158" spans="1:28" x14ac:dyDescent="0.25">
      <c r="A3158" t="s">
        <v>3162</v>
      </c>
      <c r="B3158">
        <v>0.99299721793515405</v>
      </c>
      <c r="C3158">
        <v>0.98837257609892903</v>
      </c>
      <c r="D3158">
        <v>0.93134017334996</v>
      </c>
      <c r="E3158">
        <v>0.914079996703136</v>
      </c>
      <c r="F3158">
        <v>0.72913170404521899</v>
      </c>
      <c r="G3158">
        <v>0.87853444606951703</v>
      </c>
      <c r="H3158">
        <v>0.79158870263182501</v>
      </c>
      <c r="I3158">
        <v>0.70693671310252104</v>
      </c>
      <c r="J3158">
        <v>0.72249087836332604</v>
      </c>
      <c r="K3158">
        <v>0.42226570962231602</v>
      </c>
      <c r="L3158">
        <v>334.10786506196399</v>
      </c>
      <c r="M3158">
        <v>4.7431076509490797</v>
      </c>
      <c r="O3158">
        <v>60.696614979517904</v>
      </c>
      <c r="P3158">
        <v>-1.9679362204582801E-2</v>
      </c>
      <c r="Q3158">
        <v>0</v>
      </c>
      <c r="R3158">
        <v>0.78220122335590503</v>
      </c>
      <c r="S3158" t="s">
        <v>8709</v>
      </c>
      <c r="T3158" t="s">
        <v>11100</v>
      </c>
      <c r="U3158" t="s">
        <v>11100</v>
      </c>
      <c r="V3158" t="s">
        <v>11100</v>
      </c>
      <c r="W3158" t="s">
        <v>14213</v>
      </c>
      <c r="X3158">
        <v>6</v>
      </c>
      <c r="Y3158" t="s">
        <v>19659</v>
      </c>
      <c r="Z3158" t="s">
        <v>25163</v>
      </c>
      <c r="AA3158">
        <v>0.81802925349844913</v>
      </c>
      <c r="AB3158" t="str">
        <f>HYPERLINK("Melting_Curves/meltCurve_Q16718_NDUFA5.pdf", "Melting_Curves/meltCurve_Q16718_NDUFA5.pdf")</f>
        <v>Melting_Curves/meltCurve_Q16718_NDUFA5.pdf</v>
      </c>
    </row>
    <row r="3159" spans="1:28" x14ac:dyDescent="0.25">
      <c r="A3159" t="s">
        <v>3163</v>
      </c>
      <c r="B3159">
        <v>0.99299721793515405</v>
      </c>
      <c r="C3159">
        <v>0.97575918725322897</v>
      </c>
      <c r="D3159">
        <v>0.93144065792212705</v>
      </c>
      <c r="E3159">
        <v>0.89636591335370797</v>
      </c>
      <c r="F3159">
        <v>0.73384666562201895</v>
      </c>
      <c r="G3159">
        <v>0.62697220848575597</v>
      </c>
      <c r="H3159">
        <v>0.63567311770288304</v>
      </c>
      <c r="I3159">
        <v>0.68192670527921695</v>
      </c>
      <c r="J3159">
        <v>0.37259867653252599</v>
      </c>
      <c r="K3159">
        <v>0.20219050852627601</v>
      </c>
      <c r="L3159">
        <v>410.48541829141402</v>
      </c>
      <c r="M3159">
        <v>6.7985938088067996</v>
      </c>
      <c r="N3159">
        <v>60.377988175634101</v>
      </c>
      <c r="O3159">
        <v>55.800021223120602</v>
      </c>
      <c r="P3159">
        <v>-3.0522465040855502E-2</v>
      </c>
      <c r="Q3159">
        <v>0</v>
      </c>
      <c r="R3159">
        <v>0.88573173047548204</v>
      </c>
      <c r="S3159" t="s">
        <v>8710</v>
      </c>
      <c r="T3159" t="s">
        <v>11100</v>
      </c>
      <c r="U3159" t="s">
        <v>11100</v>
      </c>
      <c r="V3159" t="s">
        <v>11100</v>
      </c>
      <c r="W3159" t="s">
        <v>14214</v>
      </c>
      <c r="X3159">
        <v>10</v>
      </c>
      <c r="Y3159" t="s">
        <v>19660</v>
      </c>
      <c r="Z3159" t="s">
        <v>25164</v>
      </c>
      <c r="AA3159">
        <v>0.71647823291657042</v>
      </c>
      <c r="AB3159" t="str">
        <f>HYPERLINK("Melting_Curves/meltCurve_Q16740_CLPP.pdf", "Melting_Curves/meltCurve_Q16740_CLPP.pdf")</f>
        <v>Melting_Curves/meltCurve_Q16740_CLPP.pdf</v>
      </c>
    </row>
    <row r="3160" spans="1:28" x14ac:dyDescent="0.25">
      <c r="A3160" t="s">
        <v>3164</v>
      </c>
      <c r="B3160">
        <v>0.99299721793515405</v>
      </c>
      <c r="C3160">
        <v>0.98247852724022899</v>
      </c>
      <c r="D3160">
        <v>0.93087364916523896</v>
      </c>
      <c r="E3160">
        <v>0.84588823639572097</v>
      </c>
      <c r="F3160">
        <v>0.35217113232889102</v>
      </c>
      <c r="G3160">
        <v>0.21244657356961399</v>
      </c>
      <c r="H3160">
        <v>0.152015812719483</v>
      </c>
      <c r="I3160">
        <v>0.126285695929336</v>
      </c>
      <c r="J3160">
        <v>0.111337434063282</v>
      </c>
      <c r="K3160">
        <v>8.6337687907863406E-2</v>
      </c>
      <c r="L3160">
        <v>1442.8449899746799</v>
      </c>
      <c r="M3160">
        <v>29.614650991841401</v>
      </c>
      <c r="N3160">
        <v>49.182480391353202</v>
      </c>
      <c r="O3160">
        <v>48.500117901253198</v>
      </c>
      <c r="P3160">
        <v>-0.134123714925209</v>
      </c>
      <c r="Q3160">
        <v>0.121384760949655</v>
      </c>
      <c r="R3160">
        <v>0.99452133783767005</v>
      </c>
      <c r="S3160" t="s">
        <v>8711</v>
      </c>
      <c r="T3160" t="s">
        <v>11100</v>
      </c>
      <c r="U3160" t="s">
        <v>11100</v>
      </c>
      <c r="V3160" t="s">
        <v>11100</v>
      </c>
      <c r="W3160" t="s">
        <v>14215</v>
      </c>
      <c r="X3160">
        <v>14</v>
      </c>
      <c r="Y3160" t="s">
        <v>19661</v>
      </c>
      <c r="Z3160" t="s">
        <v>25165</v>
      </c>
      <c r="AA3160">
        <v>0.47006039683884732</v>
      </c>
      <c r="AB3160" t="str">
        <f>HYPERLINK("Melting_Curves/meltCurve_Q16762_TST.pdf", "Melting_Curves/meltCurve_Q16762_TST.pdf")</f>
        <v>Melting_Curves/meltCurve_Q16762_TST.pdf</v>
      </c>
    </row>
    <row r="3161" spans="1:28" x14ac:dyDescent="0.25">
      <c r="A3161" t="s">
        <v>3165</v>
      </c>
      <c r="B3161">
        <v>0.99299721793515405</v>
      </c>
      <c r="C3161">
        <v>1.0412469336627399</v>
      </c>
      <c r="D3161">
        <v>0.98043474263395902</v>
      </c>
      <c r="E3161">
        <v>0.92994138981072905</v>
      </c>
      <c r="F3161">
        <v>0.77272751517555005</v>
      </c>
      <c r="G3161">
        <v>0.46321267085519102</v>
      </c>
      <c r="H3161">
        <v>0.24741959021938201</v>
      </c>
      <c r="I3161">
        <v>0.20984253686509799</v>
      </c>
      <c r="J3161">
        <v>0.16262236198010799</v>
      </c>
      <c r="K3161">
        <v>0.136024279934717</v>
      </c>
      <c r="L3161">
        <v>1103.6995244560701</v>
      </c>
      <c r="M3161">
        <v>21.0216107610721</v>
      </c>
      <c r="N3161">
        <v>53.344431876577197</v>
      </c>
      <c r="O3161">
        <v>52.034902587323998</v>
      </c>
      <c r="P3161">
        <v>-8.6749425006229897E-2</v>
      </c>
      <c r="Q3161">
        <v>0.14109782913757701</v>
      </c>
      <c r="R3161">
        <v>0.99747669736966704</v>
      </c>
      <c r="S3161" t="s">
        <v>8712</v>
      </c>
      <c r="T3161" t="s">
        <v>11100</v>
      </c>
      <c r="U3161" t="s">
        <v>11100</v>
      </c>
      <c r="V3161" t="s">
        <v>11100</v>
      </c>
      <c r="W3161" t="s">
        <v>14216</v>
      </c>
      <c r="X3161">
        <v>8</v>
      </c>
      <c r="Y3161" t="s">
        <v>19662</v>
      </c>
      <c r="Z3161" t="s">
        <v>25166</v>
      </c>
      <c r="AA3161">
        <v>0.59511443134608233</v>
      </c>
      <c r="AB3161" t="str">
        <f>HYPERLINK("Melting_Curves/meltCurve_Q16763_UBE2S.pdf", "Melting_Curves/meltCurve_Q16763_UBE2S.pdf")</f>
        <v>Melting_Curves/meltCurve_Q16763_UBE2S.pdf</v>
      </c>
    </row>
    <row r="3162" spans="1:28" x14ac:dyDescent="0.25">
      <c r="A3162" t="s">
        <v>3166</v>
      </c>
      <c r="B3162">
        <v>0.99299721793515405</v>
      </c>
      <c r="C3162">
        <v>1.0531088275985701</v>
      </c>
      <c r="D3162">
        <v>1.0558883881118399</v>
      </c>
      <c r="E3162">
        <v>0.90609226680975197</v>
      </c>
      <c r="F3162">
        <v>0.74132226072479801</v>
      </c>
      <c r="G3162">
        <v>0.53957983837337398</v>
      </c>
      <c r="H3162">
        <v>0.85522626998789597</v>
      </c>
      <c r="I3162">
        <v>0.76511449531970699</v>
      </c>
      <c r="J3162">
        <v>0.96227493369252304</v>
      </c>
      <c r="K3162">
        <v>0.95588320066650501</v>
      </c>
      <c r="L3162">
        <v>11654.2426520556</v>
      </c>
      <c r="M3162">
        <v>250</v>
      </c>
      <c r="O3162">
        <v>46.613987371901899</v>
      </c>
      <c r="P3162">
        <v>-0.26382437879158599</v>
      </c>
      <c r="Q3162">
        <v>0.80323349979761705</v>
      </c>
      <c r="R3162">
        <v>0.43965814780504803</v>
      </c>
      <c r="S3162" t="s">
        <v>8713</v>
      </c>
      <c r="T3162" t="s">
        <v>11100</v>
      </c>
      <c r="U3162" t="s">
        <v>11100</v>
      </c>
      <c r="V3162" t="s">
        <v>11100</v>
      </c>
      <c r="W3162" t="s">
        <v>14217</v>
      </c>
      <c r="X3162">
        <v>3</v>
      </c>
      <c r="Y3162" t="s">
        <v>19663</v>
      </c>
      <c r="Z3162" t="s">
        <v>25167</v>
      </c>
      <c r="AA3162">
        <v>0.86632618597422195</v>
      </c>
      <c r="AB3162" t="str">
        <f>HYPERLINK("Melting_Curves/meltCurve_Q16799_RTN1.pdf", "Melting_Curves/meltCurve_Q16799_RTN1.pdf")</f>
        <v>Melting_Curves/meltCurve_Q16799_RTN1.pdf</v>
      </c>
    </row>
    <row r="3163" spans="1:28" x14ac:dyDescent="0.25">
      <c r="A3163" t="s">
        <v>3167</v>
      </c>
      <c r="B3163">
        <v>0.99299721793515405</v>
      </c>
      <c r="C3163">
        <v>0.99197297110056404</v>
      </c>
      <c r="D3163">
        <v>0.88022518331122501</v>
      </c>
      <c r="E3163">
        <v>0.92339439754122998</v>
      </c>
      <c r="F3163">
        <v>0.84703725416491205</v>
      </c>
      <c r="G3163">
        <v>0.59518557219311496</v>
      </c>
      <c r="H3163">
        <v>0.44356670787696201</v>
      </c>
      <c r="I3163">
        <v>0.23197439869351599</v>
      </c>
      <c r="J3163">
        <v>0.20326914432054899</v>
      </c>
      <c r="K3163">
        <v>0.150211380399252</v>
      </c>
      <c r="L3163">
        <v>721.09006306338904</v>
      </c>
      <c r="M3163">
        <v>13.012557466699</v>
      </c>
      <c r="N3163">
        <v>55.876922432344003</v>
      </c>
      <c r="O3163">
        <v>54.1551819147654</v>
      </c>
      <c r="P3163">
        <v>-5.7017088354859698E-2</v>
      </c>
      <c r="Q3163">
        <v>5.1000557419631901E-2</v>
      </c>
      <c r="R3163">
        <v>0.98655990442484798</v>
      </c>
      <c r="S3163" t="s">
        <v>8714</v>
      </c>
      <c r="T3163" t="s">
        <v>11100</v>
      </c>
      <c r="U3163" t="s">
        <v>11100</v>
      </c>
      <c r="V3163" t="s">
        <v>11100</v>
      </c>
      <c r="W3163" t="s">
        <v>14218</v>
      </c>
      <c r="X3163">
        <v>20</v>
      </c>
      <c r="Y3163" t="s">
        <v>19664</v>
      </c>
      <c r="Z3163" t="s">
        <v>25168</v>
      </c>
      <c r="AA3163">
        <v>0.64584993763605814</v>
      </c>
      <c r="AB3163" t="str">
        <f>HYPERLINK("Melting_Curves/meltCurve_Q16822_PCK2.pdf", "Melting_Curves/meltCurve_Q16822_PCK2.pdf")</f>
        <v>Melting_Curves/meltCurve_Q16822_PCK2.pdf</v>
      </c>
    </row>
    <row r="3164" spans="1:28" x14ac:dyDescent="0.25">
      <c r="A3164" t="s">
        <v>3168</v>
      </c>
      <c r="B3164">
        <v>0.99299721793515405</v>
      </c>
      <c r="C3164">
        <v>0.97022518602206498</v>
      </c>
      <c r="D3164">
        <v>0.90872695031149997</v>
      </c>
      <c r="E3164">
        <v>0.83551277901988097</v>
      </c>
      <c r="F3164">
        <v>0.68787487669965797</v>
      </c>
      <c r="G3164">
        <v>0.56067793257154297</v>
      </c>
      <c r="H3164">
        <v>0.58684533922647097</v>
      </c>
      <c r="I3164">
        <v>0.62753335283561196</v>
      </c>
      <c r="J3164">
        <v>0.56042332508024295</v>
      </c>
      <c r="K3164">
        <v>0.25853381495287903</v>
      </c>
      <c r="L3164">
        <v>297.018758120222</v>
      </c>
      <c r="M3164">
        <v>4.8440716960383998</v>
      </c>
      <c r="N3164">
        <v>61.315929448795004</v>
      </c>
      <c r="O3164">
        <v>53.111153220463201</v>
      </c>
      <c r="P3164">
        <v>-2.2957243167783602E-2</v>
      </c>
      <c r="Q3164">
        <v>0</v>
      </c>
      <c r="R3164">
        <v>0.86438669980129901</v>
      </c>
      <c r="S3164" t="s">
        <v>8715</v>
      </c>
      <c r="T3164" t="s">
        <v>11100</v>
      </c>
      <c r="U3164" t="s">
        <v>11100</v>
      </c>
      <c r="V3164" t="s">
        <v>11100</v>
      </c>
      <c r="W3164" t="s">
        <v>14219</v>
      </c>
      <c r="X3164">
        <v>7</v>
      </c>
      <c r="Y3164" t="s">
        <v>19665</v>
      </c>
      <c r="Z3164" t="s">
        <v>25169</v>
      </c>
      <c r="AA3164">
        <v>0.69680570238169082</v>
      </c>
      <c r="AB3164" t="str">
        <f>HYPERLINK("Melting_Curves/meltCurve_Q16831_UPP1.pdf", "Melting_Curves/meltCurve_Q16831_UPP1.pdf")</f>
        <v>Melting_Curves/meltCurve_Q16831_UPP1.pdf</v>
      </c>
    </row>
    <row r="3165" spans="1:28" x14ac:dyDescent="0.25">
      <c r="A3165" t="s">
        <v>3169</v>
      </c>
      <c r="B3165">
        <v>0.99299721793515405</v>
      </c>
      <c r="C3165">
        <v>1.07836304580136</v>
      </c>
      <c r="D3165">
        <v>1.2078799568073599</v>
      </c>
      <c r="E3165">
        <v>0.85099551352748104</v>
      </c>
      <c r="F3165">
        <v>0.38968005394975802</v>
      </c>
      <c r="G3165">
        <v>0.23822972052336</v>
      </c>
      <c r="H3165">
        <v>0.13646359723814899</v>
      </c>
      <c r="I3165">
        <v>0.11545426212488399</v>
      </c>
      <c r="J3165">
        <v>9.6588320427041005E-2</v>
      </c>
      <c r="K3165">
        <v>8.6820328787210299E-2</v>
      </c>
      <c r="L3165">
        <v>1574.91963788916</v>
      </c>
      <c r="M3165">
        <v>32.086496295294097</v>
      </c>
      <c r="N3165">
        <v>49.5040210539605</v>
      </c>
      <c r="O3165">
        <v>48.894093245710899</v>
      </c>
      <c r="P3165">
        <v>-0.14449404464364601</v>
      </c>
      <c r="Q3165">
        <v>0.11927190276064301</v>
      </c>
      <c r="R3165">
        <v>0.96803194116270797</v>
      </c>
      <c r="S3165" t="s">
        <v>8716</v>
      </c>
      <c r="T3165" t="s">
        <v>11100</v>
      </c>
      <c r="U3165" t="s">
        <v>11100</v>
      </c>
      <c r="V3165" t="s">
        <v>11100</v>
      </c>
      <c r="W3165" t="s">
        <v>14220</v>
      </c>
      <c r="X3165">
        <v>10</v>
      </c>
      <c r="Y3165" t="s">
        <v>19666</v>
      </c>
      <c r="Z3165" t="s">
        <v>25170</v>
      </c>
      <c r="AA3165">
        <v>0.47866822103995282</v>
      </c>
      <c r="AB3165" t="str">
        <f>HYPERLINK("Melting_Curves/meltCurve_Q16850_CYP51A1.pdf", "Melting_Curves/meltCurve_Q16850_CYP51A1.pdf")</f>
        <v>Melting_Curves/meltCurve_Q16850_CYP51A1.pdf</v>
      </c>
    </row>
    <row r="3166" spans="1:28" x14ac:dyDescent="0.25">
      <c r="A3166" t="s">
        <v>3170</v>
      </c>
      <c r="B3166">
        <v>0.99299721793515405</v>
      </c>
      <c r="C3166">
        <v>0.87318423788396704</v>
      </c>
      <c r="D3166">
        <v>0.91255554487978496</v>
      </c>
      <c r="E3166">
        <v>0.88439191052816502</v>
      </c>
      <c r="F3166">
        <v>0.68979701410762695</v>
      </c>
      <c r="G3166">
        <v>0.60469783644823305</v>
      </c>
      <c r="H3166">
        <v>0.60730978256256596</v>
      </c>
      <c r="I3166">
        <v>0.66876818084115097</v>
      </c>
      <c r="J3166">
        <v>0.71512244958837901</v>
      </c>
      <c r="K3166">
        <v>0.57860077904148899</v>
      </c>
      <c r="L3166">
        <v>654.23279853335703</v>
      </c>
      <c r="M3166">
        <v>14.0599650347798</v>
      </c>
      <c r="O3166">
        <v>45.620640522378203</v>
      </c>
      <c r="P3166">
        <v>-2.9403515213862499E-2</v>
      </c>
      <c r="Q3166">
        <v>0.61842508079744796</v>
      </c>
      <c r="R3166">
        <v>0.84015360086188895</v>
      </c>
      <c r="S3166" t="s">
        <v>8717</v>
      </c>
      <c r="T3166" t="s">
        <v>11100</v>
      </c>
      <c r="U3166" t="s">
        <v>11100</v>
      </c>
      <c r="V3166" t="s">
        <v>11100</v>
      </c>
      <c r="W3166" t="s">
        <v>14221</v>
      </c>
      <c r="X3166">
        <v>2</v>
      </c>
      <c r="Y3166" t="s">
        <v>19667</v>
      </c>
      <c r="Z3166" t="s">
        <v>25171</v>
      </c>
      <c r="AA3166">
        <v>0.74942490337438794</v>
      </c>
      <c r="AB3166" t="str">
        <f>HYPERLINK("Melting_Curves/meltCurve_Q16864_ATP6V1F.pdf", "Melting_Curves/meltCurve_Q16864_ATP6V1F.pdf")</f>
        <v>Melting_Curves/meltCurve_Q16864_ATP6V1F.pdf</v>
      </c>
    </row>
    <row r="3167" spans="1:28" x14ac:dyDescent="0.25">
      <c r="A3167" t="s">
        <v>3171</v>
      </c>
      <c r="B3167">
        <v>0.99299721793515405</v>
      </c>
      <c r="C3167">
        <v>1.05444598540714</v>
      </c>
      <c r="D3167">
        <v>1.2162846599363</v>
      </c>
      <c r="E3167">
        <v>0.91149778256196001</v>
      </c>
      <c r="F3167">
        <v>0.84202905144643003</v>
      </c>
      <c r="G3167">
        <v>0.73053545499745598</v>
      </c>
      <c r="H3167">
        <v>0.56431379058837305</v>
      </c>
      <c r="I3167">
        <v>0.72594438838791397</v>
      </c>
      <c r="J3167">
        <v>0.58813296788339298</v>
      </c>
      <c r="K3167">
        <v>0.47084270244048798</v>
      </c>
      <c r="L3167">
        <v>1007.9903567616</v>
      </c>
      <c r="M3167">
        <v>19.393832702389201</v>
      </c>
      <c r="O3167">
        <v>51.431641693817603</v>
      </c>
      <c r="P3167">
        <v>-4.1051208755256301E-2</v>
      </c>
      <c r="Q3167">
        <v>0.56455155730717899</v>
      </c>
      <c r="R3167">
        <v>0.82561968428259302</v>
      </c>
      <c r="S3167" t="s">
        <v>8718</v>
      </c>
      <c r="T3167" t="s">
        <v>11100</v>
      </c>
      <c r="U3167" t="s">
        <v>11100</v>
      </c>
      <c r="V3167" t="s">
        <v>11100</v>
      </c>
      <c r="W3167" t="s">
        <v>14222</v>
      </c>
      <c r="X3167">
        <v>9</v>
      </c>
      <c r="Y3167" t="s">
        <v>19668</v>
      </c>
      <c r="Z3167" t="s">
        <v>25172</v>
      </c>
      <c r="AA3167">
        <v>0.78781063042253641</v>
      </c>
      <c r="AB3167" t="str">
        <f>HYPERLINK("Melting_Curves/meltCurve_Q17R31_2_TATDN3.pdf", "Melting_Curves/meltCurve_Q17R31_2_TATDN3.pdf")</f>
        <v>Melting_Curves/meltCurve_Q17R31_2_TATDN3.pdf</v>
      </c>
    </row>
    <row r="3168" spans="1:28" x14ac:dyDescent="0.25">
      <c r="A3168" t="s">
        <v>3172</v>
      </c>
      <c r="B3168">
        <v>0.99299721793515405</v>
      </c>
      <c r="C3168">
        <v>0.82010361548071598</v>
      </c>
      <c r="D3168">
        <v>0.91939431229163504</v>
      </c>
      <c r="E3168">
        <v>0.86857505510214605</v>
      </c>
      <c r="F3168">
        <v>0.59524511249174406</v>
      </c>
      <c r="G3168">
        <v>0.517197691348531</v>
      </c>
      <c r="H3168">
        <v>0.267236989186457</v>
      </c>
      <c r="I3168">
        <v>0.17710424835460001</v>
      </c>
      <c r="J3168">
        <v>0.16605394557096201</v>
      </c>
      <c r="K3168">
        <v>0.198756309496116</v>
      </c>
      <c r="L3168">
        <v>596.56940239816299</v>
      </c>
      <c r="M3168">
        <v>11.4745347301872</v>
      </c>
      <c r="N3168">
        <v>52.795746742783898</v>
      </c>
      <c r="O3168">
        <v>50.486826320473199</v>
      </c>
      <c r="P3168">
        <v>-5.2274363074940801E-2</v>
      </c>
      <c r="Q3168">
        <v>8.0255426277455494E-2</v>
      </c>
      <c r="R3168">
        <v>0.96029045638451804</v>
      </c>
      <c r="S3168" t="s">
        <v>8719</v>
      </c>
      <c r="T3168" t="s">
        <v>11100</v>
      </c>
      <c r="U3168" t="s">
        <v>11100</v>
      </c>
      <c r="V3168" t="s">
        <v>11100</v>
      </c>
      <c r="W3168" t="s">
        <v>14223</v>
      </c>
      <c r="X3168">
        <v>1</v>
      </c>
      <c r="Y3168" t="s">
        <v>19669</v>
      </c>
      <c r="Z3168" t="s">
        <v>25173</v>
      </c>
      <c r="AA3168">
        <v>0.56245989015473508</v>
      </c>
      <c r="AB3168" t="str">
        <f>HYPERLINK("Melting_Curves/meltCurve_Q17RN3_FAM98C.pdf", "Melting_Curves/meltCurve_Q17RN3_FAM98C.pdf")</f>
        <v>Melting_Curves/meltCurve_Q17RN3_FAM98C.pdf</v>
      </c>
    </row>
    <row r="3169" spans="1:28" x14ac:dyDescent="0.25">
      <c r="A3169" t="s">
        <v>3173</v>
      </c>
      <c r="B3169">
        <v>0.99299721793515405</v>
      </c>
      <c r="C3169">
        <v>0.93118261560095905</v>
      </c>
      <c r="D3169">
        <v>0.85451276818467004</v>
      </c>
      <c r="E3169">
        <v>0.76605355110620099</v>
      </c>
      <c r="F3169">
        <v>0.56459446421135995</v>
      </c>
      <c r="G3169">
        <v>0.33433511450766001</v>
      </c>
      <c r="H3169">
        <v>0.18583126139933501</v>
      </c>
      <c r="I3169">
        <v>0.16621158857290799</v>
      </c>
      <c r="J3169">
        <v>0.13839528793672801</v>
      </c>
      <c r="K3169">
        <v>0.11977891870627599</v>
      </c>
      <c r="L3169">
        <v>624.10127689512603</v>
      </c>
      <c r="M3169">
        <v>12.435652046063099</v>
      </c>
      <c r="N3169">
        <v>50.777771158005699</v>
      </c>
      <c r="O3169">
        <v>48.941671435827899</v>
      </c>
      <c r="P3169">
        <v>-5.9253239880856803E-2</v>
      </c>
      <c r="Q3169">
        <v>6.7409118554389705E-2</v>
      </c>
      <c r="R3169">
        <v>0.99397396213531497</v>
      </c>
      <c r="S3169" t="s">
        <v>8720</v>
      </c>
      <c r="T3169" t="s">
        <v>11100</v>
      </c>
      <c r="U3169" t="s">
        <v>11100</v>
      </c>
      <c r="V3169" t="s">
        <v>11100</v>
      </c>
      <c r="W3169" t="s">
        <v>14224</v>
      </c>
      <c r="X3169">
        <v>6</v>
      </c>
      <c r="Y3169" t="s">
        <v>19670</v>
      </c>
      <c r="Z3169" t="s">
        <v>25174</v>
      </c>
      <c r="AA3169">
        <v>0.50206574097894607</v>
      </c>
      <c r="AB3169" t="str">
        <f>HYPERLINK("Melting_Curves/meltCurve_Q17RU2_REL.pdf", "Melting_Curves/meltCurve_Q17RU2_REL.pdf")</f>
        <v>Melting_Curves/meltCurve_Q17RU2_REL.pdf</v>
      </c>
    </row>
    <row r="3170" spans="1:28" x14ac:dyDescent="0.25">
      <c r="A3170" t="s">
        <v>3174</v>
      </c>
      <c r="B3170">
        <v>0.99299721793515405</v>
      </c>
      <c r="C3170">
        <v>0.79436219356109405</v>
      </c>
      <c r="D3170">
        <v>0.85239084421571099</v>
      </c>
      <c r="E3170">
        <v>0.72817632200802196</v>
      </c>
      <c r="F3170">
        <v>0.66079780085103801</v>
      </c>
      <c r="G3170">
        <v>0.48017476525528902</v>
      </c>
      <c r="H3170">
        <v>0.53672189564835304</v>
      </c>
      <c r="I3170">
        <v>0.64845343486358498</v>
      </c>
      <c r="J3170">
        <v>0.71750569187661495</v>
      </c>
      <c r="K3170">
        <v>0.58324492119603699</v>
      </c>
      <c r="L3170">
        <v>563.75309783261696</v>
      </c>
      <c r="M3170">
        <v>13.169355790398001</v>
      </c>
      <c r="O3170">
        <v>41.856981163910902</v>
      </c>
      <c r="P3170">
        <v>-3.1990764838319502E-2</v>
      </c>
      <c r="Q3170">
        <v>0.59335537380411796</v>
      </c>
      <c r="R3170">
        <v>0.73534467639032397</v>
      </c>
      <c r="S3170" t="s">
        <v>8721</v>
      </c>
      <c r="T3170" t="s">
        <v>11100</v>
      </c>
      <c r="U3170" t="s">
        <v>11100</v>
      </c>
      <c r="V3170" t="s">
        <v>11100</v>
      </c>
      <c r="W3170" t="s">
        <v>14225</v>
      </c>
      <c r="X3170">
        <v>1</v>
      </c>
      <c r="Y3170" t="s">
        <v>19671</v>
      </c>
      <c r="Z3170" t="s">
        <v>25175</v>
      </c>
      <c r="AA3170">
        <v>0.68637747054341602</v>
      </c>
      <c r="AB3170" t="str">
        <f>HYPERLINK("Melting_Curves/meltCurve_Q24JP5_TMEM132A.pdf", "Melting_Curves/meltCurve_Q24JP5_TMEM132A.pdf")</f>
        <v>Melting_Curves/meltCurve_Q24JP5_TMEM132A.pdf</v>
      </c>
    </row>
    <row r="3171" spans="1:28" x14ac:dyDescent="0.25">
      <c r="A3171" t="s">
        <v>3175</v>
      </c>
      <c r="B3171">
        <v>0.99299721793515405</v>
      </c>
      <c r="C3171">
        <v>0.99014913669038296</v>
      </c>
      <c r="D3171">
        <v>0.95725304255750299</v>
      </c>
      <c r="E3171">
        <v>0.81071586744077695</v>
      </c>
      <c r="F3171">
        <v>0.68325828492598994</v>
      </c>
      <c r="G3171">
        <v>0.26159548467183602</v>
      </c>
      <c r="H3171">
        <v>0.238720472950253</v>
      </c>
      <c r="I3171">
        <v>0.26254046674350601</v>
      </c>
      <c r="J3171">
        <v>0.223474345337067</v>
      </c>
      <c r="K3171">
        <v>0.180920140705954</v>
      </c>
      <c r="L3171">
        <v>1098.0136194091399</v>
      </c>
      <c r="M3171">
        <v>21.8815949401544</v>
      </c>
      <c r="N3171">
        <v>51.365396033994003</v>
      </c>
      <c r="O3171">
        <v>49.766317449592599</v>
      </c>
      <c r="P3171">
        <v>-8.8129694512280296E-2</v>
      </c>
      <c r="Q3171">
        <v>0.198268648740549</v>
      </c>
      <c r="R3171">
        <v>0.98030452628397802</v>
      </c>
      <c r="S3171" t="s">
        <v>8722</v>
      </c>
      <c r="T3171" t="s">
        <v>11100</v>
      </c>
      <c r="U3171" t="s">
        <v>11100</v>
      </c>
      <c r="V3171" t="s">
        <v>11100</v>
      </c>
      <c r="W3171" t="s">
        <v>14226</v>
      </c>
      <c r="X3171">
        <v>6</v>
      </c>
      <c r="Y3171" t="s">
        <v>19672</v>
      </c>
      <c r="Z3171" t="s">
        <v>25176</v>
      </c>
      <c r="AA3171">
        <v>0.55948586517157362</v>
      </c>
      <c r="AB3171" t="str">
        <f>HYPERLINK("Melting_Curves/meltCurve_Q27J81_2_INF2.pdf", "Melting_Curves/meltCurve_Q27J81_2_INF2.pdf")</f>
        <v>Melting_Curves/meltCurve_Q27J81_2_INF2.pdf</v>
      </c>
    </row>
    <row r="3172" spans="1:28" x14ac:dyDescent="0.25">
      <c r="A3172" t="s">
        <v>3176</v>
      </c>
      <c r="B3172">
        <v>0.99299721793515405</v>
      </c>
      <c r="C3172">
        <v>1.01683325153786</v>
      </c>
      <c r="D3172">
        <v>0.99874352927919496</v>
      </c>
      <c r="E3172">
        <v>0.87107264055480105</v>
      </c>
      <c r="F3172">
        <v>0.58692795603174697</v>
      </c>
      <c r="G3172">
        <v>0.179186124435047</v>
      </c>
      <c r="H3172">
        <v>0.13189458120318601</v>
      </c>
      <c r="I3172">
        <v>0.119675849698735</v>
      </c>
      <c r="J3172">
        <v>0.112347923894666</v>
      </c>
      <c r="K3172">
        <v>8.29895915763465E-2</v>
      </c>
      <c r="L3172">
        <v>1414.5231245074201</v>
      </c>
      <c r="M3172">
        <v>28.145401680242401</v>
      </c>
      <c r="N3172">
        <v>50.645486975098997</v>
      </c>
      <c r="O3172">
        <v>50.006039875215698</v>
      </c>
      <c r="P3172">
        <v>-0.127071545605426</v>
      </c>
      <c r="Q3172">
        <v>9.6933632658405502E-2</v>
      </c>
      <c r="R3172">
        <v>0.99672133201508195</v>
      </c>
      <c r="S3172" t="s">
        <v>8723</v>
      </c>
      <c r="T3172" t="s">
        <v>11100</v>
      </c>
      <c r="U3172" t="s">
        <v>11100</v>
      </c>
      <c r="V3172" t="s">
        <v>11100</v>
      </c>
      <c r="W3172" t="s">
        <v>14227</v>
      </c>
      <c r="X3172">
        <v>39</v>
      </c>
      <c r="Y3172" t="s">
        <v>19673</v>
      </c>
      <c r="Z3172" t="s">
        <v>25177</v>
      </c>
      <c r="AA3172">
        <v>0.50232444172054569</v>
      </c>
      <c r="AB3172" t="str">
        <f>HYPERLINK("Melting_Curves/meltCurve_Q29RF7_PDS5A.pdf", "Melting_Curves/meltCurve_Q29RF7_PDS5A.pdf")</f>
        <v>Melting_Curves/meltCurve_Q29RF7_PDS5A.pdf</v>
      </c>
    </row>
    <row r="3173" spans="1:28" x14ac:dyDescent="0.25">
      <c r="A3173" t="s">
        <v>3177</v>
      </c>
      <c r="B3173">
        <v>0.99299721793515405</v>
      </c>
      <c r="C3173">
        <v>1.06025616960928</v>
      </c>
      <c r="D3173">
        <v>0.92089443671979698</v>
      </c>
      <c r="E3173">
        <v>0.80435563818881695</v>
      </c>
      <c r="F3173">
        <v>0.40340009554295903</v>
      </c>
      <c r="G3173">
        <v>0.24594142364763899</v>
      </c>
      <c r="H3173">
        <v>0.25081366076728101</v>
      </c>
      <c r="I3173">
        <v>0.208086013491043</v>
      </c>
      <c r="J3173">
        <v>0.18618915835897701</v>
      </c>
      <c r="K3173">
        <v>0.146064091449744</v>
      </c>
      <c r="L3173">
        <v>1253.60499731134</v>
      </c>
      <c r="M3173">
        <v>25.8972419574539</v>
      </c>
      <c r="N3173">
        <v>49.320423753868099</v>
      </c>
      <c r="O3173">
        <v>48.121020604300803</v>
      </c>
      <c r="P3173">
        <v>-0.108911831265833</v>
      </c>
      <c r="Q3173">
        <v>0.19051036844657401</v>
      </c>
      <c r="R3173">
        <v>0.99080598135837405</v>
      </c>
      <c r="S3173" t="s">
        <v>8724</v>
      </c>
      <c r="T3173" t="s">
        <v>11100</v>
      </c>
      <c r="U3173" t="s">
        <v>11100</v>
      </c>
      <c r="V3173" t="s">
        <v>11100</v>
      </c>
      <c r="W3173" t="s">
        <v>14228</v>
      </c>
      <c r="X3173">
        <v>5</v>
      </c>
      <c r="Y3173" t="s">
        <v>19674</v>
      </c>
      <c r="Z3173" t="s">
        <v>25178</v>
      </c>
      <c r="AA3173">
        <v>0.50477534156699155</v>
      </c>
      <c r="AB3173" t="str">
        <f>HYPERLINK("Melting_Curves/meltCurve_Q2KHR3_QSER1.pdf", "Melting_Curves/meltCurve_Q2KHR3_QSER1.pdf")</f>
        <v>Melting_Curves/meltCurve_Q2KHR3_QSER1.pdf</v>
      </c>
    </row>
    <row r="3174" spans="1:28" x14ac:dyDescent="0.25">
      <c r="A3174" t="s">
        <v>3178</v>
      </c>
      <c r="B3174">
        <v>0.99299721793515405</v>
      </c>
      <c r="C3174">
        <v>1.0014019862433401</v>
      </c>
      <c r="D3174">
        <v>0.98265242300432998</v>
      </c>
      <c r="E3174">
        <v>0.977934323306766</v>
      </c>
      <c r="F3174">
        <v>0.84368362029385102</v>
      </c>
      <c r="G3174">
        <v>0.58881094513895105</v>
      </c>
      <c r="H3174">
        <v>0.630226031551396</v>
      </c>
      <c r="I3174">
        <v>0.42906866463728299</v>
      </c>
      <c r="J3174">
        <v>0.18302949170583499</v>
      </c>
      <c r="K3174">
        <v>0.119497243177153</v>
      </c>
      <c r="L3174">
        <v>667.22939766221998</v>
      </c>
      <c r="M3174">
        <v>11.526570614117601</v>
      </c>
      <c r="N3174">
        <v>57.886202310347997</v>
      </c>
      <c r="O3174">
        <v>56.226139217074298</v>
      </c>
      <c r="P3174">
        <v>-5.1265380479985703E-2</v>
      </c>
      <c r="Q3174">
        <v>0</v>
      </c>
      <c r="R3174">
        <v>0.96318976901711095</v>
      </c>
      <c r="S3174" t="s">
        <v>8725</v>
      </c>
      <c r="T3174" t="s">
        <v>11100</v>
      </c>
      <c r="U3174" t="s">
        <v>11100</v>
      </c>
      <c r="V3174" t="s">
        <v>11100</v>
      </c>
      <c r="W3174" t="s">
        <v>14229</v>
      </c>
      <c r="X3174">
        <v>2</v>
      </c>
      <c r="Y3174" t="s">
        <v>19675</v>
      </c>
      <c r="Z3174" t="s">
        <v>25179</v>
      </c>
      <c r="AA3174">
        <v>0.69425703418248974</v>
      </c>
      <c r="AB3174" t="str">
        <f>HYPERLINK("Melting_Curves/meltCurve_Q2KHT3_2_CLEC16A.pdf", "Melting_Curves/meltCurve_Q2KHT3_2_CLEC16A.pdf")</f>
        <v>Melting_Curves/meltCurve_Q2KHT3_2_CLEC16A.pdf</v>
      </c>
    </row>
    <row r="3175" spans="1:28" x14ac:dyDescent="0.25">
      <c r="A3175" t="s">
        <v>3179</v>
      </c>
      <c r="B3175">
        <v>0.99299721793515405</v>
      </c>
      <c r="C3175">
        <v>0.88495983212942997</v>
      </c>
      <c r="D3175">
        <v>0.77438957991692503</v>
      </c>
      <c r="E3175">
        <v>0.60874230917878802</v>
      </c>
      <c r="F3175">
        <v>0.52960303869915504</v>
      </c>
      <c r="G3175">
        <v>0.38803296755269101</v>
      </c>
      <c r="H3175">
        <v>0.33957916398694499</v>
      </c>
      <c r="I3175">
        <v>0.12745266946192199</v>
      </c>
      <c r="J3175">
        <v>0.10267170316209701</v>
      </c>
      <c r="K3175">
        <v>0.12993326395331201</v>
      </c>
      <c r="L3175">
        <v>405.78815898310103</v>
      </c>
      <c r="M3175">
        <v>8.08066273730382</v>
      </c>
      <c r="N3175">
        <v>50.217186906654298</v>
      </c>
      <c r="O3175">
        <v>47.422204984569603</v>
      </c>
      <c r="P3175">
        <v>-4.2645979289306801E-2</v>
      </c>
      <c r="Q3175">
        <v>0</v>
      </c>
      <c r="R3175">
        <v>0.98156544751793395</v>
      </c>
      <c r="S3175" t="s">
        <v>8726</v>
      </c>
      <c r="T3175" t="s">
        <v>11100</v>
      </c>
      <c r="U3175" t="s">
        <v>11100</v>
      </c>
      <c r="V3175" t="s">
        <v>11100</v>
      </c>
      <c r="W3175" t="s">
        <v>14230</v>
      </c>
      <c r="X3175">
        <v>1</v>
      </c>
      <c r="Y3175" t="s">
        <v>19676</v>
      </c>
      <c r="Z3175" t="s">
        <v>25180</v>
      </c>
      <c r="AA3175">
        <v>0.47979851290051051</v>
      </c>
      <c r="AB3175" t="str">
        <f>HYPERLINK("Melting_Curves/meltCurve_Q2M1P5_KIF7.pdf", "Melting_Curves/meltCurve_Q2M1P5_KIF7.pdf")</f>
        <v>Melting_Curves/meltCurve_Q2M1P5_KIF7.pdf</v>
      </c>
    </row>
    <row r="3176" spans="1:28" x14ac:dyDescent="0.25">
      <c r="A3176" t="s">
        <v>3180</v>
      </c>
      <c r="B3176">
        <v>0.99299721793515405</v>
      </c>
      <c r="C3176">
        <v>0.949477374066796</v>
      </c>
      <c r="D3176">
        <v>0.93575961194206903</v>
      </c>
      <c r="E3176">
        <v>0.825718902843813</v>
      </c>
      <c r="F3176">
        <v>0.73107839113238005</v>
      </c>
      <c r="G3176">
        <v>0.41534139318735103</v>
      </c>
      <c r="H3176">
        <v>0.21148534195264501</v>
      </c>
      <c r="I3176">
        <v>0.161747317965865</v>
      </c>
      <c r="J3176">
        <v>0.14418057477173599</v>
      </c>
      <c r="K3176">
        <v>0.14905513309461299</v>
      </c>
      <c r="L3176">
        <v>848.35640257089597</v>
      </c>
      <c r="M3176">
        <v>16.3593332597342</v>
      </c>
      <c r="N3176">
        <v>52.574065765363699</v>
      </c>
      <c r="O3176">
        <v>51.101338301491403</v>
      </c>
      <c r="P3176">
        <v>-7.2042556148369602E-2</v>
      </c>
      <c r="Q3176">
        <v>9.9912853947396504E-2</v>
      </c>
      <c r="R3176">
        <v>0.98986981341344804</v>
      </c>
      <c r="S3176" t="s">
        <v>8727</v>
      </c>
      <c r="T3176" t="s">
        <v>11100</v>
      </c>
      <c r="U3176" t="s">
        <v>11100</v>
      </c>
      <c r="V3176" t="s">
        <v>11100</v>
      </c>
      <c r="W3176" t="s">
        <v>14231</v>
      </c>
      <c r="X3176">
        <v>6</v>
      </c>
      <c r="Y3176" t="s">
        <v>19677</v>
      </c>
      <c r="Z3176" t="s">
        <v>25181</v>
      </c>
      <c r="AA3176">
        <v>0.56127693075507923</v>
      </c>
      <c r="AB3176" t="str">
        <f>HYPERLINK("Melting_Curves/meltCurve_Q2M2I8_2_AAK1.pdf", "Melting_Curves/meltCurve_Q2M2I8_2_AAK1.pdf")</f>
        <v>Melting_Curves/meltCurve_Q2M2I8_2_AAK1.pdf</v>
      </c>
    </row>
    <row r="3177" spans="1:28" x14ac:dyDescent="0.25">
      <c r="A3177" t="s">
        <v>3181</v>
      </c>
      <c r="B3177">
        <v>0.99299721793515405</v>
      </c>
      <c r="C3177">
        <v>1.0890443644774099</v>
      </c>
      <c r="D3177">
        <v>1.00348926587848</v>
      </c>
      <c r="E3177">
        <v>0.83673224621831199</v>
      </c>
      <c r="F3177">
        <v>0.50828661889182802</v>
      </c>
      <c r="G3177">
        <v>0.35600327860740899</v>
      </c>
      <c r="H3177">
        <v>0.240749933256756</v>
      </c>
      <c r="I3177">
        <v>0.24812007430845001</v>
      </c>
      <c r="J3177">
        <v>0.19350115630800099</v>
      </c>
      <c r="K3177">
        <v>0.19556816112506301</v>
      </c>
      <c r="L3177">
        <v>1110.5270699600701</v>
      </c>
      <c r="M3177">
        <v>22.495709197756899</v>
      </c>
      <c r="N3177">
        <v>50.606289334168501</v>
      </c>
      <c r="O3177">
        <v>48.981034031739597</v>
      </c>
      <c r="P3177">
        <v>-9.04915737823105E-2</v>
      </c>
      <c r="Q3177">
        <v>0.21188876821823699</v>
      </c>
      <c r="R3177">
        <v>0.98948858434624998</v>
      </c>
      <c r="S3177" t="s">
        <v>8728</v>
      </c>
      <c r="T3177" t="s">
        <v>11100</v>
      </c>
      <c r="U3177" t="s">
        <v>11100</v>
      </c>
      <c r="V3177" t="s">
        <v>11100</v>
      </c>
      <c r="W3177" t="s">
        <v>14232</v>
      </c>
      <c r="X3177">
        <v>7</v>
      </c>
      <c r="Y3177" t="s">
        <v>19678</v>
      </c>
      <c r="Z3177" t="s">
        <v>25182</v>
      </c>
      <c r="AA3177">
        <v>0.54511916452436326</v>
      </c>
      <c r="AB3177" t="str">
        <f>HYPERLINK("Melting_Curves/meltCurve_Q2NKX8_ERCC6L.pdf", "Melting_Curves/meltCurve_Q2NKX8_ERCC6L.pdf")</f>
        <v>Melting_Curves/meltCurve_Q2NKX8_ERCC6L.pdf</v>
      </c>
    </row>
    <row r="3178" spans="1:28" x14ac:dyDescent="0.25">
      <c r="A3178" t="s">
        <v>3182</v>
      </c>
      <c r="B3178">
        <v>0.99299721793515405</v>
      </c>
      <c r="C3178">
        <v>0.96765009200177399</v>
      </c>
      <c r="D3178">
        <v>0.90971752434652298</v>
      </c>
      <c r="E3178">
        <v>0.96091078164639399</v>
      </c>
      <c r="F3178">
        <v>0.71819865731066002</v>
      </c>
      <c r="G3178">
        <v>0.44357628754946898</v>
      </c>
      <c r="H3178">
        <v>0.37466058855891399</v>
      </c>
      <c r="I3178">
        <v>0.23912666248223599</v>
      </c>
      <c r="J3178">
        <v>0.232091152622043</v>
      </c>
      <c r="K3178">
        <v>0.14005209281661499</v>
      </c>
      <c r="L3178">
        <v>828.36260610518502</v>
      </c>
      <c r="M3178">
        <v>15.8006310016264</v>
      </c>
      <c r="N3178">
        <v>53.701274925083801</v>
      </c>
      <c r="O3178">
        <v>51.607723463817798</v>
      </c>
      <c r="P3178">
        <v>-6.45728082592439E-2</v>
      </c>
      <c r="Q3178">
        <v>0.156443540272795</v>
      </c>
      <c r="R3178">
        <v>0.98472067391993801</v>
      </c>
      <c r="S3178" t="s">
        <v>8729</v>
      </c>
      <c r="T3178" t="s">
        <v>11100</v>
      </c>
      <c r="U3178" t="s">
        <v>11100</v>
      </c>
      <c r="V3178" t="s">
        <v>11100</v>
      </c>
      <c r="W3178" t="s">
        <v>14233</v>
      </c>
      <c r="X3178">
        <v>2</v>
      </c>
      <c r="Y3178" t="s">
        <v>19679</v>
      </c>
      <c r="Z3178" t="s">
        <v>25183</v>
      </c>
      <c r="AA3178">
        <v>0.60502267005041377</v>
      </c>
      <c r="AB3178" t="str">
        <f>HYPERLINK("Melting_Curves/meltCurve_Q2NL82_TSR1.pdf", "Melting_Curves/meltCurve_Q2NL82_TSR1.pdf")</f>
        <v>Melting_Curves/meltCurve_Q2NL82_TSR1.pdf</v>
      </c>
    </row>
    <row r="3179" spans="1:28" x14ac:dyDescent="0.25">
      <c r="A3179" t="s">
        <v>3183</v>
      </c>
      <c r="B3179">
        <v>0.99299721793515405</v>
      </c>
      <c r="C3179">
        <v>0.88478098292502905</v>
      </c>
      <c r="D3179">
        <v>0.92060210074255899</v>
      </c>
      <c r="E3179">
        <v>0.82409476890653399</v>
      </c>
      <c r="F3179">
        <v>0.79582346009069604</v>
      </c>
      <c r="G3179">
        <v>0.63450682113575696</v>
      </c>
      <c r="H3179">
        <v>0.506883211308784</v>
      </c>
      <c r="I3179">
        <v>0.457247147479585</v>
      </c>
      <c r="J3179">
        <v>0.252322420493519</v>
      </c>
      <c r="K3179">
        <v>0.17220178415589499</v>
      </c>
      <c r="L3179">
        <v>467.44455383246901</v>
      </c>
      <c r="M3179">
        <v>8.1576855558030807</v>
      </c>
      <c r="N3179">
        <v>57.301122875172098</v>
      </c>
      <c r="O3179">
        <v>54.166486009406398</v>
      </c>
      <c r="P3179">
        <v>-3.7690564034061798E-2</v>
      </c>
      <c r="Q3179">
        <v>0</v>
      </c>
      <c r="R3179">
        <v>0.96870117092671104</v>
      </c>
      <c r="S3179" t="s">
        <v>8730</v>
      </c>
      <c r="T3179" t="s">
        <v>11100</v>
      </c>
      <c r="U3179" t="s">
        <v>11100</v>
      </c>
      <c r="V3179" t="s">
        <v>11100</v>
      </c>
      <c r="W3179" t="s">
        <v>14234</v>
      </c>
      <c r="X3179">
        <v>9</v>
      </c>
      <c r="Y3179" t="s">
        <v>19680</v>
      </c>
      <c r="Z3179" t="s">
        <v>25184</v>
      </c>
      <c r="AA3179">
        <v>0.66394520651691247</v>
      </c>
      <c r="AB3179" t="str">
        <f>HYPERLINK("Melting_Curves/meltCurve_Q2T9J0_TYSND1.pdf", "Melting_Curves/meltCurve_Q2T9J0_TYSND1.pdf")</f>
        <v>Melting_Curves/meltCurve_Q2T9J0_TYSND1.pdf</v>
      </c>
    </row>
    <row r="3180" spans="1:28" x14ac:dyDescent="0.25">
      <c r="A3180" t="s">
        <v>3184</v>
      </c>
      <c r="B3180">
        <v>0.99299721793515405</v>
      </c>
      <c r="C3180">
        <v>0.87359612151328003</v>
      </c>
      <c r="D3180">
        <v>0.97485476003250904</v>
      </c>
      <c r="E3180">
        <v>0.83433595165220598</v>
      </c>
      <c r="F3180">
        <v>0.53683440893007695</v>
      </c>
      <c r="G3180">
        <v>0.30812392065618299</v>
      </c>
      <c r="H3180">
        <v>0.20476417188071999</v>
      </c>
      <c r="I3180">
        <v>0.186953650184873</v>
      </c>
      <c r="J3180">
        <v>0.14245402545258101</v>
      </c>
      <c r="K3180">
        <v>0.120718712248816</v>
      </c>
      <c r="L3180">
        <v>921.90904957702003</v>
      </c>
      <c r="M3180">
        <v>18.456277498343798</v>
      </c>
      <c r="N3180">
        <v>50.7857830182258</v>
      </c>
      <c r="O3180">
        <v>49.375636811605503</v>
      </c>
      <c r="P3180">
        <v>-8.1225140737922294E-2</v>
      </c>
      <c r="Q3180">
        <v>0.13084015622672901</v>
      </c>
      <c r="R3180">
        <v>0.98705085397430603</v>
      </c>
      <c r="S3180" t="s">
        <v>8731</v>
      </c>
      <c r="T3180" t="s">
        <v>11100</v>
      </c>
      <c r="U3180" t="s">
        <v>11100</v>
      </c>
      <c r="V3180" t="s">
        <v>11100</v>
      </c>
      <c r="W3180" t="s">
        <v>14235</v>
      </c>
      <c r="X3180">
        <v>4</v>
      </c>
      <c r="Y3180" t="s">
        <v>19681</v>
      </c>
      <c r="Z3180" t="s">
        <v>25185</v>
      </c>
      <c r="AA3180">
        <v>0.51919676695665329</v>
      </c>
      <c r="AB3180" t="str">
        <f>HYPERLINK("Melting_Curves/meltCurve_Q2TAL8_QRICH1.pdf", "Melting_Curves/meltCurve_Q2TAL8_QRICH1.pdf")</f>
        <v>Melting_Curves/meltCurve_Q2TAL8_QRICH1.pdf</v>
      </c>
    </row>
    <row r="3181" spans="1:28" x14ac:dyDescent="0.25">
      <c r="A3181" t="s">
        <v>3185</v>
      </c>
      <c r="B3181">
        <v>0.99299721793515405</v>
      </c>
      <c r="C3181">
        <v>0.91099978934769499</v>
      </c>
      <c r="D3181">
        <v>0.98577620992270598</v>
      </c>
      <c r="E3181">
        <v>0.84339475456103696</v>
      </c>
      <c r="F3181">
        <v>0.72793893866804504</v>
      </c>
      <c r="G3181">
        <v>0.47674784552829502</v>
      </c>
      <c r="H3181">
        <v>0.26742445159596001</v>
      </c>
      <c r="I3181">
        <v>0.19511937779736799</v>
      </c>
      <c r="J3181">
        <v>0.17592116232042801</v>
      </c>
      <c r="K3181">
        <v>0.13224563358674901</v>
      </c>
      <c r="L3181">
        <v>768.25779605029595</v>
      </c>
      <c r="M3181">
        <v>14.6255357433405</v>
      </c>
      <c r="N3181">
        <v>53.301084274045202</v>
      </c>
      <c r="O3181">
        <v>51.5758015041419</v>
      </c>
      <c r="P3181">
        <v>-6.4129360294171905E-2</v>
      </c>
      <c r="Q3181">
        <v>9.5512212219399706E-2</v>
      </c>
      <c r="R3181">
        <v>0.99086643050100198</v>
      </c>
      <c r="S3181" t="s">
        <v>8732</v>
      </c>
      <c r="T3181" t="s">
        <v>11100</v>
      </c>
      <c r="U3181" t="s">
        <v>11100</v>
      </c>
      <c r="V3181" t="s">
        <v>11100</v>
      </c>
      <c r="W3181" t="s">
        <v>14236</v>
      </c>
      <c r="X3181">
        <v>17</v>
      </c>
      <c r="Y3181" t="s">
        <v>19682</v>
      </c>
      <c r="Z3181" t="s">
        <v>25186</v>
      </c>
      <c r="AA3181">
        <v>0.58086310261608864</v>
      </c>
      <c r="AB3181" t="str">
        <f>HYPERLINK("Melting_Curves/meltCurve_Q2TAM5_RELA.pdf", "Melting_Curves/meltCurve_Q2TAM5_RELA.pdf")</f>
        <v>Melting_Curves/meltCurve_Q2TAM5_RELA.pdf</v>
      </c>
    </row>
    <row r="3182" spans="1:28" x14ac:dyDescent="0.25">
      <c r="A3182" t="s">
        <v>3186</v>
      </c>
      <c r="B3182">
        <v>0.99299721793515405</v>
      </c>
      <c r="C3182">
        <v>0.95367143756546402</v>
      </c>
      <c r="D3182">
        <v>1.0337373406702499</v>
      </c>
      <c r="E3182">
        <v>0.85947478897315899</v>
      </c>
      <c r="F3182">
        <v>0.82560989756042902</v>
      </c>
      <c r="G3182">
        <v>0.45669611059544202</v>
      </c>
      <c r="H3182">
        <v>0.46264588812379098</v>
      </c>
      <c r="I3182">
        <v>0.45845971411949499</v>
      </c>
      <c r="J3182">
        <v>0.43270620029976697</v>
      </c>
      <c r="K3182">
        <v>0.147835915486525</v>
      </c>
      <c r="L3182">
        <v>673.71060732800299</v>
      </c>
      <c r="M3182">
        <v>12.733570675386</v>
      </c>
      <c r="N3182">
        <v>55.934021805305498</v>
      </c>
      <c r="O3182">
        <v>51.654275725056898</v>
      </c>
      <c r="P3182">
        <v>-4.6297130575496899E-2</v>
      </c>
      <c r="Q3182">
        <v>0.248918978743805</v>
      </c>
      <c r="R3182">
        <v>0.91341485890006202</v>
      </c>
      <c r="S3182" t="s">
        <v>8733</v>
      </c>
      <c r="T3182" t="s">
        <v>11100</v>
      </c>
      <c r="U3182" t="s">
        <v>11100</v>
      </c>
      <c r="V3182" t="s">
        <v>11100</v>
      </c>
      <c r="W3182" t="s">
        <v>14237</v>
      </c>
      <c r="X3182">
        <v>1</v>
      </c>
      <c r="Y3182" t="s">
        <v>19683</v>
      </c>
      <c r="Z3182" t="s">
        <v>25187</v>
      </c>
      <c r="AA3182">
        <v>0.66265907074322139</v>
      </c>
      <c r="AB3182" t="str">
        <f>HYPERLINK("Melting_Curves/meltCurve_Q2TAP0_GOLGA7B.pdf", "Melting_Curves/meltCurve_Q2TAP0_GOLGA7B.pdf")</f>
        <v>Melting_Curves/meltCurve_Q2TAP0_GOLGA7B.pdf</v>
      </c>
    </row>
    <row r="3183" spans="1:28" x14ac:dyDescent="0.25">
      <c r="A3183" t="s">
        <v>3187</v>
      </c>
      <c r="B3183">
        <v>0.99299721793515405</v>
      </c>
      <c r="C3183">
        <v>0.99908130140927898</v>
      </c>
      <c r="D3183">
        <v>1.00236606543167</v>
      </c>
      <c r="E3183">
        <v>1.0388925060811001</v>
      </c>
      <c r="F3183">
        <v>1.27137214707379</v>
      </c>
      <c r="G3183">
        <v>1.2161318303653099</v>
      </c>
      <c r="H3183">
        <v>0.65516934631845203</v>
      </c>
      <c r="I3183">
        <v>0.31739784059930698</v>
      </c>
      <c r="J3183">
        <v>0.200290792469414</v>
      </c>
      <c r="K3183">
        <v>0.166503460354822</v>
      </c>
      <c r="L3183">
        <v>4336.8411144579004</v>
      </c>
      <c r="M3183">
        <v>75.279701055921194</v>
      </c>
      <c r="N3183">
        <v>58.064246840384001</v>
      </c>
      <c r="O3183">
        <v>57.569093073571601</v>
      </c>
      <c r="P3183">
        <v>-0.254123559633949</v>
      </c>
      <c r="Q3183">
        <v>0.22265054120882499</v>
      </c>
      <c r="R3183">
        <v>0.91521810302575102</v>
      </c>
      <c r="S3183" t="s">
        <v>8734</v>
      </c>
      <c r="T3183" t="s">
        <v>11100</v>
      </c>
      <c r="U3183" t="s">
        <v>11100</v>
      </c>
      <c r="V3183" t="s">
        <v>11100</v>
      </c>
      <c r="W3183" t="s">
        <v>14238</v>
      </c>
      <c r="X3183">
        <v>9</v>
      </c>
      <c r="Y3183" t="s">
        <v>19684</v>
      </c>
      <c r="Z3183" t="s">
        <v>25188</v>
      </c>
      <c r="AA3183">
        <v>0.75754987674772123</v>
      </c>
      <c r="AB3183" t="str">
        <f>HYPERLINK("Melting_Curves/meltCurve_Q2TAY7_SMU1.pdf", "Melting_Curves/meltCurve_Q2TAY7_SMU1.pdf")</f>
        <v>Melting_Curves/meltCurve_Q2TAY7_SMU1.pdf</v>
      </c>
    </row>
    <row r="3184" spans="1:28" x14ac:dyDescent="0.25">
      <c r="A3184" t="s">
        <v>3188</v>
      </c>
      <c r="B3184">
        <v>0.99299721793515405</v>
      </c>
      <c r="C3184">
        <v>0.95793760793538496</v>
      </c>
      <c r="D3184">
        <v>0.89271200743458101</v>
      </c>
      <c r="E3184">
        <v>0.85250324339315497</v>
      </c>
      <c r="F3184">
        <v>0.77679276266402697</v>
      </c>
      <c r="G3184">
        <v>0.72575174788169405</v>
      </c>
      <c r="H3184">
        <v>1.2204805886037</v>
      </c>
      <c r="I3184">
        <v>1.49397629371119</v>
      </c>
      <c r="J3184">
        <v>1.84996233501089</v>
      </c>
      <c r="K3184">
        <v>1.4658909641853599</v>
      </c>
      <c r="L3184">
        <v>14363.6188721325</v>
      </c>
      <c r="M3184">
        <v>250</v>
      </c>
      <c r="O3184">
        <v>57.450821204952</v>
      </c>
      <c r="P3184">
        <v>0.54394369833315304</v>
      </c>
      <c r="Q3184">
        <v>1.5</v>
      </c>
      <c r="R3184">
        <v>0.77135502557730795</v>
      </c>
      <c r="S3184" t="s">
        <v>8735</v>
      </c>
      <c r="T3184" t="s">
        <v>11100</v>
      </c>
      <c r="U3184" t="s">
        <v>11100</v>
      </c>
      <c r="V3184" t="s">
        <v>11100</v>
      </c>
      <c r="W3184" t="s">
        <v>14239</v>
      </c>
      <c r="X3184">
        <v>25</v>
      </c>
      <c r="Y3184" t="s">
        <v>19685</v>
      </c>
      <c r="Z3184" t="s">
        <v>25189</v>
      </c>
      <c r="AA3184">
        <v>1.15904165933602</v>
      </c>
      <c r="AB3184" t="str">
        <f>HYPERLINK("Melting_Curves/meltCurve_Q32MZ4_LRRFIP1.pdf", "Melting_Curves/meltCurve_Q32MZ4_LRRFIP1.pdf")</f>
        <v>Melting_Curves/meltCurve_Q32MZ4_LRRFIP1.pdf</v>
      </c>
    </row>
    <row r="3185" spans="1:28" x14ac:dyDescent="0.25">
      <c r="A3185" t="s">
        <v>3189</v>
      </c>
      <c r="B3185">
        <v>0.99299721793515405</v>
      </c>
      <c r="C3185">
        <v>0.86925939517369</v>
      </c>
      <c r="D3185">
        <v>0.88668397417273903</v>
      </c>
      <c r="E3185">
        <v>0.79589961431443601</v>
      </c>
      <c r="F3185">
        <v>0.78794991720654195</v>
      </c>
      <c r="G3185">
        <v>0.68829159420970898</v>
      </c>
      <c r="H3185">
        <v>1.0835659983078401</v>
      </c>
      <c r="I3185">
        <v>1.2517968993319599</v>
      </c>
      <c r="J3185">
        <v>1.6642484139117599</v>
      </c>
      <c r="K3185">
        <v>1.18332949193988</v>
      </c>
      <c r="L3185">
        <v>15000</v>
      </c>
      <c r="M3185">
        <v>246.282866143729</v>
      </c>
      <c r="O3185">
        <v>60.901565579967603</v>
      </c>
      <c r="P3185">
        <v>0.428444349580964</v>
      </c>
      <c r="Q3185">
        <v>1.42378797872651</v>
      </c>
      <c r="R3185">
        <v>0.55434349454679299</v>
      </c>
      <c r="S3185" t="s">
        <v>8736</v>
      </c>
      <c r="T3185" t="s">
        <v>11100</v>
      </c>
      <c r="U3185" t="s">
        <v>11100</v>
      </c>
      <c r="V3185" t="s">
        <v>11100</v>
      </c>
      <c r="W3185" t="s">
        <v>14240</v>
      </c>
      <c r="X3185">
        <v>25</v>
      </c>
      <c r="Y3185" t="s">
        <v>19685</v>
      </c>
      <c r="Z3185" t="s">
        <v>25190</v>
      </c>
      <c r="AA3185">
        <v>1.0860447680532419</v>
      </c>
      <c r="AB3185" t="str">
        <f>HYPERLINK("Melting_Curves/meltCurve_Q32MZ4_3_LRRFIP1.pdf", "Melting_Curves/meltCurve_Q32MZ4_3_LRRFIP1.pdf")</f>
        <v>Melting_Curves/meltCurve_Q32MZ4_3_LRRFIP1.pdf</v>
      </c>
    </row>
    <row r="3186" spans="1:28" x14ac:dyDescent="0.25">
      <c r="A3186" t="s">
        <v>3190</v>
      </c>
      <c r="B3186">
        <v>0.99299721793515405</v>
      </c>
      <c r="C3186">
        <v>0.94833324385527795</v>
      </c>
      <c r="D3186">
        <v>0.956897505632475</v>
      </c>
      <c r="E3186">
        <v>0.90981352377336699</v>
      </c>
      <c r="F3186">
        <v>0.72052447529642305</v>
      </c>
      <c r="G3186">
        <v>0.63744449517245305</v>
      </c>
      <c r="H3186">
        <v>0.59066357566974603</v>
      </c>
      <c r="I3186">
        <v>0.53865474389585</v>
      </c>
      <c r="J3186">
        <v>0.18890733693133899</v>
      </c>
      <c r="K3186">
        <v>5.3150311170322699E-2</v>
      </c>
      <c r="L3186">
        <v>565.12881211649199</v>
      </c>
      <c r="M3186">
        <v>9.8127835641653292</v>
      </c>
      <c r="N3186">
        <v>57.591091297071799</v>
      </c>
      <c r="O3186">
        <v>55.352157642555603</v>
      </c>
      <c r="P3186">
        <v>-4.4342958058861903E-2</v>
      </c>
      <c r="Q3186">
        <v>0</v>
      </c>
      <c r="R3186">
        <v>0.92140805007214999</v>
      </c>
      <c r="S3186" t="s">
        <v>8737</v>
      </c>
      <c r="T3186" t="s">
        <v>11100</v>
      </c>
      <c r="U3186" t="s">
        <v>11100</v>
      </c>
      <c r="V3186" t="s">
        <v>11100</v>
      </c>
      <c r="W3186" t="s">
        <v>14241</v>
      </c>
      <c r="X3186">
        <v>11</v>
      </c>
      <c r="Y3186" t="s">
        <v>19685</v>
      </c>
      <c r="Z3186" t="s">
        <v>25191</v>
      </c>
      <c r="AA3186">
        <v>0.68024366507642009</v>
      </c>
      <c r="AB3186" t="str">
        <f>HYPERLINK("Melting_Curves/meltCurve_Q32MZ4_4_LRRFIP1.pdf", "Melting_Curves/meltCurve_Q32MZ4_4_LRRFIP1.pdf")</f>
        <v>Melting_Curves/meltCurve_Q32MZ4_4_LRRFIP1.pdf</v>
      </c>
    </row>
    <row r="3187" spans="1:28" x14ac:dyDescent="0.25">
      <c r="A3187" t="s">
        <v>3191</v>
      </c>
      <c r="B3187">
        <v>0.99299721793515405</v>
      </c>
      <c r="C3187">
        <v>1.03035310020626</v>
      </c>
      <c r="D3187">
        <v>0.91308266085149503</v>
      </c>
      <c r="E3187">
        <v>0.85052398453862998</v>
      </c>
      <c r="F3187">
        <v>0.70322106381258898</v>
      </c>
      <c r="G3187">
        <v>0.23395814039475499</v>
      </c>
      <c r="H3187">
        <v>0.19392228914764101</v>
      </c>
      <c r="I3187">
        <v>0.15421802764967599</v>
      </c>
      <c r="J3187">
        <v>0.205696255709409</v>
      </c>
      <c r="K3187">
        <v>0.14080698373041201</v>
      </c>
      <c r="L3187">
        <v>1428.64624273353</v>
      </c>
      <c r="M3187">
        <v>28.151401409199099</v>
      </c>
      <c r="N3187">
        <v>51.425089198408102</v>
      </c>
      <c r="O3187">
        <v>50.4946602728523</v>
      </c>
      <c r="P3187">
        <v>-0.117813013071652</v>
      </c>
      <c r="Q3187">
        <v>0.154730767537516</v>
      </c>
      <c r="R3187">
        <v>0.98101105194275895</v>
      </c>
      <c r="S3187" t="s">
        <v>8738</v>
      </c>
      <c r="T3187" t="s">
        <v>11100</v>
      </c>
      <c r="U3187" t="s">
        <v>11100</v>
      </c>
      <c r="V3187" t="s">
        <v>11100</v>
      </c>
      <c r="W3187" t="s">
        <v>14242</v>
      </c>
      <c r="X3187">
        <v>3</v>
      </c>
      <c r="Y3187" t="s">
        <v>19686</v>
      </c>
      <c r="Z3187" t="s">
        <v>25192</v>
      </c>
      <c r="AA3187">
        <v>0.54804645732036938</v>
      </c>
      <c r="AB3187" t="str">
        <f>HYPERLINK("Melting_Curves/meltCurve_Q32N00_POLD3.pdf", "Melting_Curves/meltCurve_Q32N00_POLD3.pdf")</f>
        <v>Melting_Curves/meltCurve_Q32N00_POLD3.pdf</v>
      </c>
    </row>
    <row r="3188" spans="1:28" x14ac:dyDescent="0.25">
      <c r="A3188" t="s">
        <v>3192</v>
      </c>
      <c r="B3188">
        <v>0.99299721793515405</v>
      </c>
      <c r="C3188">
        <v>0.974630539492777</v>
      </c>
      <c r="D3188">
        <v>0.82317273291666804</v>
      </c>
      <c r="E3188">
        <v>0.82593598116325395</v>
      </c>
      <c r="F3188">
        <v>0.73803337210653597</v>
      </c>
      <c r="G3188">
        <v>0.45695390041426398</v>
      </c>
      <c r="H3188">
        <v>0.31631746934001997</v>
      </c>
      <c r="I3188">
        <v>0.28879373123025498</v>
      </c>
      <c r="J3188">
        <v>0.234725528732949</v>
      </c>
      <c r="K3188">
        <v>0.20679658320743699</v>
      </c>
      <c r="L3188">
        <v>554.50554433737102</v>
      </c>
      <c r="M3188">
        <v>10.6048214973942</v>
      </c>
      <c r="N3188">
        <v>53.637256534349802</v>
      </c>
      <c r="O3188">
        <v>50.531532016267597</v>
      </c>
      <c r="P3188">
        <v>-4.6342132145126502E-2</v>
      </c>
      <c r="Q3188">
        <v>0.117069596680645</v>
      </c>
      <c r="R3188">
        <v>0.97725822070314305</v>
      </c>
      <c r="S3188" t="s">
        <v>8739</v>
      </c>
      <c r="T3188" t="s">
        <v>11100</v>
      </c>
      <c r="U3188" t="s">
        <v>11100</v>
      </c>
      <c r="V3188" t="s">
        <v>11100</v>
      </c>
      <c r="W3188" t="s">
        <v>14243</v>
      </c>
      <c r="X3188">
        <v>4</v>
      </c>
      <c r="Y3188" t="s">
        <v>19687</v>
      </c>
      <c r="Z3188" t="s">
        <v>25193</v>
      </c>
      <c r="AA3188">
        <v>0.58892917552485513</v>
      </c>
      <c r="AB3188" t="str">
        <f>HYPERLINK("Melting_Curves/meltCurve_Q32NB8_PGS1.pdf", "Melting_Curves/meltCurve_Q32NB8_PGS1.pdf")</f>
        <v>Melting_Curves/meltCurve_Q32NB8_PGS1.pdf</v>
      </c>
    </row>
    <row r="3189" spans="1:28" x14ac:dyDescent="0.25">
      <c r="A3189" t="s">
        <v>3193</v>
      </c>
      <c r="B3189">
        <v>0.99299721793515405</v>
      </c>
      <c r="C3189">
        <v>0.86519652710710104</v>
      </c>
      <c r="D3189">
        <v>1.0045323668958599</v>
      </c>
      <c r="E3189">
        <v>0.85794082939676297</v>
      </c>
      <c r="F3189">
        <v>0.72234098589186002</v>
      </c>
      <c r="G3189">
        <v>0.51964753176340694</v>
      </c>
      <c r="H3189">
        <v>0.53710691498260998</v>
      </c>
      <c r="I3189">
        <v>0.42728488394167202</v>
      </c>
      <c r="J3189">
        <v>0.39599032022665898</v>
      </c>
      <c r="K3189">
        <v>0.34134431346899102</v>
      </c>
      <c r="L3189">
        <v>587.93265044008206</v>
      </c>
      <c r="M3189">
        <v>11.3776192658888</v>
      </c>
      <c r="N3189">
        <v>56.732431627791897</v>
      </c>
      <c r="O3189">
        <v>50.155394924992599</v>
      </c>
      <c r="P3189">
        <v>-3.8650155038788103E-2</v>
      </c>
      <c r="Q3189">
        <v>0.31868356854055702</v>
      </c>
      <c r="R3189">
        <v>0.95681934040294403</v>
      </c>
      <c r="S3189" t="s">
        <v>8740</v>
      </c>
      <c r="T3189" t="s">
        <v>11100</v>
      </c>
      <c r="U3189" t="s">
        <v>11100</v>
      </c>
      <c r="V3189" t="s">
        <v>11100</v>
      </c>
      <c r="W3189" t="s">
        <v>14244</v>
      </c>
      <c r="X3189">
        <v>3</v>
      </c>
      <c r="Y3189" t="s">
        <v>19688</v>
      </c>
      <c r="Z3189" t="s">
        <v>25194</v>
      </c>
      <c r="AA3189">
        <v>0.66940815775379314</v>
      </c>
      <c r="AB3189" t="str">
        <f>HYPERLINK("Melting_Curves/meltCurve_Q32P28_LEPRE1.pdf", "Melting_Curves/meltCurve_Q32P28_LEPRE1.pdf")</f>
        <v>Melting_Curves/meltCurve_Q32P28_LEPRE1.pdf</v>
      </c>
    </row>
    <row r="3190" spans="1:28" x14ac:dyDescent="0.25">
      <c r="A3190" t="s">
        <v>3194</v>
      </c>
      <c r="B3190">
        <v>0.99299721793515405</v>
      </c>
      <c r="C3190">
        <v>0.91423382134003806</v>
      </c>
      <c r="D3190">
        <v>0.98028509441576805</v>
      </c>
      <c r="E3190">
        <v>0.86107540228129198</v>
      </c>
      <c r="F3190">
        <v>0.44299369647777798</v>
      </c>
      <c r="G3190">
        <v>0.18818971786546199</v>
      </c>
      <c r="H3190">
        <v>0.13847971684851201</v>
      </c>
      <c r="I3190">
        <v>0.132728732508127</v>
      </c>
      <c r="J3190">
        <v>0.135482397729493</v>
      </c>
      <c r="K3190">
        <v>0.106745199387937</v>
      </c>
      <c r="L3190">
        <v>1428.88507210792</v>
      </c>
      <c r="M3190">
        <v>29.0179192981015</v>
      </c>
      <c r="N3190">
        <v>49.724779185705302</v>
      </c>
      <c r="O3190">
        <v>49.0093999416871</v>
      </c>
      <c r="P3190">
        <v>-0.129834283119207</v>
      </c>
      <c r="Q3190">
        <v>0.122879632764297</v>
      </c>
      <c r="R3190">
        <v>0.99456569321843802</v>
      </c>
      <c r="S3190" t="s">
        <v>8741</v>
      </c>
      <c r="T3190" t="s">
        <v>11100</v>
      </c>
      <c r="U3190" t="s">
        <v>11100</v>
      </c>
      <c r="V3190" t="s">
        <v>11100</v>
      </c>
      <c r="W3190" t="s">
        <v>14245</v>
      </c>
      <c r="X3190">
        <v>14</v>
      </c>
      <c r="Y3190" t="s">
        <v>19689</v>
      </c>
      <c r="Z3190" t="s">
        <v>25195</v>
      </c>
      <c r="AA3190">
        <v>0.48646390703547532</v>
      </c>
      <c r="AB3190" t="str">
        <f>HYPERLINK("Melting_Curves/meltCurve_Q32P41_TRMT5.pdf", "Melting_Curves/meltCurve_Q32P41_TRMT5.pdf")</f>
        <v>Melting_Curves/meltCurve_Q32P41_TRMT5.pdf</v>
      </c>
    </row>
    <row r="3191" spans="1:28" x14ac:dyDescent="0.25">
      <c r="A3191" t="s">
        <v>3195</v>
      </c>
      <c r="B3191">
        <v>0.99299721793515405</v>
      </c>
      <c r="C3191">
        <v>1.0378428605296299</v>
      </c>
      <c r="D3191">
        <v>0.96383972254274697</v>
      </c>
      <c r="E3191">
        <v>0.87525418285921597</v>
      </c>
      <c r="F3191">
        <v>0.81172258437086098</v>
      </c>
      <c r="G3191">
        <v>0.68440017080780302</v>
      </c>
      <c r="H3191">
        <v>0.75456003573863795</v>
      </c>
      <c r="I3191">
        <v>0.96720785752709304</v>
      </c>
      <c r="J3191">
        <v>1.0817105502440201</v>
      </c>
      <c r="K3191">
        <v>0.91790918680871803</v>
      </c>
      <c r="L3191">
        <v>10790.8246098416</v>
      </c>
      <c r="M3191">
        <v>250</v>
      </c>
      <c r="O3191">
        <v>43.160536293021202</v>
      </c>
      <c r="P3191">
        <v>-0.187678770302491</v>
      </c>
      <c r="Q3191">
        <v>0.87039493817421998</v>
      </c>
      <c r="R3191">
        <v>0.24585573560978599</v>
      </c>
      <c r="S3191" t="s">
        <v>8742</v>
      </c>
      <c r="T3191" t="s">
        <v>11100</v>
      </c>
      <c r="U3191" t="s">
        <v>11100</v>
      </c>
      <c r="V3191" t="s">
        <v>11100</v>
      </c>
      <c r="W3191" t="s">
        <v>11392</v>
      </c>
      <c r="X3191">
        <v>24</v>
      </c>
      <c r="Y3191" t="s">
        <v>19690</v>
      </c>
      <c r="Z3191" t="s">
        <v>25196</v>
      </c>
      <c r="AA3191">
        <v>0.89703124505266052</v>
      </c>
      <c r="AB3191" t="str">
        <f>HYPERLINK("Melting_Curves/meltCurve_Q32Q12_NME1_NME2.pdf", "Melting_Curves/meltCurve_Q32Q12_NME1_NME2.pdf")</f>
        <v>Melting_Curves/meltCurve_Q32Q12_NME1_NME2.pdf</v>
      </c>
    </row>
    <row r="3192" spans="1:28" x14ac:dyDescent="0.25">
      <c r="A3192" t="s">
        <v>3196</v>
      </c>
      <c r="B3192">
        <v>0.99299721793515405</v>
      </c>
      <c r="C3192">
        <v>1.0181344363018101</v>
      </c>
      <c r="D3192">
        <v>1.4620563587793201</v>
      </c>
      <c r="E3192">
        <v>0.97088998886744005</v>
      </c>
      <c r="F3192">
        <v>0.980913976640573</v>
      </c>
      <c r="G3192">
        <v>0.65897717658271504</v>
      </c>
      <c r="H3192">
        <v>0.32060353753808302</v>
      </c>
      <c r="I3192">
        <v>0.27419576398066797</v>
      </c>
      <c r="J3192">
        <v>0.28070766812952402</v>
      </c>
      <c r="K3192">
        <v>0.190885673523781</v>
      </c>
      <c r="L3192">
        <v>2100.4490366283499</v>
      </c>
      <c r="M3192">
        <v>38.822239547500601</v>
      </c>
      <c r="N3192">
        <v>55.058720812209998</v>
      </c>
      <c r="O3192">
        <v>53.961312462683601</v>
      </c>
      <c r="P3192">
        <v>-0.135812108399016</v>
      </c>
      <c r="Q3192">
        <v>0.244908833001798</v>
      </c>
      <c r="R3192">
        <v>0.86933814318027403</v>
      </c>
      <c r="S3192" t="s">
        <v>8743</v>
      </c>
      <c r="T3192" t="s">
        <v>11100</v>
      </c>
      <c r="U3192" t="s">
        <v>11100</v>
      </c>
      <c r="V3192" t="s">
        <v>11100</v>
      </c>
      <c r="W3192" t="s">
        <v>14246</v>
      </c>
      <c r="X3192">
        <v>7</v>
      </c>
      <c r="Y3192" t="s">
        <v>19691</v>
      </c>
      <c r="Z3192" t="s">
        <v>25197</v>
      </c>
      <c r="AA3192">
        <v>0.67838596984741595</v>
      </c>
      <c r="AB3192" t="str">
        <f>HYPERLINK("Melting_Curves/meltCurve_Q3KQV9_UAP1L1.pdf", "Melting_Curves/meltCurve_Q3KQV9_UAP1L1.pdf")</f>
        <v>Melting_Curves/meltCurve_Q3KQV9_UAP1L1.pdf</v>
      </c>
    </row>
    <row r="3193" spans="1:28" x14ac:dyDescent="0.25">
      <c r="A3193" t="s">
        <v>3197</v>
      </c>
      <c r="B3193">
        <v>0.99299721793515405</v>
      </c>
      <c r="C3193">
        <v>0.98471924304652103</v>
      </c>
      <c r="D3193">
        <v>1.0348815256147901</v>
      </c>
      <c r="E3193">
        <v>0.82931576829357101</v>
      </c>
      <c r="F3193">
        <v>0.74501777613569797</v>
      </c>
      <c r="G3193">
        <v>0.655068234429241</v>
      </c>
      <c r="H3193">
        <v>0.43791051385816698</v>
      </c>
      <c r="I3193">
        <v>0.43199603158410099</v>
      </c>
      <c r="J3193">
        <v>0.44048464958969702</v>
      </c>
      <c r="K3193">
        <v>0.37121651330088601</v>
      </c>
      <c r="L3193">
        <v>704.38941102346803</v>
      </c>
      <c r="M3193">
        <v>13.599569416868</v>
      </c>
      <c r="N3193">
        <v>57.143144109488098</v>
      </c>
      <c r="O3193">
        <v>50.713550317708801</v>
      </c>
      <c r="P3193">
        <v>-4.2914068544864403E-2</v>
      </c>
      <c r="Q3193">
        <v>0.35997909679298301</v>
      </c>
      <c r="R3193">
        <v>0.97385641289996905</v>
      </c>
      <c r="S3193" t="s">
        <v>8744</v>
      </c>
      <c r="T3193" t="s">
        <v>11100</v>
      </c>
      <c r="U3193" t="s">
        <v>11100</v>
      </c>
      <c r="V3193" t="s">
        <v>11100</v>
      </c>
      <c r="W3193" t="s">
        <v>14247</v>
      </c>
      <c r="X3193">
        <v>3</v>
      </c>
      <c r="Y3193" t="s">
        <v>19692</v>
      </c>
      <c r="Z3193" t="s">
        <v>25198</v>
      </c>
      <c r="AA3193">
        <v>0.68943050063760725</v>
      </c>
      <c r="AB3193" t="str">
        <f>HYPERLINK("Melting_Curves/meltCurve_Q3KRA9_ALKBH6.pdf", "Melting_Curves/meltCurve_Q3KRA9_ALKBH6.pdf")</f>
        <v>Melting_Curves/meltCurve_Q3KRA9_ALKBH6.pdf</v>
      </c>
    </row>
    <row r="3194" spans="1:28" x14ac:dyDescent="0.25">
      <c r="A3194" t="s">
        <v>3198</v>
      </c>
      <c r="B3194">
        <v>0.99299721793515405</v>
      </c>
      <c r="C3194">
        <v>0.93322708414288102</v>
      </c>
      <c r="D3194">
        <v>0.89841180430277301</v>
      </c>
      <c r="E3194">
        <v>0.85935441643836596</v>
      </c>
      <c r="F3194">
        <v>0.72402208110097999</v>
      </c>
      <c r="G3194">
        <v>0.621958622532505</v>
      </c>
      <c r="H3194">
        <v>0.55784076931550997</v>
      </c>
      <c r="I3194">
        <v>0.44418578351548399</v>
      </c>
      <c r="J3194">
        <v>0.222178106900974</v>
      </c>
      <c r="K3194">
        <v>0.13617075922248001</v>
      </c>
      <c r="L3194">
        <v>479.30140919697698</v>
      </c>
      <c r="M3194">
        <v>8.4129205304280301</v>
      </c>
      <c r="N3194">
        <v>56.972057687351601</v>
      </c>
      <c r="O3194">
        <v>54.026036321299301</v>
      </c>
      <c r="P3194">
        <v>-3.8966394276343498E-2</v>
      </c>
      <c r="Q3194">
        <v>0</v>
      </c>
      <c r="R3194">
        <v>0.96662837071325602</v>
      </c>
      <c r="S3194" t="s">
        <v>8745</v>
      </c>
      <c r="T3194" t="s">
        <v>11100</v>
      </c>
      <c r="U3194" t="s">
        <v>11100</v>
      </c>
      <c r="V3194" t="s">
        <v>11100</v>
      </c>
      <c r="W3194" t="s">
        <v>14248</v>
      </c>
      <c r="X3194">
        <v>31</v>
      </c>
      <c r="Y3194" t="s">
        <v>19693</v>
      </c>
      <c r="Z3194" t="s">
        <v>25199</v>
      </c>
      <c r="AA3194">
        <v>0.65765504459324509</v>
      </c>
      <c r="AB3194" t="str">
        <f>HYPERLINK("Melting_Curves/meltCurve_Q3LXA3_DAK.pdf", "Melting_Curves/meltCurve_Q3LXA3_DAK.pdf")</f>
        <v>Melting_Curves/meltCurve_Q3LXA3_DAK.pdf</v>
      </c>
    </row>
    <row r="3195" spans="1:28" x14ac:dyDescent="0.25">
      <c r="A3195" t="s">
        <v>3199</v>
      </c>
      <c r="B3195">
        <v>0.99299721793515405</v>
      </c>
      <c r="C3195">
        <v>0.92405747661950299</v>
      </c>
      <c r="D3195">
        <v>1.10153281805992</v>
      </c>
      <c r="E3195">
        <v>1.0168654196171101</v>
      </c>
      <c r="F3195">
        <v>0.74319705792302904</v>
      </c>
      <c r="G3195">
        <v>0.57126292721874805</v>
      </c>
      <c r="H3195">
        <v>0.38262920258178801</v>
      </c>
      <c r="I3195">
        <v>0.27179475288406801</v>
      </c>
      <c r="J3195">
        <v>0.20747191978854901</v>
      </c>
      <c r="K3195">
        <v>0.164479137354023</v>
      </c>
      <c r="L3195">
        <v>927.99870104865295</v>
      </c>
      <c r="M3195">
        <v>17.3027510987535</v>
      </c>
      <c r="N3195">
        <v>54.868127688613598</v>
      </c>
      <c r="O3195">
        <v>52.931997313563201</v>
      </c>
      <c r="P3195">
        <v>-6.85438191727539E-2</v>
      </c>
      <c r="Q3195">
        <v>0.16130051716881</v>
      </c>
      <c r="R3195">
        <v>0.97603647001871197</v>
      </c>
      <c r="S3195" t="s">
        <v>8746</v>
      </c>
      <c r="T3195" t="s">
        <v>11100</v>
      </c>
      <c r="U3195" t="s">
        <v>11100</v>
      </c>
      <c r="V3195" t="s">
        <v>11100</v>
      </c>
      <c r="W3195" t="s">
        <v>14249</v>
      </c>
      <c r="X3195">
        <v>5</v>
      </c>
      <c r="Y3195" t="s">
        <v>19694</v>
      </c>
      <c r="Z3195" t="s">
        <v>25200</v>
      </c>
      <c r="AA3195">
        <v>0.63862741712590665</v>
      </c>
      <c r="AB3195" t="str">
        <f>HYPERLINK("Melting_Curves/meltCurve_Q3MHD2_LSM12.pdf", "Melting_Curves/meltCurve_Q3MHD2_LSM12.pdf")</f>
        <v>Melting_Curves/meltCurve_Q3MHD2_LSM12.pdf</v>
      </c>
    </row>
    <row r="3196" spans="1:28" x14ac:dyDescent="0.25">
      <c r="A3196" t="s">
        <v>3200</v>
      </c>
      <c r="B3196">
        <v>0.99299721793515405</v>
      </c>
      <c r="C3196">
        <v>0.91587587154487204</v>
      </c>
      <c r="D3196">
        <v>0.79410220123068398</v>
      </c>
      <c r="E3196">
        <v>0.77617107855899203</v>
      </c>
      <c r="F3196">
        <v>0.67207842858343003</v>
      </c>
      <c r="G3196">
        <v>0.33322467274056899</v>
      </c>
      <c r="H3196">
        <v>0.28562149115660002</v>
      </c>
      <c r="I3196">
        <v>0.31445691093713402</v>
      </c>
      <c r="J3196">
        <v>0.25701060871855902</v>
      </c>
      <c r="K3196">
        <v>0.25329092885513599</v>
      </c>
      <c r="L3196">
        <v>541.86886357666503</v>
      </c>
      <c r="M3196">
        <v>10.9163307042769</v>
      </c>
      <c r="N3196">
        <v>51.858639935413599</v>
      </c>
      <c r="O3196">
        <v>48.059774771411099</v>
      </c>
      <c r="P3196">
        <v>-4.6200835497669603E-2</v>
      </c>
      <c r="Q3196">
        <v>0.186675242481428</v>
      </c>
      <c r="R3196">
        <v>0.95766145829513705</v>
      </c>
      <c r="S3196" t="s">
        <v>8747</v>
      </c>
      <c r="T3196" t="s">
        <v>11100</v>
      </c>
      <c r="U3196" t="s">
        <v>11100</v>
      </c>
      <c r="V3196" t="s">
        <v>11100</v>
      </c>
      <c r="W3196" t="s">
        <v>14250</v>
      </c>
      <c r="X3196">
        <v>4</v>
      </c>
      <c r="Y3196" t="s">
        <v>19695</v>
      </c>
      <c r="Z3196" t="s">
        <v>25201</v>
      </c>
      <c r="AA3196">
        <v>0.5553330553940109</v>
      </c>
      <c r="AB3196" t="str">
        <f>HYPERLINK("Melting_Curves/meltCurve_Q3MII6_TBC1D25.pdf", "Melting_Curves/meltCurve_Q3MII6_TBC1D25.pdf")</f>
        <v>Melting_Curves/meltCurve_Q3MII6_TBC1D25.pdf</v>
      </c>
    </row>
    <row r="3197" spans="1:28" x14ac:dyDescent="0.25">
      <c r="A3197" t="s">
        <v>3201</v>
      </c>
      <c r="B3197">
        <v>0.99299721793515405</v>
      </c>
      <c r="C3197">
        <v>0.81250328570790498</v>
      </c>
      <c r="D3197">
        <v>0.74196047946499699</v>
      </c>
      <c r="E3197">
        <v>0.80777497989535596</v>
      </c>
      <c r="F3197">
        <v>0.763073547954499</v>
      </c>
      <c r="G3197">
        <v>0.50915340425578204</v>
      </c>
      <c r="H3197">
        <v>0.316387168362811</v>
      </c>
      <c r="I3197">
        <v>0.26076642828794</v>
      </c>
      <c r="J3197">
        <v>0.117848527677789</v>
      </c>
      <c r="K3197">
        <v>0.12040428240939</v>
      </c>
      <c r="L3197">
        <v>460.01799194441799</v>
      </c>
      <c r="M3197">
        <v>8.6216234532977705</v>
      </c>
      <c r="N3197">
        <v>53.356307478699499</v>
      </c>
      <c r="O3197">
        <v>50.718636705205199</v>
      </c>
      <c r="P3197">
        <v>-4.2533624258192501E-2</v>
      </c>
      <c r="Q3197">
        <v>0</v>
      </c>
      <c r="R3197">
        <v>0.92830037226816597</v>
      </c>
      <c r="S3197" t="s">
        <v>8748</v>
      </c>
      <c r="T3197" t="s">
        <v>11100</v>
      </c>
      <c r="U3197" t="s">
        <v>11100</v>
      </c>
      <c r="V3197" t="s">
        <v>11100</v>
      </c>
      <c r="W3197" t="s">
        <v>14251</v>
      </c>
      <c r="X3197">
        <v>2</v>
      </c>
      <c r="Y3197" t="s">
        <v>19696</v>
      </c>
      <c r="Z3197" t="s">
        <v>25202</v>
      </c>
      <c r="AA3197">
        <v>0.56530696797845481</v>
      </c>
      <c r="AB3197" t="str">
        <f>HYPERLINK("Melting_Curves/meltCurve_Q3MIT2_PUS10.pdf", "Melting_Curves/meltCurve_Q3MIT2_PUS10.pdf")</f>
        <v>Melting_Curves/meltCurve_Q3MIT2_PUS10.pdf</v>
      </c>
    </row>
    <row r="3198" spans="1:28" x14ac:dyDescent="0.25">
      <c r="A3198" t="s">
        <v>3202</v>
      </c>
      <c r="B3198">
        <v>0.99299721793515405</v>
      </c>
      <c r="C3198">
        <v>1.02803419391303</v>
      </c>
      <c r="D3198">
        <v>0.96757975373726901</v>
      </c>
      <c r="E3198">
        <v>0.81741486925293305</v>
      </c>
      <c r="F3198">
        <v>0.68228614329913995</v>
      </c>
      <c r="G3198">
        <v>0.60660616562185998</v>
      </c>
      <c r="H3198">
        <v>0.59841844161558799</v>
      </c>
      <c r="I3198">
        <v>0.66172971217449805</v>
      </c>
      <c r="J3198">
        <v>0.68591199933234004</v>
      </c>
      <c r="K3198">
        <v>0.41534298911758999</v>
      </c>
      <c r="L3198">
        <v>1041.4369375753399</v>
      </c>
      <c r="M3198">
        <v>22.009461797475801</v>
      </c>
      <c r="O3198">
        <v>46.932267173861597</v>
      </c>
      <c r="P3198">
        <v>-4.8576328457619E-2</v>
      </c>
      <c r="Q3198">
        <v>0.58567885031348499</v>
      </c>
      <c r="R3198">
        <v>0.87257643500777404</v>
      </c>
      <c r="S3198" t="s">
        <v>8749</v>
      </c>
      <c r="T3198" t="s">
        <v>11100</v>
      </c>
      <c r="U3198" t="s">
        <v>11100</v>
      </c>
      <c r="V3198" t="s">
        <v>11100</v>
      </c>
      <c r="W3198" t="s">
        <v>14252</v>
      </c>
      <c r="X3198">
        <v>8</v>
      </c>
      <c r="Y3198" t="s">
        <v>19697</v>
      </c>
      <c r="Z3198" t="s">
        <v>25203</v>
      </c>
      <c r="AA3198">
        <v>0.7326764883008593</v>
      </c>
      <c r="AB3198" t="str">
        <f>HYPERLINK("Melting_Curves/meltCurve_Q3SXM5_HSDL1.pdf", "Melting_Curves/meltCurve_Q3SXM5_HSDL1.pdf")</f>
        <v>Melting_Curves/meltCurve_Q3SXM5_HSDL1.pdf</v>
      </c>
    </row>
    <row r="3199" spans="1:28" x14ac:dyDescent="0.25">
      <c r="A3199" t="s">
        <v>3203</v>
      </c>
      <c r="B3199">
        <v>0.99299721793515405</v>
      </c>
      <c r="C3199">
        <v>1.01173164509119</v>
      </c>
      <c r="D3199">
        <v>0.88374460234507002</v>
      </c>
      <c r="E3199">
        <v>0.89150251542969206</v>
      </c>
      <c r="F3199">
        <v>0.68382221750224204</v>
      </c>
      <c r="G3199">
        <v>0.43931095909844198</v>
      </c>
      <c r="H3199">
        <v>0.28804768592309898</v>
      </c>
      <c r="I3199">
        <v>0.22953544809672699</v>
      </c>
      <c r="J3199">
        <v>0.19357778513568599</v>
      </c>
      <c r="K3199">
        <v>0.153418819714603</v>
      </c>
      <c r="L3199">
        <v>772.51231667775698</v>
      </c>
      <c r="M3199">
        <v>14.900524046781101</v>
      </c>
      <c r="N3199">
        <v>52.957754747095898</v>
      </c>
      <c r="O3199">
        <v>50.937697361561497</v>
      </c>
      <c r="P3199">
        <v>-6.3305452105848897E-2</v>
      </c>
      <c r="Q3199">
        <v>0.134446251675121</v>
      </c>
      <c r="R3199">
        <v>0.99269065065332496</v>
      </c>
      <c r="S3199" t="s">
        <v>8750</v>
      </c>
      <c r="T3199" t="s">
        <v>11100</v>
      </c>
      <c r="U3199" t="s">
        <v>11100</v>
      </c>
      <c r="V3199" t="s">
        <v>11100</v>
      </c>
      <c r="W3199" t="s">
        <v>14253</v>
      </c>
      <c r="X3199">
        <v>1</v>
      </c>
      <c r="Y3199" t="s">
        <v>19698</v>
      </c>
      <c r="Z3199" t="s">
        <v>25204</v>
      </c>
      <c r="AA3199">
        <v>0.57958342923395567</v>
      </c>
      <c r="AB3199" t="str">
        <f>HYPERLINK("Melting_Curves/meltCurve_Q3SXY8_2_ARL13B.pdf", "Melting_Curves/meltCurve_Q3SXY8_2_ARL13B.pdf")</f>
        <v>Melting_Curves/meltCurve_Q3SXY8_2_ARL13B.pdf</v>
      </c>
    </row>
    <row r="3200" spans="1:28" x14ac:dyDescent="0.25">
      <c r="A3200" t="s">
        <v>3204</v>
      </c>
      <c r="B3200">
        <v>0.99299721793515405</v>
      </c>
      <c r="C3200">
        <v>0.79257102017825498</v>
      </c>
      <c r="D3200">
        <v>0.83852355925323196</v>
      </c>
      <c r="E3200">
        <v>0.85611958733177995</v>
      </c>
      <c r="F3200">
        <v>0.75043548204509902</v>
      </c>
      <c r="G3200">
        <v>0.48492460155009298</v>
      </c>
      <c r="H3200">
        <v>0.60206170379939306</v>
      </c>
      <c r="I3200">
        <v>0.82924710241241695</v>
      </c>
      <c r="J3200">
        <v>1.06477828123991</v>
      </c>
      <c r="K3200">
        <v>1.01261769595582</v>
      </c>
      <c r="L3200">
        <v>9372.0328266542401</v>
      </c>
      <c r="M3200">
        <v>250</v>
      </c>
      <c r="O3200">
        <v>37.485740655770101</v>
      </c>
      <c r="P3200">
        <v>-0.327665596119673</v>
      </c>
      <c r="Q3200">
        <v>0.80347544287963502</v>
      </c>
      <c r="R3200">
        <v>0.109960374569524</v>
      </c>
      <c r="S3200" t="s">
        <v>8751</v>
      </c>
      <c r="T3200" t="s">
        <v>11100</v>
      </c>
      <c r="U3200" t="s">
        <v>11100</v>
      </c>
      <c r="V3200" t="s">
        <v>11100</v>
      </c>
      <c r="W3200" t="s">
        <v>14254</v>
      </c>
      <c r="X3200">
        <v>8</v>
      </c>
      <c r="Y3200" t="s">
        <v>19699</v>
      </c>
      <c r="Z3200" t="s">
        <v>25205</v>
      </c>
      <c r="AA3200">
        <v>0.80672047862491314</v>
      </c>
      <c r="AB3200" t="str">
        <f>HYPERLINK("Melting_Curves/meltCurve_Q3V6T2_2_CCDC88A.pdf", "Melting_Curves/meltCurve_Q3V6T2_2_CCDC88A.pdf")</f>
        <v>Melting_Curves/meltCurve_Q3V6T2_2_CCDC88A.pdf</v>
      </c>
    </row>
    <row r="3201" spans="1:28" x14ac:dyDescent="0.25">
      <c r="A3201" t="s">
        <v>3205</v>
      </c>
      <c r="B3201">
        <v>0.99299721793515405</v>
      </c>
      <c r="C3201">
        <v>0.89582074103706599</v>
      </c>
      <c r="D3201">
        <v>0.92675334698374501</v>
      </c>
      <c r="E3201">
        <v>0.76142255195248398</v>
      </c>
      <c r="F3201">
        <v>0.78850522279704005</v>
      </c>
      <c r="G3201">
        <v>0.82856260212601596</v>
      </c>
      <c r="H3201">
        <v>0.77314800017435203</v>
      </c>
      <c r="I3201">
        <v>0.58489448266338895</v>
      </c>
      <c r="J3201">
        <v>0.42115151047500199</v>
      </c>
      <c r="K3201">
        <v>0.35106110121372402</v>
      </c>
      <c r="L3201">
        <v>371.27161064789101</v>
      </c>
      <c r="M3201">
        <v>5.85994748727245</v>
      </c>
      <c r="N3201">
        <v>63.357497898834602</v>
      </c>
      <c r="O3201">
        <v>57.1510490633502</v>
      </c>
      <c r="P3201">
        <v>-2.5723882533517799E-2</v>
      </c>
      <c r="Q3201">
        <v>0</v>
      </c>
      <c r="R3201">
        <v>0.86117562916446699</v>
      </c>
      <c r="S3201" t="s">
        <v>8752</v>
      </c>
      <c r="T3201" t="s">
        <v>11100</v>
      </c>
      <c r="U3201" t="s">
        <v>11100</v>
      </c>
      <c r="V3201" t="s">
        <v>11100</v>
      </c>
      <c r="W3201" t="s">
        <v>14255</v>
      </c>
      <c r="X3201">
        <v>4</v>
      </c>
      <c r="Y3201" t="s">
        <v>19700</v>
      </c>
      <c r="Z3201" t="s">
        <v>25206</v>
      </c>
      <c r="AA3201">
        <v>0.75308120625417041</v>
      </c>
      <c r="AB3201" t="str">
        <f>HYPERLINK("Melting_Curves/meltCurve_Q3YEC7_RABL6.pdf", "Melting_Curves/meltCurve_Q3YEC7_RABL6.pdf")</f>
        <v>Melting_Curves/meltCurve_Q3YEC7_RABL6.pdf</v>
      </c>
    </row>
    <row r="3202" spans="1:28" x14ac:dyDescent="0.25">
      <c r="A3202" t="s">
        <v>3206</v>
      </c>
      <c r="B3202">
        <v>0.99299721793515405</v>
      </c>
      <c r="C3202">
        <v>1.0604737527655801</v>
      </c>
      <c r="D3202">
        <v>0.935221082614487</v>
      </c>
      <c r="E3202">
        <v>1.19215202240167</v>
      </c>
      <c r="F3202">
        <v>0.86698670703117997</v>
      </c>
      <c r="G3202">
        <v>0.86428227198500096</v>
      </c>
      <c r="H3202">
        <v>1.0856750401950599</v>
      </c>
      <c r="I3202">
        <v>0.90690250781878301</v>
      </c>
      <c r="J3202">
        <v>1.0629202529405399</v>
      </c>
      <c r="K3202">
        <v>0.635702702356996</v>
      </c>
      <c r="L3202">
        <v>15000</v>
      </c>
      <c r="M3202">
        <v>223.32380945284501</v>
      </c>
      <c r="Q3202">
        <v>0</v>
      </c>
      <c r="R3202">
        <v>0.53687308426950298</v>
      </c>
      <c r="S3202" t="s">
        <v>8753</v>
      </c>
      <c r="T3202" t="s">
        <v>11100</v>
      </c>
      <c r="U3202" t="s">
        <v>11100</v>
      </c>
      <c r="V3202" t="s">
        <v>11100</v>
      </c>
      <c r="W3202" t="s">
        <v>14256</v>
      </c>
      <c r="X3202">
        <v>1</v>
      </c>
      <c r="Y3202" t="s">
        <v>19701</v>
      </c>
      <c r="Z3202" t="s">
        <v>25207</v>
      </c>
      <c r="AA3202">
        <v>0.99552547039214978</v>
      </c>
      <c r="AB3202" t="str">
        <f>HYPERLINK("Melting_Curves/meltCurve_Q3ZAQ7_VMA21.pdf", "Melting_Curves/meltCurve_Q3ZAQ7_VMA21.pdf")</f>
        <v>Melting_Curves/meltCurve_Q3ZAQ7_VMA21.pdf</v>
      </c>
    </row>
    <row r="3203" spans="1:28" x14ac:dyDescent="0.25">
      <c r="A3203" t="s">
        <v>3207</v>
      </c>
      <c r="B3203">
        <v>0.99299721793515405</v>
      </c>
      <c r="C3203">
        <v>0.90843290014178601</v>
      </c>
      <c r="D3203">
        <v>0.92704032563306904</v>
      </c>
      <c r="E3203">
        <v>0.87986432700615502</v>
      </c>
      <c r="F3203">
        <v>0.82803594492849497</v>
      </c>
      <c r="G3203">
        <v>0.67447357446798095</v>
      </c>
      <c r="H3203">
        <v>0.570479307932101</v>
      </c>
      <c r="I3203">
        <v>0.49243333996744398</v>
      </c>
      <c r="J3203">
        <v>0.27852756052682498</v>
      </c>
      <c r="K3203">
        <v>0.16634397902509299</v>
      </c>
      <c r="L3203">
        <v>531.12687071500795</v>
      </c>
      <c r="M3203">
        <v>9.07829231923224</v>
      </c>
      <c r="N3203">
        <v>58.505132115514201</v>
      </c>
      <c r="O3203">
        <v>55.8758605633234</v>
      </c>
      <c r="P3203">
        <v>-4.06466878970905E-2</v>
      </c>
      <c r="Q3203">
        <v>0</v>
      </c>
      <c r="R3203">
        <v>0.96920982200425398</v>
      </c>
      <c r="S3203" t="s">
        <v>8754</v>
      </c>
      <c r="T3203" t="s">
        <v>11100</v>
      </c>
      <c r="U3203" t="s">
        <v>11100</v>
      </c>
      <c r="V3203" t="s">
        <v>11100</v>
      </c>
      <c r="W3203" t="s">
        <v>14257</v>
      </c>
      <c r="X3203">
        <v>13</v>
      </c>
      <c r="Y3203" t="s">
        <v>19702</v>
      </c>
      <c r="Z3203" t="s">
        <v>25208</v>
      </c>
      <c r="AA3203">
        <v>0.69865042339915029</v>
      </c>
      <c r="AB3203" t="str">
        <f>HYPERLINK("Melting_Curves/meltCurve_Q3ZCM7_TUBB8.pdf", "Melting_Curves/meltCurve_Q3ZCM7_TUBB8.pdf")</f>
        <v>Melting_Curves/meltCurve_Q3ZCM7_TUBB8.pdf</v>
      </c>
    </row>
    <row r="3204" spans="1:28" x14ac:dyDescent="0.25">
      <c r="A3204" t="s">
        <v>3208</v>
      </c>
      <c r="B3204">
        <v>0.99299721793515405</v>
      </c>
      <c r="C3204">
        <v>0.95934403021123704</v>
      </c>
      <c r="D3204">
        <v>1.0169682526614701</v>
      </c>
      <c r="E3204">
        <v>0.83836930510673602</v>
      </c>
      <c r="F3204">
        <v>0.72068701188643203</v>
      </c>
      <c r="G3204">
        <v>0.46119875335160498</v>
      </c>
      <c r="H3204">
        <v>0.26151860723062098</v>
      </c>
      <c r="I3204">
        <v>0.20460513094670299</v>
      </c>
      <c r="J3204">
        <v>0.186409119178745</v>
      </c>
      <c r="K3204">
        <v>0.145495447061332</v>
      </c>
      <c r="L3204">
        <v>838.66956604894006</v>
      </c>
      <c r="M3204">
        <v>16.093449144135999</v>
      </c>
      <c r="N3204">
        <v>53.077813534712199</v>
      </c>
      <c r="O3204">
        <v>51.3277769787355</v>
      </c>
      <c r="P3204">
        <v>-6.8445923308227893E-2</v>
      </c>
      <c r="Q3204">
        <v>0.12687267603710101</v>
      </c>
      <c r="R3204">
        <v>0.99374767575152001</v>
      </c>
      <c r="S3204" t="s">
        <v>8755</v>
      </c>
      <c r="T3204" t="s">
        <v>11100</v>
      </c>
      <c r="U3204" t="s">
        <v>11100</v>
      </c>
      <c r="V3204" t="s">
        <v>11100</v>
      </c>
      <c r="W3204" t="s">
        <v>14258</v>
      </c>
      <c r="X3204">
        <v>20</v>
      </c>
      <c r="Y3204" t="s">
        <v>19703</v>
      </c>
      <c r="Z3204" t="s">
        <v>25209</v>
      </c>
      <c r="AA3204">
        <v>0.58197412832870599</v>
      </c>
      <c r="AB3204" t="str">
        <f>HYPERLINK("Melting_Curves/meltCurve_Q3ZCQ8_TIMM50.pdf", "Melting_Curves/meltCurve_Q3ZCQ8_TIMM50.pdf")</f>
        <v>Melting_Curves/meltCurve_Q3ZCQ8_TIMM50.pdf</v>
      </c>
    </row>
    <row r="3205" spans="1:28" x14ac:dyDescent="0.25">
      <c r="A3205" t="s">
        <v>3209</v>
      </c>
      <c r="B3205">
        <v>0.99299721793515405</v>
      </c>
      <c r="C3205">
        <v>0.856305640833665</v>
      </c>
      <c r="D3205">
        <v>0.90615321846866903</v>
      </c>
      <c r="E3205">
        <v>0.73704877592655904</v>
      </c>
      <c r="F3205">
        <v>0.62858464346950604</v>
      </c>
      <c r="G3205">
        <v>0.361605842690226</v>
      </c>
      <c r="H3205">
        <v>0.18128829201011701</v>
      </c>
      <c r="I3205">
        <v>0.16897857471601899</v>
      </c>
      <c r="J3205">
        <v>0.172947476041447</v>
      </c>
      <c r="K3205">
        <v>0.19098773506158101</v>
      </c>
      <c r="L3205">
        <v>630.24519905933505</v>
      </c>
      <c r="M3205">
        <v>12.5575489127651</v>
      </c>
      <c r="N3205">
        <v>51.138394640618699</v>
      </c>
      <c r="O3205">
        <v>48.9668041607897</v>
      </c>
      <c r="P3205">
        <v>-5.7455211206626798E-2</v>
      </c>
      <c r="Q3205">
        <v>0.104019570718591</v>
      </c>
      <c r="R3205">
        <v>0.97351137087001005</v>
      </c>
      <c r="S3205" t="s">
        <v>8756</v>
      </c>
      <c r="T3205" t="s">
        <v>11100</v>
      </c>
      <c r="U3205" t="s">
        <v>11100</v>
      </c>
      <c r="V3205" t="s">
        <v>11100</v>
      </c>
      <c r="W3205" t="s">
        <v>11311</v>
      </c>
      <c r="X3205">
        <v>4</v>
      </c>
      <c r="Y3205" t="s">
        <v>19704</v>
      </c>
      <c r="Z3205" t="s">
        <v>25210</v>
      </c>
      <c r="AA3205">
        <v>0.52139835750292718</v>
      </c>
      <c r="AB3205" t="str">
        <f>HYPERLINK("Melting_Curves/meltCurve_Q3ZCV1_USP38.pdf", "Melting_Curves/meltCurve_Q3ZCV1_USP38.pdf")</f>
        <v>Melting_Curves/meltCurve_Q3ZCV1_USP38.pdf</v>
      </c>
    </row>
    <row r="3206" spans="1:28" x14ac:dyDescent="0.25">
      <c r="A3206" t="s">
        <v>3210</v>
      </c>
      <c r="B3206">
        <v>0.99299721793515405</v>
      </c>
      <c r="C3206">
        <v>0.85838001961138399</v>
      </c>
      <c r="D3206">
        <v>0.71833995208222101</v>
      </c>
      <c r="E3206">
        <v>0.83063824829170896</v>
      </c>
      <c r="F3206">
        <v>0.58788173304512903</v>
      </c>
      <c r="G3206">
        <v>0.69877342482231597</v>
      </c>
      <c r="H3206">
        <v>0.311799753496871</v>
      </c>
      <c r="I3206">
        <v>0.22065222908482601</v>
      </c>
      <c r="J3206">
        <v>0.161696225590343</v>
      </c>
      <c r="K3206">
        <v>0.45013665254421897</v>
      </c>
      <c r="L3206">
        <v>359.63901318515099</v>
      </c>
      <c r="M3206">
        <v>6.8408785161351302</v>
      </c>
      <c r="N3206">
        <v>54.059972948591103</v>
      </c>
      <c r="O3206">
        <v>48.629169192034801</v>
      </c>
      <c r="P3206">
        <v>-3.2215588379876599E-2</v>
      </c>
      <c r="Q3206">
        <v>8.5810805519253505E-2</v>
      </c>
      <c r="R3206">
        <v>0.80289265797231302</v>
      </c>
      <c r="S3206" t="s">
        <v>8757</v>
      </c>
      <c r="T3206" t="s">
        <v>11100</v>
      </c>
      <c r="U3206" t="s">
        <v>11100</v>
      </c>
      <c r="V3206" t="s">
        <v>11100</v>
      </c>
      <c r="W3206" t="s">
        <v>14259</v>
      </c>
      <c r="X3206">
        <v>2</v>
      </c>
      <c r="Y3206" t="s">
        <v>19705</v>
      </c>
      <c r="Z3206" t="s">
        <v>25211</v>
      </c>
      <c r="AA3206">
        <v>0.582064109514837</v>
      </c>
      <c r="AB3206" t="str">
        <f>HYPERLINK("Melting_Curves/meltCurve_Q3ZCW2_LGALSL.pdf", "Melting_Curves/meltCurve_Q3ZCW2_LGALSL.pdf")</f>
        <v>Melting_Curves/meltCurve_Q3ZCW2_LGALSL.pdf</v>
      </c>
    </row>
    <row r="3207" spans="1:28" x14ac:dyDescent="0.25">
      <c r="A3207" t="s">
        <v>3211</v>
      </c>
      <c r="B3207">
        <v>0.99299721793515405</v>
      </c>
      <c r="C3207">
        <v>0.98188248012828605</v>
      </c>
      <c r="D3207">
        <v>0.91448520117084098</v>
      </c>
      <c r="E3207">
        <v>0.98981711947971596</v>
      </c>
      <c r="F3207">
        <v>0.83280643909778496</v>
      </c>
      <c r="G3207">
        <v>0.61134796030148797</v>
      </c>
      <c r="H3207">
        <v>0.39981935859877898</v>
      </c>
      <c r="I3207">
        <v>0.16564289213823399</v>
      </c>
      <c r="J3207">
        <v>7.4722270667826496E-2</v>
      </c>
      <c r="K3207">
        <v>4.3551236185052203E-2</v>
      </c>
      <c r="L3207">
        <v>917.47549966209601</v>
      </c>
      <c r="M3207">
        <v>16.551964882503398</v>
      </c>
      <c r="N3207">
        <v>55.430006418970997</v>
      </c>
      <c r="O3207">
        <v>54.639869422994202</v>
      </c>
      <c r="P3207">
        <v>-7.5737283526436897E-2</v>
      </c>
      <c r="Q3207">
        <v>0</v>
      </c>
      <c r="R3207">
        <v>0.99301361799954702</v>
      </c>
      <c r="S3207" t="s">
        <v>8758</v>
      </c>
      <c r="T3207" t="s">
        <v>11100</v>
      </c>
      <c r="U3207" t="s">
        <v>11100</v>
      </c>
      <c r="V3207" t="s">
        <v>11100</v>
      </c>
      <c r="W3207" t="s">
        <v>14260</v>
      </c>
      <c r="X3207">
        <v>1</v>
      </c>
      <c r="Y3207" t="s">
        <v>19706</v>
      </c>
      <c r="Z3207" t="s">
        <v>25212</v>
      </c>
      <c r="AA3207">
        <v>0.62692759301461887</v>
      </c>
      <c r="AB3207" t="str">
        <f>HYPERLINK("Melting_Curves/meltCurve_Q495W5_2_FUT11.pdf", "Melting_Curves/meltCurve_Q495W5_2_FUT11.pdf")</f>
        <v>Melting_Curves/meltCurve_Q495W5_2_FUT11.pdf</v>
      </c>
    </row>
    <row r="3208" spans="1:28" x14ac:dyDescent="0.25">
      <c r="A3208" t="s">
        <v>3212</v>
      </c>
      <c r="B3208">
        <v>0.99299721793515405</v>
      </c>
      <c r="C3208">
        <v>0.96020825053794201</v>
      </c>
      <c r="D3208">
        <v>0.83632028142126502</v>
      </c>
      <c r="E3208">
        <v>0.85553585590053305</v>
      </c>
      <c r="F3208">
        <v>0.72149567759976496</v>
      </c>
      <c r="G3208">
        <v>0.58498854963361202</v>
      </c>
      <c r="H3208">
        <v>0.413960790326174</v>
      </c>
      <c r="I3208">
        <v>0.46578123829472001</v>
      </c>
      <c r="J3208">
        <v>0.54890330358091499</v>
      </c>
      <c r="K3208">
        <v>0.628810445328987</v>
      </c>
      <c r="L3208">
        <v>695.48741485857704</v>
      </c>
      <c r="M3208">
        <v>14.499743895956099</v>
      </c>
      <c r="O3208">
        <v>47.080822335845603</v>
      </c>
      <c r="P3208">
        <v>-3.8161236456644501E-2</v>
      </c>
      <c r="Q3208">
        <v>0.50441721307602805</v>
      </c>
      <c r="R3208">
        <v>0.87171592186233604</v>
      </c>
      <c r="S3208" t="s">
        <v>8759</v>
      </c>
      <c r="T3208" t="s">
        <v>11100</v>
      </c>
      <c r="U3208" t="s">
        <v>11100</v>
      </c>
      <c r="V3208" t="s">
        <v>11100</v>
      </c>
      <c r="W3208" t="s">
        <v>14261</v>
      </c>
      <c r="X3208">
        <v>1</v>
      </c>
      <c r="Y3208" t="s">
        <v>19707</v>
      </c>
      <c r="Z3208" t="s">
        <v>25213</v>
      </c>
      <c r="AA3208">
        <v>0.69712149371519894</v>
      </c>
      <c r="AB3208" t="str">
        <f>HYPERLINK("Melting_Curves/meltCurve_Q49AH0_2_CDNF.pdf", "Melting_Curves/meltCurve_Q49AH0_2_CDNF.pdf")</f>
        <v>Melting_Curves/meltCurve_Q49AH0_2_CDNF.pdf</v>
      </c>
    </row>
    <row r="3209" spans="1:28" x14ac:dyDescent="0.25">
      <c r="A3209" t="s">
        <v>3213</v>
      </c>
      <c r="B3209">
        <v>0.99299721793515405</v>
      </c>
      <c r="C3209">
        <v>0.99018764860316399</v>
      </c>
      <c r="D3209">
        <v>0.96760835577985604</v>
      </c>
      <c r="E3209">
        <v>1.03461747882995</v>
      </c>
      <c r="F3209">
        <v>0.83149975161173995</v>
      </c>
      <c r="G3209">
        <v>0.49249901841724297</v>
      </c>
      <c r="H3209">
        <v>0.331529298894502</v>
      </c>
      <c r="I3209">
        <v>0.197674057159299</v>
      </c>
      <c r="J3209">
        <v>6.80458428860614E-2</v>
      </c>
      <c r="K3209">
        <v>3.2857073670707899E-2</v>
      </c>
      <c r="L3209">
        <v>966.95112176263603</v>
      </c>
      <c r="M3209">
        <v>17.796289608890799</v>
      </c>
      <c r="N3209">
        <v>54.504471399577099</v>
      </c>
      <c r="O3209">
        <v>53.662286422161301</v>
      </c>
      <c r="P3209">
        <v>-8.0673990650266203E-2</v>
      </c>
      <c r="Q3209">
        <v>2.70045069612595E-2</v>
      </c>
      <c r="R3209">
        <v>0.98930712888156502</v>
      </c>
      <c r="S3209" t="s">
        <v>8760</v>
      </c>
      <c r="T3209" t="s">
        <v>11100</v>
      </c>
      <c r="U3209" t="s">
        <v>11100</v>
      </c>
      <c r="V3209" t="s">
        <v>11100</v>
      </c>
      <c r="W3209" t="s">
        <v>14262</v>
      </c>
      <c r="X3209">
        <v>9</v>
      </c>
      <c r="Y3209" t="s">
        <v>19708</v>
      </c>
      <c r="Z3209" t="s">
        <v>25214</v>
      </c>
      <c r="AA3209">
        <v>0.6023750139307007</v>
      </c>
      <c r="AB3209" t="str">
        <f>HYPERLINK("Melting_Curves/meltCurve_Q49AR2_C5orf22.pdf", "Melting_Curves/meltCurve_Q49AR2_C5orf22.pdf")</f>
        <v>Melting_Curves/meltCurve_Q49AR2_C5orf22.pdf</v>
      </c>
    </row>
    <row r="3210" spans="1:28" x14ac:dyDescent="0.25">
      <c r="A3210" t="s">
        <v>3214</v>
      </c>
      <c r="B3210">
        <v>0.99299721793515405</v>
      </c>
      <c r="C3210">
        <v>0.82277490525089203</v>
      </c>
      <c r="D3210">
        <v>1.1340983328447001</v>
      </c>
      <c r="E3210">
        <v>0.90357288970699801</v>
      </c>
      <c r="F3210">
        <v>0.76010590910398301</v>
      </c>
      <c r="G3210">
        <v>0.68178397273452696</v>
      </c>
      <c r="H3210">
        <v>0.48555911145229302</v>
      </c>
      <c r="I3210">
        <v>0.52486413049515701</v>
      </c>
      <c r="J3210">
        <v>0.572749479795162</v>
      </c>
      <c r="K3210">
        <v>0.65460372179588699</v>
      </c>
      <c r="L3210">
        <v>1260.14896751021</v>
      </c>
      <c r="M3210">
        <v>25.271411130308302</v>
      </c>
      <c r="O3210">
        <v>49.5554974027296</v>
      </c>
      <c r="P3210">
        <v>-5.53435387459075E-2</v>
      </c>
      <c r="Q3210">
        <v>0.56590598332336906</v>
      </c>
      <c r="R3210">
        <v>0.81419357077472099</v>
      </c>
      <c r="S3210" t="s">
        <v>8761</v>
      </c>
      <c r="T3210" t="s">
        <v>11100</v>
      </c>
      <c r="U3210" t="s">
        <v>11100</v>
      </c>
      <c r="V3210" t="s">
        <v>11100</v>
      </c>
      <c r="W3210" t="s">
        <v>14263</v>
      </c>
      <c r="X3210">
        <v>6</v>
      </c>
      <c r="Y3210" t="s">
        <v>19709</v>
      </c>
      <c r="Z3210" t="s">
        <v>25215</v>
      </c>
      <c r="AA3210">
        <v>0.75576749254882847</v>
      </c>
      <c r="AB3210" t="str">
        <f>HYPERLINK("Melting_Curves/meltCurve_Q49B96_COX19.pdf", "Melting_Curves/meltCurve_Q49B96_COX19.pdf")</f>
        <v>Melting_Curves/meltCurve_Q49B96_COX19.pdf</v>
      </c>
    </row>
    <row r="3211" spans="1:28" x14ac:dyDescent="0.25">
      <c r="A3211" t="s">
        <v>3215</v>
      </c>
      <c r="B3211">
        <v>0.99299721793515405</v>
      </c>
      <c r="C3211">
        <v>1.1611100453819201</v>
      </c>
      <c r="D3211">
        <v>1.0605014306767699</v>
      </c>
      <c r="E3211">
        <v>0.99199639901793901</v>
      </c>
      <c r="F3211">
        <v>0.96939810575193497</v>
      </c>
      <c r="G3211">
        <v>0.831201105530747</v>
      </c>
      <c r="H3211">
        <v>0.54003657588225296</v>
      </c>
      <c r="I3211">
        <v>0.31485806721809301</v>
      </c>
      <c r="J3211">
        <v>0.15612992996917899</v>
      </c>
      <c r="K3211">
        <v>0.113271533577314</v>
      </c>
      <c r="L3211">
        <v>1192.0608667112899</v>
      </c>
      <c r="M3211">
        <v>20.664478799484002</v>
      </c>
      <c r="N3211">
        <v>58.063640683320997</v>
      </c>
      <c r="O3211">
        <v>57.154400332324499</v>
      </c>
      <c r="P3211">
        <v>-8.4714277181327097E-2</v>
      </c>
      <c r="Q3211">
        <v>6.2806289519100694E-2</v>
      </c>
      <c r="R3211">
        <v>0.97825891884621496</v>
      </c>
      <c r="S3211" t="s">
        <v>8762</v>
      </c>
      <c r="T3211" t="s">
        <v>11100</v>
      </c>
      <c r="U3211" t="s">
        <v>11100</v>
      </c>
      <c r="V3211" t="s">
        <v>11100</v>
      </c>
      <c r="W3211" t="s">
        <v>14264</v>
      </c>
      <c r="X3211">
        <v>3</v>
      </c>
      <c r="Y3211" t="s">
        <v>19710</v>
      </c>
      <c r="Z3211" t="s">
        <v>25216</v>
      </c>
      <c r="AA3211">
        <v>0.71604361110955983</v>
      </c>
      <c r="AB3211" t="str">
        <f>HYPERLINK("Melting_Curves/meltCurve_Q4G0F5_VPS26B.pdf", "Melting_Curves/meltCurve_Q4G0F5_VPS26B.pdf")</f>
        <v>Melting_Curves/meltCurve_Q4G0F5_VPS26B.pdf</v>
      </c>
    </row>
    <row r="3212" spans="1:28" x14ac:dyDescent="0.25">
      <c r="A3212" t="s">
        <v>3216</v>
      </c>
      <c r="B3212">
        <v>0.99299721793515405</v>
      </c>
      <c r="C3212">
        <v>0.78032001296532005</v>
      </c>
      <c r="D3212">
        <v>0.86463759637302795</v>
      </c>
      <c r="E3212">
        <v>0.81369715038923496</v>
      </c>
      <c r="F3212">
        <v>0.70017417637382495</v>
      </c>
      <c r="G3212">
        <v>0.40465596460827102</v>
      </c>
      <c r="H3212">
        <v>0.44963182011818797</v>
      </c>
      <c r="I3212">
        <v>0.52178645153520198</v>
      </c>
      <c r="J3212">
        <v>0.50287746097243302</v>
      </c>
      <c r="K3212">
        <v>0.41098482630232203</v>
      </c>
      <c r="L3212">
        <v>434.53916208724701</v>
      </c>
      <c r="M3212">
        <v>9.0748033324979396</v>
      </c>
      <c r="N3212">
        <v>57.405561390405701</v>
      </c>
      <c r="O3212">
        <v>45.730626363364699</v>
      </c>
      <c r="P3212">
        <v>-3.0332607123791201E-2</v>
      </c>
      <c r="Q3212">
        <v>0.38901000664608498</v>
      </c>
      <c r="R3212">
        <v>0.845139002362153</v>
      </c>
      <c r="S3212" t="s">
        <v>8763</v>
      </c>
      <c r="T3212" t="s">
        <v>11100</v>
      </c>
      <c r="U3212" t="s">
        <v>11100</v>
      </c>
      <c r="V3212" t="s">
        <v>11100</v>
      </c>
      <c r="W3212" t="s">
        <v>14265</v>
      </c>
      <c r="X3212">
        <v>3</v>
      </c>
      <c r="Y3212" t="s">
        <v>19711</v>
      </c>
      <c r="Z3212" t="s">
        <v>25217</v>
      </c>
      <c r="AA3212">
        <v>0.6385745764951124</v>
      </c>
      <c r="AB3212" t="str">
        <f>HYPERLINK("Melting_Curves/meltCurve_Q4G0I0_CCSMST1.pdf", "Melting_Curves/meltCurve_Q4G0I0_CCSMST1.pdf")</f>
        <v>Melting_Curves/meltCurve_Q4G0I0_CCSMST1.pdf</v>
      </c>
    </row>
    <row r="3213" spans="1:28" x14ac:dyDescent="0.25">
      <c r="A3213" t="s">
        <v>3217</v>
      </c>
      <c r="B3213">
        <v>0.99299721793515405</v>
      </c>
      <c r="C3213">
        <v>0.98042584673190103</v>
      </c>
      <c r="D3213">
        <v>0.80913731402755495</v>
      </c>
      <c r="E3213">
        <v>0.88453930968647099</v>
      </c>
      <c r="F3213">
        <v>0.92172243078395999</v>
      </c>
      <c r="G3213">
        <v>0.900162581283522</v>
      </c>
      <c r="H3213">
        <v>0.47403974446545399</v>
      </c>
      <c r="I3213">
        <v>0.26947928065398102</v>
      </c>
      <c r="J3213">
        <v>0.213520202384576</v>
      </c>
      <c r="K3213">
        <v>0.218454774637484</v>
      </c>
      <c r="L3213">
        <v>2057.7524481001801</v>
      </c>
      <c r="M3213">
        <v>36.503906783633802</v>
      </c>
      <c r="N3213">
        <v>57.241321180860297</v>
      </c>
      <c r="O3213">
        <v>56.202358676332601</v>
      </c>
      <c r="P3213">
        <v>-0.12778851944952499</v>
      </c>
      <c r="Q3213">
        <v>0.213016099195043</v>
      </c>
      <c r="R3213">
        <v>0.94413949160537702</v>
      </c>
      <c r="S3213" t="s">
        <v>8764</v>
      </c>
      <c r="T3213" t="s">
        <v>11100</v>
      </c>
      <c r="U3213" t="s">
        <v>11100</v>
      </c>
      <c r="V3213" t="s">
        <v>11100</v>
      </c>
      <c r="W3213" t="s">
        <v>14266</v>
      </c>
      <c r="X3213">
        <v>4</v>
      </c>
      <c r="Y3213" t="s">
        <v>19712</v>
      </c>
      <c r="Z3213" t="s">
        <v>25218</v>
      </c>
      <c r="AA3213">
        <v>0.72466741873014984</v>
      </c>
      <c r="AB3213" t="str">
        <f>HYPERLINK("Melting_Curves/meltCurve_Q4G0J3_LARP7.pdf", "Melting_Curves/meltCurve_Q4G0J3_LARP7.pdf")</f>
        <v>Melting_Curves/meltCurve_Q4G0J3_LARP7.pdf</v>
      </c>
    </row>
    <row r="3214" spans="1:28" x14ac:dyDescent="0.25">
      <c r="A3214" t="s">
        <v>3218</v>
      </c>
      <c r="B3214">
        <v>0.99299721793515405</v>
      </c>
      <c r="C3214">
        <v>1.02032592671805</v>
      </c>
      <c r="D3214">
        <v>0.90244129177853705</v>
      </c>
      <c r="E3214">
        <v>0.901198365397057</v>
      </c>
      <c r="F3214">
        <v>0.79275394217988604</v>
      </c>
      <c r="G3214">
        <v>0.67427778287282603</v>
      </c>
      <c r="H3214">
        <v>0.58272882572389295</v>
      </c>
      <c r="I3214">
        <v>0.32403910960017401</v>
      </c>
      <c r="J3214">
        <v>0.16167675648327101</v>
      </c>
      <c r="K3214">
        <v>0.13755339645520101</v>
      </c>
      <c r="L3214">
        <v>652.24399301831897</v>
      </c>
      <c r="M3214">
        <v>11.4055208073709</v>
      </c>
      <c r="N3214">
        <v>57.186690971655302</v>
      </c>
      <c r="O3214">
        <v>55.513373821952598</v>
      </c>
      <c r="P3214">
        <v>-5.1378914134889098E-2</v>
      </c>
      <c r="Q3214">
        <v>0</v>
      </c>
      <c r="R3214">
        <v>0.97834856625189104</v>
      </c>
      <c r="S3214" t="s">
        <v>8765</v>
      </c>
      <c r="T3214" t="s">
        <v>11100</v>
      </c>
      <c r="U3214" t="s">
        <v>11100</v>
      </c>
      <c r="V3214" t="s">
        <v>11100</v>
      </c>
      <c r="W3214" t="s">
        <v>14267</v>
      </c>
      <c r="X3214">
        <v>25</v>
      </c>
      <c r="Y3214" t="s">
        <v>19713</v>
      </c>
      <c r="Z3214" t="s">
        <v>25219</v>
      </c>
      <c r="AA3214">
        <v>0.675117300713313</v>
      </c>
      <c r="AB3214" t="str">
        <f>HYPERLINK("Melting_Curves/meltCurve_Q4G0N4_NADKD1.pdf", "Melting_Curves/meltCurve_Q4G0N4_NADKD1.pdf")</f>
        <v>Melting_Curves/meltCurve_Q4G0N4_NADKD1.pdf</v>
      </c>
    </row>
    <row r="3215" spans="1:28" x14ac:dyDescent="0.25">
      <c r="A3215" t="s">
        <v>3219</v>
      </c>
      <c r="B3215">
        <v>0.99299721793515405</v>
      </c>
      <c r="C3215">
        <v>0.85494395753764696</v>
      </c>
      <c r="D3215">
        <v>0.95290985169727305</v>
      </c>
      <c r="E3215">
        <v>0.87318608474438697</v>
      </c>
      <c r="F3215">
        <v>0.78313835091015604</v>
      </c>
      <c r="G3215">
        <v>0.69224317671800395</v>
      </c>
      <c r="H3215">
        <v>0.49756351019969502</v>
      </c>
      <c r="I3215">
        <v>0.61034694552801705</v>
      </c>
      <c r="J3215">
        <v>0.52712800959846595</v>
      </c>
      <c r="K3215">
        <v>0.42879914685690101</v>
      </c>
      <c r="L3215">
        <v>375.450909097026</v>
      </c>
      <c r="M3215">
        <v>6.7724661064256404</v>
      </c>
      <c r="N3215">
        <v>63.688786605450197</v>
      </c>
      <c r="O3215">
        <v>51.205953819363003</v>
      </c>
      <c r="P3215">
        <v>-2.3456759193719201E-2</v>
      </c>
      <c r="Q3215">
        <v>0.29206416975987498</v>
      </c>
      <c r="R3215">
        <v>0.91322682435242597</v>
      </c>
      <c r="S3215" t="s">
        <v>8766</v>
      </c>
      <c r="T3215" t="s">
        <v>11100</v>
      </c>
      <c r="U3215" t="s">
        <v>11100</v>
      </c>
      <c r="V3215" t="s">
        <v>11100</v>
      </c>
      <c r="W3215" t="s">
        <v>14268</v>
      </c>
      <c r="X3215">
        <v>2</v>
      </c>
      <c r="Y3215" t="s">
        <v>19714</v>
      </c>
      <c r="Z3215" t="s">
        <v>25220</v>
      </c>
      <c r="AA3215">
        <v>0.7245143807485882</v>
      </c>
      <c r="AB3215" t="str">
        <f>HYPERLINK("Melting_Curves/meltCurve_Q4G148_2_GXYLT1.pdf", "Melting_Curves/meltCurve_Q4G148_2_GXYLT1.pdf")</f>
        <v>Melting_Curves/meltCurve_Q4G148_2_GXYLT1.pdf</v>
      </c>
    </row>
    <row r="3216" spans="1:28" x14ac:dyDescent="0.25">
      <c r="A3216" t="s">
        <v>3220</v>
      </c>
      <c r="B3216">
        <v>0.99299721793515405</v>
      </c>
      <c r="C3216">
        <v>0.96380074719392395</v>
      </c>
      <c r="D3216">
        <v>1.02197539362111</v>
      </c>
      <c r="E3216">
        <v>0.88928974158150398</v>
      </c>
      <c r="F3216">
        <v>0.58525462074536705</v>
      </c>
      <c r="G3216">
        <v>0.25584244799617301</v>
      </c>
      <c r="H3216">
        <v>0.140877007341982</v>
      </c>
      <c r="I3216">
        <v>0.115295412647147</v>
      </c>
      <c r="J3216">
        <v>0.110638750918218</v>
      </c>
      <c r="K3216">
        <v>9.1439339356586699E-2</v>
      </c>
      <c r="L3216">
        <v>1257.3259868965299</v>
      </c>
      <c r="M3216">
        <v>24.905269808922601</v>
      </c>
      <c r="N3216">
        <v>50.9352244849211</v>
      </c>
      <c r="O3216">
        <v>50.162244595819999</v>
      </c>
      <c r="P3216">
        <v>-0.111845865612511</v>
      </c>
      <c r="Q3216">
        <v>9.8927833538633103E-2</v>
      </c>
      <c r="R3216">
        <v>0.99825411881825699</v>
      </c>
      <c r="S3216" t="s">
        <v>8767</v>
      </c>
      <c r="T3216" t="s">
        <v>11100</v>
      </c>
      <c r="U3216" t="s">
        <v>11100</v>
      </c>
      <c r="V3216" t="s">
        <v>11100</v>
      </c>
      <c r="W3216" t="s">
        <v>14269</v>
      </c>
      <c r="X3216">
        <v>14</v>
      </c>
      <c r="Y3216" t="s">
        <v>19715</v>
      </c>
      <c r="Z3216" t="s">
        <v>25221</v>
      </c>
      <c r="AA3216">
        <v>0.5119142139024514</v>
      </c>
      <c r="AB3216" t="str">
        <f>HYPERLINK("Melting_Curves/meltCurve_Q4G176_ACSF3.pdf", "Melting_Curves/meltCurve_Q4G176_ACSF3.pdf")</f>
        <v>Melting_Curves/meltCurve_Q4G176_ACSF3.pdf</v>
      </c>
    </row>
    <row r="3217" spans="1:28" x14ac:dyDescent="0.25">
      <c r="A3217" t="s">
        <v>3221</v>
      </c>
      <c r="B3217">
        <v>0.99299721793515405</v>
      </c>
      <c r="C3217">
        <v>1.0393473178529999</v>
      </c>
      <c r="D3217">
        <v>1.3167015738491701</v>
      </c>
      <c r="E3217">
        <v>0.98865184565286102</v>
      </c>
      <c r="F3217">
        <v>0.68634136411187696</v>
      </c>
      <c r="G3217">
        <v>0.65521796381009001</v>
      </c>
      <c r="H3217">
        <v>0.313999131131322</v>
      </c>
      <c r="I3217">
        <v>0.18037100702230999</v>
      </c>
      <c r="J3217">
        <v>0.149761631629899</v>
      </c>
      <c r="K3217">
        <v>0.123264018048047</v>
      </c>
      <c r="L3217">
        <v>957.68188446299905</v>
      </c>
      <c r="M3217">
        <v>17.6838849205039</v>
      </c>
      <c r="N3217">
        <v>54.7564125983615</v>
      </c>
      <c r="O3217">
        <v>53.477336503289997</v>
      </c>
      <c r="P3217">
        <v>-7.5383969444852594E-2</v>
      </c>
      <c r="Q3217">
        <v>8.8182118365225104E-2</v>
      </c>
      <c r="R3217">
        <v>0.92027801702937495</v>
      </c>
      <c r="S3217" t="s">
        <v>8768</v>
      </c>
      <c r="T3217" t="s">
        <v>11100</v>
      </c>
      <c r="U3217" t="s">
        <v>11100</v>
      </c>
      <c r="V3217" t="s">
        <v>11100</v>
      </c>
      <c r="W3217" t="s">
        <v>14270</v>
      </c>
      <c r="X3217">
        <v>16</v>
      </c>
      <c r="Y3217" t="s">
        <v>19716</v>
      </c>
      <c r="Z3217" t="s">
        <v>25222</v>
      </c>
      <c r="AA3217">
        <v>0.62220325626727535</v>
      </c>
      <c r="AB3217" t="str">
        <f>HYPERLINK("Melting_Curves/meltCurve_Q4J6C6_4_PREPL.pdf", "Melting_Curves/meltCurve_Q4J6C6_4_PREPL.pdf")</f>
        <v>Melting_Curves/meltCurve_Q4J6C6_4_PREPL.pdf</v>
      </c>
    </row>
    <row r="3218" spans="1:28" x14ac:dyDescent="0.25">
      <c r="A3218" t="s">
        <v>3222</v>
      </c>
      <c r="B3218">
        <v>0.99299721793515405</v>
      </c>
      <c r="C3218">
        <v>0.99181084375861694</v>
      </c>
      <c r="D3218">
        <v>0.98116304877270799</v>
      </c>
      <c r="E3218">
        <v>0.87329307862393002</v>
      </c>
      <c r="F3218">
        <v>0.68470166509159702</v>
      </c>
      <c r="G3218">
        <v>0.40055281429767597</v>
      </c>
      <c r="H3218">
        <v>0.27657502636812897</v>
      </c>
      <c r="I3218">
        <v>0.29251263458516003</v>
      </c>
      <c r="J3218">
        <v>0.26180789482556999</v>
      </c>
      <c r="K3218">
        <v>0.46331895092210501</v>
      </c>
      <c r="L3218">
        <v>1326.77078068792</v>
      </c>
      <c r="M3218">
        <v>26.476338888748199</v>
      </c>
      <c r="N3218">
        <v>52.085209338255801</v>
      </c>
      <c r="O3218">
        <v>49.828310798203702</v>
      </c>
      <c r="P3218">
        <v>-9.0774580117063297E-2</v>
      </c>
      <c r="Q3218">
        <v>0.31665846353708499</v>
      </c>
      <c r="R3218">
        <v>0.96351392093807098</v>
      </c>
      <c r="S3218" t="s">
        <v>8769</v>
      </c>
      <c r="T3218" t="s">
        <v>11100</v>
      </c>
      <c r="U3218" t="s">
        <v>11100</v>
      </c>
      <c r="V3218" t="s">
        <v>11100</v>
      </c>
      <c r="W3218" t="s">
        <v>14271</v>
      </c>
      <c r="X3218">
        <v>10</v>
      </c>
      <c r="Y3218" t="s">
        <v>19717</v>
      </c>
      <c r="Z3218" t="s">
        <v>25223</v>
      </c>
      <c r="AA3218">
        <v>0.62067486547011752</v>
      </c>
      <c r="AB3218" t="str">
        <f>HYPERLINK("Melting_Curves/meltCurve_Q4KMP7_TBC1D10B.pdf", "Melting_Curves/meltCurve_Q4KMP7_TBC1D10B.pdf")</f>
        <v>Melting_Curves/meltCurve_Q4KMP7_TBC1D10B.pdf</v>
      </c>
    </row>
    <row r="3219" spans="1:28" x14ac:dyDescent="0.25">
      <c r="A3219" t="s">
        <v>3223</v>
      </c>
      <c r="B3219">
        <v>0.99299721793515405</v>
      </c>
      <c r="C3219">
        <v>0.77418555776452702</v>
      </c>
      <c r="D3219">
        <v>0.70645834039420197</v>
      </c>
      <c r="E3219">
        <v>0.76445417943278604</v>
      </c>
      <c r="F3219">
        <v>0.66817920985325696</v>
      </c>
      <c r="G3219">
        <v>0.45937172056935899</v>
      </c>
      <c r="H3219">
        <v>0.41594055545946501</v>
      </c>
      <c r="I3219">
        <v>0.302117790210916</v>
      </c>
      <c r="J3219">
        <v>0.65664872965705001</v>
      </c>
      <c r="K3219">
        <v>0.35808397150138399</v>
      </c>
      <c r="L3219">
        <v>351.98697562620799</v>
      </c>
      <c r="M3219">
        <v>7.5919693264806796</v>
      </c>
      <c r="N3219">
        <v>55.493261163648803</v>
      </c>
      <c r="O3219">
        <v>43.474253068762998</v>
      </c>
      <c r="P3219">
        <v>-2.8127301901243601E-2</v>
      </c>
      <c r="Q3219">
        <v>0.35661739805916598</v>
      </c>
      <c r="R3219">
        <v>0.73105947781330305</v>
      </c>
      <c r="S3219" t="s">
        <v>8770</v>
      </c>
      <c r="T3219" t="s">
        <v>11100</v>
      </c>
      <c r="U3219" t="s">
        <v>11100</v>
      </c>
      <c r="V3219" t="s">
        <v>11100</v>
      </c>
      <c r="W3219" t="s">
        <v>14272</v>
      </c>
      <c r="X3219">
        <v>4</v>
      </c>
      <c r="Y3219" t="s">
        <v>19718</v>
      </c>
      <c r="Z3219" t="s">
        <v>25224</v>
      </c>
      <c r="AA3219">
        <v>0.5991058964110153</v>
      </c>
      <c r="AB3219" t="str">
        <f>HYPERLINK("Melting_Curves/meltCurve_Q4KMQ2_3_ANO6.pdf", "Melting_Curves/meltCurve_Q4KMQ2_3_ANO6.pdf")</f>
        <v>Melting_Curves/meltCurve_Q4KMQ2_3_ANO6.pdf</v>
      </c>
    </row>
    <row r="3220" spans="1:28" x14ac:dyDescent="0.25">
      <c r="A3220" t="s">
        <v>3224</v>
      </c>
      <c r="B3220">
        <v>0.99299721793515405</v>
      </c>
      <c r="C3220">
        <v>0.94096029207383602</v>
      </c>
      <c r="D3220">
        <v>0.90492110016259497</v>
      </c>
      <c r="E3220">
        <v>1.0371602728396001</v>
      </c>
      <c r="F3220">
        <v>0.84794129433884802</v>
      </c>
      <c r="G3220">
        <v>0.54161701131654105</v>
      </c>
      <c r="H3220">
        <v>0.30198074375249401</v>
      </c>
      <c r="I3220">
        <v>0.17148910959302399</v>
      </c>
      <c r="J3220">
        <v>0.173751667375032</v>
      </c>
      <c r="K3220">
        <v>0.121734584270191</v>
      </c>
      <c r="L3220">
        <v>1258.02859961278</v>
      </c>
      <c r="M3220">
        <v>23.455773265703101</v>
      </c>
      <c r="N3220">
        <v>54.354182877087801</v>
      </c>
      <c r="O3220">
        <v>53.248795022704698</v>
      </c>
      <c r="P3220">
        <v>-9.5417822838640601E-2</v>
      </c>
      <c r="Q3220">
        <v>0.13355311886507201</v>
      </c>
      <c r="R3220">
        <v>0.98680120323670895</v>
      </c>
      <c r="S3220" t="s">
        <v>8771</v>
      </c>
      <c r="T3220" t="s">
        <v>11100</v>
      </c>
      <c r="U3220" t="s">
        <v>11100</v>
      </c>
      <c r="V3220" t="s">
        <v>11100</v>
      </c>
      <c r="W3220" t="s">
        <v>14273</v>
      </c>
      <c r="X3220">
        <v>3</v>
      </c>
      <c r="Y3220" t="s">
        <v>19719</v>
      </c>
      <c r="Z3220" t="s">
        <v>25225</v>
      </c>
      <c r="AA3220">
        <v>0.6224066518372855</v>
      </c>
      <c r="AB3220" t="str">
        <f>HYPERLINK("Melting_Curves/meltCurve_Q4LDG9_DNAL1.pdf", "Melting_Curves/meltCurve_Q4LDG9_DNAL1.pdf")</f>
        <v>Melting_Curves/meltCurve_Q4LDG9_DNAL1.pdf</v>
      </c>
    </row>
    <row r="3221" spans="1:28" x14ac:dyDescent="0.25">
      <c r="A3221" t="s">
        <v>3225</v>
      </c>
      <c r="B3221">
        <v>0.99299721793515405</v>
      </c>
      <c r="C3221">
        <v>0.978760920513014</v>
      </c>
      <c r="D3221">
        <v>0.93714736988569802</v>
      </c>
      <c r="E3221">
        <v>0.85149607759194301</v>
      </c>
      <c r="F3221">
        <v>0.61583392077933197</v>
      </c>
      <c r="G3221">
        <v>0.35647296019400099</v>
      </c>
      <c r="H3221">
        <v>0.33456330428640502</v>
      </c>
      <c r="I3221">
        <v>0.382542900005505</v>
      </c>
      <c r="J3221">
        <v>0.42523243166887797</v>
      </c>
      <c r="K3221">
        <v>0.40234897592944402</v>
      </c>
      <c r="L3221">
        <v>1320.35378656833</v>
      </c>
      <c r="M3221">
        <v>27.040929178406799</v>
      </c>
      <c r="N3221">
        <v>51.440958874946602</v>
      </c>
      <c r="O3221">
        <v>48.563277429752098</v>
      </c>
      <c r="P3221">
        <v>-8.7226645607649103E-2</v>
      </c>
      <c r="Q3221">
        <v>0.373398745796853</v>
      </c>
      <c r="R3221">
        <v>0.97967635213403903</v>
      </c>
      <c r="S3221" t="s">
        <v>8772</v>
      </c>
      <c r="T3221" t="s">
        <v>11100</v>
      </c>
      <c r="U3221" t="s">
        <v>11100</v>
      </c>
      <c r="V3221" t="s">
        <v>11100</v>
      </c>
      <c r="W3221" t="s">
        <v>14274</v>
      </c>
      <c r="X3221">
        <v>37</v>
      </c>
      <c r="Y3221" t="s">
        <v>19720</v>
      </c>
      <c r="Z3221" t="s">
        <v>25226</v>
      </c>
      <c r="AA3221">
        <v>0.62507711550613243</v>
      </c>
      <c r="AB3221" t="str">
        <f>HYPERLINK("Melting_Curves/meltCurve_Q4V328_GRIPAP1.pdf", "Melting_Curves/meltCurve_Q4V328_GRIPAP1.pdf")</f>
        <v>Melting_Curves/meltCurve_Q4V328_GRIPAP1.pdf</v>
      </c>
    </row>
    <row r="3222" spans="1:28" x14ac:dyDescent="0.25">
      <c r="A3222" t="s">
        <v>3226</v>
      </c>
      <c r="B3222">
        <v>0.99299721793515405</v>
      </c>
      <c r="C3222">
        <v>1.08339405846822</v>
      </c>
      <c r="D3222">
        <v>1.0021009207168501</v>
      </c>
      <c r="E3222">
        <v>1.0242178872860901</v>
      </c>
      <c r="F3222">
        <v>0.79177334140991595</v>
      </c>
      <c r="G3222">
        <v>0.55741692161822298</v>
      </c>
      <c r="H3222">
        <v>0.662018466663579</v>
      </c>
      <c r="I3222">
        <v>0.87933943238641799</v>
      </c>
      <c r="J3222">
        <v>1.17969036545999</v>
      </c>
      <c r="K3222">
        <v>0.96938300428983004</v>
      </c>
      <c r="L3222">
        <v>3569.82634097439</v>
      </c>
      <c r="M3222">
        <v>74.109187449549296</v>
      </c>
      <c r="O3222">
        <v>48.134782108136498</v>
      </c>
      <c r="P3222">
        <v>-6.1742303386655803E-2</v>
      </c>
      <c r="Q3222">
        <v>0.83959064356229196</v>
      </c>
      <c r="R3222">
        <v>0.23440514475950899</v>
      </c>
      <c r="S3222" t="s">
        <v>8773</v>
      </c>
      <c r="T3222" t="s">
        <v>11100</v>
      </c>
      <c r="U3222" t="s">
        <v>11100</v>
      </c>
      <c r="V3222" t="s">
        <v>11100</v>
      </c>
      <c r="W3222" t="s">
        <v>14275</v>
      </c>
      <c r="X3222">
        <v>3</v>
      </c>
      <c r="Y3222" t="s">
        <v>19721</v>
      </c>
      <c r="Z3222" t="s">
        <v>25227</v>
      </c>
      <c r="AA3222">
        <v>0.89947011353148387</v>
      </c>
      <c r="AB3222" t="str">
        <f>HYPERLINK("Melting_Curves/meltCurve_Q4VC05_BCL7A.pdf", "Melting_Curves/meltCurve_Q4VC05_BCL7A.pdf")</f>
        <v>Melting_Curves/meltCurve_Q4VC05_BCL7A.pdf</v>
      </c>
    </row>
    <row r="3223" spans="1:28" x14ac:dyDescent="0.25">
      <c r="A3223" t="s">
        <v>3227</v>
      </c>
      <c r="B3223">
        <v>0.99299721793515405</v>
      </c>
      <c r="C3223">
        <v>1.2629995750973799</v>
      </c>
      <c r="D3223">
        <v>1.0055634930214099</v>
      </c>
      <c r="E3223">
        <v>0.87013668788426402</v>
      </c>
      <c r="F3223">
        <v>0.88523274853497702</v>
      </c>
      <c r="G3223">
        <v>0.85244984405639401</v>
      </c>
      <c r="H3223">
        <v>0.75861220010980501</v>
      </c>
      <c r="I3223">
        <v>0.81193976873976703</v>
      </c>
      <c r="J3223">
        <v>0.72667302586319904</v>
      </c>
      <c r="K3223">
        <v>0.27861547757552402</v>
      </c>
      <c r="L3223">
        <v>684.08978177230199</v>
      </c>
      <c r="M3223">
        <v>10.383417963495001</v>
      </c>
      <c r="N3223">
        <v>65.882909115543001</v>
      </c>
      <c r="O3223">
        <v>63.579756656513297</v>
      </c>
      <c r="P3223">
        <v>-4.0845511313109401E-2</v>
      </c>
      <c r="Q3223">
        <v>0</v>
      </c>
      <c r="R3223">
        <v>0.70760190638276399</v>
      </c>
      <c r="S3223" t="s">
        <v>8774</v>
      </c>
      <c r="T3223" t="s">
        <v>11100</v>
      </c>
      <c r="U3223" t="s">
        <v>11100</v>
      </c>
      <c r="V3223" t="s">
        <v>11100</v>
      </c>
      <c r="W3223" t="s">
        <v>14276</v>
      </c>
      <c r="X3223">
        <v>2</v>
      </c>
      <c r="Y3223" t="s">
        <v>19722</v>
      </c>
      <c r="Z3223" t="s">
        <v>25228</v>
      </c>
      <c r="AA3223">
        <v>0.85981248289852807</v>
      </c>
      <c r="AB3223" t="str">
        <f>HYPERLINK("Melting_Curves/meltCurve_Q4ZIN3_2_TMEM259.pdf", "Melting_Curves/meltCurve_Q4ZIN3_2_TMEM259.pdf")</f>
        <v>Melting_Curves/meltCurve_Q4ZIN3_2_TMEM259.pdf</v>
      </c>
    </row>
    <row r="3224" spans="1:28" x14ac:dyDescent="0.25">
      <c r="A3224" t="s">
        <v>3228</v>
      </c>
      <c r="B3224">
        <v>0.99299721793515405</v>
      </c>
      <c r="C3224">
        <v>0.90251564205232304</v>
      </c>
      <c r="D3224">
        <v>0.86180025435230101</v>
      </c>
      <c r="E3224">
        <v>0.78208867891411904</v>
      </c>
      <c r="F3224">
        <v>0.54618360182542702</v>
      </c>
      <c r="G3224">
        <v>0.130732827235366</v>
      </c>
      <c r="H3224">
        <v>9.3344918018889306E-2</v>
      </c>
      <c r="I3224">
        <v>6.2927642527676603E-2</v>
      </c>
      <c r="J3224">
        <v>5.26673496672058E-2</v>
      </c>
      <c r="K3224">
        <v>4.6507995221732101E-2</v>
      </c>
      <c r="L3224">
        <v>892.43548740073095</v>
      </c>
      <c r="M3224">
        <v>17.937894772817</v>
      </c>
      <c r="N3224">
        <v>49.859847536417398</v>
      </c>
      <c r="O3224">
        <v>49.145449274908898</v>
      </c>
      <c r="P3224">
        <v>-8.9508044013667604E-2</v>
      </c>
      <c r="Q3224">
        <v>1.9128422889009199E-2</v>
      </c>
      <c r="R3224">
        <v>0.98054229632031498</v>
      </c>
      <c r="S3224" t="s">
        <v>8775</v>
      </c>
      <c r="T3224" t="s">
        <v>11100</v>
      </c>
      <c r="U3224" t="s">
        <v>11100</v>
      </c>
      <c r="V3224" t="s">
        <v>11100</v>
      </c>
      <c r="W3224" t="s">
        <v>14277</v>
      </c>
      <c r="X3224">
        <v>3</v>
      </c>
      <c r="Y3224" t="s">
        <v>19723</v>
      </c>
      <c r="Z3224" t="s">
        <v>25229</v>
      </c>
      <c r="AA3224">
        <v>0.45163078430590292</v>
      </c>
      <c r="AB3224" t="str">
        <f>HYPERLINK("Melting_Curves/meltCurve_Q504Q3_2_PAN2.pdf", "Melting_Curves/meltCurve_Q504Q3_2_PAN2.pdf")</f>
        <v>Melting_Curves/meltCurve_Q504Q3_2_PAN2.pdf</v>
      </c>
    </row>
    <row r="3225" spans="1:28" x14ac:dyDescent="0.25">
      <c r="A3225" t="s">
        <v>3229</v>
      </c>
      <c r="B3225">
        <v>0.99299721793515405</v>
      </c>
      <c r="C3225">
        <v>0.90698335842245204</v>
      </c>
      <c r="D3225">
        <v>0.98667615215137705</v>
      </c>
      <c r="E3225">
        <v>0.95350340025171898</v>
      </c>
      <c r="F3225">
        <v>0.75411455008712602</v>
      </c>
      <c r="G3225">
        <v>0.47265880297935697</v>
      </c>
      <c r="H3225">
        <v>0.43811321401584102</v>
      </c>
      <c r="I3225">
        <v>0.40432010506439697</v>
      </c>
      <c r="J3225">
        <v>0.553994520679988</v>
      </c>
      <c r="K3225">
        <v>0.40909564978069501</v>
      </c>
      <c r="L3225">
        <v>2069.5819679014799</v>
      </c>
      <c r="M3225">
        <v>41.063266494534901</v>
      </c>
      <c r="N3225">
        <v>53.335893019860798</v>
      </c>
      <c r="O3225">
        <v>50.280771457215003</v>
      </c>
      <c r="P3225">
        <v>-0.11273290859921101</v>
      </c>
      <c r="Q3225">
        <v>0.44784864630613302</v>
      </c>
      <c r="R3225">
        <v>0.95807048061931199</v>
      </c>
      <c r="S3225" t="s">
        <v>8776</v>
      </c>
      <c r="T3225" t="s">
        <v>11100</v>
      </c>
      <c r="U3225" t="s">
        <v>11100</v>
      </c>
      <c r="V3225" t="s">
        <v>11100</v>
      </c>
      <c r="W3225" t="s">
        <v>14278</v>
      </c>
      <c r="X3225">
        <v>1</v>
      </c>
      <c r="Y3225" t="s">
        <v>19724</v>
      </c>
      <c r="Z3225" t="s">
        <v>25230</v>
      </c>
      <c r="AA3225">
        <v>0.69629657964737668</v>
      </c>
      <c r="AB3225" t="str">
        <f>HYPERLINK("Melting_Curves/meltCurve_Q504U0_C4orf46.pdf", "Melting_Curves/meltCurve_Q504U0_C4orf46.pdf")</f>
        <v>Melting_Curves/meltCurve_Q504U0_C4orf46.pdf</v>
      </c>
    </row>
    <row r="3226" spans="1:28" x14ac:dyDescent="0.25">
      <c r="A3226" t="s">
        <v>3230</v>
      </c>
      <c r="B3226">
        <v>0.99299721793515405</v>
      </c>
      <c r="C3226">
        <v>1.0699463131128699</v>
      </c>
      <c r="D3226">
        <v>0.97707490124010299</v>
      </c>
      <c r="E3226">
        <v>0.93968097680917795</v>
      </c>
      <c r="F3226">
        <v>0.74549146222512597</v>
      </c>
      <c r="G3226">
        <v>0.503847451342057</v>
      </c>
      <c r="H3226">
        <v>0.28040856530778102</v>
      </c>
      <c r="I3226">
        <v>0.22821216528468799</v>
      </c>
      <c r="J3226">
        <v>0.198613614682003</v>
      </c>
      <c r="K3226">
        <v>0.170785435982865</v>
      </c>
      <c r="L3226">
        <v>1016.01651647029</v>
      </c>
      <c r="M3226">
        <v>19.351786148720201</v>
      </c>
      <c r="N3226">
        <v>53.620182628336799</v>
      </c>
      <c r="O3226">
        <v>51.951481048661698</v>
      </c>
      <c r="P3226">
        <v>-7.7671022772420398E-2</v>
      </c>
      <c r="Q3226">
        <v>0.16597389932051301</v>
      </c>
      <c r="R3226">
        <v>0.99489260888441899</v>
      </c>
      <c r="S3226" t="s">
        <v>8777</v>
      </c>
      <c r="T3226" t="s">
        <v>11100</v>
      </c>
      <c r="U3226" t="s">
        <v>11100</v>
      </c>
      <c r="V3226" t="s">
        <v>11100</v>
      </c>
      <c r="W3226" t="s">
        <v>14279</v>
      </c>
      <c r="X3226">
        <v>3</v>
      </c>
      <c r="Y3226" t="s">
        <v>19725</v>
      </c>
      <c r="Z3226" t="s">
        <v>25231</v>
      </c>
      <c r="AA3226">
        <v>0.60814436634413982</v>
      </c>
      <c r="AB3226" t="str">
        <f>HYPERLINK("Melting_Curves/meltCurve_Q52LJ0_2_FAM98B.pdf", "Melting_Curves/meltCurve_Q52LJ0_2_FAM98B.pdf")</f>
        <v>Melting_Curves/meltCurve_Q52LJ0_2_FAM98B.pdf</v>
      </c>
    </row>
    <row r="3227" spans="1:28" x14ac:dyDescent="0.25">
      <c r="A3227" t="s">
        <v>3231</v>
      </c>
      <c r="B3227">
        <v>0.99299721793515405</v>
      </c>
      <c r="C3227">
        <v>0.909470976243547</v>
      </c>
      <c r="D3227">
        <v>0.95194315597863899</v>
      </c>
      <c r="E3227">
        <v>0.70540707624961896</v>
      </c>
      <c r="F3227">
        <v>0.58524514637592295</v>
      </c>
      <c r="G3227">
        <v>0.25081886349326599</v>
      </c>
      <c r="H3227">
        <v>0.20170616494531099</v>
      </c>
      <c r="I3227">
        <v>0.17581340550242699</v>
      </c>
      <c r="J3227">
        <v>0.20316643515820601</v>
      </c>
      <c r="K3227">
        <v>0.14481456349180699</v>
      </c>
      <c r="L3227">
        <v>782.82266580586702</v>
      </c>
      <c r="M3227">
        <v>15.901480614107401</v>
      </c>
      <c r="N3227">
        <v>50.259935824043303</v>
      </c>
      <c r="O3227">
        <v>48.470718916206899</v>
      </c>
      <c r="P3227">
        <v>-7.0613192149815499E-2</v>
      </c>
      <c r="Q3227">
        <v>0.13910005513939599</v>
      </c>
      <c r="R3227">
        <v>0.98145542874768099</v>
      </c>
      <c r="S3227" t="s">
        <v>8778</v>
      </c>
      <c r="T3227" t="s">
        <v>11100</v>
      </c>
      <c r="U3227" t="s">
        <v>11100</v>
      </c>
      <c r="V3227" t="s">
        <v>11100</v>
      </c>
      <c r="W3227" t="s">
        <v>14280</v>
      </c>
      <c r="X3227">
        <v>1</v>
      </c>
      <c r="Y3227" t="s">
        <v>19726</v>
      </c>
      <c r="Z3227" t="s">
        <v>25232</v>
      </c>
      <c r="AA3227">
        <v>0.50684188282222742</v>
      </c>
      <c r="AB3227" t="str">
        <f>HYPERLINK("Melting_Curves/meltCurve_Q52LW3_ARHGAP29.pdf", "Melting_Curves/meltCurve_Q52LW3_ARHGAP29.pdf")</f>
        <v>Melting_Curves/meltCurve_Q52LW3_ARHGAP29.pdf</v>
      </c>
    </row>
    <row r="3228" spans="1:28" x14ac:dyDescent="0.25">
      <c r="A3228" t="s">
        <v>3232</v>
      </c>
      <c r="B3228">
        <v>0.99299721793515405</v>
      </c>
      <c r="C3228">
        <v>1.05734601262843</v>
      </c>
      <c r="D3228">
        <v>1.0365771931692001</v>
      </c>
      <c r="E3228">
        <v>1.0664516158061801</v>
      </c>
      <c r="F3228">
        <v>1.07495317926832</v>
      </c>
      <c r="G3228">
        <v>0.800560837006288</v>
      </c>
      <c r="H3228">
        <v>0.55716787076136498</v>
      </c>
      <c r="I3228">
        <v>0.26798771572869101</v>
      </c>
      <c r="J3228">
        <v>0.206675064141431</v>
      </c>
      <c r="K3228">
        <v>0.123999222496851</v>
      </c>
      <c r="L3228">
        <v>1425.9962795644899</v>
      </c>
      <c r="M3228">
        <v>24.935094912624599</v>
      </c>
      <c r="N3228">
        <v>57.848751995978802</v>
      </c>
      <c r="O3228">
        <v>56.824300257015999</v>
      </c>
      <c r="P3228">
        <v>-9.6115152364141199E-2</v>
      </c>
      <c r="Q3228">
        <v>0.123868944613861</v>
      </c>
      <c r="R3228">
        <v>0.98297180066249401</v>
      </c>
      <c r="S3228" t="s">
        <v>8779</v>
      </c>
      <c r="T3228" t="s">
        <v>11100</v>
      </c>
      <c r="U3228" t="s">
        <v>11100</v>
      </c>
      <c r="V3228" t="s">
        <v>11100</v>
      </c>
      <c r="W3228" t="s">
        <v>14281</v>
      </c>
      <c r="X3228">
        <v>10</v>
      </c>
      <c r="Y3228" t="s">
        <v>19727</v>
      </c>
      <c r="Z3228" t="s">
        <v>25233</v>
      </c>
      <c r="AA3228">
        <v>0.71988318675465601</v>
      </c>
      <c r="AB3228" t="str">
        <f>HYPERLINK("Melting_Curves/meltCurve_Q53EL6_2_PDCD4.pdf", "Melting_Curves/meltCurve_Q53EL6_2_PDCD4.pdf")</f>
        <v>Melting_Curves/meltCurve_Q53EL6_2_PDCD4.pdf</v>
      </c>
    </row>
    <row r="3229" spans="1:28" x14ac:dyDescent="0.25">
      <c r="A3229" t="s">
        <v>3233</v>
      </c>
      <c r="B3229">
        <v>0.99299721793515405</v>
      </c>
      <c r="C3229">
        <v>1.0830992735384199</v>
      </c>
      <c r="D3229">
        <v>1.0301994702503401</v>
      </c>
      <c r="E3229">
        <v>0.98045240535591704</v>
      </c>
      <c r="F3229">
        <v>0.72890991404231098</v>
      </c>
      <c r="G3229">
        <v>0.57591151483589198</v>
      </c>
      <c r="H3229">
        <v>0.432644945734593</v>
      </c>
      <c r="I3229">
        <v>0.41343875353563703</v>
      </c>
      <c r="J3229">
        <v>0.37418325019159399</v>
      </c>
      <c r="K3229">
        <v>0.30166128130403602</v>
      </c>
      <c r="L3229">
        <v>1018.4754832720801</v>
      </c>
      <c r="M3229">
        <v>19.647725140351099</v>
      </c>
      <c r="N3229">
        <v>55.126218472827297</v>
      </c>
      <c r="O3229">
        <v>51.308767605640298</v>
      </c>
      <c r="P3229">
        <v>-6.2689346971427695E-2</v>
      </c>
      <c r="Q3229">
        <v>0.345185868311987</v>
      </c>
      <c r="R3229">
        <v>0.97960856223744497</v>
      </c>
      <c r="S3229" t="s">
        <v>8780</v>
      </c>
      <c r="T3229" t="s">
        <v>11100</v>
      </c>
      <c r="U3229" t="s">
        <v>11100</v>
      </c>
      <c r="V3229" t="s">
        <v>11100</v>
      </c>
      <c r="W3229" t="s">
        <v>14282</v>
      </c>
      <c r="X3229">
        <v>2</v>
      </c>
      <c r="Y3229" t="s">
        <v>19728</v>
      </c>
      <c r="Z3229" t="s">
        <v>25234</v>
      </c>
      <c r="AA3229">
        <v>0.67775237055244497</v>
      </c>
      <c r="AB3229" t="str">
        <f>HYPERLINK("Melting_Curves/meltCurve_Q53ET0_CRTC2.pdf", "Melting_Curves/meltCurve_Q53ET0_CRTC2.pdf")</f>
        <v>Melting_Curves/meltCurve_Q53ET0_CRTC2.pdf</v>
      </c>
    </row>
    <row r="3230" spans="1:28" x14ac:dyDescent="0.25">
      <c r="A3230" t="s">
        <v>3234</v>
      </c>
      <c r="B3230">
        <v>0.99299721793515405</v>
      </c>
      <c r="C3230">
        <v>1.0911599358667099</v>
      </c>
      <c r="D3230">
        <v>1.01020832484893</v>
      </c>
      <c r="E3230">
        <v>0.78796178010937401</v>
      </c>
      <c r="F3230">
        <v>0.39151220097351702</v>
      </c>
      <c r="G3230">
        <v>0.19128622874725101</v>
      </c>
      <c r="H3230">
        <v>0.19189779509275001</v>
      </c>
      <c r="I3230">
        <v>0.131894264319176</v>
      </c>
      <c r="J3230">
        <v>0.134412911810432</v>
      </c>
      <c r="K3230">
        <v>0.135198116340015</v>
      </c>
      <c r="L3230">
        <v>1367.7594759875799</v>
      </c>
      <c r="M3230">
        <v>28.168457916822</v>
      </c>
      <c r="N3230">
        <v>49.148252860262602</v>
      </c>
      <c r="O3230">
        <v>48.313674636036602</v>
      </c>
      <c r="P3230">
        <v>-0.124794547217841</v>
      </c>
      <c r="Q3230">
        <v>0.14383205723981499</v>
      </c>
      <c r="R3230">
        <v>0.99241840986863095</v>
      </c>
      <c r="S3230" t="s">
        <v>8781</v>
      </c>
      <c r="T3230" t="s">
        <v>11100</v>
      </c>
      <c r="U3230" t="s">
        <v>11100</v>
      </c>
      <c r="V3230" t="s">
        <v>11100</v>
      </c>
      <c r="W3230" t="s">
        <v>14283</v>
      </c>
      <c r="X3230">
        <v>9</v>
      </c>
      <c r="Y3230" t="s">
        <v>19729</v>
      </c>
      <c r="Z3230" t="s">
        <v>25235</v>
      </c>
      <c r="AA3230">
        <v>0.47944912579231208</v>
      </c>
      <c r="AB3230" t="str">
        <f>HYPERLINK("Melting_Curves/meltCurve_Q53EZ4_CEP55.pdf", "Melting_Curves/meltCurve_Q53EZ4_CEP55.pdf")</f>
        <v>Melting_Curves/meltCurve_Q53EZ4_CEP55.pdf</v>
      </c>
    </row>
    <row r="3231" spans="1:28" x14ac:dyDescent="0.25">
      <c r="A3231" t="s">
        <v>3235</v>
      </c>
      <c r="B3231">
        <v>0.99299721793515405</v>
      </c>
      <c r="C3231">
        <v>0.92201177552962799</v>
      </c>
      <c r="D3231">
        <v>0.95343847229694201</v>
      </c>
      <c r="E3231">
        <v>0.85506270279669705</v>
      </c>
      <c r="F3231">
        <v>0.75588695955185503</v>
      </c>
      <c r="G3231">
        <v>0.53919892734990504</v>
      </c>
      <c r="H3231">
        <v>0.52391899993814595</v>
      </c>
      <c r="I3231">
        <v>0.58730479041918504</v>
      </c>
      <c r="J3231">
        <v>0.61595673938361195</v>
      </c>
      <c r="K3231">
        <v>0.46792551498869001</v>
      </c>
      <c r="L3231">
        <v>888.67832184039901</v>
      </c>
      <c r="M3231">
        <v>18.210415007305802</v>
      </c>
      <c r="O3231">
        <v>48.223485424829903</v>
      </c>
      <c r="P3231">
        <v>-4.4397470179130198E-2</v>
      </c>
      <c r="Q3231">
        <v>0.52974166631082598</v>
      </c>
      <c r="R3231">
        <v>0.92764885666900998</v>
      </c>
      <c r="S3231" t="s">
        <v>8782</v>
      </c>
      <c r="T3231" t="s">
        <v>11100</v>
      </c>
      <c r="U3231" t="s">
        <v>11100</v>
      </c>
      <c r="V3231" t="s">
        <v>11100</v>
      </c>
      <c r="W3231" t="s">
        <v>14284</v>
      </c>
      <c r="X3231">
        <v>19</v>
      </c>
      <c r="Y3231" t="s">
        <v>19730</v>
      </c>
      <c r="Z3231" t="s">
        <v>25236</v>
      </c>
      <c r="AA3231">
        <v>0.7220529842177531</v>
      </c>
      <c r="AB3231" t="str">
        <f>HYPERLINK("Melting_Curves/meltCurve_Q53GG5_2_PDLIM3.pdf", "Melting_Curves/meltCurve_Q53GG5_2_PDLIM3.pdf")</f>
        <v>Melting_Curves/meltCurve_Q53GG5_2_PDLIM3.pdf</v>
      </c>
    </row>
    <row r="3232" spans="1:28" x14ac:dyDescent="0.25">
      <c r="A3232" t="s">
        <v>3236</v>
      </c>
      <c r="B3232">
        <v>0.99299721793515405</v>
      </c>
      <c r="C3232">
        <v>0.98986488285672702</v>
      </c>
      <c r="D3232">
        <v>1.02128168663596</v>
      </c>
      <c r="E3232">
        <v>0.87342323424276003</v>
      </c>
      <c r="F3232">
        <v>0.75527695984811005</v>
      </c>
      <c r="G3232">
        <v>0.55911625685981203</v>
      </c>
      <c r="H3232">
        <v>0.290740024230012</v>
      </c>
      <c r="I3232">
        <v>0.14389360131226001</v>
      </c>
      <c r="J3232">
        <v>0.107624863093466</v>
      </c>
      <c r="K3232">
        <v>8.7730478820206903E-2</v>
      </c>
      <c r="L3232">
        <v>805.94708427867999</v>
      </c>
      <c r="M3232">
        <v>14.923059154450501</v>
      </c>
      <c r="N3232">
        <v>54.147694331352298</v>
      </c>
      <c r="O3232">
        <v>53.064852385488997</v>
      </c>
      <c r="P3232">
        <v>-6.8974289416568593E-2</v>
      </c>
      <c r="Q3232">
        <v>1.9039386420402898E-2</v>
      </c>
      <c r="R3232">
        <v>0.99556059700464195</v>
      </c>
      <c r="S3232" t="s">
        <v>8783</v>
      </c>
      <c r="T3232" t="s">
        <v>11100</v>
      </c>
      <c r="U3232" t="s">
        <v>11100</v>
      </c>
      <c r="V3232" t="s">
        <v>11100</v>
      </c>
      <c r="W3232" t="s">
        <v>14285</v>
      </c>
      <c r="X3232">
        <v>7</v>
      </c>
      <c r="Y3232" t="s">
        <v>19731</v>
      </c>
      <c r="Z3232" t="s">
        <v>25237</v>
      </c>
      <c r="AA3232">
        <v>0.59107489340405261</v>
      </c>
      <c r="AB3232" t="str">
        <f>HYPERLINK("Melting_Curves/meltCurve_Q53GQ0_HSD17B12.pdf", "Melting_Curves/meltCurve_Q53GQ0_HSD17B12.pdf")</f>
        <v>Melting_Curves/meltCurve_Q53GQ0_HSD17B12.pdf</v>
      </c>
    </row>
    <row r="3233" spans="1:28" x14ac:dyDescent="0.25">
      <c r="A3233" t="s">
        <v>3237</v>
      </c>
      <c r="B3233">
        <v>0.99299721793515405</v>
      </c>
      <c r="C3233">
        <v>1.40046683107431</v>
      </c>
      <c r="D3233">
        <v>1.3474343752257101</v>
      </c>
      <c r="E3233">
        <v>1.1157636057192599</v>
      </c>
      <c r="F3233">
        <v>1.0502298276611099</v>
      </c>
      <c r="G3233">
        <v>0.77214409659727201</v>
      </c>
      <c r="H3233">
        <v>0.56839323979063905</v>
      </c>
      <c r="I3233">
        <v>0.458121855586551</v>
      </c>
      <c r="J3233">
        <v>0.39402809723737497</v>
      </c>
      <c r="K3233">
        <v>0.32620614189825903</v>
      </c>
      <c r="L3233">
        <v>1484.1558305184701</v>
      </c>
      <c r="M3233">
        <v>26.661005756137801</v>
      </c>
      <c r="N3233">
        <v>58.517935987855701</v>
      </c>
      <c r="O3233">
        <v>55.357293449116</v>
      </c>
      <c r="P3233">
        <v>-7.6632962408152094E-2</v>
      </c>
      <c r="Q3233">
        <v>0.363542386441293</v>
      </c>
      <c r="R3233">
        <v>0.78011131833317204</v>
      </c>
      <c r="S3233" t="s">
        <v>8784</v>
      </c>
      <c r="T3233" t="s">
        <v>11100</v>
      </c>
      <c r="U3233" t="s">
        <v>11100</v>
      </c>
      <c r="V3233" t="s">
        <v>11100</v>
      </c>
      <c r="W3233" t="s">
        <v>14286</v>
      </c>
      <c r="X3233">
        <v>2</v>
      </c>
      <c r="Y3233" t="s">
        <v>19732</v>
      </c>
      <c r="Z3233" t="s">
        <v>25238</v>
      </c>
      <c r="AA3233">
        <v>0.76438246452190861</v>
      </c>
      <c r="AB3233" t="str">
        <f>HYPERLINK("Melting_Curves/meltCurve_Q53H80_AKIRIN2.pdf", "Melting_Curves/meltCurve_Q53H80_AKIRIN2.pdf")</f>
        <v>Melting_Curves/meltCurve_Q53H80_AKIRIN2.pdf</v>
      </c>
    </row>
    <row r="3234" spans="1:28" x14ac:dyDescent="0.25">
      <c r="A3234" t="s">
        <v>3238</v>
      </c>
      <c r="B3234">
        <v>0.99299721793515405</v>
      </c>
      <c r="C3234">
        <v>0.95210753770984802</v>
      </c>
      <c r="D3234">
        <v>0.98954454203812203</v>
      </c>
      <c r="E3234">
        <v>0.82755646880829103</v>
      </c>
      <c r="F3234">
        <v>0.71034619465414495</v>
      </c>
      <c r="G3234">
        <v>0.46887667644629299</v>
      </c>
      <c r="H3234">
        <v>0.47417826282755299</v>
      </c>
      <c r="I3234">
        <v>0.44872234042543602</v>
      </c>
      <c r="J3234">
        <v>0.40069172940013598</v>
      </c>
      <c r="K3234">
        <v>0.28826135636198902</v>
      </c>
      <c r="L3234">
        <v>714.34268639461004</v>
      </c>
      <c r="M3234">
        <v>14.1580272050155</v>
      </c>
      <c r="N3234">
        <v>54.909062999865199</v>
      </c>
      <c r="O3234">
        <v>49.480401528659002</v>
      </c>
      <c r="P3234">
        <v>-4.7115175186944497E-2</v>
      </c>
      <c r="Q3234">
        <v>0.34143891876085802</v>
      </c>
      <c r="R3234">
        <v>0.97215298722426502</v>
      </c>
      <c r="S3234" t="s">
        <v>8785</v>
      </c>
      <c r="T3234" t="s">
        <v>11100</v>
      </c>
      <c r="U3234" t="s">
        <v>11100</v>
      </c>
      <c r="V3234" t="s">
        <v>11100</v>
      </c>
      <c r="W3234" t="s">
        <v>14287</v>
      </c>
      <c r="X3234">
        <v>9</v>
      </c>
      <c r="Y3234" t="s">
        <v>19733</v>
      </c>
      <c r="Z3234" t="s">
        <v>25239</v>
      </c>
      <c r="AA3234">
        <v>0.65145126984672963</v>
      </c>
      <c r="AB3234" t="str">
        <f>HYPERLINK("Melting_Curves/meltCurve_Q53H82_LACTB2.pdf", "Melting_Curves/meltCurve_Q53H82_LACTB2.pdf")</f>
        <v>Melting_Curves/meltCurve_Q53H82_LACTB2.pdf</v>
      </c>
    </row>
    <row r="3235" spans="1:28" x14ac:dyDescent="0.25">
      <c r="A3235" t="s">
        <v>3239</v>
      </c>
      <c r="B3235">
        <v>0.99299721793515405</v>
      </c>
      <c r="C3235">
        <v>0.88567940439732795</v>
      </c>
      <c r="D3235">
        <v>0.88501157818346099</v>
      </c>
      <c r="E3235">
        <v>0.65913199813679402</v>
      </c>
      <c r="F3235">
        <v>0.61793398164108904</v>
      </c>
      <c r="G3235">
        <v>0.57346080133672195</v>
      </c>
      <c r="H3235">
        <v>0.56839085777648601</v>
      </c>
      <c r="I3235">
        <v>0.52487701968836797</v>
      </c>
      <c r="J3235">
        <v>0.513840092341875</v>
      </c>
      <c r="K3235">
        <v>0.45308054627644001</v>
      </c>
      <c r="L3235">
        <v>542.78325448855799</v>
      </c>
      <c r="M3235">
        <v>11.9209736536533</v>
      </c>
      <c r="O3235">
        <v>44.307228840818098</v>
      </c>
      <c r="P3235">
        <v>-3.4258472934312598E-2</v>
      </c>
      <c r="Q3235">
        <v>0.49080562953319201</v>
      </c>
      <c r="R3235">
        <v>0.963406131262035</v>
      </c>
      <c r="S3235" t="s">
        <v>8786</v>
      </c>
      <c r="T3235" t="s">
        <v>11100</v>
      </c>
      <c r="U3235" t="s">
        <v>11100</v>
      </c>
      <c r="V3235" t="s">
        <v>11100</v>
      </c>
      <c r="W3235" t="s">
        <v>14288</v>
      </c>
      <c r="X3235">
        <v>9</v>
      </c>
      <c r="Y3235" t="s">
        <v>19734</v>
      </c>
      <c r="Z3235" t="s">
        <v>25240</v>
      </c>
      <c r="AA3235">
        <v>0.6538175646757084</v>
      </c>
      <c r="AB3235" t="str">
        <f>HYPERLINK("Melting_Curves/meltCurve_Q53H96_PYCRL.pdf", "Melting_Curves/meltCurve_Q53H96_PYCRL.pdf")</f>
        <v>Melting_Curves/meltCurve_Q53H96_PYCRL.pdf</v>
      </c>
    </row>
    <row r="3236" spans="1:28" x14ac:dyDescent="0.25">
      <c r="A3236" t="s">
        <v>3240</v>
      </c>
      <c r="B3236">
        <v>0.99299721793515405</v>
      </c>
      <c r="C3236">
        <v>1.0358859797808899</v>
      </c>
      <c r="D3236">
        <v>0.94842028972552195</v>
      </c>
      <c r="E3236">
        <v>0.89275685224118095</v>
      </c>
      <c r="F3236">
        <v>0.81421899640746198</v>
      </c>
      <c r="G3236">
        <v>0.50861642311181199</v>
      </c>
      <c r="H3236">
        <v>0.299239268399771</v>
      </c>
      <c r="I3236">
        <v>0.16627554476181</v>
      </c>
      <c r="J3236">
        <v>0.150634205815976</v>
      </c>
      <c r="K3236">
        <v>0.11181299599349601</v>
      </c>
      <c r="L3236">
        <v>929.35577149815094</v>
      </c>
      <c r="M3236">
        <v>17.376875840759698</v>
      </c>
      <c r="N3236">
        <v>54.068201455048602</v>
      </c>
      <c r="O3236">
        <v>52.789103628353601</v>
      </c>
      <c r="P3236">
        <v>-7.5236246775822094E-2</v>
      </c>
      <c r="Q3236">
        <v>8.5812907724518703E-2</v>
      </c>
      <c r="R3236">
        <v>0.99492861383426801</v>
      </c>
      <c r="S3236" t="s">
        <v>8787</v>
      </c>
      <c r="T3236" t="s">
        <v>11100</v>
      </c>
      <c r="U3236" t="s">
        <v>11100</v>
      </c>
      <c r="V3236" t="s">
        <v>11100</v>
      </c>
      <c r="W3236" t="s">
        <v>14289</v>
      </c>
      <c r="X3236">
        <v>6</v>
      </c>
      <c r="Y3236" t="s">
        <v>19735</v>
      </c>
      <c r="Z3236" t="s">
        <v>25241</v>
      </c>
      <c r="AA3236">
        <v>0.60158109790150671</v>
      </c>
      <c r="AB3236" t="str">
        <f>HYPERLINK("Melting_Curves/meltCurve_Q53HV7_SMUG1.pdf", "Melting_Curves/meltCurve_Q53HV7_SMUG1.pdf")</f>
        <v>Melting_Curves/meltCurve_Q53HV7_SMUG1.pdf</v>
      </c>
    </row>
    <row r="3237" spans="1:28" x14ac:dyDescent="0.25">
      <c r="A3237" t="s">
        <v>3241</v>
      </c>
      <c r="B3237">
        <v>0.99299721793515405</v>
      </c>
      <c r="C3237">
        <v>0.90279057092894899</v>
      </c>
      <c r="D3237">
        <v>1.0920351790428999</v>
      </c>
      <c r="E3237">
        <v>0.84418835925509295</v>
      </c>
      <c r="F3237">
        <v>0.71113754222849901</v>
      </c>
      <c r="G3237">
        <v>0.57208303872509203</v>
      </c>
      <c r="H3237">
        <v>0.38514434675894499</v>
      </c>
      <c r="I3237">
        <v>0.385809028932589</v>
      </c>
      <c r="J3237">
        <v>0.33422594048002002</v>
      </c>
      <c r="K3237">
        <v>0.31354693331966998</v>
      </c>
      <c r="L3237">
        <v>806.68729809982096</v>
      </c>
      <c r="M3237">
        <v>15.668184220185401</v>
      </c>
      <c r="N3237">
        <v>54.769721204081897</v>
      </c>
      <c r="O3237">
        <v>50.668884322485397</v>
      </c>
      <c r="P3237">
        <v>-5.3764956769624603E-2</v>
      </c>
      <c r="Q3237">
        <v>0.30458350274463802</v>
      </c>
      <c r="R3237">
        <v>0.96391475730792797</v>
      </c>
      <c r="S3237" t="s">
        <v>8788</v>
      </c>
      <c r="T3237" t="s">
        <v>11100</v>
      </c>
      <c r="U3237" t="s">
        <v>11100</v>
      </c>
      <c r="V3237" t="s">
        <v>11100</v>
      </c>
      <c r="W3237" t="s">
        <v>14290</v>
      </c>
      <c r="X3237">
        <v>4</v>
      </c>
      <c r="Y3237" t="s">
        <v>19736</v>
      </c>
      <c r="Z3237" t="s">
        <v>25242</v>
      </c>
      <c r="AA3237">
        <v>0.65331980568767534</v>
      </c>
      <c r="AB3237" t="str">
        <f>HYPERLINK("Melting_Curves/meltCurve_Q53S33_BOLA3.pdf", "Melting_Curves/meltCurve_Q53S33_BOLA3.pdf")</f>
        <v>Melting_Curves/meltCurve_Q53S33_BOLA3.pdf</v>
      </c>
    </row>
    <row r="3238" spans="1:28" x14ac:dyDescent="0.25">
      <c r="A3238" t="s">
        <v>3242</v>
      </c>
      <c r="B3238">
        <v>0.99299721793515405</v>
      </c>
      <c r="C3238">
        <v>0.99110542641754695</v>
      </c>
      <c r="D3238">
        <v>0.88101541152410201</v>
      </c>
      <c r="E3238">
        <v>0.90434927848912805</v>
      </c>
      <c r="F3238">
        <v>0.95863344162222797</v>
      </c>
      <c r="G3238">
        <v>0.53654634476864504</v>
      </c>
      <c r="H3238">
        <v>0.38008442448587498</v>
      </c>
      <c r="I3238">
        <v>0.280955025854289</v>
      </c>
      <c r="J3238">
        <v>0.22351361291403299</v>
      </c>
      <c r="K3238">
        <v>0.18840747478842601</v>
      </c>
      <c r="L3238">
        <v>1342.7190300243301</v>
      </c>
      <c r="M3238">
        <v>25.034070389990202</v>
      </c>
      <c r="N3238">
        <v>54.8772213867679</v>
      </c>
      <c r="O3238">
        <v>53.296928738304501</v>
      </c>
      <c r="P3238">
        <v>-9.2039514541697204E-2</v>
      </c>
      <c r="Q3238">
        <v>0.216210905444287</v>
      </c>
      <c r="R3238">
        <v>0.96926113229118604</v>
      </c>
      <c r="S3238" t="s">
        <v>8789</v>
      </c>
      <c r="T3238" t="s">
        <v>11100</v>
      </c>
      <c r="U3238" t="s">
        <v>11100</v>
      </c>
      <c r="V3238" t="s">
        <v>11100</v>
      </c>
      <c r="W3238" t="s">
        <v>14291</v>
      </c>
      <c r="X3238">
        <v>1</v>
      </c>
      <c r="Y3238" t="s">
        <v>19737</v>
      </c>
      <c r="Z3238" t="s">
        <v>25243</v>
      </c>
      <c r="AA3238">
        <v>0.65770624432952296</v>
      </c>
      <c r="AB3238" t="str">
        <f>HYPERLINK("Melting_Curves/meltCurve_Q53S58_TMEM177.pdf", "Melting_Curves/meltCurve_Q53S58_TMEM177.pdf")</f>
        <v>Melting_Curves/meltCurve_Q53S58_TMEM177.pdf</v>
      </c>
    </row>
    <row r="3239" spans="1:28" x14ac:dyDescent="0.25">
      <c r="A3239" t="s">
        <v>3243</v>
      </c>
      <c r="B3239">
        <v>0.99299721793515405</v>
      </c>
      <c r="C3239">
        <v>0.95201479135548805</v>
      </c>
      <c r="D3239">
        <v>0.92237640205784099</v>
      </c>
      <c r="E3239">
        <v>0.88560342707525397</v>
      </c>
      <c r="F3239">
        <v>0.70910162417596601</v>
      </c>
      <c r="G3239">
        <v>0.35372103237967101</v>
      </c>
      <c r="H3239">
        <v>0.26690803764805898</v>
      </c>
      <c r="I3239">
        <v>0.24178439192335299</v>
      </c>
      <c r="J3239">
        <v>0.18789783525790299</v>
      </c>
      <c r="K3239">
        <v>0.14563546332421601</v>
      </c>
      <c r="L3239">
        <v>991.89467685768102</v>
      </c>
      <c r="M3239">
        <v>19.357147962593</v>
      </c>
      <c r="N3239">
        <v>52.333434358761302</v>
      </c>
      <c r="O3239">
        <v>50.704303815199303</v>
      </c>
      <c r="P3239">
        <v>-7.9590987923693998E-2</v>
      </c>
      <c r="Q3239">
        <v>0.16610532138442599</v>
      </c>
      <c r="R3239">
        <v>0.989196078650592</v>
      </c>
      <c r="S3239" t="s">
        <v>8790</v>
      </c>
      <c r="T3239" t="s">
        <v>11100</v>
      </c>
      <c r="U3239" t="s">
        <v>11100</v>
      </c>
      <c r="V3239" t="s">
        <v>11100</v>
      </c>
      <c r="W3239" t="s">
        <v>14292</v>
      </c>
      <c r="X3239">
        <v>14</v>
      </c>
      <c r="Y3239" t="s">
        <v>19738</v>
      </c>
      <c r="Z3239" t="s">
        <v>25244</v>
      </c>
      <c r="AA3239">
        <v>0.57346136664380132</v>
      </c>
      <c r="AB3239" t="str">
        <f>HYPERLINK("Melting_Curves/meltCurve_Q53T59_HS1BP3.pdf", "Melting_Curves/meltCurve_Q53T59_HS1BP3.pdf")</f>
        <v>Melting_Curves/meltCurve_Q53T59_HS1BP3.pdf</v>
      </c>
    </row>
    <row r="3240" spans="1:28" x14ac:dyDescent="0.25">
      <c r="A3240" t="s">
        <v>3244</v>
      </c>
      <c r="B3240">
        <v>0.99299721793515405</v>
      </c>
      <c r="C3240">
        <v>0.95161280835311401</v>
      </c>
      <c r="D3240">
        <v>0.91753202113375498</v>
      </c>
      <c r="E3240">
        <v>0.78436360041305697</v>
      </c>
      <c r="F3240">
        <v>0.64177800606531699</v>
      </c>
      <c r="G3240">
        <v>0.34300354546058498</v>
      </c>
      <c r="H3240">
        <v>0.313513489380848</v>
      </c>
      <c r="I3240">
        <v>0.36374548417837799</v>
      </c>
      <c r="J3240">
        <v>0.35100414010327402</v>
      </c>
      <c r="K3240">
        <v>0.26362117810461499</v>
      </c>
      <c r="L3240">
        <v>846.71292154611797</v>
      </c>
      <c r="M3240">
        <v>17.272242805320399</v>
      </c>
      <c r="N3240">
        <v>51.651793035872103</v>
      </c>
      <c r="O3240">
        <v>48.378637655760102</v>
      </c>
      <c r="P3240">
        <v>-6.3151059153002995E-2</v>
      </c>
      <c r="Q3240">
        <v>0.29250998299765202</v>
      </c>
      <c r="R3240">
        <v>0.97636076412475803</v>
      </c>
      <c r="S3240" t="s">
        <v>8791</v>
      </c>
      <c r="T3240" t="s">
        <v>11100</v>
      </c>
      <c r="U3240" t="s">
        <v>11100</v>
      </c>
      <c r="V3240" t="s">
        <v>11100</v>
      </c>
      <c r="W3240" t="s">
        <v>14293</v>
      </c>
      <c r="X3240">
        <v>14</v>
      </c>
      <c r="Y3240" t="s">
        <v>19739</v>
      </c>
      <c r="Z3240" t="s">
        <v>25245</v>
      </c>
      <c r="AA3240">
        <v>0.58809063680579443</v>
      </c>
      <c r="AB3240" t="str">
        <f>HYPERLINK("Melting_Curves/meltCurve_Q562R1_ACTBL2.pdf", "Melting_Curves/meltCurve_Q562R1_ACTBL2.pdf")</f>
        <v>Melting_Curves/meltCurve_Q562R1_ACTBL2.pdf</v>
      </c>
    </row>
    <row r="3241" spans="1:28" x14ac:dyDescent="0.25">
      <c r="A3241" t="s">
        <v>3245</v>
      </c>
      <c r="B3241">
        <v>0.99299721793515405</v>
      </c>
      <c r="C3241">
        <v>0.93271168989096198</v>
      </c>
      <c r="D3241">
        <v>0.84360622915767602</v>
      </c>
      <c r="E3241">
        <v>0.84155208907729695</v>
      </c>
      <c r="F3241">
        <v>0.72874182888482997</v>
      </c>
      <c r="G3241">
        <v>0.44729778885652099</v>
      </c>
      <c r="H3241">
        <v>0.57817446763715097</v>
      </c>
      <c r="I3241">
        <v>0.65924653785596898</v>
      </c>
      <c r="J3241">
        <v>0.74733105964083102</v>
      </c>
      <c r="K3241">
        <v>0.66131912357795197</v>
      </c>
      <c r="L3241">
        <v>745.924963903498</v>
      </c>
      <c r="M3241">
        <v>16.544453136026601</v>
      </c>
      <c r="O3241">
        <v>44.442824436218302</v>
      </c>
      <c r="P3241">
        <v>-3.4751464466416498E-2</v>
      </c>
      <c r="Q3241">
        <v>0.62661857416463695</v>
      </c>
      <c r="R3241">
        <v>0.71265756467903796</v>
      </c>
      <c r="S3241" t="s">
        <v>8792</v>
      </c>
      <c r="T3241" t="s">
        <v>11100</v>
      </c>
      <c r="U3241" t="s">
        <v>11100</v>
      </c>
      <c r="V3241" t="s">
        <v>11100</v>
      </c>
      <c r="W3241" t="s">
        <v>14294</v>
      </c>
      <c r="X3241">
        <v>3</v>
      </c>
      <c r="Y3241" t="s">
        <v>19740</v>
      </c>
      <c r="Z3241" t="s">
        <v>25246</v>
      </c>
      <c r="AA3241">
        <v>0.73452659741022674</v>
      </c>
      <c r="AB3241" t="str">
        <f>HYPERLINK("Melting_Curves/meltCurve_Q587I9_SFT2D3.pdf", "Melting_Curves/meltCurve_Q587I9_SFT2D3.pdf")</f>
        <v>Melting_Curves/meltCurve_Q587I9_SFT2D3.pdf</v>
      </c>
    </row>
    <row r="3242" spans="1:28" x14ac:dyDescent="0.25">
      <c r="A3242" t="s">
        <v>3246</v>
      </c>
      <c r="B3242">
        <v>0.99299721793515405</v>
      </c>
      <c r="C3242">
        <v>0.97435356722538002</v>
      </c>
      <c r="D3242">
        <v>0.961130058599448</v>
      </c>
      <c r="E3242">
        <v>0.86710938716365804</v>
      </c>
      <c r="F3242">
        <v>0.61665967366855801</v>
      </c>
      <c r="G3242">
        <v>0.64575929076326399</v>
      </c>
      <c r="H3242">
        <v>0.18922378689304101</v>
      </c>
      <c r="I3242">
        <v>0.18502571110405999</v>
      </c>
      <c r="J3242">
        <v>0.14047525570792599</v>
      </c>
      <c r="K3242">
        <v>0.112674401988149</v>
      </c>
      <c r="L3242">
        <v>671.86844261607303</v>
      </c>
      <c r="M3242">
        <v>12.586921389199899</v>
      </c>
      <c r="N3242">
        <v>53.571335728408798</v>
      </c>
      <c r="O3242">
        <v>52.084741175540799</v>
      </c>
      <c r="P3242">
        <v>-5.9087969374883899E-2</v>
      </c>
      <c r="Q3242">
        <v>2.2171106546831201E-2</v>
      </c>
      <c r="R3242">
        <v>0.96360252015121395</v>
      </c>
      <c r="S3242" t="s">
        <v>8793</v>
      </c>
      <c r="T3242" t="s">
        <v>11100</v>
      </c>
      <c r="U3242" t="s">
        <v>11100</v>
      </c>
      <c r="V3242" t="s">
        <v>11100</v>
      </c>
      <c r="W3242" t="s">
        <v>14295</v>
      </c>
      <c r="X3242">
        <v>16</v>
      </c>
      <c r="Y3242" t="s">
        <v>19741</v>
      </c>
      <c r="Z3242" t="s">
        <v>25247</v>
      </c>
      <c r="AA3242">
        <v>0.5750913226873311</v>
      </c>
      <c r="AB3242" t="str">
        <f>HYPERLINK("Melting_Curves/meltCurve_Q58FF8_HSP90AB2P.pdf", "Melting_Curves/meltCurve_Q58FF8_HSP90AB2P.pdf")</f>
        <v>Melting_Curves/meltCurve_Q58FF8_HSP90AB2P.pdf</v>
      </c>
    </row>
    <row r="3243" spans="1:28" x14ac:dyDescent="0.25">
      <c r="A3243" t="s">
        <v>3247</v>
      </c>
      <c r="B3243">
        <v>0.99299721793515405</v>
      </c>
      <c r="C3243">
        <v>0.93729522305594104</v>
      </c>
      <c r="D3243">
        <v>0.97137270772330897</v>
      </c>
      <c r="E3243">
        <v>0.75146982533861795</v>
      </c>
      <c r="F3243">
        <v>0.606416589192591</v>
      </c>
      <c r="G3243">
        <v>0.47931138692081898</v>
      </c>
      <c r="H3243">
        <v>0.25911037403503101</v>
      </c>
      <c r="I3243">
        <v>0.22761342886636399</v>
      </c>
      <c r="J3243">
        <v>0.209810130970676</v>
      </c>
      <c r="K3243">
        <v>0.27773204217764802</v>
      </c>
      <c r="L3243">
        <v>691.71038844180805</v>
      </c>
      <c r="M3243">
        <v>13.778141429371599</v>
      </c>
      <c r="N3243">
        <v>52.045147466147199</v>
      </c>
      <c r="O3243">
        <v>49.181358355864198</v>
      </c>
      <c r="P3243">
        <v>-5.6532430568659697E-2</v>
      </c>
      <c r="Q3243">
        <v>0.19293917151388801</v>
      </c>
      <c r="R3243">
        <v>0.98233473133277904</v>
      </c>
      <c r="S3243" t="s">
        <v>8794</v>
      </c>
      <c r="T3243" t="s">
        <v>11100</v>
      </c>
      <c r="U3243" t="s">
        <v>11100</v>
      </c>
      <c r="V3243" t="s">
        <v>11100</v>
      </c>
      <c r="W3243" t="s">
        <v>14296</v>
      </c>
      <c r="X3243">
        <v>5</v>
      </c>
      <c r="Y3243" t="s">
        <v>19742</v>
      </c>
      <c r="Z3243" t="s">
        <v>25248</v>
      </c>
      <c r="AA3243">
        <v>0.56695768967128968</v>
      </c>
      <c r="AB3243" t="str">
        <f>HYPERLINK("Melting_Curves/meltCurve_Q58FG1_HSP90AA4P.pdf", "Melting_Curves/meltCurve_Q58FG1_HSP90AA4P.pdf")</f>
        <v>Melting_Curves/meltCurve_Q58FG1_HSP90AA4P.pdf</v>
      </c>
    </row>
    <row r="3244" spans="1:28" x14ac:dyDescent="0.25">
      <c r="A3244" t="s">
        <v>3248</v>
      </c>
      <c r="B3244">
        <v>0.99299721793515405</v>
      </c>
      <c r="C3244">
        <v>0.77324871204599699</v>
      </c>
      <c r="D3244">
        <v>0.67663869535201104</v>
      </c>
      <c r="E3244">
        <v>0.74923745804284403</v>
      </c>
      <c r="F3244">
        <v>0.66703025105768499</v>
      </c>
      <c r="G3244">
        <v>0.596784200086523</v>
      </c>
      <c r="H3244">
        <v>0.630668520650431</v>
      </c>
      <c r="I3244">
        <v>0.56067573278605598</v>
      </c>
      <c r="J3244">
        <v>0.49382377161345797</v>
      </c>
      <c r="K3244">
        <v>0.240581932143456</v>
      </c>
      <c r="L3244">
        <v>202.636926414372</v>
      </c>
      <c r="M3244">
        <v>3.3775830308884598</v>
      </c>
      <c r="N3244">
        <v>59.994659775026797</v>
      </c>
      <c r="O3244">
        <v>46.401121075902097</v>
      </c>
      <c r="P3244">
        <v>-1.8593966752319901E-2</v>
      </c>
      <c r="Q3244">
        <v>0</v>
      </c>
      <c r="R3244">
        <v>0.78130262578559195</v>
      </c>
      <c r="S3244" t="s">
        <v>8795</v>
      </c>
      <c r="T3244" t="s">
        <v>11100</v>
      </c>
      <c r="U3244" t="s">
        <v>11100</v>
      </c>
      <c r="V3244" t="s">
        <v>11100</v>
      </c>
      <c r="W3244" t="s">
        <v>14297</v>
      </c>
      <c r="X3244">
        <v>6</v>
      </c>
      <c r="Y3244" t="s">
        <v>19743</v>
      </c>
      <c r="Z3244" t="s">
        <v>25249</v>
      </c>
      <c r="AA3244">
        <v>0.63693490486937732</v>
      </c>
      <c r="AB3244" t="str">
        <f>HYPERLINK("Melting_Curves/meltCurve_Q58WW2_DCAF6.pdf", "Melting_Curves/meltCurve_Q58WW2_DCAF6.pdf")</f>
        <v>Melting_Curves/meltCurve_Q58WW2_DCAF6.pdf</v>
      </c>
    </row>
    <row r="3245" spans="1:28" x14ac:dyDescent="0.25">
      <c r="A3245" t="s">
        <v>3249</v>
      </c>
      <c r="B3245">
        <v>0.99299721793515405</v>
      </c>
      <c r="C3245">
        <v>1.0640674777339201</v>
      </c>
      <c r="D3245">
        <v>0.93668078062901705</v>
      </c>
      <c r="E3245">
        <v>0.98932043517038104</v>
      </c>
      <c r="F3245">
        <v>0.73872799148531698</v>
      </c>
      <c r="G3245">
        <v>0.327026077199426</v>
      </c>
      <c r="H3245">
        <v>0.26713879223027098</v>
      </c>
      <c r="I3245">
        <v>0.16778761442654899</v>
      </c>
      <c r="J3245">
        <v>0.176876052785683</v>
      </c>
      <c r="K3245">
        <v>0.13483151586478001</v>
      </c>
      <c r="L3245">
        <v>1546.37928414727</v>
      </c>
      <c r="M3245">
        <v>30.039789687593998</v>
      </c>
      <c r="N3245">
        <v>52.202797573238001</v>
      </c>
      <c r="O3245">
        <v>51.251188655675598</v>
      </c>
      <c r="P3245">
        <v>-0.121538165307521</v>
      </c>
      <c r="Q3245">
        <v>0.17057542631377501</v>
      </c>
      <c r="R3245">
        <v>0.99006033620314304</v>
      </c>
      <c r="S3245" t="s">
        <v>8796</v>
      </c>
      <c r="T3245" t="s">
        <v>11100</v>
      </c>
      <c r="U3245" t="s">
        <v>11100</v>
      </c>
      <c r="V3245" t="s">
        <v>11100</v>
      </c>
      <c r="W3245" t="s">
        <v>14298</v>
      </c>
      <c r="X3245">
        <v>5</v>
      </c>
      <c r="Y3245" t="s">
        <v>19744</v>
      </c>
      <c r="Z3245" t="s">
        <v>25250</v>
      </c>
      <c r="AA3245">
        <v>0.57603489143116571</v>
      </c>
      <c r="AB3245" t="str">
        <f>HYPERLINK("Melting_Curves/meltCurve_Q5BKX5_C19orf54.pdf", "Melting_Curves/meltCurve_Q5BKX5_C19orf54.pdf")</f>
        <v>Melting_Curves/meltCurve_Q5BKX5_C19orf54.pdf</v>
      </c>
    </row>
    <row r="3246" spans="1:28" x14ac:dyDescent="0.25">
      <c r="A3246" t="s">
        <v>3250</v>
      </c>
      <c r="B3246">
        <v>0.99299721793515405</v>
      </c>
      <c r="C3246">
        <v>0.92334415002144998</v>
      </c>
      <c r="D3246">
        <v>1.20125047249739</v>
      </c>
      <c r="E3246">
        <v>0.88414817960462799</v>
      </c>
      <c r="F3246">
        <v>0.67728597430859905</v>
      </c>
      <c r="G3246">
        <v>0.486726055444613</v>
      </c>
      <c r="H3246">
        <v>0.27608573428848399</v>
      </c>
      <c r="I3246">
        <v>0.23448813797022899</v>
      </c>
      <c r="J3246">
        <v>0.252516800047838</v>
      </c>
      <c r="K3246">
        <v>0.197278527914241</v>
      </c>
      <c r="L3246">
        <v>1045.6314150856999</v>
      </c>
      <c r="M3246">
        <v>20.296176808258799</v>
      </c>
      <c r="N3246">
        <v>52.938070123279601</v>
      </c>
      <c r="O3246">
        <v>51.026327201008598</v>
      </c>
      <c r="P3246">
        <v>-7.8574824875676699E-2</v>
      </c>
      <c r="Q3246">
        <v>0.20984890076511301</v>
      </c>
      <c r="R3246">
        <v>0.95371657829442702</v>
      </c>
      <c r="S3246" t="s">
        <v>8797</v>
      </c>
      <c r="T3246" t="s">
        <v>11100</v>
      </c>
      <c r="U3246" t="s">
        <v>11100</v>
      </c>
      <c r="V3246" t="s">
        <v>11100</v>
      </c>
      <c r="W3246" t="s">
        <v>14299</v>
      </c>
      <c r="X3246">
        <v>10</v>
      </c>
      <c r="Y3246" t="s">
        <v>19745</v>
      </c>
      <c r="Z3246" t="s">
        <v>25251</v>
      </c>
      <c r="AA3246">
        <v>0.6022873941540754</v>
      </c>
      <c r="AB3246" t="str">
        <f>HYPERLINK("Melting_Curves/meltCurve_Q5EBL4_RILPL1.pdf", "Melting_Curves/meltCurve_Q5EBL4_RILPL1.pdf")</f>
        <v>Melting_Curves/meltCurve_Q5EBL4_RILPL1.pdf</v>
      </c>
    </row>
    <row r="3247" spans="1:28" x14ac:dyDescent="0.25">
      <c r="A3247" t="s">
        <v>3251</v>
      </c>
      <c r="B3247">
        <v>0.99299721793515405</v>
      </c>
      <c r="C3247">
        <v>0.89199235087596396</v>
      </c>
      <c r="D3247">
        <v>0.71535276434872197</v>
      </c>
      <c r="E3247">
        <v>0.744088806486772</v>
      </c>
      <c r="F3247">
        <v>0.57149477775708402</v>
      </c>
      <c r="G3247">
        <v>0.41316237838959602</v>
      </c>
      <c r="H3247">
        <v>0.38458017507463699</v>
      </c>
      <c r="I3247">
        <v>0.32916590294828002</v>
      </c>
      <c r="J3247">
        <v>0.38016892418127102</v>
      </c>
      <c r="K3247">
        <v>0.23337620646864601</v>
      </c>
      <c r="L3247">
        <v>397.92784218330303</v>
      </c>
      <c r="M3247">
        <v>8.1633752378526907</v>
      </c>
      <c r="N3247">
        <v>52.1578994787033</v>
      </c>
      <c r="O3247">
        <v>46.082291560388597</v>
      </c>
      <c r="P3247">
        <v>-3.51609654864347E-2</v>
      </c>
      <c r="Q3247">
        <v>0.20689645970675899</v>
      </c>
      <c r="R3247">
        <v>0.95899156506235905</v>
      </c>
      <c r="S3247" t="s">
        <v>8798</v>
      </c>
      <c r="T3247" t="s">
        <v>11100</v>
      </c>
      <c r="U3247" t="s">
        <v>11100</v>
      </c>
      <c r="V3247" t="s">
        <v>11100</v>
      </c>
      <c r="W3247" t="s">
        <v>14300</v>
      </c>
      <c r="X3247">
        <v>1</v>
      </c>
      <c r="Y3247" t="s">
        <v>19746</v>
      </c>
      <c r="Z3247" t="s">
        <v>25252</v>
      </c>
      <c r="AA3247">
        <v>0.55462014079616651</v>
      </c>
      <c r="AB3247" t="str">
        <f>HYPERLINK("Melting_Curves/meltCurve_Q5EBL8_PDZD11.pdf", "Melting_Curves/meltCurve_Q5EBL8_PDZD11.pdf")</f>
        <v>Melting_Curves/meltCurve_Q5EBL8_PDZD11.pdf</v>
      </c>
    </row>
    <row r="3248" spans="1:28" x14ac:dyDescent="0.25">
      <c r="A3248" t="s">
        <v>3252</v>
      </c>
      <c r="B3248">
        <v>0.99299721793515405</v>
      </c>
      <c r="C3248">
        <v>0.98483031023388301</v>
      </c>
      <c r="D3248">
        <v>1.13154154838167</v>
      </c>
      <c r="E3248">
        <v>0.86217848064557101</v>
      </c>
      <c r="F3248">
        <v>0.74132360490877103</v>
      </c>
      <c r="G3248">
        <v>0.557659881263045</v>
      </c>
      <c r="H3248">
        <v>0.198952732021621</v>
      </c>
      <c r="I3248">
        <v>0.20043534950754599</v>
      </c>
      <c r="J3248">
        <v>0.19858393976383901</v>
      </c>
      <c r="K3248">
        <v>0.16973419741943199</v>
      </c>
      <c r="L3248">
        <v>1023.84858094756</v>
      </c>
      <c r="M3248">
        <v>19.4636841387148</v>
      </c>
      <c r="N3248">
        <v>53.555452785840103</v>
      </c>
      <c r="O3248">
        <v>52.057181779394902</v>
      </c>
      <c r="P3248">
        <v>-7.9801247785565604E-2</v>
      </c>
      <c r="Q3248">
        <v>0.14629162480935401</v>
      </c>
      <c r="R3248">
        <v>0.96986477737503496</v>
      </c>
      <c r="S3248" t="s">
        <v>8799</v>
      </c>
      <c r="T3248" t="s">
        <v>11100</v>
      </c>
      <c r="U3248" t="s">
        <v>11100</v>
      </c>
      <c r="V3248" t="s">
        <v>11100</v>
      </c>
      <c r="W3248" t="s">
        <v>14301</v>
      </c>
      <c r="X3248">
        <v>5</v>
      </c>
      <c r="Y3248" t="s">
        <v>19747</v>
      </c>
      <c r="Z3248" t="s">
        <v>25253</v>
      </c>
      <c r="AA3248">
        <v>0.60162907702343305</v>
      </c>
      <c r="AB3248" t="str">
        <f>HYPERLINK("Melting_Curves/meltCurve_Q5GLZ8_3_HERC4.pdf", "Melting_Curves/meltCurve_Q5GLZ8_3_HERC4.pdf")</f>
        <v>Melting_Curves/meltCurve_Q5GLZ8_3_HERC4.pdf</v>
      </c>
    </row>
    <row r="3249" spans="1:28" x14ac:dyDescent="0.25">
      <c r="A3249" t="s">
        <v>3253</v>
      </c>
      <c r="B3249">
        <v>0.99299721793515405</v>
      </c>
      <c r="C3249">
        <v>0.91753796999152903</v>
      </c>
      <c r="D3249">
        <v>0.86889519684585403</v>
      </c>
      <c r="E3249">
        <v>0.919251681524622</v>
      </c>
      <c r="F3249">
        <v>0.83199317662712802</v>
      </c>
      <c r="G3249">
        <v>0.44391442497924199</v>
      </c>
      <c r="H3249">
        <v>0.77825124200379303</v>
      </c>
      <c r="I3249">
        <v>0.64191082378674802</v>
      </c>
      <c r="J3249">
        <v>0.85341815648559105</v>
      </c>
      <c r="K3249">
        <v>0.73262184872722302</v>
      </c>
      <c r="L3249">
        <v>693.54112992202795</v>
      </c>
      <c r="M3249">
        <v>15.2325881278068</v>
      </c>
      <c r="O3249">
        <v>44.7670276305982</v>
      </c>
      <c r="P3249">
        <v>-2.5260815371275499E-2</v>
      </c>
      <c r="Q3249">
        <v>0.70307237157644398</v>
      </c>
      <c r="R3249">
        <v>0.43393278380101102</v>
      </c>
      <c r="S3249" t="s">
        <v>8800</v>
      </c>
      <c r="T3249" t="s">
        <v>11100</v>
      </c>
      <c r="U3249" t="s">
        <v>11100</v>
      </c>
      <c r="V3249" t="s">
        <v>11100</v>
      </c>
      <c r="W3249" t="s">
        <v>14302</v>
      </c>
      <c r="X3249">
        <v>3</v>
      </c>
      <c r="Y3249" t="s">
        <v>19748</v>
      </c>
      <c r="Z3249" t="s">
        <v>25254</v>
      </c>
      <c r="AA3249">
        <v>0.79423480920673384</v>
      </c>
      <c r="AB3249" t="str">
        <f>HYPERLINK("Melting_Curves/meltCurve_Q5H937_PKIG.pdf", "Melting_Curves/meltCurve_Q5H937_PKIG.pdf")</f>
        <v>Melting_Curves/meltCurve_Q5H937_PKIG.pdf</v>
      </c>
    </row>
    <row r="3250" spans="1:28" x14ac:dyDescent="0.25">
      <c r="A3250" t="s">
        <v>3254</v>
      </c>
      <c r="B3250">
        <v>0.99299721793515405</v>
      </c>
      <c r="C3250">
        <v>1.18470445354388</v>
      </c>
      <c r="D3250">
        <v>0.98804638250919197</v>
      </c>
      <c r="E3250">
        <v>0.99140176644366795</v>
      </c>
      <c r="F3250">
        <v>0.82886558635679697</v>
      </c>
      <c r="G3250">
        <v>0.80602798278994803</v>
      </c>
      <c r="H3250">
        <v>0.67204648823781798</v>
      </c>
      <c r="I3250">
        <v>0.62330416189723403</v>
      </c>
      <c r="J3250">
        <v>0.61468664209978197</v>
      </c>
      <c r="K3250">
        <v>0.47693068917606901</v>
      </c>
      <c r="L3250">
        <v>668.00580442140597</v>
      </c>
      <c r="M3250">
        <v>11.976754504353</v>
      </c>
      <c r="O3250">
        <v>54.288477782746199</v>
      </c>
      <c r="P3250">
        <v>-2.9440328623377799E-2</v>
      </c>
      <c r="Q3250">
        <v>0.46633862611127902</v>
      </c>
      <c r="R3250">
        <v>0.89260568093119796</v>
      </c>
      <c r="S3250" t="s">
        <v>8801</v>
      </c>
      <c r="T3250" t="s">
        <v>11100</v>
      </c>
      <c r="U3250" t="s">
        <v>11100</v>
      </c>
      <c r="V3250" t="s">
        <v>11100</v>
      </c>
      <c r="W3250" t="s">
        <v>14303</v>
      </c>
      <c r="X3250">
        <v>1</v>
      </c>
      <c r="Y3250" t="s">
        <v>19749</v>
      </c>
      <c r="Z3250" t="s">
        <v>25255</v>
      </c>
      <c r="AA3250">
        <v>0.80609834285649307</v>
      </c>
      <c r="AB3250" t="str">
        <f>HYPERLINK("Melting_Curves/meltCurve_Q5H9A7_TIMP1.pdf", "Melting_Curves/meltCurve_Q5H9A7_TIMP1.pdf")</f>
        <v>Melting_Curves/meltCurve_Q5H9A7_TIMP1.pdf</v>
      </c>
    </row>
    <row r="3251" spans="1:28" x14ac:dyDescent="0.25">
      <c r="A3251" t="s">
        <v>3255</v>
      </c>
      <c r="B3251">
        <v>0.99299721793515405</v>
      </c>
      <c r="C3251">
        <v>1.00114305735603</v>
      </c>
      <c r="D3251">
        <v>0.90159719485533996</v>
      </c>
      <c r="E3251">
        <v>0.80687701439039405</v>
      </c>
      <c r="F3251">
        <v>0.69528674423737902</v>
      </c>
      <c r="G3251">
        <v>0.40577764220280699</v>
      </c>
      <c r="H3251">
        <v>0.20859377727473599</v>
      </c>
      <c r="I3251">
        <v>0.15214076258369699</v>
      </c>
      <c r="J3251">
        <v>0.12491701910316599</v>
      </c>
      <c r="K3251">
        <v>0.101984854382053</v>
      </c>
      <c r="L3251">
        <v>722.06503381155596</v>
      </c>
      <c r="M3251">
        <v>13.9041940581926</v>
      </c>
      <c r="N3251">
        <v>52.319972548474801</v>
      </c>
      <c r="O3251">
        <v>50.892614517752698</v>
      </c>
      <c r="P3251">
        <v>-6.4960327262714501E-2</v>
      </c>
      <c r="Q3251">
        <v>4.9049068235302903E-2</v>
      </c>
      <c r="R3251">
        <v>0.992951518346883</v>
      </c>
      <c r="S3251" t="s">
        <v>8802</v>
      </c>
      <c r="T3251" t="s">
        <v>11100</v>
      </c>
      <c r="U3251" t="s">
        <v>11100</v>
      </c>
      <c r="V3251" t="s">
        <v>11100</v>
      </c>
      <c r="W3251" t="s">
        <v>14304</v>
      </c>
      <c r="X3251">
        <v>73</v>
      </c>
      <c r="Y3251" t="s">
        <v>19750</v>
      </c>
      <c r="Z3251" t="s">
        <v>25256</v>
      </c>
      <c r="AA3251">
        <v>0.54221581607292202</v>
      </c>
      <c r="AB3251" t="str">
        <f>HYPERLINK("Melting_Curves/meltCurve_Q5HY54_FLNA.pdf", "Melting_Curves/meltCurve_Q5HY54_FLNA.pdf")</f>
        <v>Melting_Curves/meltCurve_Q5HY54_FLNA.pdf</v>
      </c>
    </row>
    <row r="3252" spans="1:28" x14ac:dyDescent="0.25">
      <c r="A3252" t="s">
        <v>3256</v>
      </c>
      <c r="B3252">
        <v>0.99299721793515405</v>
      </c>
      <c r="C3252">
        <v>1.20279432092064</v>
      </c>
      <c r="D3252">
        <v>1.0353211609809401</v>
      </c>
      <c r="E3252">
        <v>0.77537827127465198</v>
      </c>
      <c r="F3252">
        <v>0.95625333141038504</v>
      </c>
      <c r="G3252">
        <v>0.75179498394487299</v>
      </c>
      <c r="H3252">
        <v>0.35636878867285299</v>
      </c>
      <c r="I3252">
        <v>0.12384465031068199</v>
      </c>
      <c r="J3252">
        <v>0.13767614369730499</v>
      </c>
      <c r="K3252">
        <v>0</v>
      </c>
      <c r="L3252">
        <v>1302.7961851871701</v>
      </c>
      <c r="M3252">
        <v>23.265790825545299</v>
      </c>
      <c r="N3252">
        <v>56.094751806226697</v>
      </c>
      <c r="O3252">
        <v>55.587444638844403</v>
      </c>
      <c r="P3252">
        <v>-0.102542821866133</v>
      </c>
      <c r="Q3252">
        <v>2.0021864737247302E-2</v>
      </c>
      <c r="R3252">
        <v>0.94400780165216303</v>
      </c>
      <c r="S3252" t="s">
        <v>8803</v>
      </c>
      <c r="T3252" t="s">
        <v>11100</v>
      </c>
      <c r="U3252" t="s">
        <v>11100</v>
      </c>
      <c r="V3252" t="s">
        <v>11100</v>
      </c>
      <c r="W3252" t="s">
        <v>14305</v>
      </c>
      <c r="X3252">
        <v>2</v>
      </c>
      <c r="Y3252" t="s">
        <v>19751</v>
      </c>
      <c r="Z3252" t="s">
        <v>25257</v>
      </c>
      <c r="AA3252">
        <v>0.64922944636355406</v>
      </c>
      <c r="AB3252" t="str">
        <f>HYPERLINK("Melting_Curves/meltCurve_Q5HY92_FIGN.pdf", "Melting_Curves/meltCurve_Q5HY92_FIGN.pdf")</f>
        <v>Melting_Curves/meltCurve_Q5HY92_FIGN.pdf</v>
      </c>
    </row>
    <row r="3253" spans="1:28" x14ac:dyDescent="0.25">
      <c r="A3253" t="s">
        <v>3257</v>
      </c>
      <c r="B3253">
        <v>0.99299721793515405</v>
      </c>
      <c r="C3253">
        <v>0.98656240978686205</v>
      </c>
      <c r="D3253">
        <v>0.940953606223357</v>
      </c>
      <c r="E3253">
        <v>0.86910742777343597</v>
      </c>
      <c r="F3253">
        <v>0.71456018332614202</v>
      </c>
      <c r="G3253">
        <v>0.57692872123077699</v>
      </c>
      <c r="H3253">
        <v>0.50151294537435698</v>
      </c>
      <c r="I3253">
        <v>0.47420560348910501</v>
      </c>
      <c r="J3253">
        <v>0.45427895911577199</v>
      </c>
      <c r="K3253">
        <v>0.22814337114584499</v>
      </c>
      <c r="L3253">
        <v>453.03970266770199</v>
      </c>
      <c r="M3253">
        <v>8.2430028190266498</v>
      </c>
      <c r="N3253">
        <v>57.842381194839902</v>
      </c>
      <c r="O3253">
        <v>52.010453019288697</v>
      </c>
      <c r="P3253">
        <v>-3.2982722760795502E-2</v>
      </c>
      <c r="Q3253">
        <v>0.1684033027622</v>
      </c>
      <c r="R3253">
        <v>0.96296742560590998</v>
      </c>
      <c r="S3253" t="s">
        <v>8804</v>
      </c>
      <c r="T3253" t="s">
        <v>11100</v>
      </c>
      <c r="U3253" t="s">
        <v>11100</v>
      </c>
      <c r="V3253" t="s">
        <v>11100</v>
      </c>
      <c r="W3253" t="s">
        <v>14306</v>
      </c>
      <c r="X3253">
        <v>6</v>
      </c>
      <c r="Y3253" t="s">
        <v>19752</v>
      </c>
      <c r="Z3253" t="s">
        <v>25258</v>
      </c>
      <c r="AA3253">
        <v>0.67291122398181047</v>
      </c>
      <c r="AB3253" t="str">
        <f>HYPERLINK("Melting_Curves/meltCurve_Q5HYI7_MTX3.pdf", "Melting_Curves/meltCurve_Q5HYI7_MTX3.pdf")</f>
        <v>Melting_Curves/meltCurve_Q5HYI7_MTX3.pdf</v>
      </c>
    </row>
    <row r="3254" spans="1:28" x14ac:dyDescent="0.25">
      <c r="A3254" t="s">
        <v>3258</v>
      </c>
      <c r="B3254">
        <v>0.99299721793515405</v>
      </c>
      <c r="C3254">
        <v>0.93487934559811303</v>
      </c>
      <c r="D3254">
        <v>0.93848899101122696</v>
      </c>
      <c r="E3254">
        <v>0.81474802196311302</v>
      </c>
      <c r="F3254">
        <v>0.67269710656458903</v>
      </c>
      <c r="G3254">
        <v>0.50150561284617501</v>
      </c>
      <c r="H3254">
        <v>0.30971148151191502</v>
      </c>
      <c r="I3254">
        <v>0.153458738400888</v>
      </c>
      <c r="J3254">
        <v>0.13842300874295599</v>
      </c>
      <c r="K3254">
        <v>0.13121571296951501</v>
      </c>
      <c r="L3254">
        <v>590.71062140959702</v>
      </c>
      <c r="M3254">
        <v>11.1003233532221</v>
      </c>
      <c r="N3254">
        <v>53.296615297347103</v>
      </c>
      <c r="O3254">
        <v>51.576093993421502</v>
      </c>
      <c r="P3254">
        <v>-5.3372963074529801E-2</v>
      </c>
      <c r="Q3254">
        <v>8.3632278473703692E-3</v>
      </c>
      <c r="R3254">
        <v>0.99463903701428602</v>
      </c>
      <c r="S3254" t="s">
        <v>8805</v>
      </c>
      <c r="T3254" t="s">
        <v>11100</v>
      </c>
      <c r="U3254" t="s">
        <v>11100</v>
      </c>
      <c r="V3254" t="s">
        <v>11100</v>
      </c>
      <c r="W3254" t="s">
        <v>14307</v>
      </c>
      <c r="X3254">
        <v>2</v>
      </c>
      <c r="Y3254" t="s">
        <v>19753</v>
      </c>
      <c r="Z3254" t="s">
        <v>25259</v>
      </c>
      <c r="AA3254">
        <v>0.56522701535213737</v>
      </c>
      <c r="AB3254" t="str">
        <f>HYPERLINK("Melting_Curves/meltCurve_Q5HYI8_RABL3.pdf", "Melting_Curves/meltCurve_Q5HYI8_RABL3.pdf")</f>
        <v>Melting_Curves/meltCurve_Q5HYI8_RABL3.pdf</v>
      </c>
    </row>
    <row r="3255" spans="1:28" x14ac:dyDescent="0.25">
      <c r="A3255" t="s">
        <v>3259</v>
      </c>
      <c r="B3255">
        <v>0.99299721793515405</v>
      </c>
      <c r="C3255">
        <v>0.98338024058072104</v>
      </c>
      <c r="D3255">
        <v>0.95327240532722801</v>
      </c>
      <c r="E3255">
        <v>0.92228007767068998</v>
      </c>
      <c r="F3255">
        <v>0.673498134334375</v>
      </c>
      <c r="G3255">
        <v>0.57178027790982899</v>
      </c>
      <c r="H3255">
        <v>0.550664992032184</v>
      </c>
      <c r="I3255">
        <v>0.60548074354602599</v>
      </c>
      <c r="J3255">
        <v>0.54062240320688404</v>
      </c>
      <c r="K3255">
        <v>0.377997934931605</v>
      </c>
      <c r="L3255">
        <v>1061.4986682035899</v>
      </c>
      <c r="M3255">
        <v>21.564139114135099</v>
      </c>
      <c r="O3255">
        <v>48.807722201961901</v>
      </c>
      <c r="P3255">
        <v>-5.4523900490679802E-2</v>
      </c>
      <c r="Q3255">
        <v>0.50637990601195304</v>
      </c>
      <c r="R3255">
        <v>0.93459440728908405</v>
      </c>
      <c r="S3255" t="s">
        <v>8806</v>
      </c>
      <c r="T3255" t="s">
        <v>11100</v>
      </c>
      <c r="U3255" t="s">
        <v>11100</v>
      </c>
      <c r="V3255" t="s">
        <v>11100</v>
      </c>
      <c r="W3255" t="s">
        <v>14308</v>
      </c>
      <c r="X3255">
        <v>6</v>
      </c>
      <c r="Y3255" t="s">
        <v>19754</v>
      </c>
      <c r="Z3255" t="s">
        <v>25260</v>
      </c>
      <c r="AA3255">
        <v>0.71319882776488075</v>
      </c>
      <c r="AB3255" t="str">
        <f>HYPERLINK("Melting_Curves/meltCurve_Q5HYK3_COQ5.pdf", "Melting_Curves/meltCurve_Q5HYK3_COQ5.pdf")</f>
        <v>Melting_Curves/meltCurve_Q5HYK3_COQ5.pdf</v>
      </c>
    </row>
    <row r="3256" spans="1:28" x14ac:dyDescent="0.25">
      <c r="A3256" t="s">
        <v>3260</v>
      </c>
      <c r="B3256">
        <v>0.99299721793515405</v>
      </c>
      <c r="C3256">
        <v>0.91268450770708198</v>
      </c>
      <c r="D3256">
        <v>0.95477965559988298</v>
      </c>
      <c r="E3256">
        <v>0.85669059373399004</v>
      </c>
      <c r="F3256">
        <v>0.72691559497545699</v>
      </c>
      <c r="G3256">
        <v>0.25447209581563601</v>
      </c>
      <c r="H3256">
        <v>0.223671837506493</v>
      </c>
      <c r="I3256">
        <v>0.21826054254767399</v>
      </c>
      <c r="J3256">
        <v>0.22760292508827401</v>
      </c>
      <c r="K3256">
        <v>0.179407184826511</v>
      </c>
      <c r="L3256">
        <v>1708.8591990284499</v>
      </c>
      <c r="M3256">
        <v>33.619885163851997</v>
      </c>
      <c r="N3256">
        <v>51.606845681019401</v>
      </c>
      <c r="O3256">
        <v>50.650003334121301</v>
      </c>
      <c r="P3256">
        <v>-0.13295243021396899</v>
      </c>
      <c r="Q3256">
        <v>0.19880599548140701</v>
      </c>
      <c r="R3256">
        <v>0.97653402381467302</v>
      </c>
      <c r="S3256" t="s">
        <v>8807</v>
      </c>
      <c r="T3256" t="s">
        <v>11100</v>
      </c>
      <c r="U3256" t="s">
        <v>11100</v>
      </c>
      <c r="V3256" t="s">
        <v>11100</v>
      </c>
      <c r="W3256" t="s">
        <v>14309</v>
      </c>
      <c r="X3256">
        <v>3</v>
      </c>
      <c r="Y3256" t="s">
        <v>19755</v>
      </c>
      <c r="Z3256" t="s">
        <v>25261</v>
      </c>
      <c r="AA3256">
        <v>0.57210297004424859</v>
      </c>
      <c r="AB3256" t="str">
        <f>HYPERLINK("Melting_Curves/meltCurve_Q5HYK7_2_SH3D19.pdf", "Melting_Curves/meltCurve_Q5HYK7_2_SH3D19.pdf")</f>
        <v>Melting_Curves/meltCurve_Q5HYK7_2_SH3D19.pdf</v>
      </c>
    </row>
    <row r="3257" spans="1:28" x14ac:dyDescent="0.25">
      <c r="A3257" t="s">
        <v>3261</v>
      </c>
      <c r="B3257">
        <v>0.99299721793515405</v>
      </c>
      <c r="C3257">
        <v>1.03975495968996</v>
      </c>
      <c r="D3257">
        <v>0.93116592140582499</v>
      </c>
      <c r="E3257">
        <v>0.96420078355463701</v>
      </c>
      <c r="F3257">
        <v>0.77452509998530605</v>
      </c>
      <c r="G3257">
        <v>0.69942383979051803</v>
      </c>
      <c r="H3257">
        <v>0.57820822781283698</v>
      </c>
      <c r="I3257">
        <v>0.44632061237840998</v>
      </c>
      <c r="J3257">
        <v>0.150059784039803</v>
      </c>
      <c r="K3257">
        <v>6.8161836776317694E-2</v>
      </c>
      <c r="L3257">
        <v>709.38035260626896</v>
      </c>
      <c r="M3257">
        <v>12.2824417760038</v>
      </c>
      <c r="N3257">
        <v>57.7556455771307</v>
      </c>
      <c r="O3257">
        <v>56.288665006678102</v>
      </c>
      <c r="P3257">
        <v>-5.4563149368791697E-2</v>
      </c>
      <c r="Q3257">
        <v>0</v>
      </c>
      <c r="R3257">
        <v>0.96235569032811497</v>
      </c>
      <c r="S3257" t="s">
        <v>8808</v>
      </c>
      <c r="T3257" t="s">
        <v>11100</v>
      </c>
      <c r="U3257" t="s">
        <v>11100</v>
      </c>
      <c r="V3257" t="s">
        <v>11100</v>
      </c>
      <c r="W3257" t="s">
        <v>14310</v>
      </c>
      <c r="X3257">
        <v>38</v>
      </c>
      <c r="Y3257" t="s">
        <v>19756</v>
      </c>
      <c r="Z3257" t="s">
        <v>25262</v>
      </c>
      <c r="AA3257">
        <v>0.69274535699660156</v>
      </c>
      <c r="AB3257" t="str">
        <f>HYPERLINK("Melting_Curves/meltCurve_Q5JP53_TUBB.pdf", "Melting_Curves/meltCurve_Q5JP53_TUBB.pdf")</f>
        <v>Melting_Curves/meltCurve_Q5JP53_TUBB.pdf</v>
      </c>
    </row>
    <row r="3258" spans="1:28" x14ac:dyDescent="0.25">
      <c r="A3258" t="s">
        <v>3262</v>
      </c>
      <c r="B3258">
        <v>0.99299721793515405</v>
      </c>
      <c r="C3258">
        <v>1.01512977310749</v>
      </c>
      <c r="D3258">
        <v>1.04241164438859</v>
      </c>
      <c r="E3258">
        <v>0.90042396229080601</v>
      </c>
      <c r="F3258">
        <v>0.80066603152104598</v>
      </c>
      <c r="G3258">
        <v>0.69308129442168298</v>
      </c>
      <c r="H3258">
        <v>0.39208768074518702</v>
      </c>
      <c r="I3258">
        <v>0.21695292665240001</v>
      </c>
      <c r="J3258">
        <v>0.17403781067814</v>
      </c>
      <c r="K3258">
        <v>0.173780523401144</v>
      </c>
      <c r="L3258">
        <v>862.94080331984901</v>
      </c>
      <c r="M3258">
        <v>15.6589260467768</v>
      </c>
      <c r="N3258">
        <v>55.811864485110803</v>
      </c>
      <c r="O3258">
        <v>54.2332669817214</v>
      </c>
      <c r="P3258">
        <v>-6.5725691380666307E-2</v>
      </c>
      <c r="Q3258">
        <v>8.9537883028308896E-2</v>
      </c>
      <c r="R3258">
        <v>0.98862171357459105</v>
      </c>
      <c r="S3258" t="s">
        <v>8809</v>
      </c>
      <c r="T3258" t="s">
        <v>11100</v>
      </c>
      <c r="U3258" t="s">
        <v>11100</v>
      </c>
      <c r="V3258" t="s">
        <v>11100</v>
      </c>
      <c r="W3258" t="s">
        <v>14311</v>
      </c>
      <c r="X3258">
        <v>26</v>
      </c>
      <c r="Y3258" t="s">
        <v>19757</v>
      </c>
      <c r="Z3258" t="s">
        <v>25263</v>
      </c>
      <c r="AA3258">
        <v>0.65149541963122626</v>
      </c>
      <c r="AB3258" t="str">
        <f>HYPERLINK("Melting_Curves/meltCurve_Q5JPE7_2_NOMO2.pdf", "Melting_Curves/meltCurve_Q5JPE7_2_NOMO2.pdf")</f>
        <v>Melting_Curves/meltCurve_Q5JPE7_2_NOMO2.pdf</v>
      </c>
    </row>
    <row r="3259" spans="1:28" x14ac:dyDescent="0.25">
      <c r="A3259" t="s">
        <v>3263</v>
      </c>
      <c r="B3259">
        <v>0.99299721793515405</v>
      </c>
      <c r="C3259">
        <v>1.2107422574842801</v>
      </c>
      <c r="D3259">
        <v>1.70751856271028</v>
      </c>
      <c r="E3259">
        <v>1.0763095964279299</v>
      </c>
      <c r="F3259">
        <v>0.43666236148325799</v>
      </c>
      <c r="G3259">
        <v>0.17218935467667101</v>
      </c>
      <c r="H3259">
        <v>7.6655678591388096E-2</v>
      </c>
      <c r="I3259">
        <v>7.7299398136286598E-2</v>
      </c>
      <c r="J3259">
        <v>5.9157122134636503E-2</v>
      </c>
      <c r="K3259">
        <v>3.4401506665396299E-2</v>
      </c>
      <c r="L3259">
        <v>4634.0380843012799</v>
      </c>
      <c r="M3259">
        <v>92.774600224042501</v>
      </c>
      <c r="N3259">
        <v>50.048110398522198</v>
      </c>
      <c r="O3259">
        <v>49.926231841615703</v>
      </c>
      <c r="P3259">
        <v>-0.42572713791224998</v>
      </c>
      <c r="Q3259">
        <v>8.3587530763619702E-2</v>
      </c>
      <c r="R3259">
        <v>0.83218632878133003</v>
      </c>
      <c r="S3259" t="s">
        <v>8810</v>
      </c>
      <c r="T3259" t="s">
        <v>11100</v>
      </c>
      <c r="U3259" t="s">
        <v>11100</v>
      </c>
      <c r="V3259" t="s">
        <v>11100</v>
      </c>
      <c r="W3259" t="s">
        <v>14312</v>
      </c>
      <c r="X3259">
        <v>5</v>
      </c>
      <c r="Y3259" t="s">
        <v>19758</v>
      </c>
      <c r="Z3259" t="s">
        <v>25264</v>
      </c>
      <c r="AA3259">
        <v>0.47973887471337762</v>
      </c>
      <c r="AB3259" t="str">
        <f>HYPERLINK("Melting_Curves/meltCurve_Q5JPH6_EARS2.pdf", "Melting_Curves/meltCurve_Q5JPH6_EARS2.pdf")</f>
        <v>Melting_Curves/meltCurve_Q5JPH6_EARS2.pdf</v>
      </c>
    </row>
    <row r="3260" spans="1:28" x14ac:dyDescent="0.25">
      <c r="A3260" t="s">
        <v>3264</v>
      </c>
      <c r="B3260">
        <v>0.99299721793515405</v>
      </c>
      <c r="C3260">
        <v>0.91813780178728999</v>
      </c>
      <c r="D3260">
        <v>0.86212081676173802</v>
      </c>
      <c r="E3260">
        <v>0.84292240417910602</v>
      </c>
      <c r="F3260">
        <v>0.673468353664324</v>
      </c>
      <c r="G3260">
        <v>0.54885260706473504</v>
      </c>
      <c r="H3260">
        <v>0.41010611016364801</v>
      </c>
      <c r="I3260">
        <v>0.37658552125415201</v>
      </c>
      <c r="J3260">
        <v>0.32426828444398598</v>
      </c>
      <c r="K3260">
        <v>0.26016667784341702</v>
      </c>
      <c r="L3260">
        <v>435.96003374631903</v>
      </c>
      <c r="M3260">
        <v>8.1760530930050503</v>
      </c>
      <c r="N3260">
        <v>55.406580650383397</v>
      </c>
      <c r="O3260">
        <v>50.4165756789357</v>
      </c>
      <c r="P3260">
        <v>-3.5210430960025997E-2</v>
      </c>
      <c r="Q3260">
        <v>0.13242218247551499</v>
      </c>
      <c r="R3260">
        <v>0.99088547359713697</v>
      </c>
      <c r="S3260" t="s">
        <v>8811</v>
      </c>
      <c r="T3260" t="s">
        <v>11100</v>
      </c>
      <c r="U3260" t="s">
        <v>11100</v>
      </c>
      <c r="V3260" t="s">
        <v>11100</v>
      </c>
      <c r="W3260" t="s">
        <v>14313</v>
      </c>
      <c r="X3260">
        <v>10</v>
      </c>
      <c r="Y3260" t="s">
        <v>19181</v>
      </c>
      <c r="Z3260" t="s">
        <v>25265</v>
      </c>
      <c r="AA3260">
        <v>0.62162352793867304</v>
      </c>
      <c r="AB3260" t="str">
        <f>HYPERLINK("Melting_Curves/meltCurve_Q5JR01_EEF1A1.pdf", "Melting_Curves/meltCurve_Q5JR01_EEF1A1.pdf")</f>
        <v>Melting_Curves/meltCurve_Q5JR01_EEF1A1.pdf</v>
      </c>
    </row>
    <row r="3261" spans="1:28" x14ac:dyDescent="0.25">
      <c r="A3261" t="s">
        <v>3265</v>
      </c>
      <c r="B3261">
        <v>0.99299721793515405</v>
      </c>
      <c r="C3261">
        <v>1.0576669189404899</v>
      </c>
      <c r="D3261">
        <v>0.96695933517031296</v>
      </c>
      <c r="E3261">
        <v>0.91644335823996703</v>
      </c>
      <c r="F3261">
        <v>0.75601698634547898</v>
      </c>
      <c r="G3261">
        <v>0.55858495815119003</v>
      </c>
      <c r="H3261">
        <v>0.47621332495787899</v>
      </c>
      <c r="I3261">
        <v>0.43006137928823501</v>
      </c>
      <c r="J3261">
        <v>0.40561971889799697</v>
      </c>
      <c r="K3261">
        <v>0.27078310765191499</v>
      </c>
      <c r="L3261">
        <v>748.39317169476999</v>
      </c>
      <c r="M3261">
        <v>14.2923407088935</v>
      </c>
      <c r="N3261">
        <v>56.218412877886799</v>
      </c>
      <c r="O3261">
        <v>51.3701200696675</v>
      </c>
      <c r="P3261">
        <v>-4.7834932777487203E-2</v>
      </c>
      <c r="Q3261">
        <v>0.31236278699542502</v>
      </c>
      <c r="R3261">
        <v>0.98075160082504498</v>
      </c>
      <c r="S3261" t="s">
        <v>8812</v>
      </c>
      <c r="T3261" t="s">
        <v>11100</v>
      </c>
      <c r="U3261" t="s">
        <v>11100</v>
      </c>
      <c r="V3261" t="s">
        <v>11100</v>
      </c>
      <c r="W3261" t="s">
        <v>14314</v>
      </c>
      <c r="X3261">
        <v>14</v>
      </c>
      <c r="Y3261" t="s">
        <v>19759</v>
      </c>
      <c r="Z3261" t="s">
        <v>25266</v>
      </c>
      <c r="AA3261">
        <v>0.67803633935304597</v>
      </c>
      <c r="AB3261" t="str">
        <f>HYPERLINK("Melting_Curves/meltCurve_Q5JR08_RHOC.pdf", "Melting_Curves/meltCurve_Q5JR08_RHOC.pdf")</f>
        <v>Melting_Curves/meltCurve_Q5JR08_RHOC.pdf</v>
      </c>
    </row>
    <row r="3262" spans="1:28" x14ac:dyDescent="0.25">
      <c r="A3262" t="s">
        <v>3266</v>
      </c>
      <c r="B3262">
        <v>0.99299721793515405</v>
      </c>
      <c r="C3262">
        <v>0.98510105393775005</v>
      </c>
      <c r="D3262">
        <v>0.82076775951153902</v>
      </c>
      <c r="E3262">
        <v>0.86436088742592498</v>
      </c>
      <c r="F3262">
        <v>0.79135585463117597</v>
      </c>
      <c r="G3262">
        <v>0.62790515563517202</v>
      </c>
      <c r="H3262">
        <v>1.0523929371304801</v>
      </c>
      <c r="I3262">
        <v>0.60799808443452397</v>
      </c>
      <c r="J3262">
        <v>0.37163357013786202</v>
      </c>
      <c r="K3262">
        <v>0.36365955397301802</v>
      </c>
      <c r="L3262">
        <v>395.49086655149398</v>
      </c>
      <c r="M3262">
        <v>6.1682321374214801</v>
      </c>
      <c r="N3262">
        <v>64.117377182110403</v>
      </c>
      <c r="O3262">
        <v>58.361312201962498</v>
      </c>
      <c r="P3262">
        <v>-2.6500113510778901E-2</v>
      </c>
      <c r="Q3262">
        <v>0</v>
      </c>
      <c r="R3262">
        <v>0.62336427280781903</v>
      </c>
      <c r="S3262" t="s">
        <v>8813</v>
      </c>
      <c r="T3262" t="s">
        <v>11100</v>
      </c>
      <c r="U3262" t="s">
        <v>11100</v>
      </c>
      <c r="V3262" t="s">
        <v>11100</v>
      </c>
      <c r="W3262" t="s">
        <v>14315</v>
      </c>
      <c r="X3262">
        <v>5</v>
      </c>
      <c r="Y3262" t="s">
        <v>19760</v>
      </c>
      <c r="Z3262" t="s">
        <v>25267</v>
      </c>
      <c r="AA3262">
        <v>0.77173885641375473</v>
      </c>
      <c r="AB3262" t="str">
        <f>HYPERLINK("Melting_Curves/meltCurve_Q5JR95_RPS8.pdf", "Melting_Curves/meltCurve_Q5JR95_RPS8.pdf")</f>
        <v>Melting_Curves/meltCurve_Q5JR95_RPS8.pdf</v>
      </c>
    </row>
    <row r="3263" spans="1:28" x14ac:dyDescent="0.25">
      <c r="A3263" t="s">
        <v>3267</v>
      </c>
      <c r="B3263">
        <v>0.99299721793515405</v>
      </c>
      <c r="C3263">
        <v>0.75439948459526496</v>
      </c>
      <c r="D3263">
        <v>1.0012162912815199</v>
      </c>
      <c r="E3263">
        <v>0.704118255957356</v>
      </c>
      <c r="F3263">
        <v>0.69120334558841301</v>
      </c>
      <c r="G3263">
        <v>0.76766571526965899</v>
      </c>
      <c r="H3263">
        <v>0.48419008635527699</v>
      </c>
      <c r="I3263">
        <v>0.47681466320162402</v>
      </c>
      <c r="J3263">
        <v>0.34340055238690897</v>
      </c>
      <c r="K3263">
        <v>0.33942702024716098</v>
      </c>
      <c r="L3263">
        <v>305.48813019490399</v>
      </c>
      <c r="M3263">
        <v>5.1922446566643696</v>
      </c>
      <c r="N3263">
        <v>58.835466738313698</v>
      </c>
      <c r="O3263">
        <v>51.7921874405016</v>
      </c>
      <c r="P3263">
        <v>-2.5197772851536501E-2</v>
      </c>
      <c r="Q3263">
        <v>0</v>
      </c>
      <c r="R3263">
        <v>0.84034740973227595</v>
      </c>
      <c r="S3263" t="s">
        <v>8814</v>
      </c>
      <c r="T3263" t="s">
        <v>11100</v>
      </c>
      <c r="U3263" t="s">
        <v>11100</v>
      </c>
      <c r="V3263" t="s">
        <v>11100</v>
      </c>
      <c r="W3263" t="s">
        <v>14316</v>
      </c>
      <c r="X3263">
        <v>6</v>
      </c>
      <c r="Y3263" t="s">
        <v>19761</v>
      </c>
      <c r="Z3263" t="s">
        <v>25268</v>
      </c>
      <c r="AA3263">
        <v>0.66165254580452626</v>
      </c>
      <c r="AB3263" t="str">
        <f>HYPERLINK("Melting_Curves/meltCurve_Q5JRG1_NUPL1.pdf", "Melting_Curves/meltCurve_Q5JRG1_NUPL1.pdf")</f>
        <v>Melting_Curves/meltCurve_Q5JRG1_NUPL1.pdf</v>
      </c>
    </row>
    <row r="3264" spans="1:28" x14ac:dyDescent="0.25">
      <c r="A3264" t="s">
        <v>3268</v>
      </c>
      <c r="B3264">
        <v>0.99299721793515405</v>
      </c>
      <c r="C3264">
        <v>0.82165881512618599</v>
      </c>
      <c r="D3264">
        <v>0.74385879211797801</v>
      </c>
      <c r="E3264">
        <v>0.57737407299644505</v>
      </c>
      <c r="F3264">
        <v>0.66724276123397497</v>
      </c>
      <c r="G3264">
        <v>0.22818296899305901</v>
      </c>
      <c r="H3264">
        <v>0.124750772249812</v>
      </c>
      <c r="I3264">
        <v>0</v>
      </c>
      <c r="J3264">
        <v>0</v>
      </c>
      <c r="K3264">
        <v>0</v>
      </c>
      <c r="L3264">
        <v>534.19025525092195</v>
      </c>
      <c r="M3264">
        <v>10.934556471507401</v>
      </c>
      <c r="N3264">
        <v>48.853399475127603</v>
      </c>
      <c r="O3264">
        <v>47.3046747140516</v>
      </c>
      <c r="P3264">
        <v>-5.7807879747187499E-2</v>
      </c>
      <c r="Q3264">
        <v>0</v>
      </c>
      <c r="R3264">
        <v>0.92762820039146499</v>
      </c>
      <c r="S3264" t="s">
        <v>8815</v>
      </c>
      <c r="T3264" t="s">
        <v>11100</v>
      </c>
      <c r="U3264" t="s">
        <v>11100</v>
      </c>
      <c r="V3264" t="s">
        <v>11100</v>
      </c>
      <c r="W3264" t="s">
        <v>14317</v>
      </c>
      <c r="X3264">
        <v>15</v>
      </c>
      <c r="Y3264" t="s">
        <v>18527</v>
      </c>
      <c r="Z3264" t="s">
        <v>25269</v>
      </c>
      <c r="AA3264">
        <v>0.42889979870028277</v>
      </c>
      <c r="AB3264" t="str">
        <f>HYPERLINK("Melting_Curves/meltCurve_Q5JRS3_UBA1.pdf", "Melting_Curves/meltCurve_Q5JRS3_UBA1.pdf")</f>
        <v>Melting_Curves/meltCurve_Q5JRS3_UBA1.pdf</v>
      </c>
    </row>
    <row r="3265" spans="1:28" x14ac:dyDescent="0.25">
      <c r="A3265" t="s">
        <v>3269</v>
      </c>
      <c r="B3265">
        <v>0.99299721793515405</v>
      </c>
      <c r="C3265">
        <v>1.0046183417860599</v>
      </c>
      <c r="D3265">
        <v>0.97361311949847495</v>
      </c>
      <c r="E3265">
        <v>0.89003905995238297</v>
      </c>
      <c r="F3265">
        <v>0.74167256901077805</v>
      </c>
      <c r="G3265">
        <v>0.50156472789130602</v>
      </c>
      <c r="H3265">
        <v>0.28235635907485601</v>
      </c>
      <c r="I3265">
        <v>0.207613224369742</v>
      </c>
      <c r="J3265">
        <v>0.17988040430902799</v>
      </c>
      <c r="K3265">
        <v>0.16660478494638001</v>
      </c>
      <c r="L3265">
        <v>887.39998197282796</v>
      </c>
      <c r="M3265">
        <v>16.874076635124901</v>
      </c>
      <c r="N3265">
        <v>53.593414716998701</v>
      </c>
      <c r="O3265">
        <v>51.867600049638</v>
      </c>
      <c r="P3265">
        <v>-7.0316696670548101E-2</v>
      </c>
      <c r="Q3265">
        <v>0.13549610579205601</v>
      </c>
      <c r="R3265">
        <v>0.998713476926119</v>
      </c>
      <c r="S3265" t="s">
        <v>8816</v>
      </c>
      <c r="T3265" t="s">
        <v>11100</v>
      </c>
      <c r="U3265" t="s">
        <v>11100</v>
      </c>
      <c r="V3265" t="s">
        <v>11100</v>
      </c>
      <c r="W3265" t="s">
        <v>14318</v>
      </c>
      <c r="X3265">
        <v>26</v>
      </c>
      <c r="Y3265" t="s">
        <v>19762</v>
      </c>
      <c r="Z3265" t="s">
        <v>25270</v>
      </c>
      <c r="AA3265">
        <v>0.59865120511704883</v>
      </c>
      <c r="AB3265" t="str">
        <f>HYPERLINK("Melting_Curves/meltCurve_Q5JRX3_PITRM1.pdf", "Melting_Curves/meltCurve_Q5JRX3_PITRM1.pdf")</f>
        <v>Melting_Curves/meltCurve_Q5JRX3_PITRM1.pdf</v>
      </c>
    </row>
    <row r="3266" spans="1:28" x14ac:dyDescent="0.25">
      <c r="A3266" t="s">
        <v>3270</v>
      </c>
      <c r="B3266">
        <v>0.99299721793515405</v>
      </c>
      <c r="C3266">
        <v>0.899678217947118</v>
      </c>
      <c r="D3266">
        <v>0.85703236815821504</v>
      </c>
      <c r="E3266">
        <v>0.87009286149817799</v>
      </c>
      <c r="F3266">
        <v>0.71901379968962797</v>
      </c>
      <c r="G3266">
        <v>0.71560735877136095</v>
      </c>
      <c r="H3266">
        <v>0.63530851652909903</v>
      </c>
      <c r="I3266">
        <v>0.93670661559343005</v>
      </c>
      <c r="J3266">
        <v>0.864449201166412</v>
      </c>
      <c r="K3266">
        <v>1.3529863316261499</v>
      </c>
      <c r="L3266">
        <v>15000</v>
      </c>
      <c r="M3266">
        <v>224.75589829786401</v>
      </c>
      <c r="O3266">
        <v>66.733805299695405</v>
      </c>
      <c r="P3266">
        <v>0.42099344724669702</v>
      </c>
      <c r="Q3266">
        <v>1.5</v>
      </c>
      <c r="R3266">
        <v>-2.5671072369620299E-2</v>
      </c>
      <c r="S3266" t="s">
        <v>8817</v>
      </c>
      <c r="T3266" t="s">
        <v>11100</v>
      </c>
      <c r="U3266" t="s">
        <v>11100</v>
      </c>
      <c r="V3266" t="s">
        <v>11100</v>
      </c>
      <c r="W3266" t="s">
        <v>14319</v>
      </c>
      <c r="X3266">
        <v>2</v>
      </c>
      <c r="Y3266" t="s">
        <v>19763</v>
      </c>
      <c r="Z3266" t="s">
        <v>25271</v>
      </c>
      <c r="AA3266">
        <v>1.0060310345280661</v>
      </c>
      <c r="AB3266" t="str">
        <f>HYPERLINK("Melting_Curves/meltCurve_Q5JS54_PSMG4.pdf", "Melting_Curves/meltCurve_Q5JS54_PSMG4.pdf")</f>
        <v>Melting_Curves/meltCurve_Q5JS54_PSMG4.pdf</v>
      </c>
    </row>
    <row r="3267" spans="1:28" x14ac:dyDescent="0.25">
      <c r="A3267" t="s">
        <v>3271</v>
      </c>
      <c r="B3267">
        <v>0.99299721793515405</v>
      </c>
      <c r="C3267">
        <v>0.94940639603981403</v>
      </c>
      <c r="D3267">
        <v>0.92824884453779499</v>
      </c>
      <c r="E3267">
        <v>0.85732820108976204</v>
      </c>
      <c r="F3267">
        <v>0.75169541839503196</v>
      </c>
      <c r="G3267">
        <v>0.585147502555457</v>
      </c>
      <c r="H3267">
        <v>0.54929475821881302</v>
      </c>
      <c r="I3267">
        <v>0.46465010639766802</v>
      </c>
      <c r="J3267">
        <v>0.23433989664922</v>
      </c>
      <c r="K3267">
        <v>0.18480939806268901</v>
      </c>
      <c r="L3267">
        <v>464.70515038658698</v>
      </c>
      <c r="M3267">
        <v>8.1190393013716093</v>
      </c>
      <c r="N3267">
        <v>57.236468992454903</v>
      </c>
      <c r="O3267">
        <v>54.07816537683</v>
      </c>
      <c r="P3267">
        <v>-3.7573983095365901E-2</v>
      </c>
      <c r="Q3267">
        <v>0</v>
      </c>
      <c r="R3267">
        <v>0.97519394380003299</v>
      </c>
      <c r="S3267" t="s">
        <v>8818</v>
      </c>
      <c r="T3267" t="s">
        <v>11100</v>
      </c>
      <c r="U3267" t="s">
        <v>11100</v>
      </c>
      <c r="V3267" t="s">
        <v>11100</v>
      </c>
      <c r="W3267" t="s">
        <v>14320</v>
      </c>
      <c r="X3267">
        <v>13</v>
      </c>
      <c r="Y3267" t="s">
        <v>19764</v>
      </c>
      <c r="Z3267" t="s">
        <v>25272</v>
      </c>
      <c r="AA3267">
        <v>0.66215153764104329</v>
      </c>
      <c r="AB3267" t="str">
        <f>HYPERLINK("Melting_Curves/meltCurve_Q5JSH3_2_WDR44.pdf", "Melting_Curves/meltCurve_Q5JSH3_2_WDR44.pdf")</f>
        <v>Melting_Curves/meltCurve_Q5JSH3_2_WDR44.pdf</v>
      </c>
    </row>
    <row r="3268" spans="1:28" x14ac:dyDescent="0.25">
      <c r="A3268" t="s">
        <v>3272</v>
      </c>
      <c r="B3268">
        <v>0.99299721793515405</v>
      </c>
      <c r="C3268">
        <v>1.1400056578371101</v>
      </c>
      <c r="D3268">
        <v>1.3581499368840599</v>
      </c>
      <c r="E3268">
        <v>1.18162637344295</v>
      </c>
      <c r="F3268">
        <v>1.0996236554443199</v>
      </c>
      <c r="G3268">
        <v>0.485030123780749</v>
      </c>
      <c r="H3268">
        <v>0.69748277411455695</v>
      </c>
      <c r="I3268">
        <v>0.81498655225638295</v>
      </c>
      <c r="J3268">
        <v>0.91089602447829998</v>
      </c>
      <c r="K3268">
        <v>0.63507868337745199</v>
      </c>
      <c r="L3268">
        <v>4017.1407755587402</v>
      </c>
      <c r="M3268">
        <v>77.701584132180102</v>
      </c>
      <c r="O3268">
        <v>51.6653859111005</v>
      </c>
      <c r="P3268">
        <v>-0.108692377405663</v>
      </c>
      <c r="Q3268">
        <v>0.71091283256871896</v>
      </c>
      <c r="R3268">
        <v>0.54054304366725603</v>
      </c>
      <c r="S3268" t="s">
        <v>8819</v>
      </c>
      <c r="T3268" t="s">
        <v>11100</v>
      </c>
      <c r="U3268" t="s">
        <v>11100</v>
      </c>
      <c r="V3268" t="s">
        <v>11100</v>
      </c>
      <c r="W3268" t="s">
        <v>14321</v>
      </c>
      <c r="X3268">
        <v>3</v>
      </c>
      <c r="Y3268" t="s">
        <v>19765</v>
      </c>
      <c r="Z3268" t="s">
        <v>25273</v>
      </c>
      <c r="AA3268">
        <v>0.85283377379638858</v>
      </c>
      <c r="AB3268" t="str">
        <f>HYPERLINK("Melting_Curves/meltCurve_Q5JSK7_HMGN5.pdf", "Melting_Curves/meltCurve_Q5JSK7_HMGN5.pdf")</f>
        <v>Melting_Curves/meltCurve_Q5JSK7_HMGN5.pdf</v>
      </c>
    </row>
    <row r="3269" spans="1:28" x14ac:dyDescent="0.25">
      <c r="A3269" t="s">
        <v>3273</v>
      </c>
      <c r="B3269">
        <v>0.99299721793515405</v>
      </c>
      <c r="C3269">
        <v>0.82908437147334602</v>
      </c>
      <c r="D3269">
        <v>0.94945926423105298</v>
      </c>
      <c r="E3269">
        <v>0.78927118349527803</v>
      </c>
      <c r="F3269">
        <v>0.69180330006501001</v>
      </c>
      <c r="G3269">
        <v>0.751651129109288</v>
      </c>
      <c r="H3269">
        <v>0.89864827484288101</v>
      </c>
      <c r="I3269">
        <v>0.907141661145065</v>
      </c>
      <c r="J3269">
        <v>0.94018427988627395</v>
      </c>
      <c r="K3269">
        <v>0.62019592844206595</v>
      </c>
      <c r="L3269">
        <v>699.82457510254301</v>
      </c>
      <c r="M3269">
        <v>17.565202203595799</v>
      </c>
      <c r="O3269">
        <v>39.335897518020502</v>
      </c>
      <c r="P3269">
        <v>-2.1819522098836999E-2</v>
      </c>
      <c r="Q3269">
        <v>0.80455815083120497</v>
      </c>
      <c r="R3269">
        <v>0.208607813072549</v>
      </c>
      <c r="S3269" t="s">
        <v>8820</v>
      </c>
      <c r="T3269" t="s">
        <v>11100</v>
      </c>
      <c r="U3269" t="s">
        <v>11100</v>
      </c>
      <c r="V3269" t="s">
        <v>11100</v>
      </c>
      <c r="W3269" t="s">
        <v>14322</v>
      </c>
      <c r="X3269">
        <v>12</v>
      </c>
      <c r="Y3269" t="s">
        <v>19766</v>
      </c>
      <c r="Z3269" t="s">
        <v>25274</v>
      </c>
      <c r="AA3269">
        <v>0.82858953537823909</v>
      </c>
      <c r="AB3269" t="str">
        <f>HYPERLINK("Melting_Curves/meltCurve_Q5JSZ5_PRRC2B.pdf", "Melting_Curves/meltCurve_Q5JSZ5_PRRC2B.pdf")</f>
        <v>Melting_Curves/meltCurve_Q5JSZ5_PRRC2B.pdf</v>
      </c>
    </row>
    <row r="3270" spans="1:28" x14ac:dyDescent="0.25">
      <c r="A3270" t="s">
        <v>3274</v>
      </c>
      <c r="B3270">
        <v>0.99299721793515405</v>
      </c>
      <c r="C3270">
        <v>0.98237125036433204</v>
      </c>
      <c r="D3270">
        <v>0.87367655552158496</v>
      </c>
      <c r="E3270">
        <v>0.88837434551358996</v>
      </c>
      <c r="F3270">
        <v>0.76840214793371597</v>
      </c>
      <c r="G3270">
        <v>0.43860905353780999</v>
      </c>
      <c r="H3270">
        <v>0.42823356093838399</v>
      </c>
      <c r="I3270">
        <v>0.46755913335142701</v>
      </c>
      <c r="J3270">
        <v>0.49785533047531599</v>
      </c>
      <c r="K3270">
        <v>0.43657501685004801</v>
      </c>
      <c r="L3270">
        <v>1401.75138498757</v>
      </c>
      <c r="M3270">
        <v>28.005362530593899</v>
      </c>
      <c r="N3270">
        <v>54.241917427044903</v>
      </c>
      <c r="O3270">
        <v>49.799837813687198</v>
      </c>
      <c r="P3270">
        <v>-7.8379840538742196E-2</v>
      </c>
      <c r="Q3270">
        <v>0.44249678555787197</v>
      </c>
      <c r="R3270">
        <v>0.94330390001257003</v>
      </c>
      <c r="S3270" t="s">
        <v>8821</v>
      </c>
      <c r="T3270" t="s">
        <v>11100</v>
      </c>
      <c r="U3270" t="s">
        <v>11100</v>
      </c>
      <c r="V3270" t="s">
        <v>11100</v>
      </c>
      <c r="W3270" t="s">
        <v>14323</v>
      </c>
      <c r="X3270">
        <v>14</v>
      </c>
      <c r="Y3270" t="s">
        <v>19767</v>
      </c>
      <c r="Z3270" t="s">
        <v>25275</v>
      </c>
      <c r="AA3270">
        <v>0.68898449991701871</v>
      </c>
      <c r="AB3270" t="str">
        <f>HYPERLINK("Melting_Curves/meltCurve_Q5JTD0_2_TJAP1.pdf", "Melting_Curves/meltCurve_Q5JTD0_2_TJAP1.pdf")</f>
        <v>Melting_Curves/meltCurve_Q5JTD0_2_TJAP1.pdf</v>
      </c>
    </row>
    <row r="3271" spans="1:28" x14ac:dyDescent="0.25">
      <c r="A3271" t="s">
        <v>3275</v>
      </c>
      <c r="B3271">
        <v>0.99299721793515405</v>
      </c>
      <c r="C3271">
        <v>0.91073497284404104</v>
      </c>
      <c r="D3271">
        <v>1.07233050931469</v>
      </c>
      <c r="E3271">
        <v>0.72175534769176197</v>
      </c>
      <c r="F3271">
        <v>0.39430298054880603</v>
      </c>
      <c r="G3271">
        <v>0.153638680370311</v>
      </c>
      <c r="H3271">
        <v>0.15341408144709201</v>
      </c>
      <c r="I3271">
        <v>0.125027086820166</v>
      </c>
      <c r="J3271">
        <v>0.120775432035182</v>
      </c>
      <c r="K3271">
        <v>0.104478610950901</v>
      </c>
      <c r="L3271">
        <v>1254.8210324026199</v>
      </c>
      <c r="M3271">
        <v>25.933739489977299</v>
      </c>
      <c r="N3271">
        <v>48.893309240587698</v>
      </c>
      <c r="O3271">
        <v>48.100707091211802</v>
      </c>
      <c r="P3271">
        <v>-0.11888101091871001</v>
      </c>
      <c r="Q3271">
        <v>0.11803012962002001</v>
      </c>
      <c r="R3271">
        <v>0.98499623401559999</v>
      </c>
      <c r="S3271" t="s">
        <v>8822</v>
      </c>
      <c r="T3271" t="s">
        <v>11100</v>
      </c>
      <c r="U3271" t="s">
        <v>11100</v>
      </c>
      <c r="V3271" t="s">
        <v>11100</v>
      </c>
      <c r="W3271" t="s">
        <v>14324</v>
      </c>
      <c r="X3271">
        <v>10</v>
      </c>
      <c r="Y3271" t="s">
        <v>19768</v>
      </c>
      <c r="Z3271" t="s">
        <v>25276</v>
      </c>
      <c r="AA3271">
        <v>0.4597876724348573</v>
      </c>
      <c r="AB3271" t="str">
        <f>HYPERLINK("Melting_Curves/meltCurve_Q5JTH9_2_RRP12.pdf", "Melting_Curves/meltCurve_Q5JTH9_2_RRP12.pdf")</f>
        <v>Melting_Curves/meltCurve_Q5JTH9_2_RRP12.pdf</v>
      </c>
    </row>
    <row r="3272" spans="1:28" x14ac:dyDescent="0.25">
      <c r="A3272" t="s">
        <v>3276</v>
      </c>
      <c r="B3272">
        <v>0.99299721793515405</v>
      </c>
      <c r="C3272">
        <v>0.91316775933466299</v>
      </c>
      <c r="D3272">
        <v>0.93744878397109899</v>
      </c>
      <c r="E3272">
        <v>0.93655281241236499</v>
      </c>
      <c r="F3272">
        <v>0.74379743477525495</v>
      </c>
      <c r="G3272">
        <v>0.469022128193049</v>
      </c>
      <c r="H3272">
        <v>0.57240793008814495</v>
      </c>
      <c r="I3272">
        <v>0.68325997074894496</v>
      </c>
      <c r="J3272">
        <v>0.89812779672088805</v>
      </c>
      <c r="K3272">
        <v>0.692844748631951</v>
      </c>
      <c r="L3272">
        <v>2184.9901494850401</v>
      </c>
      <c r="M3272">
        <v>45.259470287017997</v>
      </c>
      <c r="O3272">
        <v>48.183005881730097</v>
      </c>
      <c r="P3272">
        <v>-7.8186986873531095E-2</v>
      </c>
      <c r="Q3272">
        <v>0.66705052293810096</v>
      </c>
      <c r="R3272">
        <v>0.59214697487818702</v>
      </c>
      <c r="S3272" t="s">
        <v>8823</v>
      </c>
      <c r="T3272" t="s">
        <v>11100</v>
      </c>
      <c r="U3272" t="s">
        <v>11100</v>
      </c>
      <c r="V3272" t="s">
        <v>11100</v>
      </c>
      <c r="W3272" t="s">
        <v>14325</v>
      </c>
      <c r="X3272">
        <v>11</v>
      </c>
      <c r="Y3272" t="s">
        <v>19769</v>
      </c>
      <c r="Z3272" t="s">
        <v>25277</v>
      </c>
      <c r="AA3272">
        <v>0.79307224877370752</v>
      </c>
      <c r="AB3272" t="str">
        <f>HYPERLINK("Melting_Curves/meltCurve_Q5JTJ3_3_COA6.pdf", "Melting_Curves/meltCurve_Q5JTJ3_3_COA6.pdf")</f>
        <v>Melting_Curves/meltCurve_Q5JTJ3_3_COA6.pdf</v>
      </c>
    </row>
    <row r="3273" spans="1:28" x14ac:dyDescent="0.25">
      <c r="A3273" t="s">
        <v>3277</v>
      </c>
      <c r="B3273">
        <v>0.99299721793515405</v>
      </c>
      <c r="C3273">
        <v>0.97521035684940005</v>
      </c>
      <c r="D3273">
        <v>0.86930804523571603</v>
      </c>
      <c r="E3273">
        <v>0.81641295532590996</v>
      </c>
      <c r="F3273">
        <v>0.63029148523748002</v>
      </c>
      <c r="G3273">
        <v>0.40813167642480302</v>
      </c>
      <c r="H3273">
        <v>0.29101653754821299</v>
      </c>
      <c r="I3273">
        <v>0.242040584756576</v>
      </c>
      <c r="J3273">
        <v>0.217461990687882</v>
      </c>
      <c r="K3273">
        <v>0.14454484040565199</v>
      </c>
      <c r="L3273">
        <v>609.81364442137397</v>
      </c>
      <c r="M3273">
        <v>11.914311602856699</v>
      </c>
      <c r="N3273">
        <v>52.339608531240799</v>
      </c>
      <c r="O3273">
        <v>49.805278709329997</v>
      </c>
      <c r="P3273">
        <v>-5.2897360151381599E-2</v>
      </c>
      <c r="Q3273">
        <v>0.11571395571651399</v>
      </c>
      <c r="R3273">
        <v>0.99438320874237496</v>
      </c>
      <c r="S3273" t="s">
        <v>8824</v>
      </c>
      <c r="T3273" t="s">
        <v>11100</v>
      </c>
      <c r="U3273" t="s">
        <v>11100</v>
      </c>
      <c r="V3273" t="s">
        <v>11100</v>
      </c>
      <c r="W3273" t="s">
        <v>14326</v>
      </c>
      <c r="X3273">
        <v>4</v>
      </c>
      <c r="Y3273" t="s">
        <v>19770</v>
      </c>
      <c r="Z3273" t="s">
        <v>25278</v>
      </c>
      <c r="AA3273">
        <v>0.55661346144211987</v>
      </c>
      <c r="AB3273" t="str">
        <f>HYPERLINK("Melting_Curves/meltCurve_Q5JTV1_GMEB2.pdf", "Melting_Curves/meltCurve_Q5JTV1_GMEB2.pdf")</f>
        <v>Melting_Curves/meltCurve_Q5JTV1_GMEB2.pdf</v>
      </c>
    </row>
    <row r="3274" spans="1:28" x14ac:dyDescent="0.25">
      <c r="A3274" t="s">
        <v>3278</v>
      </c>
      <c r="B3274">
        <v>0.99299721793515405</v>
      </c>
      <c r="C3274">
        <v>0.95698362011471705</v>
      </c>
      <c r="D3274">
        <v>0.99141723814925897</v>
      </c>
      <c r="E3274">
        <v>0.85593688176932303</v>
      </c>
      <c r="F3274">
        <v>0.78783995045393496</v>
      </c>
      <c r="G3274">
        <v>0.65774853806349498</v>
      </c>
      <c r="H3274">
        <v>0.54791034237654501</v>
      </c>
      <c r="I3274">
        <v>0.37203210169229101</v>
      </c>
      <c r="J3274">
        <v>0.21572669612897699</v>
      </c>
      <c r="K3274">
        <v>0.15273623120212099</v>
      </c>
      <c r="L3274">
        <v>575.90045370979703</v>
      </c>
      <c r="M3274">
        <v>10.0600839288826</v>
      </c>
      <c r="N3274">
        <v>57.246091891730003</v>
      </c>
      <c r="O3274">
        <v>55.1220846575916</v>
      </c>
      <c r="P3274">
        <v>-4.5648058421633102E-2</v>
      </c>
      <c r="Q3274">
        <v>0</v>
      </c>
      <c r="R3274">
        <v>0.98811166346813295</v>
      </c>
      <c r="S3274" t="s">
        <v>8825</v>
      </c>
      <c r="T3274" t="s">
        <v>11100</v>
      </c>
      <c r="U3274" t="s">
        <v>11100</v>
      </c>
      <c r="V3274" t="s">
        <v>11100</v>
      </c>
      <c r="W3274" t="s">
        <v>12063</v>
      </c>
      <c r="X3274">
        <v>16</v>
      </c>
      <c r="Y3274" t="s">
        <v>17557</v>
      </c>
      <c r="Z3274" t="s">
        <v>25279</v>
      </c>
      <c r="AA3274">
        <v>0.6724446826190994</v>
      </c>
      <c r="AB3274" t="str">
        <f>HYPERLINK("Melting_Curves/meltCurve_Q5JTV8_TOR1AIP1.pdf", "Melting_Curves/meltCurve_Q5JTV8_TOR1AIP1.pdf")</f>
        <v>Melting_Curves/meltCurve_Q5JTV8_TOR1AIP1.pdf</v>
      </c>
    </row>
    <row r="3275" spans="1:28" x14ac:dyDescent="0.25">
      <c r="A3275" t="s">
        <v>3279</v>
      </c>
      <c r="B3275">
        <v>0.99299721793515405</v>
      </c>
      <c r="C3275">
        <v>1.0538568415696701</v>
      </c>
      <c r="D3275">
        <v>0.92956005071765702</v>
      </c>
      <c r="E3275">
        <v>0.88905074629021497</v>
      </c>
      <c r="F3275">
        <v>0.63772924800987896</v>
      </c>
      <c r="G3275">
        <v>0.25785741443482502</v>
      </c>
      <c r="H3275">
        <v>0.18698262490276099</v>
      </c>
      <c r="I3275">
        <v>0.164259049241231</v>
      </c>
      <c r="J3275">
        <v>0.13980664948673399</v>
      </c>
      <c r="K3275">
        <v>0.13339343897898401</v>
      </c>
      <c r="L3275">
        <v>1280.0767873663301</v>
      </c>
      <c r="M3275">
        <v>25.3106737946731</v>
      </c>
      <c r="N3275">
        <v>51.222665821107299</v>
      </c>
      <c r="O3275">
        <v>50.262059758851201</v>
      </c>
      <c r="P3275">
        <v>-0.108646107281082</v>
      </c>
      <c r="Q3275">
        <v>0.13701132185244899</v>
      </c>
      <c r="R3275">
        <v>0.99328046548935101</v>
      </c>
      <c r="S3275" t="s">
        <v>8826</v>
      </c>
      <c r="T3275" t="s">
        <v>11100</v>
      </c>
      <c r="U3275" t="s">
        <v>11100</v>
      </c>
      <c r="V3275" t="s">
        <v>11100</v>
      </c>
      <c r="W3275" t="s">
        <v>14327</v>
      </c>
      <c r="X3275">
        <v>23</v>
      </c>
      <c r="Y3275" t="s">
        <v>19771</v>
      </c>
      <c r="Z3275" t="s">
        <v>25280</v>
      </c>
      <c r="AA3275">
        <v>0.53491625252129715</v>
      </c>
      <c r="AB3275" t="str">
        <f>HYPERLINK("Melting_Curves/meltCurve_Q5JTZ9_AARS2.pdf", "Melting_Curves/meltCurve_Q5JTZ9_AARS2.pdf")</f>
        <v>Melting_Curves/meltCurve_Q5JTZ9_AARS2.pdf</v>
      </c>
    </row>
    <row r="3276" spans="1:28" x14ac:dyDescent="0.25">
      <c r="A3276" t="s">
        <v>3280</v>
      </c>
      <c r="B3276">
        <v>0.99299721793515405</v>
      </c>
      <c r="C3276">
        <v>0.86932413318322899</v>
      </c>
      <c r="D3276">
        <v>1.25175328569754</v>
      </c>
      <c r="E3276">
        <v>0.72948750558186604</v>
      </c>
      <c r="F3276">
        <v>0.98002939005119605</v>
      </c>
      <c r="G3276">
        <v>0.63515549841143504</v>
      </c>
      <c r="H3276">
        <v>0.43256073135386403</v>
      </c>
      <c r="I3276">
        <v>0.39335652767636797</v>
      </c>
      <c r="J3276">
        <v>0.45236737509139702</v>
      </c>
      <c r="K3276">
        <v>0.13413555657801299</v>
      </c>
      <c r="L3276">
        <v>737.74197844923401</v>
      </c>
      <c r="M3276">
        <v>13.2912751823936</v>
      </c>
      <c r="N3276">
        <v>57.427768308204797</v>
      </c>
      <c r="O3276">
        <v>54.2943963278978</v>
      </c>
      <c r="P3276">
        <v>-5.0220478081249201E-2</v>
      </c>
      <c r="Q3276">
        <v>0.17953734823810599</v>
      </c>
      <c r="R3276">
        <v>0.81101159803008604</v>
      </c>
      <c r="S3276" t="s">
        <v>8827</v>
      </c>
      <c r="T3276" t="s">
        <v>11100</v>
      </c>
      <c r="U3276" t="s">
        <v>11100</v>
      </c>
      <c r="V3276" t="s">
        <v>11100</v>
      </c>
      <c r="W3276" t="s">
        <v>14328</v>
      </c>
      <c r="X3276">
        <v>1</v>
      </c>
      <c r="Y3276" t="s">
        <v>19772</v>
      </c>
      <c r="Z3276" t="s">
        <v>25281</v>
      </c>
      <c r="AA3276">
        <v>0.69610484068930389</v>
      </c>
      <c r="AB3276" t="str">
        <f>HYPERLINK("Melting_Curves/meltCurve_Q5JU69_TOR2A.pdf", "Melting_Curves/meltCurve_Q5JU69_TOR2A.pdf")</f>
        <v>Melting_Curves/meltCurve_Q5JU69_TOR2A.pdf</v>
      </c>
    </row>
    <row r="3277" spans="1:28" x14ac:dyDescent="0.25">
      <c r="A3277" t="s">
        <v>3281</v>
      </c>
      <c r="B3277">
        <v>0.99299721793515405</v>
      </c>
      <c r="C3277">
        <v>0.620722631253528</v>
      </c>
      <c r="D3277">
        <v>1.2382179639386599</v>
      </c>
      <c r="E3277">
        <v>0.56632008310669002</v>
      </c>
      <c r="F3277">
        <v>0.50566462616055297</v>
      </c>
      <c r="G3277">
        <v>0.18326405637809301</v>
      </c>
      <c r="H3277">
        <v>5.1131049337306098E-2</v>
      </c>
      <c r="I3277">
        <v>0.101850854060355</v>
      </c>
      <c r="J3277">
        <v>0.100014041850589</v>
      </c>
      <c r="K3277">
        <v>9.0348335906675195E-2</v>
      </c>
      <c r="L3277">
        <v>934.52007432435698</v>
      </c>
      <c r="M3277">
        <v>19.1823996991793</v>
      </c>
      <c r="N3277">
        <v>49.106892072864099</v>
      </c>
      <c r="O3277">
        <v>48.197388024399402</v>
      </c>
      <c r="P3277">
        <v>-9.2484301988129694E-2</v>
      </c>
      <c r="Q3277">
        <v>7.0537417492357299E-2</v>
      </c>
      <c r="R3277">
        <v>0.82859696501701197</v>
      </c>
      <c r="S3277" t="s">
        <v>8828</v>
      </c>
      <c r="T3277" t="s">
        <v>11100</v>
      </c>
      <c r="U3277" t="s">
        <v>11100</v>
      </c>
      <c r="V3277" t="s">
        <v>11100</v>
      </c>
      <c r="W3277" t="s">
        <v>14329</v>
      </c>
      <c r="X3277">
        <v>3</v>
      </c>
      <c r="Y3277" t="s">
        <v>19773</v>
      </c>
      <c r="Z3277" t="s">
        <v>25282</v>
      </c>
      <c r="AA3277">
        <v>0.44678203894766921</v>
      </c>
      <c r="AB3277" t="str">
        <f>HYPERLINK("Melting_Curves/meltCurve_Q5JUA8_VPS16.pdf", "Melting_Curves/meltCurve_Q5JUA8_VPS16.pdf")</f>
        <v>Melting_Curves/meltCurve_Q5JUA8_VPS16.pdf</v>
      </c>
    </row>
    <row r="3278" spans="1:28" x14ac:dyDescent="0.25">
      <c r="A3278" t="s">
        <v>3282</v>
      </c>
      <c r="B3278">
        <v>0.99299721793515405</v>
      </c>
      <c r="C3278">
        <v>0.95171388119743305</v>
      </c>
      <c r="D3278">
        <v>0.98274777015705606</v>
      </c>
      <c r="E3278">
        <v>0.96855839846136305</v>
      </c>
      <c r="F3278">
        <v>0.72814770571818299</v>
      </c>
      <c r="G3278">
        <v>0.745601268760549</v>
      </c>
      <c r="H3278">
        <v>0.85291615104105001</v>
      </c>
      <c r="I3278">
        <v>0.48843370012577503</v>
      </c>
      <c r="J3278">
        <v>0.26855629033175599</v>
      </c>
      <c r="K3278">
        <v>0.16360132083398199</v>
      </c>
      <c r="L3278">
        <v>738.76607351323105</v>
      </c>
      <c r="M3278">
        <v>12.2357339587233</v>
      </c>
      <c r="N3278">
        <v>60.377748990353297</v>
      </c>
      <c r="O3278">
        <v>58.832930730619502</v>
      </c>
      <c r="P3278">
        <v>-5.20051831899635E-2</v>
      </c>
      <c r="Q3278">
        <v>0</v>
      </c>
      <c r="R3278">
        <v>0.889202661015145</v>
      </c>
      <c r="S3278" t="s">
        <v>8829</v>
      </c>
      <c r="T3278" t="s">
        <v>11100</v>
      </c>
      <c r="U3278" t="s">
        <v>11100</v>
      </c>
      <c r="V3278" t="s">
        <v>11100</v>
      </c>
      <c r="W3278" t="s">
        <v>14330</v>
      </c>
      <c r="X3278">
        <v>2</v>
      </c>
      <c r="Y3278" t="s">
        <v>19774</v>
      </c>
      <c r="Z3278" t="s">
        <v>25283</v>
      </c>
      <c r="AA3278">
        <v>0.76071470739611591</v>
      </c>
      <c r="AB3278" t="str">
        <f>HYPERLINK("Melting_Curves/meltCurve_Q5JUE6_RAPGEF1.pdf", "Melting_Curves/meltCurve_Q5JUE6_RAPGEF1.pdf")</f>
        <v>Melting_Curves/meltCurve_Q5JUE6_RAPGEF1.pdf</v>
      </c>
    </row>
    <row r="3279" spans="1:28" x14ac:dyDescent="0.25">
      <c r="A3279" t="s">
        <v>3283</v>
      </c>
      <c r="B3279">
        <v>0.99299721793515405</v>
      </c>
      <c r="C3279">
        <v>0.97736055218839002</v>
      </c>
      <c r="D3279">
        <v>0.87576975302123095</v>
      </c>
      <c r="E3279">
        <v>0.93056826025877004</v>
      </c>
      <c r="F3279">
        <v>0.69017322935803505</v>
      </c>
      <c r="G3279">
        <v>0.44265553198887803</v>
      </c>
      <c r="H3279">
        <v>0.37210469131166701</v>
      </c>
      <c r="I3279">
        <v>0.23100934237919599</v>
      </c>
      <c r="J3279">
        <v>0.19280076937207599</v>
      </c>
      <c r="K3279">
        <v>9.0395599543139499E-2</v>
      </c>
      <c r="L3279">
        <v>621.91853332712503</v>
      </c>
      <c r="M3279">
        <v>11.641335316987901</v>
      </c>
      <c r="N3279">
        <v>53.831699450244201</v>
      </c>
      <c r="O3279">
        <v>51.919892073720902</v>
      </c>
      <c r="P3279">
        <v>-5.3699734222736502E-2</v>
      </c>
      <c r="Q3279">
        <v>4.2264954147183703E-2</v>
      </c>
      <c r="R3279">
        <v>0.98412262924820904</v>
      </c>
      <c r="S3279" t="s">
        <v>8830</v>
      </c>
      <c r="T3279" t="s">
        <v>11100</v>
      </c>
      <c r="U3279" t="s">
        <v>11100</v>
      </c>
      <c r="V3279" t="s">
        <v>11100</v>
      </c>
      <c r="W3279" t="s">
        <v>14331</v>
      </c>
      <c r="X3279">
        <v>4</v>
      </c>
      <c r="Y3279" t="s">
        <v>19775</v>
      </c>
      <c r="Z3279" t="s">
        <v>25284</v>
      </c>
      <c r="AA3279">
        <v>0.58574128350441412</v>
      </c>
      <c r="AB3279" t="str">
        <f>HYPERLINK("Melting_Curves/meltCurve_Q5JUW8_DLG3.pdf", "Melting_Curves/meltCurve_Q5JUW8_DLG3.pdf")</f>
        <v>Melting_Curves/meltCurve_Q5JUW8_DLG3.pdf</v>
      </c>
    </row>
    <row r="3280" spans="1:28" x14ac:dyDescent="0.25">
      <c r="A3280" t="s">
        <v>3284</v>
      </c>
      <c r="B3280">
        <v>0.99299721793515405</v>
      </c>
      <c r="C3280">
        <v>1.0333242318056299</v>
      </c>
      <c r="D3280">
        <v>0.69460886301671299</v>
      </c>
      <c r="E3280">
        <v>0.83154800844329402</v>
      </c>
      <c r="F3280">
        <v>0.44266008247503003</v>
      </c>
      <c r="G3280">
        <v>0.62637025237502197</v>
      </c>
      <c r="H3280">
        <v>0.50678124075193998</v>
      </c>
      <c r="I3280">
        <v>0.479864188214493</v>
      </c>
      <c r="J3280">
        <v>0.19560795982552101</v>
      </c>
      <c r="K3280">
        <v>7.8347095179175194E-2</v>
      </c>
      <c r="L3280">
        <v>358.99381590617497</v>
      </c>
      <c r="M3280">
        <v>6.5880009819004597</v>
      </c>
      <c r="N3280">
        <v>54.492070795102201</v>
      </c>
      <c r="O3280">
        <v>50.126483694407497</v>
      </c>
      <c r="P3280">
        <v>-3.2932899068506397E-2</v>
      </c>
      <c r="Q3280">
        <v>0</v>
      </c>
      <c r="R3280">
        <v>0.82805683460499702</v>
      </c>
      <c r="S3280" t="s">
        <v>8831</v>
      </c>
      <c r="T3280" t="s">
        <v>11100</v>
      </c>
      <c r="U3280" t="s">
        <v>11100</v>
      </c>
      <c r="V3280" t="s">
        <v>11100</v>
      </c>
      <c r="W3280" t="s">
        <v>14332</v>
      </c>
      <c r="X3280">
        <v>1</v>
      </c>
      <c r="Y3280" t="s">
        <v>19776</v>
      </c>
      <c r="Z3280" t="s">
        <v>25285</v>
      </c>
      <c r="AA3280">
        <v>0.58789239902524859</v>
      </c>
      <c r="AB3280" t="str">
        <f>HYPERLINK("Melting_Curves/meltCurve_Q5JV61_FRMD3.pdf", "Melting_Curves/meltCurve_Q5JV61_FRMD3.pdf")</f>
        <v>Melting_Curves/meltCurve_Q5JV61_FRMD3.pdf</v>
      </c>
    </row>
    <row r="3281" spans="1:28" x14ac:dyDescent="0.25">
      <c r="A3281" t="s">
        <v>3285</v>
      </c>
      <c r="B3281">
        <v>0.99299721793515405</v>
      </c>
      <c r="C3281">
        <v>0.786898056377764</v>
      </c>
      <c r="D3281">
        <v>0.841777172310466</v>
      </c>
      <c r="E3281">
        <v>0.51499282486613296</v>
      </c>
      <c r="F3281">
        <v>0.51702972393781299</v>
      </c>
      <c r="G3281">
        <v>0.269897316022842</v>
      </c>
      <c r="H3281">
        <v>0.14751628926340099</v>
      </c>
      <c r="I3281">
        <v>0.14208141338108801</v>
      </c>
      <c r="J3281">
        <v>0.145312592283524</v>
      </c>
      <c r="K3281">
        <v>0.13566221669867901</v>
      </c>
      <c r="L3281">
        <v>470.52424159291502</v>
      </c>
      <c r="M3281">
        <v>9.8367867759860008</v>
      </c>
      <c r="N3281">
        <v>48.404522437999901</v>
      </c>
      <c r="O3281">
        <v>45.982044529754901</v>
      </c>
      <c r="P3281">
        <v>-5.0576219023731599E-2</v>
      </c>
      <c r="Q3281">
        <v>5.48157278040678E-2</v>
      </c>
      <c r="R3281">
        <v>0.961908803269791</v>
      </c>
      <c r="S3281" t="s">
        <v>8832</v>
      </c>
      <c r="T3281" t="s">
        <v>11100</v>
      </c>
      <c r="U3281" t="s">
        <v>11100</v>
      </c>
      <c r="V3281" t="s">
        <v>11100</v>
      </c>
      <c r="W3281" t="s">
        <v>14333</v>
      </c>
      <c r="X3281">
        <v>2</v>
      </c>
      <c r="Y3281" t="s">
        <v>19777</v>
      </c>
      <c r="Z3281" t="s">
        <v>25286</v>
      </c>
      <c r="AA3281">
        <v>0.43537736710587099</v>
      </c>
      <c r="AB3281" t="str">
        <f>HYPERLINK("Melting_Curves/meltCurve_Q5JV73_FRMPD3.pdf", "Melting_Curves/meltCurve_Q5JV73_FRMPD3.pdf")</f>
        <v>Melting_Curves/meltCurve_Q5JV73_FRMPD3.pdf</v>
      </c>
    </row>
    <row r="3282" spans="1:28" x14ac:dyDescent="0.25">
      <c r="A3282" t="s">
        <v>3286</v>
      </c>
      <c r="B3282">
        <v>0.99299721793515405</v>
      </c>
      <c r="C3282">
        <v>0.88789597117238805</v>
      </c>
      <c r="D3282">
        <v>0.90068432257161501</v>
      </c>
      <c r="E3282">
        <v>0.58275457515733098</v>
      </c>
      <c r="F3282">
        <v>0.591424647001493</v>
      </c>
      <c r="G3282">
        <v>0.29995656522071201</v>
      </c>
      <c r="H3282">
        <v>0.193832256310707</v>
      </c>
      <c r="I3282">
        <v>0.245425590715147</v>
      </c>
      <c r="J3282">
        <v>0.21730633830659701</v>
      </c>
      <c r="K3282">
        <v>0.22714558601843199</v>
      </c>
      <c r="L3282">
        <v>607.68120937404001</v>
      </c>
      <c r="M3282">
        <v>12.6647800580043</v>
      </c>
      <c r="N3282">
        <v>49.684942609719499</v>
      </c>
      <c r="O3282">
        <v>46.8328788336147</v>
      </c>
      <c r="P3282">
        <v>-5.5713623817827199E-2</v>
      </c>
      <c r="Q3282">
        <v>0.176071458474337</v>
      </c>
      <c r="R3282">
        <v>0.96236856487182798</v>
      </c>
      <c r="S3282" t="s">
        <v>8833</v>
      </c>
      <c r="T3282" t="s">
        <v>11100</v>
      </c>
      <c r="U3282" t="s">
        <v>11100</v>
      </c>
      <c r="V3282" t="s">
        <v>11100</v>
      </c>
      <c r="W3282" t="s">
        <v>14334</v>
      </c>
      <c r="X3282">
        <v>3</v>
      </c>
      <c r="Y3282" t="s">
        <v>19778</v>
      </c>
      <c r="Z3282" t="s">
        <v>25287</v>
      </c>
      <c r="AA3282">
        <v>0.50150372684261446</v>
      </c>
      <c r="AB3282" t="str">
        <f>HYPERLINK("Melting_Curves/meltCurve_Q5JVF3_3_PCID2.pdf", "Melting_Curves/meltCurve_Q5JVF3_3_PCID2.pdf")</f>
        <v>Melting_Curves/meltCurve_Q5JVF3_3_PCID2.pdf</v>
      </c>
    </row>
    <row r="3283" spans="1:28" x14ac:dyDescent="0.25">
      <c r="A3283" t="s">
        <v>3287</v>
      </c>
      <c r="B3283">
        <v>0.99299721793515405</v>
      </c>
      <c r="C3283">
        <v>0.95012486891875103</v>
      </c>
      <c r="D3283">
        <v>0.99881852860237497</v>
      </c>
      <c r="E3283">
        <v>0.82844987190588104</v>
      </c>
      <c r="F3283">
        <v>0.70816478976965003</v>
      </c>
      <c r="G3283">
        <v>0.57252495513665802</v>
      </c>
      <c r="H3283">
        <v>0.48846436196970799</v>
      </c>
      <c r="I3283">
        <v>0.510454879973536</v>
      </c>
      <c r="J3283">
        <v>0.56610401856389003</v>
      </c>
      <c r="K3283">
        <v>0.58386602924791597</v>
      </c>
      <c r="L3283">
        <v>1050.40412752405</v>
      </c>
      <c r="M3283">
        <v>21.751920900700199</v>
      </c>
      <c r="O3283">
        <v>47.887570528229901</v>
      </c>
      <c r="P3283">
        <v>-5.2877016291043202E-2</v>
      </c>
      <c r="Q3283">
        <v>0.53436870175481399</v>
      </c>
      <c r="R3283">
        <v>0.96738079869244797</v>
      </c>
      <c r="S3283" t="s">
        <v>8834</v>
      </c>
      <c r="T3283" t="s">
        <v>11100</v>
      </c>
      <c r="U3283" t="s">
        <v>11100</v>
      </c>
      <c r="V3283" t="s">
        <v>11100</v>
      </c>
      <c r="W3283" t="s">
        <v>14335</v>
      </c>
      <c r="X3283">
        <v>4</v>
      </c>
      <c r="Y3283" t="s">
        <v>19779</v>
      </c>
      <c r="Z3283" t="s">
        <v>25288</v>
      </c>
      <c r="AA3283">
        <v>0.71482696363806042</v>
      </c>
      <c r="AB3283" t="str">
        <f>HYPERLINK("Melting_Curves/meltCurve_Q5JVS0_HABP4.pdf", "Melting_Curves/meltCurve_Q5JVS0_HABP4.pdf")</f>
        <v>Melting_Curves/meltCurve_Q5JVS0_HABP4.pdf</v>
      </c>
    </row>
    <row r="3284" spans="1:28" x14ac:dyDescent="0.25">
      <c r="A3284" t="s">
        <v>3288</v>
      </c>
      <c r="B3284">
        <v>0.99299721793515405</v>
      </c>
      <c r="C3284">
        <v>0.97415426933859195</v>
      </c>
      <c r="D3284">
        <v>0.81628604278416605</v>
      </c>
      <c r="E3284">
        <v>0.82224014280059499</v>
      </c>
      <c r="F3284">
        <v>0.70539245768939896</v>
      </c>
      <c r="G3284">
        <v>0.44794755003506698</v>
      </c>
      <c r="H3284">
        <v>0.42094689248084199</v>
      </c>
      <c r="I3284">
        <v>0.38710909805715299</v>
      </c>
      <c r="J3284">
        <v>0.265472733087739</v>
      </c>
      <c r="K3284">
        <v>0.16348396543334201</v>
      </c>
      <c r="L3284">
        <v>406.01856603742198</v>
      </c>
      <c r="M3284">
        <v>7.4091034534875897</v>
      </c>
      <c r="N3284">
        <v>54.799972935219301</v>
      </c>
      <c r="O3284">
        <v>51.232753860236102</v>
      </c>
      <c r="P3284">
        <v>-3.62085179528185E-2</v>
      </c>
      <c r="Q3284">
        <v>0</v>
      </c>
      <c r="R3284">
        <v>0.97131509019999496</v>
      </c>
      <c r="S3284" t="s">
        <v>8835</v>
      </c>
      <c r="T3284" t="s">
        <v>11100</v>
      </c>
      <c r="U3284" t="s">
        <v>11100</v>
      </c>
      <c r="V3284" t="s">
        <v>11100</v>
      </c>
      <c r="W3284" t="s">
        <v>14336</v>
      </c>
      <c r="X3284">
        <v>2</v>
      </c>
      <c r="Y3284" t="s">
        <v>19780</v>
      </c>
      <c r="Z3284" t="s">
        <v>25289</v>
      </c>
      <c r="AA3284">
        <v>0.59931461860603785</v>
      </c>
      <c r="AB3284" t="str">
        <f>HYPERLINK("Melting_Curves/meltCurve_Q5JW30_STAU1.pdf", "Melting_Curves/meltCurve_Q5JW30_STAU1.pdf")</f>
        <v>Melting_Curves/meltCurve_Q5JW30_STAU1.pdf</v>
      </c>
    </row>
    <row r="3285" spans="1:28" x14ac:dyDescent="0.25">
      <c r="A3285" t="s">
        <v>3289</v>
      </c>
      <c r="B3285">
        <v>0.99299721793515405</v>
      </c>
      <c r="C3285">
        <v>1.12094492185505</v>
      </c>
      <c r="D3285">
        <v>1.0140140609347601</v>
      </c>
      <c r="E3285">
        <v>1.14360834080184</v>
      </c>
      <c r="F3285">
        <v>0.90150922594546601</v>
      </c>
      <c r="G3285">
        <v>0.61448868736808304</v>
      </c>
      <c r="H3285">
        <v>0.58037586455808599</v>
      </c>
      <c r="I3285">
        <v>0.57940935565651697</v>
      </c>
      <c r="J3285">
        <v>0.65976339264502304</v>
      </c>
      <c r="K3285">
        <v>0.55156717110422104</v>
      </c>
      <c r="L3285">
        <v>3554.3765269813798</v>
      </c>
      <c r="M3285">
        <v>69.637435634931094</v>
      </c>
      <c r="O3285">
        <v>50.999131316356603</v>
      </c>
      <c r="P3285">
        <v>-0.138338546077967</v>
      </c>
      <c r="Q3285">
        <v>0.59474992025447004</v>
      </c>
      <c r="R3285">
        <v>0.91942859256599097</v>
      </c>
      <c r="S3285" t="s">
        <v>8836</v>
      </c>
      <c r="T3285" t="s">
        <v>11100</v>
      </c>
      <c r="U3285" t="s">
        <v>11100</v>
      </c>
      <c r="V3285" t="s">
        <v>11100</v>
      </c>
      <c r="W3285" t="s">
        <v>14337</v>
      </c>
      <c r="X3285">
        <v>2</v>
      </c>
      <c r="Y3285" t="s">
        <v>19781</v>
      </c>
      <c r="Z3285" t="s">
        <v>25290</v>
      </c>
      <c r="AA3285">
        <v>0.78489191972832395</v>
      </c>
      <c r="AB3285" t="str">
        <f>HYPERLINK("Melting_Curves/meltCurve_Q5JWB9_TMEM230.pdf", "Melting_Curves/meltCurve_Q5JWB9_TMEM230.pdf")</f>
        <v>Melting_Curves/meltCurve_Q5JWB9_TMEM230.pdf</v>
      </c>
    </row>
    <row r="3286" spans="1:28" x14ac:dyDescent="0.25">
      <c r="A3286" t="s">
        <v>3290</v>
      </c>
      <c r="B3286">
        <v>0.99299721793515405</v>
      </c>
      <c r="C3286">
        <v>0.79447701073568999</v>
      </c>
      <c r="D3286">
        <v>1.0929443197488899</v>
      </c>
      <c r="E3286">
        <v>0.77599726601038099</v>
      </c>
      <c r="F3286">
        <v>0.68351581358565705</v>
      </c>
      <c r="G3286">
        <v>0.53780251879173402</v>
      </c>
      <c r="H3286">
        <v>0.36378259281571501</v>
      </c>
      <c r="I3286">
        <v>0.25876866935451398</v>
      </c>
      <c r="J3286">
        <v>0.160213919662925</v>
      </c>
      <c r="K3286">
        <v>0.15985883284465</v>
      </c>
      <c r="L3286">
        <v>531.72862556983796</v>
      </c>
      <c r="M3286">
        <v>9.8239899731239699</v>
      </c>
      <c r="N3286">
        <v>54.233793002948403</v>
      </c>
      <c r="O3286">
        <v>52.025826542677997</v>
      </c>
      <c r="P3286">
        <v>-4.6773139048785203E-2</v>
      </c>
      <c r="Q3286">
        <v>9.7118853658989899E-3</v>
      </c>
      <c r="R3286">
        <v>0.93897943182284604</v>
      </c>
      <c r="S3286" t="s">
        <v>8837</v>
      </c>
      <c r="T3286" t="s">
        <v>11100</v>
      </c>
      <c r="U3286" t="s">
        <v>11100</v>
      </c>
      <c r="V3286" t="s">
        <v>11100</v>
      </c>
      <c r="W3286" t="s">
        <v>14338</v>
      </c>
      <c r="X3286">
        <v>4</v>
      </c>
      <c r="Y3286" t="s">
        <v>19782</v>
      </c>
      <c r="Z3286" t="s">
        <v>25291</v>
      </c>
      <c r="AA3286">
        <v>0.59164726284515723</v>
      </c>
      <c r="AB3286" t="str">
        <f>HYPERLINK("Melting_Curves/meltCurve_Q5JXX2_MORF4L2.pdf", "Melting_Curves/meltCurve_Q5JXX2_MORF4L2.pdf")</f>
        <v>Melting_Curves/meltCurve_Q5JXX2_MORF4L2.pdf</v>
      </c>
    </row>
    <row r="3287" spans="1:28" x14ac:dyDescent="0.25">
      <c r="A3287" t="s">
        <v>3291</v>
      </c>
      <c r="B3287">
        <v>0.99299721793515405</v>
      </c>
      <c r="C3287">
        <v>1.0442468762805099</v>
      </c>
      <c r="D3287">
        <v>0.93499378607352501</v>
      </c>
      <c r="E3287">
        <v>0.89472357131319102</v>
      </c>
      <c r="F3287">
        <v>0.38352765957913498</v>
      </c>
      <c r="G3287">
        <v>0.23492509512003601</v>
      </c>
      <c r="H3287">
        <v>0.171893331145511</v>
      </c>
      <c r="I3287">
        <v>0.147451649487405</v>
      </c>
      <c r="J3287">
        <v>0.134078625498709</v>
      </c>
      <c r="K3287">
        <v>0.105752955338744</v>
      </c>
      <c r="L3287">
        <v>1653.9318924637901</v>
      </c>
      <c r="M3287">
        <v>33.770683194730097</v>
      </c>
      <c r="N3287">
        <v>49.482940268258801</v>
      </c>
      <c r="O3287">
        <v>48.804614151846003</v>
      </c>
      <c r="P3287">
        <v>-0.147666882155983</v>
      </c>
      <c r="Q3287">
        <v>0.146384622268042</v>
      </c>
      <c r="R3287">
        <v>0.99257505878927899</v>
      </c>
      <c r="S3287" t="s">
        <v>8838</v>
      </c>
      <c r="T3287" t="s">
        <v>11100</v>
      </c>
      <c r="U3287" t="s">
        <v>11100</v>
      </c>
      <c r="V3287" t="s">
        <v>11100</v>
      </c>
      <c r="W3287" t="s">
        <v>14339</v>
      </c>
      <c r="X3287">
        <v>7</v>
      </c>
      <c r="Y3287" t="s">
        <v>19783</v>
      </c>
      <c r="Z3287" t="s">
        <v>25292</v>
      </c>
      <c r="AA3287">
        <v>0.49119098286105811</v>
      </c>
      <c r="AB3287" t="str">
        <f>HYPERLINK("Melting_Curves/meltCurve_Q5JY65_CRNKL1.pdf", "Melting_Curves/meltCurve_Q5JY65_CRNKL1.pdf")</f>
        <v>Melting_Curves/meltCurve_Q5JY65_CRNKL1.pdf</v>
      </c>
    </row>
    <row r="3288" spans="1:28" x14ac:dyDescent="0.25">
      <c r="A3288" t="s">
        <v>3292</v>
      </c>
      <c r="B3288">
        <v>0.99299721793515405</v>
      </c>
      <c r="C3288">
        <v>1.0300314909046699</v>
      </c>
      <c r="D3288">
        <v>0.35473311627168902</v>
      </c>
      <c r="E3288">
        <v>0.48159428707069102</v>
      </c>
      <c r="F3288">
        <v>0.538994177440557</v>
      </c>
      <c r="G3288">
        <v>0.23184711436077601</v>
      </c>
      <c r="H3288">
        <v>0.216327570193456</v>
      </c>
      <c r="I3288">
        <v>0.26596591224840999</v>
      </c>
      <c r="J3288">
        <v>0.172537652202051</v>
      </c>
      <c r="K3288">
        <v>0</v>
      </c>
      <c r="L3288">
        <v>423.53855527773101</v>
      </c>
      <c r="M3288">
        <v>9.2878424009401499</v>
      </c>
      <c r="N3288">
        <v>46.6374622693818</v>
      </c>
      <c r="O3288">
        <v>43.637011455879403</v>
      </c>
      <c r="P3288">
        <v>-4.8281648117212403E-2</v>
      </c>
      <c r="Q3288">
        <v>9.3218910862055596E-2</v>
      </c>
      <c r="R3288">
        <v>0.79597520388327103</v>
      </c>
      <c r="S3288" t="s">
        <v>8839</v>
      </c>
      <c r="T3288" t="s">
        <v>11100</v>
      </c>
      <c r="U3288" t="s">
        <v>11100</v>
      </c>
      <c r="V3288" t="s">
        <v>11100</v>
      </c>
      <c r="W3288" t="s">
        <v>14340</v>
      </c>
      <c r="X3288">
        <v>2</v>
      </c>
      <c r="Y3288" t="s">
        <v>19784</v>
      </c>
      <c r="Z3288" t="s">
        <v>25293</v>
      </c>
      <c r="AA3288">
        <v>0.40136768607634471</v>
      </c>
      <c r="AB3288" t="str">
        <f>HYPERLINK("Melting_Curves/meltCurve_Q5JZH3_SNX21.pdf", "Melting_Curves/meltCurve_Q5JZH3_SNX21.pdf")</f>
        <v>Melting_Curves/meltCurve_Q5JZH3_SNX21.pdf</v>
      </c>
    </row>
    <row r="3289" spans="1:28" x14ac:dyDescent="0.25">
      <c r="A3289" t="s">
        <v>3293</v>
      </c>
      <c r="B3289">
        <v>0.99299721793515405</v>
      </c>
      <c r="C3289">
        <v>0.96828736981965702</v>
      </c>
      <c r="D3289">
        <v>0.90918882217119001</v>
      </c>
      <c r="E3289">
        <v>0.70873017085461798</v>
      </c>
      <c r="F3289">
        <v>0.280620383212143</v>
      </c>
      <c r="G3289">
        <v>0.246307058466884</v>
      </c>
      <c r="H3289">
        <v>0.13788465125527199</v>
      </c>
      <c r="I3289">
        <v>0.103074689471655</v>
      </c>
      <c r="J3289">
        <v>0.109688906821359</v>
      </c>
      <c r="K3289">
        <v>9.1665963837763306E-2</v>
      </c>
      <c r="L3289">
        <v>1044.17767252266</v>
      </c>
      <c r="M3289">
        <v>21.855580643059898</v>
      </c>
      <c r="N3289">
        <v>48.319614326412299</v>
      </c>
      <c r="O3289">
        <v>47.381666710125998</v>
      </c>
      <c r="P3289">
        <v>-0.102755450258915</v>
      </c>
      <c r="Q3289">
        <v>0.108948365301901</v>
      </c>
      <c r="R3289">
        <v>0.99244765778485899</v>
      </c>
      <c r="S3289" t="s">
        <v>8840</v>
      </c>
      <c r="T3289" t="s">
        <v>11100</v>
      </c>
      <c r="U3289" t="s">
        <v>11100</v>
      </c>
      <c r="V3289" t="s">
        <v>11100</v>
      </c>
      <c r="W3289" t="s">
        <v>14341</v>
      </c>
      <c r="X3289">
        <v>4</v>
      </c>
      <c r="Y3289" t="s">
        <v>19785</v>
      </c>
      <c r="Z3289" t="s">
        <v>25294</v>
      </c>
      <c r="AA3289">
        <v>0.43888105185787563</v>
      </c>
      <c r="AB3289" t="str">
        <f>HYPERLINK("Melting_Curves/meltCurve_Q5K4L6_SLC27A3.pdf", "Melting_Curves/meltCurve_Q5K4L6_SLC27A3.pdf")</f>
        <v>Melting_Curves/meltCurve_Q5K4L6_SLC27A3.pdf</v>
      </c>
    </row>
    <row r="3290" spans="1:28" x14ac:dyDescent="0.25">
      <c r="A3290" t="s">
        <v>3294</v>
      </c>
      <c r="B3290">
        <v>0.99299721793515405</v>
      </c>
      <c r="C3290">
        <v>1.33406516426398</v>
      </c>
      <c r="D3290">
        <v>2.09289422771697</v>
      </c>
      <c r="E3290">
        <v>1.1073232087392</v>
      </c>
      <c r="F3290">
        <v>1.1106066323169801</v>
      </c>
      <c r="G3290">
        <v>0.56679011609969698</v>
      </c>
      <c r="H3290">
        <v>0.348925713497727</v>
      </c>
      <c r="I3290">
        <v>0.34593283817037401</v>
      </c>
      <c r="J3290">
        <v>0.32843941221296502</v>
      </c>
      <c r="K3290">
        <v>0.35734405918878498</v>
      </c>
      <c r="L3290">
        <v>13413.942456729201</v>
      </c>
      <c r="M3290">
        <v>250</v>
      </c>
      <c r="N3290">
        <v>53.908540135870602</v>
      </c>
      <c r="O3290">
        <v>53.652336387312502</v>
      </c>
      <c r="P3290">
        <v>-0.76282735055970496</v>
      </c>
      <c r="Q3290">
        <v>0.34516048900566898</v>
      </c>
      <c r="R3290">
        <v>0.56141262898287603</v>
      </c>
      <c r="S3290" t="s">
        <v>8841</v>
      </c>
      <c r="T3290" t="s">
        <v>11100</v>
      </c>
      <c r="U3290" t="s">
        <v>11100</v>
      </c>
      <c r="V3290" t="s">
        <v>11100</v>
      </c>
      <c r="W3290" t="s">
        <v>14342</v>
      </c>
      <c r="X3290">
        <v>6</v>
      </c>
      <c r="Y3290" t="s">
        <v>19786</v>
      </c>
      <c r="Z3290" t="s">
        <v>25295</v>
      </c>
      <c r="AA3290">
        <v>0.70878402428480092</v>
      </c>
      <c r="AB3290" t="str">
        <f>HYPERLINK("Melting_Curves/meltCurve_Q5M775_SPECC1.pdf", "Melting_Curves/meltCurve_Q5M775_SPECC1.pdf")</f>
        <v>Melting_Curves/meltCurve_Q5M775_SPECC1.pdf</v>
      </c>
    </row>
    <row r="3291" spans="1:28" x14ac:dyDescent="0.25">
      <c r="A3291" t="s">
        <v>3295</v>
      </c>
      <c r="B3291">
        <v>0.99299721793515405</v>
      </c>
      <c r="C3291">
        <v>0.88040782366203396</v>
      </c>
      <c r="D3291">
        <v>1.0527620808673901</v>
      </c>
      <c r="E3291">
        <v>0.82507060855951497</v>
      </c>
      <c r="F3291">
        <v>0.78713295418446205</v>
      </c>
      <c r="G3291">
        <v>0.490827370600738</v>
      </c>
      <c r="H3291">
        <v>0.52792969605636098</v>
      </c>
      <c r="I3291">
        <v>0.52459243505144304</v>
      </c>
      <c r="J3291">
        <v>0.60582910826741698</v>
      </c>
      <c r="K3291">
        <v>0.38217091152142701</v>
      </c>
      <c r="L3291">
        <v>994.11474124514598</v>
      </c>
      <c r="M3291">
        <v>20.056804094806701</v>
      </c>
      <c r="N3291">
        <v>60.693488753296997</v>
      </c>
      <c r="O3291">
        <v>49.080133766082199</v>
      </c>
      <c r="P3291">
        <v>-5.2375075527240897E-2</v>
      </c>
      <c r="Q3291">
        <v>0.48735744235664302</v>
      </c>
      <c r="R3291">
        <v>0.87252762613310997</v>
      </c>
      <c r="S3291" t="s">
        <v>8842</v>
      </c>
      <c r="T3291" t="s">
        <v>11100</v>
      </c>
      <c r="U3291" t="s">
        <v>11100</v>
      </c>
      <c r="V3291" t="s">
        <v>11100</v>
      </c>
      <c r="W3291" t="s">
        <v>14343</v>
      </c>
      <c r="X3291">
        <v>2</v>
      </c>
      <c r="Y3291" t="s">
        <v>19787</v>
      </c>
      <c r="Z3291" t="s">
        <v>25296</v>
      </c>
      <c r="AA3291">
        <v>0.70879031883747368</v>
      </c>
      <c r="AB3291" t="str">
        <f>HYPERLINK("Melting_Curves/meltCurve_Q5MNZ6_WDR45B.pdf", "Melting_Curves/meltCurve_Q5MNZ6_WDR45B.pdf")</f>
        <v>Melting_Curves/meltCurve_Q5MNZ6_WDR45B.pdf</v>
      </c>
    </row>
    <row r="3292" spans="1:28" x14ac:dyDescent="0.25">
      <c r="A3292" t="s">
        <v>3296</v>
      </c>
      <c r="B3292">
        <v>0.99299721793515405</v>
      </c>
      <c r="C3292">
        <v>0.93740302854996505</v>
      </c>
      <c r="D3292">
        <v>0.81392735695557705</v>
      </c>
      <c r="E3292">
        <v>0.64092238464971196</v>
      </c>
      <c r="F3292">
        <v>0.52965469533467602</v>
      </c>
      <c r="G3292">
        <v>0.38109843908950802</v>
      </c>
      <c r="H3292">
        <v>0.28393914903527401</v>
      </c>
      <c r="I3292">
        <v>0.22550874498674001</v>
      </c>
      <c r="J3292">
        <v>0.29343174894538399</v>
      </c>
      <c r="K3292">
        <v>0.18864586767378499</v>
      </c>
      <c r="L3292">
        <v>528.74031380101906</v>
      </c>
      <c r="M3292">
        <v>10.9870834946048</v>
      </c>
      <c r="N3292">
        <v>50.193279092152899</v>
      </c>
      <c r="O3292">
        <v>46.612022630321498</v>
      </c>
      <c r="P3292">
        <v>-4.8211402862578599E-2</v>
      </c>
      <c r="Q3292">
        <v>0.18214173847155199</v>
      </c>
      <c r="R3292">
        <v>0.99017264913514402</v>
      </c>
      <c r="S3292" t="s">
        <v>8843</v>
      </c>
      <c r="T3292" t="s">
        <v>11100</v>
      </c>
      <c r="U3292" t="s">
        <v>11100</v>
      </c>
      <c r="V3292" t="s">
        <v>11100</v>
      </c>
      <c r="W3292" t="s">
        <v>14344</v>
      </c>
      <c r="X3292">
        <v>2</v>
      </c>
      <c r="Y3292" t="s">
        <v>19788</v>
      </c>
      <c r="Z3292" t="s">
        <v>25297</v>
      </c>
      <c r="AA3292">
        <v>0.51418952060360656</v>
      </c>
      <c r="AB3292" t="str">
        <f>HYPERLINK("Melting_Curves/meltCurve_Q5NDL2_EOGT.pdf", "Melting_Curves/meltCurve_Q5NDL2_EOGT.pdf")</f>
        <v>Melting_Curves/meltCurve_Q5NDL2_EOGT.pdf</v>
      </c>
    </row>
    <row r="3293" spans="1:28" x14ac:dyDescent="0.25">
      <c r="A3293" t="s">
        <v>3297</v>
      </c>
      <c r="B3293">
        <v>0.99299721793515405</v>
      </c>
      <c r="C3293">
        <v>0.94847102887208401</v>
      </c>
      <c r="D3293">
        <v>0.909348622763134</v>
      </c>
      <c r="E3293">
        <v>0.80923760437540804</v>
      </c>
      <c r="F3293">
        <v>0.74172830831801195</v>
      </c>
      <c r="G3293">
        <v>0.438020544318105</v>
      </c>
      <c r="H3293">
        <v>0.317472518439322</v>
      </c>
      <c r="I3293">
        <v>0.299073156003831</v>
      </c>
      <c r="J3293">
        <v>0.22562878184489801</v>
      </c>
      <c r="K3293">
        <v>0.15651020346451</v>
      </c>
      <c r="L3293">
        <v>595.51575035817496</v>
      </c>
      <c r="M3293">
        <v>11.359135804081101</v>
      </c>
      <c r="N3293">
        <v>53.573478627225498</v>
      </c>
      <c r="O3293">
        <v>50.880181160967702</v>
      </c>
      <c r="P3293">
        <v>-4.9801909944789099E-2</v>
      </c>
      <c r="Q3293">
        <v>0.10796904623385099</v>
      </c>
      <c r="R3293">
        <v>0.98576275241613798</v>
      </c>
      <c r="S3293" t="s">
        <v>8844</v>
      </c>
      <c r="T3293" t="s">
        <v>11100</v>
      </c>
      <c r="U3293" t="s">
        <v>11100</v>
      </c>
      <c r="V3293" t="s">
        <v>11100</v>
      </c>
      <c r="W3293" t="s">
        <v>14345</v>
      </c>
      <c r="X3293">
        <v>6</v>
      </c>
      <c r="Y3293" t="s">
        <v>19789</v>
      </c>
      <c r="Z3293" t="s">
        <v>25298</v>
      </c>
      <c r="AA3293">
        <v>0.58758985879784242</v>
      </c>
      <c r="AB3293" t="str">
        <f>HYPERLINK("Melting_Curves/meltCurve_Q5QJ74_TBCEL.pdf", "Melting_Curves/meltCurve_Q5QJ74_TBCEL.pdf")</f>
        <v>Melting_Curves/meltCurve_Q5QJ74_TBCEL.pdf</v>
      </c>
    </row>
    <row r="3294" spans="1:28" x14ac:dyDescent="0.25">
      <c r="A3294" t="s">
        <v>3298</v>
      </c>
      <c r="B3294">
        <v>0.99299721793515405</v>
      </c>
      <c r="C3294">
        <v>0.96913435641182999</v>
      </c>
      <c r="D3294">
        <v>0.89398673891591696</v>
      </c>
      <c r="E3294">
        <v>0.90051879530241496</v>
      </c>
      <c r="F3294">
        <v>0.80333891255918399</v>
      </c>
      <c r="G3294">
        <v>0.56688754376314099</v>
      </c>
      <c r="H3294">
        <v>0.58167730161880404</v>
      </c>
      <c r="I3294">
        <v>0.67035464532760802</v>
      </c>
      <c r="J3294">
        <v>0.77504563287182604</v>
      </c>
      <c r="K3294">
        <v>0.58477213511932602</v>
      </c>
      <c r="L3294">
        <v>1069.2880628897501</v>
      </c>
      <c r="M3294">
        <v>22.137378387899801</v>
      </c>
      <c r="O3294">
        <v>47.913392649344502</v>
      </c>
      <c r="P3294">
        <v>-4.2103722068320602E-2</v>
      </c>
      <c r="Q3294">
        <v>0.63549634782409303</v>
      </c>
      <c r="R3294">
        <v>0.80011112964541797</v>
      </c>
      <c r="S3294" t="s">
        <v>8845</v>
      </c>
      <c r="T3294" t="s">
        <v>11100</v>
      </c>
      <c r="U3294" t="s">
        <v>11100</v>
      </c>
      <c r="V3294" t="s">
        <v>11100</v>
      </c>
      <c r="W3294" t="s">
        <v>14346</v>
      </c>
      <c r="X3294">
        <v>14</v>
      </c>
      <c r="Y3294" t="s">
        <v>19790</v>
      </c>
      <c r="Z3294" t="s">
        <v>25299</v>
      </c>
      <c r="AA3294">
        <v>0.77677505747702147</v>
      </c>
      <c r="AB3294" t="str">
        <f>HYPERLINK("Melting_Curves/meltCurve_Q5QNY5_PEX19.pdf", "Melting_Curves/meltCurve_Q5QNY5_PEX19.pdf")</f>
        <v>Melting_Curves/meltCurve_Q5QNY5_PEX19.pdf</v>
      </c>
    </row>
    <row r="3295" spans="1:28" x14ac:dyDescent="0.25">
      <c r="A3295" t="s">
        <v>3299</v>
      </c>
      <c r="B3295">
        <v>0.99299721793515405</v>
      </c>
      <c r="C3295">
        <v>0.86489061630820196</v>
      </c>
      <c r="D3295">
        <v>1.06198982500497</v>
      </c>
      <c r="E3295">
        <v>0.745671476228431</v>
      </c>
      <c r="F3295">
        <v>0.698328875254565</v>
      </c>
      <c r="G3295">
        <v>0.609190349657596</v>
      </c>
      <c r="H3295">
        <v>0.56942718223006195</v>
      </c>
      <c r="I3295">
        <v>0.54051288512109097</v>
      </c>
      <c r="J3295">
        <v>0.57447702136138701</v>
      </c>
      <c r="K3295">
        <v>1.0357993283261799</v>
      </c>
      <c r="L3295">
        <v>11592.709489809</v>
      </c>
      <c r="M3295">
        <v>250</v>
      </c>
      <c r="O3295">
        <v>46.367870591365097</v>
      </c>
      <c r="P3295">
        <v>-0.443074487157608</v>
      </c>
      <c r="Q3295">
        <v>0.67128927307203901</v>
      </c>
      <c r="R3295">
        <v>0.479384522148046</v>
      </c>
      <c r="S3295" t="s">
        <v>8846</v>
      </c>
      <c r="T3295" t="s">
        <v>11100</v>
      </c>
      <c r="U3295" t="s">
        <v>11100</v>
      </c>
      <c r="V3295" t="s">
        <v>11100</v>
      </c>
      <c r="W3295" t="s">
        <v>14347</v>
      </c>
      <c r="X3295">
        <v>2</v>
      </c>
      <c r="Y3295" t="s">
        <v>19791</v>
      </c>
      <c r="Z3295" t="s">
        <v>25300</v>
      </c>
      <c r="AA3295">
        <v>0.77399252216700209</v>
      </c>
      <c r="AB3295" t="str">
        <f>HYPERLINK("Melting_Curves/meltCurve_Q5QNZ2_ATP5F1.pdf", "Melting_Curves/meltCurve_Q5QNZ2_ATP5F1.pdf")</f>
        <v>Melting_Curves/meltCurve_Q5QNZ2_ATP5F1.pdf</v>
      </c>
    </row>
    <row r="3296" spans="1:28" x14ac:dyDescent="0.25">
      <c r="A3296" t="s">
        <v>3300</v>
      </c>
      <c r="B3296">
        <v>0.99299721793515405</v>
      </c>
      <c r="C3296">
        <v>0.86573352053048203</v>
      </c>
      <c r="D3296">
        <v>0.95631236203736703</v>
      </c>
      <c r="E3296">
        <v>0.80528105706969899</v>
      </c>
      <c r="F3296">
        <v>0.65877937090147498</v>
      </c>
      <c r="G3296">
        <v>0.483146244137241</v>
      </c>
      <c r="H3296">
        <v>0.45964569303749803</v>
      </c>
      <c r="I3296">
        <v>0.445414451023528</v>
      </c>
      <c r="J3296">
        <v>0.15108387197728701</v>
      </c>
      <c r="K3296">
        <v>8.6550056439473597E-2</v>
      </c>
      <c r="L3296">
        <v>452.25556408804499</v>
      </c>
      <c r="M3296">
        <v>8.2672371503871105</v>
      </c>
      <c r="N3296">
        <v>54.704561019318398</v>
      </c>
      <c r="O3296">
        <v>51.783933857199699</v>
      </c>
      <c r="P3296">
        <v>-3.99520884117592E-2</v>
      </c>
      <c r="Q3296">
        <v>0</v>
      </c>
      <c r="R3296">
        <v>0.94199833299371105</v>
      </c>
      <c r="S3296" t="s">
        <v>8847</v>
      </c>
      <c r="T3296" t="s">
        <v>11100</v>
      </c>
      <c r="U3296" t="s">
        <v>11100</v>
      </c>
      <c r="V3296" t="s">
        <v>11100</v>
      </c>
      <c r="W3296" t="s">
        <v>14348</v>
      </c>
      <c r="X3296">
        <v>8</v>
      </c>
      <c r="Y3296" t="s">
        <v>19792</v>
      </c>
      <c r="Z3296" t="s">
        <v>25301</v>
      </c>
      <c r="AA3296">
        <v>0.60018944428316345</v>
      </c>
      <c r="AB3296" t="str">
        <f>HYPERLINK("Melting_Curves/meltCurve_Q5QPK2_DPM1.pdf", "Melting_Curves/meltCurve_Q5QPK2_DPM1.pdf")</f>
        <v>Melting_Curves/meltCurve_Q5QPK2_DPM1.pdf</v>
      </c>
    </row>
    <row r="3297" spans="1:28" x14ac:dyDescent="0.25">
      <c r="A3297" t="s">
        <v>3301</v>
      </c>
      <c r="B3297">
        <v>0.99299721793515405</v>
      </c>
      <c r="C3297">
        <v>0.96752035245963497</v>
      </c>
      <c r="D3297">
        <v>0.928686754404078</v>
      </c>
      <c r="E3297">
        <v>0.82808157854522302</v>
      </c>
      <c r="F3297">
        <v>0.98283463369271395</v>
      </c>
      <c r="G3297">
        <v>0.53092403586673498</v>
      </c>
      <c r="H3297">
        <v>0.34021353723563602</v>
      </c>
      <c r="I3297">
        <v>0.297858934213664</v>
      </c>
      <c r="J3297">
        <v>0.165906599628285</v>
      </c>
      <c r="K3297">
        <v>0.17976728426833199</v>
      </c>
      <c r="L3297">
        <v>1434.4826589285999</v>
      </c>
      <c r="M3297">
        <v>26.747359756154601</v>
      </c>
      <c r="N3297">
        <v>54.6739415983321</v>
      </c>
      <c r="O3297">
        <v>53.333722223406298</v>
      </c>
      <c r="P3297">
        <v>-0.10032211650207799</v>
      </c>
      <c r="Q3297">
        <v>0.19984672695689801</v>
      </c>
      <c r="R3297">
        <v>0.95529383901943599</v>
      </c>
      <c r="S3297" t="s">
        <v>8848</v>
      </c>
      <c r="T3297" t="s">
        <v>11100</v>
      </c>
      <c r="U3297" t="s">
        <v>11100</v>
      </c>
      <c r="V3297" t="s">
        <v>11100</v>
      </c>
      <c r="W3297" t="s">
        <v>14349</v>
      </c>
      <c r="X3297">
        <v>1</v>
      </c>
      <c r="Y3297" t="s">
        <v>19793</v>
      </c>
      <c r="Z3297" t="s">
        <v>25302</v>
      </c>
      <c r="AA3297">
        <v>0.64968665117411262</v>
      </c>
      <c r="AB3297" t="str">
        <f>HYPERLINK("Melting_Curves/meltCurve_Q5R363_SRPK1.pdf", "Melting_Curves/meltCurve_Q5R363_SRPK1.pdf")</f>
        <v>Melting_Curves/meltCurve_Q5R363_SRPK1.pdf</v>
      </c>
    </row>
    <row r="3298" spans="1:28" x14ac:dyDescent="0.25">
      <c r="A3298" t="s">
        <v>3302</v>
      </c>
      <c r="B3298">
        <v>0.99299721793515405</v>
      </c>
      <c r="C3298">
        <v>0.90929568162894803</v>
      </c>
      <c r="D3298">
        <v>0.98076860024741197</v>
      </c>
      <c r="E3298">
        <v>0.81638711570282796</v>
      </c>
      <c r="F3298">
        <v>0.73420808595042097</v>
      </c>
      <c r="G3298">
        <v>0.51801722033633602</v>
      </c>
      <c r="H3298">
        <v>0.26949608405723102</v>
      </c>
      <c r="I3298">
        <v>0.224506014796343</v>
      </c>
      <c r="J3298">
        <v>0.20367596906574301</v>
      </c>
      <c r="K3298">
        <v>0.17033942055322299</v>
      </c>
      <c r="L3298">
        <v>709.98899609682599</v>
      </c>
      <c r="M3298">
        <v>13.503940455965401</v>
      </c>
      <c r="N3298">
        <v>53.592836220896899</v>
      </c>
      <c r="O3298">
        <v>51.4636260142533</v>
      </c>
      <c r="P3298">
        <v>-5.8197526181363202E-2</v>
      </c>
      <c r="Q3298">
        <v>0.11297016115290801</v>
      </c>
      <c r="R3298">
        <v>0.98503559426792597</v>
      </c>
      <c r="S3298" t="s">
        <v>8849</v>
      </c>
      <c r="T3298" t="s">
        <v>11100</v>
      </c>
      <c r="U3298" t="s">
        <v>11100</v>
      </c>
      <c r="V3298" t="s">
        <v>11100</v>
      </c>
      <c r="W3298" t="s">
        <v>14350</v>
      </c>
      <c r="X3298">
        <v>8</v>
      </c>
      <c r="Y3298" t="s">
        <v>17245</v>
      </c>
      <c r="Z3298" t="s">
        <v>25303</v>
      </c>
      <c r="AA3298">
        <v>0.59160335281312326</v>
      </c>
      <c r="AB3298" t="str">
        <f>HYPERLINK("Melting_Curves/meltCurve_Q5R372_4_RABGAP1L.pdf", "Melting_Curves/meltCurve_Q5R372_4_RABGAP1L.pdf")</f>
        <v>Melting_Curves/meltCurve_Q5R372_4_RABGAP1L.pdf</v>
      </c>
    </row>
    <row r="3299" spans="1:28" x14ac:dyDescent="0.25">
      <c r="A3299" t="s">
        <v>3303</v>
      </c>
      <c r="B3299">
        <v>0.99299721793515405</v>
      </c>
      <c r="C3299">
        <v>1.1196973820051701</v>
      </c>
      <c r="D3299">
        <v>1.00462434144691</v>
      </c>
      <c r="E3299">
        <v>0.91939087340114101</v>
      </c>
      <c r="F3299">
        <v>0.36195806972581301</v>
      </c>
      <c r="G3299">
        <v>0.16843392938805199</v>
      </c>
      <c r="H3299">
        <v>9.3710349165890494E-2</v>
      </c>
      <c r="I3299">
        <v>6.1076610824472001E-2</v>
      </c>
      <c r="J3299">
        <v>1.16859534041141E-2</v>
      </c>
      <c r="K3299">
        <v>2.53520862757226E-2</v>
      </c>
      <c r="L3299">
        <v>1730.01409056743</v>
      </c>
      <c r="M3299">
        <v>35.0751224036214</v>
      </c>
      <c r="N3299">
        <v>49.494664858161798</v>
      </c>
      <c r="O3299">
        <v>49.163606840177899</v>
      </c>
      <c r="P3299">
        <v>-0.16815086375814001</v>
      </c>
      <c r="Q3299">
        <v>5.7237895485663298E-2</v>
      </c>
      <c r="R3299">
        <v>0.98804361218307002</v>
      </c>
      <c r="S3299" t="s">
        <v>8850</v>
      </c>
      <c r="T3299" t="s">
        <v>11100</v>
      </c>
      <c r="U3299" t="s">
        <v>11100</v>
      </c>
      <c r="V3299" t="s">
        <v>11100</v>
      </c>
      <c r="W3299" t="s">
        <v>14351</v>
      </c>
      <c r="X3299">
        <v>3</v>
      </c>
      <c r="Y3299" t="s">
        <v>19794</v>
      </c>
      <c r="Z3299" t="s">
        <v>25304</v>
      </c>
      <c r="AA3299">
        <v>0.4486809473955588</v>
      </c>
      <c r="AB3299" t="str">
        <f>HYPERLINK("Melting_Curves/meltCurve_Q5RGS4_PLEKHA1.pdf", "Melting_Curves/meltCurve_Q5RGS4_PLEKHA1.pdf")</f>
        <v>Melting_Curves/meltCurve_Q5RGS4_PLEKHA1.pdf</v>
      </c>
    </row>
    <row r="3300" spans="1:28" x14ac:dyDescent="0.25">
      <c r="A3300" t="s">
        <v>3304</v>
      </c>
      <c r="B3300">
        <v>0.99299721793515405</v>
      </c>
      <c r="C3300">
        <v>0.92315296370708899</v>
      </c>
      <c r="D3300">
        <v>0.93484636638656105</v>
      </c>
      <c r="E3300">
        <v>0.810247070860454</v>
      </c>
      <c r="F3300">
        <v>0.73352747021581599</v>
      </c>
      <c r="G3300">
        <v>0.53012275185027902</v>
      </c>
      <c r="H3300">
        <v>0.54154096245348304</v>
      </c>
      <c r="I3300">
        <v>0.60587375240081698</v>
      </c>
      <c r="J3300">
        <v>0.62105599560993197</v>
      </c>
      <c r="K3300">
        <v>0.47957814453335301</v>
      </c>
      <c r="L3300">
        <v>730.56291256312795</v>
      </c>
      <c r="M3300">
        <v>15.319368871451299</v>
      </c>
      <c r="O3300">
        <v>46.898378617111199</v>
      </c>
      <c r="P3300">
        <v>-3.77322711404924E-2</v>
      </c>
      <c r="Q3300">
        <v>0.53799201139764596</v>
      </c>
      <c r="R3300">
        <v>0.92320271836602297</v>
      </c>
      <c r="S3300" t="s">
        <v>8851</v>
      </c>
      <c r="T3300" t="s">
        <v>11100</v>
      </c>
      <c r="U3300" t="s">
        <v>11100</v>
      </c>
      <c r="V3300" t="s">
        <v>11100</v>
      </c>
      <c r="W3300" t="s">
        <v>14352</v>
      </c>
      <c r="X3300">
        <v>6</v>
      </c>
      <c r="Y3300" t="s">
        <v>19795</v>
      </c>
      <c r="Z3300" t="s">
        <v>25305</v>
      </c>
      <c r="AA3300">
        <v>0.71248231472858081</v>
      </c>
      <c r="AB3300" t="str">
        <f>HYPERLINK("Melting_Curves/meltCurve_Q5RI15_COX20.pdf", "Melting_Curves/meltCurve_Q5RI15_COX20.pdf")</f>
        <v>Melting_Curves/meltCurve_Q5RI15_COX20.pdf</v>
      </c>
    </row>
    <row r="3301" spans="1:28" x14ac:dyDescent="0.25">
      <c r="A3301" t="s">
        <v>3305</v>
      </c>
      <c r="B3301">
        <v>0.99299721793515405</v>
      </c>
      <c r="C3301">
        <v>0.89230744296994502</v>
      </c>
      <c r="D3301">
        <v>1.0473107244894899</v>
      </c>
      <c r="E3301">
        <v>0.80266718573560003</v>
      </c>
      <c r="F3301">
        <v>0.85734669323584101</v>
      </c>
      <c r="G3301">
        <v>1.22764918448211</v>
      </c>
      <c r="H3301">
        <v>1.4202703074799401</v>
      </c>
      <c r="I3301">
        <v>1.63911182293344</v>
      </c>
      <c r="J3301">
        <v>1.2206730765045799</v>
      </c>
      <c r="K3301">
        <v>0.93014284106887002</v>
      </c>
      <c r="L3301">
        <v>13390.1933770956</v>
      </c>
      <c r="M3301">
        <v>250</v>
      </c>
      <c r="O3301">
        <v>53.557345986414902</v>
      </c>
      <c r="P3301">
        <v>0.353067247160886</v>
      </c>
      <c r="Q3301">
        <v>1.3025495149786901</v>
      </c>
      <c r="R3301">
        <v>0.47420654205447799</v>
      </c>
      <c r="S3301" t="s">
        <v>8852</v>
      </c>
      <c r="T3301" t="s">
        <v>11100</v>
      </c>
      <c r="U3301" t="s">
        <v>11100</v>
      </c>
      <c r="V3301" t="s">
        <v>11100</v>
      </c>
      <c r="W3301" t="s">
        <v>14353</v>
      </c>
      <c r="X3301">
        <v>8</v>
      </c>
      <c r="Y3301" t="s">
        <v>19796</v>
      </c>
      <c r="Z3301" t="s">
        <v>25306</v>
      </c>
      <c r="AA3301">
        <v>1.135505942743614</v>
      </c>
      <c r="AB3301" t="str">
        <f>HYPERLINK("Melting_Curves/meltCurve_Q5RKV6_EXOSC6.pdf", "Melting_Curves/meltCurve_Q5RKV6_EXOSC6.pdf")</f>
        <v>Melting_Curves/meltCurve_Q5RKV6_EXOSC6.pdf</v>
      </c>
    </row>
    <row r="3302" spans="1:28" x14ac:dyDescent="0.25">
      <c r="A3302" t="s">
        <v>3306</v>
      </c>
      <c r="B3302">
        <v>0.99299721793515405</v>
      </c>
      <c r="C3302">
        <v>1.3732506953232699</v>
      </c>
      <c r="D3302">
        <v>0.64737072518295102</v>
      </c>
      <c r="E3302">
        <v>0.99331212580299599</v>
      </c>
      <c r="F3302">
        <v>0.775661429930249</v>
      </c>
      <c r="G3302">
        <v>0</v>
      </c>
      <c r="H3302">
        <v>0.32021092735266399</v>
      </c>
      <c r="I3302">
        <v>0.71720179679955698</v>
      </c>
      <c r="J3302">
        <v>0.34417292649560299</v>
      </c>
      <c r="K3302">
        <v>0.179770212554552</v>
      </c>
      <c r="L3302">
        <v>12586.415695662599</v>
      </c>
      <c r="M3302">
        <v>250</v>
      </c>
      <c r="N3302">
        <v>50.543702754614699</v>
      </c>
      <c r="O3302">
        <v>50.342450368362101</v>
      </c>
      <c r="P3302">
        <v>-0.85381341977861502</v>
      </c>
      <c r="Q3302">
        <v>0.31227117315050901</v>
      </c>
      <c r="R3302">
        <v>0.66476772557289698</v>
      </c>
      <c r="S3302" t="s">
        <v>8853</v>
      </c>
      <c r="T3302" t="s">
        <v>11100</v>
      </c>
      <c r="U3302" t="s">
        <v>11100</v>
      </c>
      <c r="V3302" t="s">
        <v>11100</v>
      </c>
      <c r="W3302" t="s">
        <v>14354</v>
      </c>
      <c r="X3302">
        <v>1</v>
      </c>
      <c r="Y3302" t="s">
        <v>19797</v>
      </c>
      <c r="Z3302" t="s">
        <v>25307</v>
      </c>
      <c r="AA3302">
        <v>0.61827183832012944</v>
      </c>
      <c r="AB3302" t="str">
        <f>HYPERLINK("Melting_Curves/meltCurve_Q5SPY9_NPDC1.pdf", "Melting_Curves/meltCurve_Q5SPY9_NPDC1.pdf")</f>
        <v>Melting_Curves/meltCurve_Q5SPY9_NPDC1.pdf</v>
      </c>
    </row>
    <row r="3303" spans="1:28" x14ac:dyDescent="0.25">
      <c r="A3303" t="s">
        <v>3307</v>
      </c>
      <c r="B3303">
        <v>0.99299721793515405</v>
      </c>
      <c r="C3303">
        <v>1.0575907866735501</v>
      </c>
      <c r="D3303">
        <v>0.98311042994347297</v>
      </c>
      <c r="E3303">
        <v>0.79229147493116003</v>
      </c>
      <c r="F3303">
        <v>0.55532296898631905</v>
      </c>
      <c r="G3303">
        <v>0.23638127505349199</v>
      </c>
      <c r="H3303">
        <v>0.196077331972767</v>
      </c>
      <c r="I3303">
        <v>0.187489433572499</v>
      </c>
      <c r="J3303">
        <v>0.21090560217483101</v>
      </c>
      <c r="K3303">
        <v>0.19663056508829199</v>
      </c>
      <c r="L3303">
        <v>1148.9196417570299</v>
      </c>
      <c r="M3303">
        <v>23.3025282755221</v>
      </c>
      <c r="N3303">
        <v>50.279511192882403</v>
      </c>
      <c r="O3303">
        <v>48.945709363280898</v>
      </c>
      <c r="P3303">
        <v>-9.7387749984780794E-2</v>
      </c>
      <c r="Q3303">
        <v>0.18178362034286299</v>
      </c>
      <c r="R3303">
        <v>0.99145541259995895</v>
      </c>
      <c r="S3303" t="s">
        <v>8854</v>
      </c>
      <c r="T3303" t="s">
        <v>11100</v>
      </c>
      <c r="U3303" t="s">
        <v>11100</v>
      </c>
      <c r="V3303" t="s">
        <v>11100</v>
      </c>
      <c r="W3303" t="s">
        <v>14355</v>
      </c>
      <c r="X3303">
        <v>4</v>
      </c>
      <c r="Y3303" t="s">
        <v>19798</v>
      </c>
      <c r="Z3303" t="s">
        <v>25308</v>
      </c>
      <c r="AA3303">
        <v>0.52549763321776155</v>
      </c>
      <c r="AB3303" t="str">
        <f>HYPERLINK("Melting_Curves/meltCurve_Q5SQI0_5_ATAT1.pdf", "Melting_Curves/meltCurve_Q5SQI0_5_ATAT1.pdf")</f>
        <v>Melting_Curves/meltCurve_Q5SQI0_5_ATAT1.pdf</v>
      </c>
    </row>
    <row r="3304" spans="1:28" x14ac:dyDescent="0.25">
      <c r="A3304" t="s">
        <v>3308</v>
      </c>
      <c r="B3304">
        <v>0.99299721793515405</v>
      </c>
      <c r="C3304">
        <v>1.0332352695954401</v>
      </c>
      <c r="D3304">
        <v>1.10671867925649</v>
      </c>
      <c r="E3304">
        <v>0.91282723310929903</v>
      </c>
      <c r="F3304">
        <v>0.77032630694414705</v>
      </c>
      <c r="G3304">
        <v>0.734077579751644</v>
      </c>
      <c r="H3304">
        <v>0.355725315237851</v>
      </c>
      <c r="I3304">
        <v>0.25344059026632498</v>
      </c>
      <c r="J3304">
        <v>0.230745460632898</v>
      </c>
      <c r="K3304">
        <v>0.20030212003758999</v>
      </c>
      <c r="L3304">
        <v>918.17030325048199</v>
      </c>
      <c r="M3304">
        <v>16.796062316840199</v>
      </c>
      <c r="N3304">
        <v>55.840924654187901</v>
      </c>
      <c r="O3304">
        <v>53.908534141512</v>
      </c>
      <c r="P3304">
        <v>-6.6299933471219902E-2</v>
      </c>
      <c r="Q3304">
        <v>0.14887178884011901</v>
      </c>
      <c r="R3304">
        <v>0.96911362541314305</v>
      </c>
      <c r="S3304" t="s">
        <v>8855</v>
      </c>
      <c r="T3304" t="s">
        <v>11100</v>
      </c>
      <c r="U3304" t="s">
        <v>11100</v>
      </c>
      <c r="V3304" t="s">
        <v>11100</v>
      </c>
      <c r="W3304" t="s">
        <v>14356</v>
      </c>
      <c r="X3304">
        <v>15</v>
      </c>
      <c r="Y3304" t="s">
        <v>19799</v>
      </c>
      <c r="Z3304" t="s">
        <v>25309</v>
      </c>
      <c r="AA3304">
        <v>0.66181075046415516</v>
      </c>
      <c r="AB3304" t="str">
        <f>HYPERLINK("Melting_Curves/meltCurve_Q5SQP8_CTBP2.pdf", "Melting_Curves/meltCurve_Q5SQP8_CTBP2.pdf")</f>
        <v>Melting_Curves/meltCurve_Q5SQP8_CTBP2.pdf</v>
      </c>
    </row>
    <row r="3305" spans="1:28" x14ac:dyDescent="0.25">
      <c r="A3305" t="s">
        <v>3309</v>
      </c>
      <c r="B3305">
        <v>0.99299721793515405</v>
      </c>
      <c r="C3305">
        <v>0.973635908225715</v>
      </c>
      <c r="D3305">
        <v>0.90741890933719105</v>
      </c>
      <c r="E3305">
        <v>0.82861482918348806</v>
      </c>
      <c r="F3305">
        <v>0.666041754186666</v>
      </c>
      <c r="G3305">
        <v>0.33200259336414401</v>
      </c>
      <c r="H3305">
        <v>0.21391209584411999</v>
      </c>
      <c r="I3305">
        <v>0.18116346402791</v>
      </c>
      <c r="J3305">
        <v>0.16032270010395899</v>
      </c>
      <c r="K3305">
        <v>0.12760651046392699</v>
      </c>
      <c r="L3305">
        <v>846.85179736731504</v>
      </c>
      <c r="M3305">
        <v>16.633311103499999</v>
      </c>
      <c r="N3305">
        <v>51.727795653264899</v>
      </c>
      <c r="O3305">
        <v>50.194168919165598</v>
      </c>
      <c r="P3305">
        <v>-7.3302337497390402E-2</v>
      </c>
      <c r="Q3305">
        <v>0.115244766637368</v>
      </c>
      <c r="R3305">
        <v>0.99263119319981097</v>
      </c>
      <c r="S3305" t="s">
        <v>8856</v>
      </c>
      <c r="T3305" t="s">
        <v>11100</v>
      </c>
      <c r="U3305" t="s">
        <v>11100</v>
      </c>
      <c r="V3305" t="s">
        <v>11100</v>
      </c>
      <c r="W3305" t="s">
        <v>14357</v>
      </c>
      <c r="X3305">
        <v>4</v>
      </c>
      <c r="Y3305" t="s">
        <v>19800</v>
      </c>
      <c r="Z3305" t="s">
        <v>25310</v>
      </c>
      <c r="AA3305">
        <v>0.54104841965094164</v>
      </c>
      <c r="AB3305" t="str">
        <f>HYPERLINK("Melting_Curves/meltCurve_Q5SQU3_PRKG1.pdf", "Melting_Curves/meltCurve_Q5SQU3_PRKG1.pdf")</f>
        <v>Melting_Curves/meltCurve_Q5SQU3_PRKG1.pdf</v>
      </c>
    </row>
    <row r="3306" spans="1:28" x14ac:dyDescent="0.25">
      <c r="A3306" t="s">
        <v>3310</v>
      </c>
      <c r="B3306">
        <v>0.99299721793515405</v>
      </c>
      <c r="C3306">
        <v>1.0313641856579401</v>
      </c>
      <c r="D3306">
        <v>0.86500152414193199</v>
      </c>
      <c r="E3306">
        <v>0.83970648137284198</v>
      </c>
      <c r="F3306">
        <v>0.79082709018430297</v>
      </c>
      <c r="G3306">
        <v>0.50886352798073797</v>
      </c>
      <c r="H3306">
        <v>0.43106127674167199</v>
      </c>
      <c r="I3306">
        <v>0.299377484596549</v>
      </c>
      <c r="J3306">
        <v>0.414199322739564</v>
      </c>
      <c r="K3306">
        <v>0.28266923701534802</v>
      </c>
      <c r="L3306">
        <v>654.45221528443903</v>
      </c>
      <c r="M3306">
        <v>12.6156138205974</v>
      </c>
      <c r="N3306">
        <v>55.191251207986198</v>
      </c>
      <c r="O3306">
        <v>50.624684425205203</v>
      </c>
      <c r="P3306">
        <v>-4.5759998125325899E-2</v>
      </c>
      <c r="Q3306">
        <v>0.26563226216661501</v>
      </c>
      <c r="R3306">
        <v>0.95919909662955205</v>
      </c>
      <c r="S3306" t="s">
        <v>8857</v>
      </c>
      <c r="T3306" t="s">
        <v>11100</v>
      </c>
      <c r="U3306" t="s">
        <v>11100</v>
      </c>
      <c r="V3306" t="s">
        <v>11100</v>
      </c>
      <c r="W3306" t="s">
        <v>14358</v>
      </c>
      <c r="X3306">
        <v>3</v>
      </c>
      <c r="Y3306" t="s">
        <v>19801</v>
      </c>
      <c r="Z3306" t="s">
        <v>25311</v>
      </c>
      <c r="AA3306">
        <v>0.64671857048319537</v>
      </c>
      <c r="AB3306" t="str">
        <f>HYPERLINK("Melting_Curves/meltCurve_Q5SRE7_2_PHYHD1.pdf", "Melting_Curves/meltCurve_Q5SRE7_2_PHYHD1.pdf")</f>
        <v>Melting_Curves/meltCurve_Q5SRE7_2_PHYHD1.pdf</v>
      </c>
    </row>
    <row r="3307" spans="1:28" x14ac:dyDescent="0.25">
      <c r="A3307" t="s">
        <v>3311</v>
      </c>
      <c r="B3307">
        <v>0.99299721793515405</v>
      </c>
      <c r="C3307">
        <v>0.973573368527204</v>
      </c>
      <c r="D3307">
        <v>0.99628656468431798</v>
      </c>
      <c r="E3307">
        <v>0.89880236054343099</v>
      </c>
      <c r="F3307">
        <v>0.700906869162084</v>
      </c>
      <c r="G3307">
        <v>0.66994901416422603</v>
      </c>
      <c r="H3307">
        <v>0.39801909465794699</v>
      </c>
      <c r="I3307">
        <v>0.292654606850836</v>
      </c>
      <c r="J3307">
        <v>0.13916458434510201</v>
      </c>
      <c r="K3307">
        <v>0.119528389149617</v>
      </c>
      <c r="L3307">
        <v>635.42105575341998</v>
      </c>
      <c r="M3307">
        <v>11.422861996963499</v>
      </c>
      <c r="N3307">
        <v>55.627132339627501</v>
      </c>
      <c r="O3307">
        <v>54.004126700924999</v>
      </c>
      <c r="P3307">
        <v>-5.2894981351872102E-2</v>
      </c>
      <c r="Q3307">
        <v>0</v>
      </c>
      <c r="R3307">
        <v>0.98697383711261</v>
      </c>
      <c r="S3307" t="s">
        <v>8858</v>
      </c>
      <c r="T3307" t="s">
        <v>11100</v>
      </c>
      <c r="U3307" t="s">
        <v>11100</v>
      </c>
      <c r="V3307" t="s">
        <v>11100</v>
      </c>
      <c r="W3307" t="s">
        <v>14359</v>
      </c>
      <c r="X3307">
        <v>7</v>
      </c>
      <c r="Y3307" t="s">
        <v>19802</v>
      </c>
      <c r="Z3307" t="s">
        <v>25312</v>
      </c>
      <c r="AA3307">
        <v>0.63180025678056095</v>
      </c>
      <c r="AB3307" t="str">
        <f>HYPERLINK("Melting_Curves/meltCurve_Q5SRQ6_CSNK2B.pdf", "Melting_Curves/meltCurve_Q5SRQ6_CSNK2B.pdf")</f>
        <v>Melting_Curves/meltCurve_Q5SRQ6_CSNK2B.pdf</v>
      </c>
    </row>
    <row r="3308" spans="1:28" x14ac:dyDescent="0.25">
      <c r="A3308" t="s">
        <v>3312</v>
      </c>
      <c r="B3308">
        <v>0.99299721793515405</v>
      </c>
      <c r="C3308">
        <v>0.92391798337746101</v>
      </c>
      <c r="D3308">
        <v>1.1455316025425499</v>
      </c>
      <c r="E3308">
        <v>0.81678659443714696</v>
      </c>
      <c r="F3308">
        <v>0.79742868961108504</v>
      </c>
      <c r="G3308">
        <v>0.51345263795811902</v>
      </c>
      <c r="H3308">
        <v>0.476177990816958</v>
      </c>
      <c r="I3308">
        <v>0.56741191698892102</v>
      </c>
      <c r="J3308">
        <v>0.76204102287980302</v>
      </c>
      <c r="K3308">
        <v>0.64153941644993495</v>
      </c>
      <c r="L3308">
        <v>1373.08082281821</v>
      </c>
      <c r="M3308">
        <v>28.385781473523</v>
      </c>
      <c r="O3308">
        <v>48.1339680297149</v>
      </c>
      <c r="P3308">
        <v>-5.9195395474137602E-2</v>
      </c>
      <c r="Q3308">
        <v>0.59849107582910499</v>
      </c>
      <c r="R3308">
        <v>0.75947903225698099</v>
      </c>
      <c r="S3308" t="s">
        <v>8859</v>
      </c>
      <c r="T3308" t="s">
        <v>11100</v>
      </c>
      <c r="U3308" t="s">
        <v>11100</v>
      </c>
      <c r="V3308" t="s">
        <v>11100</v>
      </c>
      <c r="W3308" t="s">
        <v>14360</v>
      </c>
      <c r="X3308">
        <v>1</v>
      </c>
      <c r="Y3308" t="s">
        <v>19803</v>
      </c>
      <c r="Z3308" t="s">
        <v>25313</v>
      </c>
      <c r="AA3308">
        <v>0.75336586081408929</v>
      </c>
      <c r="AB3308" t="str">
        <f>HYPERLINK("Melting_Curves/meltCurve_Q5SSJ5_HP1BP3.pdf", "Melting_Curves/meltCurve_Q5SSJ5_HP1BP3.pdf")</f>
        <v>Melting_Curves/meltCurve_Q5SSJ5_HP1BP3.pdf</v>
      </c>
    </row>
    <row r="3309" spans="1:28" x14ac:dyDescent="0.25">
      <c r="A3309" t="s">
        <v>3313</v>
      </c>
      <c r="B3309">
        <v>0.99299721793515405</v>
      </c>
      <c r="C3309">
        <v>0.89490218967436497</v>
      </c>
      <c r="D3309">
        <v>0.86303209361506605</v>
      </c>
      <c r="E3309">
        <v>0.80448481853714804</v>
      </c>
      <c r="F3309">
        <v>0.63845376217947403</v>
      </c>
      <c r="G3309">
        <v>0.42516156581702402</v>
      </c>
      <c r="H3309">
        <v>0.25594503207429498</v>
      </c>
      <c r="I3309">
        <v>0.233415684538993</v>
      </c>
      <c r="J3309">
        <v>0.22695983706532899</v>
      </c>
      <c r="K3309">
        <v>0.179542189798749</v>
      </c>
      <c r="L3309">
        <v>565.01227616579195</v>
      </c>
      <c r="M3309">
        <v>11.0636985549184</v>
      </c>
      <c r="N3309">
        <v>52.2649480269558</v>
      </c>
      <c r="O3309">
        <v>49.485721512829102</v>
      </c>
      <c r="P3309">
        <v>-4.9659246701392698E-2</v>
      </c>
      <c r="Q3309">
        <v>0.111829359468799</v>
      </c>
      <c r="R3309">
        <v>0.98590064208829897</v>
      </c>
      <c r="S3309" t="s">
        <v>8860</v>
      </c>
      <c r="T3309" t="s">
        <v>11100</v>
      </c>
      <c r="U3309" t="s">
        <v>11100</v>
      </c>
      <c r="V3309" t="s">
        <v>11100</v>
      </c>
      <c r="W3309" t="s">
        <v>14361</v>
      </c>
      <c r="X3309">
        <v>4</v>
      </c>
      <c r="Y3309" t="s">
        <v>19804</v>
      </c>
      <c r="Z3309" t="s">
        <v>25314</v>
      </c>
      <c r="AA3309">
        <v>0.55313173429106588</v>
      </c>
      <c r="AB3309" t="str">
        <f>HYPERLINK("Melting_Curves/meltCurve_Q5ST30_VARS2.pdf", "Melting_Curves/meltCurve_Q5ST30_VARS2.pdf")</f>
        <v>Melting_Curves/meltCurve_Q5ST30_VARS2.pdf</v>
      </c>
    </row>
    <row r="3310" spans="1:28" x14ac:dyDescent="0.25">
      <c r="A3310" t="s">
        <v>3314</v>
      </c>
      <c r="B3310">
        <v>0.99299721793515405</v>
      </c>
      <c r="C3310">
        <v>1.0128651991580999</v>
      </c>
      <c r="D3310">
        <v>1.14611532086593</v>
      </c>
      <c r="E3310">
        <v>0.95281128328918596</v>
      </c>
      <c r="F3310">
        <v>0.63902803282503595</v>
      </c>
      <c r="G3310">
        <v>0.26591093163767998</v>
      </c>
      <c r="H3310">
        <v>0.248679403713017</v>
      </c>
      <c r="I3310">
        <v>0.22807276024707299</v>
      </c>
      <c r="J3310">
        <v>0.165343655977677</v>
      </c>
      <c r="K3310">
        <v>0.16732482000123999</v>
      </c>
      <c r="L3310">
        <v>1817.4885181008499</v>
      </c>
      <c r="M3310">
        <v>36.010397721666997</v>
      </c>
      <c r="N3310">
        <v>51.183879339960399</v>
      </c>
      <c r="O3310">
        <v>50.316327933675304</v>
      </c>
      <c r="P3310">
        <v>-0.14364510015571499</v>
      </c>
      <c r="Q3310">
        <v>0.19715734847076399</v>
      </c>
      <c r="R3310">
        <v>0.98215928304373901</v>
      </c>
      <c r="S3310" t="s">
        <v>8861</v>
      </c>
      <c r="T3310" t="s">
        <v>11100</v>
      </c>
      <c r="U3310" t="s">
        <v>11100</v>
      </c>
      <c r="V3310" t="s">
        <v>11100</v>
      </c>
      <c r="W3310" t="s">
        <v>14362</v>
      </c>
      <c r="X3310">
        <v>2</v>
      </c>
      <c r="Y3310" t="s">
        <v>19805</v>
      </c>
      <c r="Z3310" t="s">
        <v>25315</v>
      </c>
      <c r="AA3310">
        <v>0.56112045088991436</v>
      </c>
      <c r="AB3310" t="str">
        <f>HYPERLINK("Melting_Curves/meltCurve_Q5SVK8_DNMBP.pdf", "Melting_Curves/meltCurve_Q5SVK8_DNMBP.pdf")</f>
        <v>Melting_Curves/meltCurve_Q5SVK8_DNMBP.pdf</v>
      </c>
    </row>
    <row r="3311" spans="1:28" x14ac:dyDescent="0.25">
      <c r="A3311" t="s">
        <v>3315</v>
      </c>
      <c r="B3311">
        <v>0.99299721793515405</v>
      </c>
      <c r="C3311">
        <v>1.03590891119194</v>
      </c>
      <c r="D3311">
        <v>0.90662672927177301</v>
      </c>
      <c r="E3311">
        <v>0.80972652267124201</v>
      </c>
      <c r="F3311">
        <v>0.50031286017327203</v>
      </c>
      <c r="G3311">
        <v>0.155599272077452</v>
      </c>
      <c r="H3311">
        <v>8.6673083948685697E-2</v>
      </c>
      <c r="I3311">
        <v>8.3270157104248496E-2</v>
      </c>
      <c r="J3311">
        <v>8.5627943760067299E-2</v>
      </c>
      <c r="K3311">
        <v>9.8336390031593904E-2</v>
      </c>
      <c r="L3311">
        <v>1135.2719047022799</v>
      </c>
      <c r="M3311">
        <v>22.9288553585579</v>
      </c>
      <c r="N3311">
        <v>49.838021082885099</v>
      </c>
      <c r="O3311">
        <v>49.140776720481</v>
      </c>
      <c r="P3311">
        <v>-0.108545686886142</v>
      </c>
      <c r="Q3311">
        <v>6.9483343288218896E-2</v>
      </c>
      <c r="R3311">
        <v>0.99332523292056996</v>
      </c>
      <c r="S3311" t="s">
        <v>8862</v>
      </c>
      <c r="T3311" t="s">
        <v>11100</v>
      </c>
      <c r="U3311" t="s">
        <v>11100</v>
      </c>
      <c r="V3311" t="s">
        <v>11100</v>
      </c>
      <c r="W3311" t="s">
        <v>14363</v>
      </c>
      <c r="X3311">
        <v>1</v>
      </c>
      <c r="Y3311" t="s">
        <v>19806</v>
      </c>
      <c r="Z3311" t="s">
        <v>25316</v>
      </c>
      <c r="AA3311">
        <v>0.46713713482993668</v>
      </c>
      <c r="AB3311" t="str">
        <f>HYPERLINK("Melting_Curves/meltCurve_Q5SW96_LDLRAP1.pdf", "Melting_Curves/meltCurve_Q5SW96_LDLRAP1.pdf")</f>
        <v>Melting_Curves/meltCurve_Q5SW96_LDLRAP1.pdf</v>
      </c>
    </row>
    <row r="3312" spans="1:28" x14ac:dyDescent="0.25">
      <c r="A3312" t="s">
        <v>3316</v>
      </c>
      <c r="B3312">
        <v>0.99299721793515405</v>
      </c>
      <c r="C3312">
        <v>1.03964747878839</v>
      </c>
      <c r="D3312">
        <v>1.0368245755397201</v>
      </c>
      <c r="E3312">
        <v>0.80145258387256102</v>
      </c>
      <c r="F3312">
        <v>0.79518122361189203</v>
      </c>
      <c r="G3312">
        <v>0.65962007851577298</v>
      </c>
      <c r="H3312">
        <v>0.348504924162716</v>
      </c>
      <c r="I3312">
        <v>0.32737460106312899</v>
      </c>
      <c r="J3312">
        <v>0.32418188420280702</v>
      </c>
      <c r="K3312">
        <v>0.26168536386067498</v>
      </c>
      <c r="L3312">
        <v>746.774326613521</v>
      </c>
      <c r="M3312">
        <v>14.001664291648201</v>
      </c>
      <c r="N3312">
        <v>55.648591355777398</v>
      </c>
      <c r="O3312">
        <v>52.282092350655198</v>
      </c>
      <c r="P3312">
        <v>-5.2185359878299802E-2</v>
      </c>
      <c r="Q3312">
        <v>0.220664368422443</v>
      </c>
      <c r="R3312">
        <v>0.96515158631499798</v>
      </c>
      <c r="S3312" t="s">
        <v>8863</v>
      </c>
      <c r="T3312" t="s">
        <v>11100</v>
      </c>
      <c r="U3312" t="s">
        <v>11100</v>
      </c>
      <c r="V3312" t="s">
        <v>11100</v>
      </c>
      <c r="W3312" t="s">
        <v>14364</v>
      </c>
      <c r="X3312">
        <v>5</v>
      </c>
      <c r="Y3312" t="s">
        <v>19807</v>
      </c>
      <c r="Z3312" t="s">
        <v>25317</v>
      </c>
      <c r="AA3312">
        <v>0.65930132859966639</v>
      </c>
      <c r="AB3312" t="str">
        <f>HYPERLINK("Melting_Curves/meltCurve_Q5SWX8_ODR4.pdf", "Melting_Curves/meltCurve_Q5SWX8_ODR4.pdf")</f>
        <v>Melting_Curves/meltCurve_Q5SWX8_ODR4.pdf</v>
      </c>
    </row>
    <row r="3313" spans="1:28" x14ac:dyDescent="0.25">
      <c r="A3313" t="s">
        <v>3317</v>
      </c>
      <c r="B3313">
        <v>0.99299721793515405</v>
      </c>
      <c r="C3313">
        <v>0.93869831078894905</v>
      </c>
      <c r="D3313">
        <v>1.0647766860783601</v>
      </c>
      <c r="E3313">
        <v>0.78535772419900396</v>
      </c>
      <c r="F3313">
        <v>0.70366986023537004</v>
      </c>
      <c r="G3313">
        <v>0.56922609904329302</v>
      </c>
      <c r="H3313">
        <v>0.40086622773220298</v>
      </c>
      <c r="I3313">
        <v>0.52768954041838501</v>
      </c>
      <c r="J3313">
        <v>0.65893346855511503</v>
      </c>
      <c r="K3313">
        <v>0.55982768010253403</v>
      </c>
      <c r="L3313">
        <v>1195.33628321331</v>
      </c>
      <c r="M3313">
        <v>25.021183524684201</v>
      </c>
      <c r="O3313">
        <v>47.470952685991001</v>
      </c>
      <c r="P3313">
        <v>-6.0314621517887801E-2</v>
      </c>
      <c r="Q3313">
        <v>0.54228317411323901</v>
      </c>
      <c r="R3313">
        <v>0.87632424663478303</v>
      </c>
      <c r="S3313" t="s">
        <v>8864</v>
      </c>
      <c r="T3313" t="s">
        <v>11100</v>
      </c>
      <c r="U3313" t="s">
        <v>11100</v>
      </c>
      <c r="V3313" t="s">
        <v>11100</v>
      </c>
      <c r="W3313" t="s">
        <v>14365</v>
      </c>
      <c r="X3313">
        <v>3</v>
      </c>
      <c r="Y3313" t="s">
        <v>19808</v>
      </c>
      <c r="Z3313" t="s">
        <v>25318</v>
      </c>
      <c r="AA3313">
        <v>0.71052995216269177</v>
      </c>
      <c r="AB3313" t="str">
        <f>HYPERLINK("Melting_Curves/meltCurve_Q5SXM8_DNLZ.pdf", "Melting_Curves/meltCurve_Q5SXM8_DNLZ.pdf")</f>
        <v>Melting_Curves/meltCurve_Q5SXM8_DNLZ.pdf</v>
      </c>
    </row>
    <row r="3314" spans="1:28" x14ac:dyDescent="0.25">
      <c r="A3314" t="s">
        <v>3318</v>
      </c>
      <c r="B3314">
        <v>0.99299721793515405</v>
      </c>
      <c r="C3314">
        <v>2.6040155028046801</v>
      </c>
      <c r="D3314">
        <v>0.67893656742134001</v>
      </c>
      <c r="E3314">
        <v>0.87779475229308801</v>
      </c>
      <c r="F3314">
        <v>2.2213237945536699</v>
      </c>
      <c r="G3314">
        <v>0.63032603189376901</v>
      </c>
      <c r="H3314">
        <v>0.45169372812001202</v>
      </c>
      <c r="I3314">
        <v>0</v>
      </c>
      <c r="J3314">
        <v>1.03847405480055</v>
      </c>
      <c r="K3314">
        <v>0</v>
      </c>
      <c r="L3314">
        <v>13430.605214850601</v>
      </c>
      <c r="M3314">
        <v>250</v>
      </c>
      <c r="N3314">
        <v>54.017751116555701</v>
      </c>
      <c r="O3314">
        <v>53.7189830380145</v>
      </c>
      <c r="P3314">
        <v>-0.73002370130757399</v>
      </c>
      <c r="Q3314">
        <v>0.37254190815750199</v>
      </c>
      <c r="R3314">
        <v>0.25561767213491199</v>
      </c>
      <c r="S3314" t="s">
        <v>8865</v>
      </c>
      <c r="T3314" t="s">
        <v>11100</v>
      </c>
      <c r="U3314" t="s">
        <v>11100</v>
      </c>
      <c r="V3314" t="s">
        <v>11100</v>
      </c>
      <c r="W3314" t="s">
        <v>14366</v>
      </c>
      <c r="X3314">
        <v>2</v>
      </c>
      <c r="Y3314" t="s">
        <v>19809</v>
      </c>
      <c r="Z3314" t="s">
        <v>25319</v>
      </c>
      <c r="AA3314">
        <v>0.72235500895008997</v>
      </c>
      <c r="AB3314" t="str">
        <f>HYPERLINK("Melting_Curves/meltCurve_Q5SYE7_2_NHSL1.pdf", "Melting_Curves/meltCurve_Q5SYE7_2_NHSL1.pdf")</f>
        <v>Melting_Curves/meltCurve_Q5SYE7_2_NHSL1.pdf</v>
      </c>
    </row>
    <row r="3315" spans="1:28" x14ac:dyDescent="0.25">
      <c r="A3315" t="s">
        <v>3319</v>
      </c>
      <c r="B3315">
        <v>0.99299721793515405</v>
      </c>
      <c r="C3315">
        <v>0.926914862668614</v>
      </c>
      <c r="D3315">
        <v>0.92552736375429101</v>
      </c>
      <c r="E3315">
        <v>0.77587994090289703</v>
      </c>
      <c r="F3315">
        <v>0.73418616673104098</v>
      </c>
      <c r="G3315">
        <v>0.48016676618841098</v>
      </c>
      <c r="H3315">
        <v>0.44046958951015902</v>
      </c>
      <c r="I3315">
        <v>0.36823222555444501</v>
      </c>
      <c r="J3315">
        <v>0.32678264976324001</v>
      </c>
      <c r="K3315">
        <v>0.22821071120092001</v>
      </c>
      <c r="L3315">
        <v>462.99311636450801</v>
      </c>
      <c r="M3315">
        <v>8.71961075360921</v>
      </c>
      <c r="N3315">
        <v>55.153386931952198</v>
      </c>
      <c r="O3315">
        <v>50.527046271844398</v>
      </c>
      <c r="P3315">
        <v>-3.71886938722025E-2</v>
      </c>
      <c r="Q3315">
        <v>0.13872387730428401</v>
      </c>
      <c r="R3315">
        <v>0.98303038580938595</v>
      </c>
      <c r="S3315" t="s">
        <v>8866</v>
      </c>
      <c r="T3315" t="s">
        <v>11100</v>
      </c>
      <c r="U3315" t="s">
        <v>11100</v>
      </c>
      <c r="V3315" t="s">
        <v>11100</v>
      </c>
      <c r="W3315" t="s">
        <v>14367</v>
      </c>
      <c r="X3315">
        <v>9</v>
      </c>
      <c r="Y3315" t="s">
        <v>19810</v>
      </c>
      <c r="Z3315" t="s">
        <v>25320</v>
      </c>
      <c r="AA3315">
        <v>0.61962501460343444</v>
      </c>
      <c r="AB3315" t="str">
        <f>HYPERLINK("Melting_Curves/meltCurve_Q5SYW2_CIZ1.pdf", "Melting_Curves/meltCurve_Q5SYW2_CIZ1.pdf")</f>
        <v>Melting_Curves/meltCurve_Q5SYW2_CIZ1.pdf</v>
      </c>
    </row>
    <row r="3316" spans="1:28" x14ac:dyDescent="0.25">
      <c r="A3316" t="s">
        <v>3320</v>
      </c>
      <c r="B3316">
        <v>0.99299721793515405</v>
      </c>
      <c r="C3316">
        <v>0.959644588190388</v>
      </c>
      <c r="D3316">
        <v>0.89684618196082899</v>
      </c>
      <c r="E3316">
        <v>0.94033345067621699</v>
      </c>
      <c r="F3316">
        <v>0.60427435231076698</v>
      </c>
      <c r="G3316">
        <v>0.30991925932002101</v>
      </c>
      <c r="H3316">
        <v>0.169557646029137</v>
      </c>
      <c r="I3316">
        <v>0.13717102521660801</v>
      </c>
      <c r="J3316">
        <v>0.17640278148019001</v>
      </c>
      <c r="K3316">
        <v>0.106115194425922</v>
      </c>
      <c r="L3316">
        <v>1227.51298591514</v>
      </c>
      <c r="M3316">
        <v>24.221110790398001</v>
      </c>
      <c r="N3316">
        <v>51.3221220391342</v>
      </c>
      <c r="O3316">
        <v>50.337802862307001</v>
      </c>
      <c r="P3316">
        <v>-0.10455895561385201</v>
      </c>
      <c r="Q3316">
        <v>0.130809904292706</v>
      </c>
      <c r="R3316">
        <v>0.98973234149100897</v>
      </c>
      <c r="S3316" t="s">
        <v>8867</v>
      </c>
      <c r="T3316" t="s">
        <v>11100</v>
      </c>
      <c r="U3316" t="s">
        <v>11100</v>
      </c>
      <c r="V3316" t="s">
        <v>11100</v>
      </c>
      <c r="W3316" t="s">
        <v>14368</v>
      </c>
      <c r="X3316">
        <v>8</v>
      </c>
      <c r="Y3316" t="s">
        <v>19811</v>
      </c>
      <c r="Z3316" t="s">
        <v>25321</v>
      </c>
      <c r="AA3316">
        <v>0.53526032031957871</v>
      </c>
      <c r="AB3316" t="str">
        <f>HYPERLINK("Melting_Curves/meltCurve_Q5SZR4_TDRKH.pdf", "Melting_Curves/meltCurve_Q5SZR4_TDRKH.pdf")</f>
        <v>Melting_Curves/meltCurve_Q5SZR4_TDRKH.pdf</v>
      </c>
    </row>
    <row r="3317" spans="1:28" x14ac:dyDescent="0.25">
      <c r="A3317" t="s">
        <v>3321</v>
      </c>
      <c r="B3317">
        <v>0.99299721793515405</v>
      </c>
      <c r="C3317">
        <v>1.0902150231234899</v>
      </c>
      <c r="D3317">
        <v>1.1732488355266799</v>
      </c>
      <c r="E3317">
        <v>1.1265956646034501</v>
      </c>
      <c r="F3317">
        <v>1.0141164809718399</v>
      </c>
      <c r="G3317">
        <v>0.13482578828017699</v>
      </c>
      <c r="H3317">
        <v>0.20415988994613801</v>
      </c>
      <c r="I3317">
        <v>0.27920522340257797</v>
      </c>
      <c r="J3317">
        <v>9.22945284908573E-2</v>
      </c>
      <c r="K3317">
        <v>0</v>
      </c>
      <c r="L3317">
        <v>13003.0357065511</v>
      </c>
      <c r="M3317">
        <v>250</v>
      </c>
      <c r="N3317">
        <v>52.081777684351302</v>
      </c>
      <c r="O3317">
        <v>52.008815846620699</v>
      </c>
      <c r="P3317">
        <v>-1.03100852970665</v>
      </c>
      <c r="Q3317">
        <v>0.14205550083214399</v>
      </c>
      <c r="R3317">
        <v>0.95592912353356796</v>
      </c>
      <c r="S3317" t="s">
        <v>8868</v>
      </c>
      <c r="T3317" t="s">
        <v>11100</v>
      </c>
      <c r="U3317" t="s">
        <v>11100</v>
      </c>
      <c r="V3317" t="s">
        <v>11100</v>
      </c>
      <c r="W3317" t="s">
        <v>14369</v>
      </c>
      <c r="X3317">
        <v>1</v>
      </c>
      <c r="Y3317" t="s">
        <v>19812</v>
      </c>
      <c r="Z3317" t="s">
        <v>25322</v>
      </c>
      <c r="AA3317">
        <v>0.5714533263848145</v>
      </c>
      <c r="AB3317" t="str">
        <f>HYPERLINK("Melting_Curves/meltCurve_Q5T0D9_TPRG1L.pdf", "Melting_Curves/meltCurve_Q5T0D9_TPRG1L.pdf")</f>
        <v>Melting_Curves/meltCurve_Q5T0D9_TPRG1L.pdf</v>
      </c>
    </row>
    <row r="3318" spans="1:28" x14ac:dyDescent="0.25">
      <c r="A3318" t="s">
        <v>3322</v>
      </c>
      <c r="B3318">
        <v>0.99299721793515405</v>
      </c>
      <c r="C3318">
        <v>1.00213790381728</v>
      </c>
      <c r="D3318">
        <v>0.90232071133953096</v>
      </c>
      <c r="E3318">
        <v>0.88734778170990602</v>
      </c>
      <c r="F3318">
        <v>0.67136087385925103</v>
      </c>
      <c r="G3318">
        <v>0.41256810974646801</v>
      </c>
      <c r="H3318">
        <v>0.236964740344726</v>
      </c>
      <c r="I3318">
        <v>0.201908025786326</v>
      </c>
      <c r="J3318">
        <v>0.15526916605256699</v>
      </c>
      <c r="K3318">
        <v>0.12127490465316899</v>
      </c>
      <c r="L3318">
        <v>832.427843923458</v>
      </c>
      <c r="M3318">
        <v>16.103640731729101</v>
      </c>
      <c r="N3318">
        <v>52.4993953383715</v>
      </c>
      <c r="O3318">
        <v>50.914488558110598</v>
      </c>
      <c r="P3318">
        <v>-7.0403043038023E-2</v>
      </c>
      <c r="Q3318">
        <v>0.109701724435271</v>
      </c>
      <c r="R3318">
        <v>0.99516485503295404</v>
      </c>
      <c r="S3318" t="s">
        <v>8869</v>
      </c>
      <c r="T3318" t="s">
        <v>11100</v>
      </c>
      <c r="U3318" t="s">
        <v>11100</v>
      </c>
      <c r="V3318" t="s">
        <v>11100</v>
      </c>
      <c r="W3318" t="s">
        <v>14370</v>
      </c>
      <c r="X3318">
        <v>13</v>
      </c>
      <c r="Y3318" t="s">
        <v>19813</v>
      </c>
      <c r="Z3318" t="s">
        <v>25323</v>
      </c>
      <c r="AA3318">
        <v>0.56156275007558221</v>
      </c>
      <c r="AB3318" t="str">
        <f>HYPERLINK("Melting_Curves/meltCurve_Q5T0N5_3_FNBP1L.pdf", "Melting_Curves/meltCurve_Q5T0N5_3_FNBP1L.pdf")</f>
        <v>Melting_Curves/meltCurve_Q5T0N5_3_FNBP1L.pdf</v>
      </c>
    </row>
    <row r="3319" spans="1:28" x14ac:dyDescent="0.25">
      <c r="A3319" t="s">
        <v>3323</v>
      </c>
      <c r="B3319">
        <v>0.99299721793515405</v>
      </c>
      <c r="C3319">
        <v>1.1964162702900401</v>
      </c>
      <c r="D3319">
        <v>0.82402869241199395</v>
      </c>
      <c r="E3319">
        <v>0.84915639136399301</v>
      </c>
      <c r="F3319">
        <v>0.84014464287344703</v>
      </c>
      <c r="G3319">
        <v>0.53237179427972303</v>
      </c>
      <c r="H3319">
        <v>0.62579844630401904</v>
      </c>
      <c r="I3319">
        <v>0.78533259532246402</v>
      </c>
      <c r="J3319">
        <v>1.0467914708213</v>
      </c>
      <c r="K3319">
        <v>0.72777818933417904</v>
      </c>
      <c r="L3319">
        <v>10697.2032606224</v>
      </c>
      <c r="M3319">
        <v>250</v>
      </c>
      <c r="O3319">
        <v>42.786051305199699</v>
      </c>
      <c r="P3319">
        <v>-0.33234829999533</v>
      </c>
      <c r="Q3319">
        <v>0.77248193139317201</v>
      </c>
      <c r="R3319">
        <v>0.41171460159395901</v>
      </c>
      <c r="S3319" t="s">
        <v>8870</v>
      </c>
      <c r="T3319" t="s">
        <v>11100</v>
      </c>
      <c r="U3319" t="s">
        <v>11100</v>
      </c>
      <c r="V3319" t="s">
        <v>11100</v>
      </c>
      <c r="W3319" t="s">
        <v>14371</v>
      </c>
      <c r="X3319">
        <v>2</v>
      </c>
      <c r="Y3319" t="s">
        <v>19814</v>
      </c>
      <c r="Z3319" t="s">
        <v>25324</v>
      </c>
      <c r="AA3319">
        <v>0.81640100199875143</v>
      </c>
      <c r="AB3319" t="str">
        <f>HYPERLINK("Melting_Curves/meltCurve_Q5T0Z6_PKIB.pdf", "Melting_Curves/meltCurve_Q5T0Z6_PKIB.pdf")</f>
        <v>Melting_Curves/meltCurve_Q5T0Z6_PKIB.pdf</v>
      </c>
    </row>
    <row r="3320" spans="1:28" x14ac:dyDescent="0.25">
      <c r="A3320" t="s">
        <v>3324</v>
      </c>
      <c r="B3320">
        <v>0.99299721793515405</v>
      </c>
      <c r="C3320">
        <v>0.91383730056178503</v>
      </c>
      <c r="D3320">
        <v>1.2712738044329199</v>
      </c>
      <c r="E3320">
        <v>0.94226508140306398</v>
      </c>
      <c r="F3320">
        <v>0.89061117701753201</v>
      </c>
      <c r="G3320">
        <v>0.72766009350568805</v>
      </c>
      <c r="H3320">
        <v>0.49105776319946498</v>
      </c>
      <c r="I3320">
        <v>0.61356305883793705</v>
      </c>
      <c r="J3320">
        <v>0.63584255973783399</v>
      </c>
      <c r="K3320">
        <v>0.62027065861021902</v>
      </c>
      <c r="L3320">
        <v>1748.5389475791001</v>
      </c>
      <c r="M3320">
        <v>33.681645470479801</v>
      </c>
      <c r="O3320">
        <v>51.731728057185698</v>
      </c>
      <c r="P3320">
        <v>-6.6241375957084001E-2</v>
      </c>
      <c r="Q3320">
        <v>0.59304045924719595</v>
      </c>
      <c r="R3320">
        <v>0.79371460625628898</v>
      </c>
      <c r="S3320" t="s">
        <v>8871</v>
      </c>
      <c r="T3320" t="s">
        <v>11100</v>
      </c>
      <c r="U3320" t="s">
        <v>11100</v>
      </c>
      <c r="V3320" t="s">
        <v>11100</v>
      </c>
      <c r="W3320" t="s">
        <v>14372</v>
      </c>
      <c r="X3320">
        <v>10</v>
      </c>
      <c r="Y3320" t="s">
        <v>19815</v>
      </c>
      <c r="Z3320" t="s">
        <v>25325</v>
      </c>
      <c r="AA3320">
        <v>0.79739817430674409</v>
      </c>
      <c r="AB3320" t="str">
        <f>HYPERLINK("Melting_Curves/meltCurve_Q5T123_SH3BGRL3.pdf", "Melting_Curves/meltCurve_Q5T123_SH3BGRL3.pdf")</f>
        <v>Melting_Curves/meltCurve_Q5T123_SH3BGRL3.pdf</v>
      </c>
    </row>
    <row r="3321" spans="1:28" x14ac:dyDescent="0.25">
      <c r="A3321" t="s">
        <v>3325</v>
      </c>
      <c r="B3321">
        <v>0.99299721793515405</v>
      </c>
      <c r="C3321">
        <v>0.95512775903971803</v>
      </c>
      <c r="D3321">
        <v>0.909204514290336</v>
      </c>
      <c r="E3321">
        <v>0.72299098702757403</v>
      </c>
      <c r="F3321">
        <v>0.68895941449602904</v>
      </c>
      <c r="G3321">
        <v>0.42078687067783999</v>
      </c>
      <c r="H3321">
        <v>0.31626393241342399</v>
      </c>
      <c r="I3321">
        <v>0.20526974474443299</v>
      </c>
      <c r="J3321">
        <v>0.21252291379154101</v>
      </c>
      <c r="K3321">
        <v>0.143164325956356</v>
      </c>
      <c r="L3321">
        <v>528.54794358736206</v>
      </c>
      <c r="M3321">
        <v>10.1661675573888</v>
      </c>
      <c r="N3321">
        <v>52.657068999961702</v>
      </c>
      <c r="O3321">
        <v>50.0995282066811</v>
      </c>
      <c r="P3321">
        <v>-4.76903273383548E-2</v>
      </c>
      <c r="Q3321">
        <v>6.0345091405474303E-2</v>
      </c>
      <c r="R3321">
        <v>0.98863884895898002</v>
      </c>
      <c r="S3321" t="s">
        <v>8872</v>
      </c>
      <c r="T3321" t="s">
        <v>11100</v>
      </c>
      <c r="U3321" t="s">
        <v>11100</v>
      </c>
      <c r="V3321" t="s">
        <v>11100</v>
      </c>
      <c r="W3321" t="s">
        <v>14373</v>
      </c>
      <c r="X3321">
        <v>5</v>
      </c>
      <c r="Y3321" t="s">
        <v>19816</v>
      </c>
      <c r="Z3321" t="s">
        <v>25326</v>
      </c>
      <c r="AA3321">
        <v>0.55476798359003943</v>
      </c>
      <c r="AB3321" t="str">
        <f>HYPERLINK("Melting_Curves/meltCurve_Q5T160_RARS2.pdf", "Melting_Curves/meltCurve_Q5T160_RARS2.pdf")</f>
        <v>Melting_Curves/meltCurve_Q5T160_RARS2.pdf</v>
      </c>
    </row>
    <row r="3322" spans="1:28" x14ac:dyDescent="0.25">
      <c r="A3322" t="s">
        <v>3326</v>
      </c>
      <c r="B3322">
        <v>0.99299721793515405</v>
      </c>
      <c r="C3322">
        <v>1.05497061722582</v>
      </c>
      <c r="D3322">
        <v>0.83174567495436103</v>
      </c>
      <c r="E3322">
        <v>0.86923955311249002</v>
      </c>
      <c r="F3322">
        <v>0.70309101481589498</v>
      </c>
      <c r="G3322">
        <v>0.46493558164424698</v>
      </c>
      <c r="H3322">
        <v>0.349578209985904</v>
      </c>
      <c r="I3322">
        <v>0.26583376152439397</v>
      </c>
      <c r="J3322">
        <v>0.249015742947582</v>
      </c>
      <c r="K3322">
        <v>0.18549073921634299</v>
      </c>
      <c r="L3322">
        <v>635.81404237279605</v>
      </c>
      <c r="M3322">
        <v>12.1897196110696</v>
      </c>
      <c r="N3322">
        <v>53.650827959403202</v>
      </c>
      <c r="O3322">
        <v>50.815636456219302</v>
      </c>
      <c r="P3322">
        <v>-5.1365988633669799E-2</v>
      </c>
      <c r="Q3322">
        <v>0.14367075450335101</v>
      </c>
      <c r="R3322">
        <v>0.97867517799255299</v>
      </c>
      <c r="S3322" t="s">
        <v>8873</v>
      </c>
      <c r="T3322" t="s">
        <v>11100</v>
      </c>
      <c r="U3322" t="s">
        <v>11100</v>
      </c>
      <c r="V3322" t="s">
        <v>11100</v>
      </c>
      <c r="W3322" t="s">
        <v>14374</v>
      </c>
      <c r="X3322">
        <v>2</v>
      </c>
      <c r="Y3322" t="s">
        <v>19817</v>
      </c>
      <c r="Z3322" t="s">
        <v>25327</v>
      </c>
      <c r="AA3322">
        <v>0.59616265268756785</v>
      </c>
      <c r="AB3322" t="str">
        <f>HYPERLINK("Melting_Curves/meltCurve_Q5T171_PYGO2.pdf", "Melting_Curves/meltCurve_Q5T171_PYGO2.pdf")</f>
        <v>Melting_Curves/meltCurve_Q5T171_PYGO2.pdf</v>
      </c>
    </row>
    <row r="3323" spans="1:28" x14ac:dyDescent="0.25">
      <c r="A3323" t="s">
        <v>3327</v>
      </c>
      <c r="B3323">
        <v>0.99299721793515405</v>
      </c>
      <c r="C3323">
        <v>1.02500845943302</v>
      </c>
      <c r="D3323">
        <v>1.35186579616393</v>
      </c>
      <c r="E3323">
        <v>0.964988499711804</v>
      </c>
      <c r="F3323">
        <v>0.76719774005330199</v>
      </c>
      <c r="G3323">
        <v>0.85073925439491704</v>
      </c>
      <c r="H3323">
        <v>0.56878552833560703</v>
      </c>
      <c r="I3323">
        <v>0.44225064010696702</v>
      </c>
      <c r="J3323">
        <v>0.22326570124314299</v>
      </c>
      <c r="K3323">
        <v>0.29754410617983901</v>
      </c>
      <c r="L3323">
        <v>849.71954872571303</v>
      </c>
      <c r="M3323">
        <v>14.7870180561389</v>
      </c>
      <c r="N3323">
        <v>58.965258465182202</v>
      </c>
      <c r="O3323">
        <v>56.443635158472503</v>
      </c>
      <c r="P3323">
        <v>-5.52262227261692E-2</v>
      </c>
      <c r="Q3323">
        <v>0.156872432234406</v>
      </c>
      <c r="R3323">
        <v>0.85726860882186495</v>
      </c>
      <c r="S3323" t="s">
        <v>8874</v>
      </c>
      <c r="T3323" t="s">
        <v>11100</v>
      </c>
      <c r="U3323" t="s">
        <v>11100</v>
      </c>
      <c r="V3323" t="s">
        <v>11100</v>
      </c>
      <c r="W3323" t="s">
        <v>14375</v>
      </c>
      <c r="X3323">
        <v>3</v>
      </c>
      <c r="Y3323" t="s">
        <v>19818</v>
      </c>
      <c r="Z3323" t="s">
        <v>25328</v>
      </c>
      <c r="AA3323">
        <v>0.73725007698528366</v>
      </c>
      <c r="AB3323" t="str">
        <f>HYPERLINK("Melting_Curves/meltCurve_Q5T1C6_THEM4.pdf", "Melting_Curves/meltCurve_Q5T1C6_THEM4.pdf")</f>
        <v>Melting_Curves/meltCurve_Q5T1C6_THEM4.pdf</v>
      </c>
    </row>
    <row r="3324" spans="1:28" x14ac:dyDescent="0.25">
      <c r="A3324" t="s">
        <v>3328</v>
      </c>
      <c r="B3324">
        <v>0.99299721793515405</v>
      </c>
      <c r="C3324">
        <v>0.94236241388863595</v>
      </c>
      <c r="D3324">
        <v>0.92176574842305303</v>
      </c>
      <c r="E3324">
        <v>0.81897638012501595</v>
      </c>
      <c r="F3324">
        <v>0.64850816019280999</v>
      </c>
      <c r="G3324">
        <v>0.35548210787566298</v>
      </c>
      <c r="H3324">
        <v>0.23445411360966201</v>
      </c>
      <c r="I3324">
        <v>0.20415988837601801</v>
      </c>
      <c r="J3324">
        <v>0.19423845105558199</v>
      </c>
      <c r="K3324">
        <v>0.1359482093554</v>
      </c>
      <c r="L3324">
        <v>781.49595773615204</v>
      </c>
      <c r="M3324">
        <v>15.391380689784301</v>
      </c>
      <c r="N3324">
        <v>51.794452642715399</v>
      </c>
      <c r="O3324">
        <v>49.940945321462799</v>
      </c>
      <c r="P3324">
        <v>-6.6984683252218694E-2</v>
      </c>
      <c r="Q3324">
        <v>0.13068943148471401</v>
      </c>
      <c r="R3324">
        <v>0.99320698188216805</v>
      </c>
      <c r="S3324" t="s">
        <v>8875</v>
      </c>
      <c r="T3324" t="s">
        <v>11100</v>
      </c>
      <c r="U3324" t="s">
        <v>11100</v>
      </c>
      <c r="V3324" t="s">
        <v>11100</v>
      </c>
      <c r="W3324" t="s">
        <v>14376</v>
      </c>
      <c r="X3324">
        <v>13</v>
      </c>
      <c r="Y3324" t="s">
        <v>19819</v>
      </c>
      <c r="Z3324" t="s">
        <v>25329</v>
      </c>
      <c r="AA3324">
        <v>0.54690425596035708</v>
      </c>
      <c r="AB3324" t="str">
        <f>HYPERLINK("Melting_Curves/meltCurve_Q5T1M5_FKBP15.pdf", "Melting_Curves/meltCurve_Q5T1M5_FKBP15.pdf")</f>
        <v>Melting_Curves/meltCurve_Q5T1M5_FKBP15.pdf</v>
      </c>
    </row>
    <row r="3325" spans="1:28" x14ac:dyDescent="0.25">
      <c r="A3325" t="s">
        <v>3329</v>
      </c>
      <c r="B3325">
        <v>0.99299721793515405</v>
      </c>
      <c r="C3325">
        <v>0.96972072783866403</v>
      </c>
      <c r="D3325">
        <v>0.90924694433716202</v>
      </c>
      <c r="E3325">
        <v>0.96000610039572598</v>
      </c>
      <c r="F3325">
        <v>0.76105739602981803</v>
      </c>
      <c r="G3325">
        <v>0.38869654405847498</v>
      </c>
      <c r="H3325">
        <v>0.207893806495445</v>
      </c>
      <c r="I3325">
        <v>0.16982221342382101</v>
      </c>
      <c r="J3325">
        <v>0.162681386034492</v>
      </c>
      <c r="K3325">
        <v>0.13988747080737901</v>
      </c>
      <c r="L3325">
        <v>1360.9180934767601</v>
      </c>
      <c r="M3325">
        <v>26.2030500486403</v>
      </c>
      <c r="N3325">
        <v>52.638060340091897</v>
      </c>
      <c r="O3325">
        <v>51.637725035794901</v>
      </c>
      <c r="P3325">
        <v>-0.108183695434921</v>
      </c>
      <c r="Q3325">
        <v>0.14722948778161399</v>
      </c>
      <c r="R3325">
        <v>0.99330275856224604</v>
      </c>
      <c r="S3325" t="s">
        <v>8876</v>
      </c>
      <c r="T3325" t="s">
        <v>11100</v>
      </c>
      <c r="U3325" t="s">
        <v>11100</v>
      </c>
      <c r="V3325" t="s">
        <v>11100</v>
      </c>
      <c r="W3325" t="s">
        <v>14377</v>
      </c>
      <c r="X3325">
        <v>10</v>
      </c>
      <c r="Y3325" t="s">
        <v>19820</v>
      </c>
      <c r="Z3325" t="s">
        <v>25330</v>
      </c>
      <c r="AA3325">
        <v>0.57877009339538221</v>
      </c>
      <c r="AB3325" t="str">
        <f>HYPERLINK("Melting_Curves/meltCurve_Q5T1V6_DDX59.pdf", "Melting_Curves/meltCurve_Q5T1V6_DDX59.pdf")</f>
        <v>Melting_Curves/meltCurve_Q5T1V6_DDX59.pdf</v>
      </c>
    </row>
    <row r="3326" spans="1:28" x14ac:dyDescent="0.25">
      <c r="A3326" t="s">
        <v>3330</v>
      </c>
      <c r="B3326">
        <v>0.99299721793515405</v>
      </c>
      <c r="C3326">
        <v>0.90296259240500798</v>
      </c>
      <c r="D3326">
        <v>0.82103350843265199</v>
      </c>
      <c r="E3326">
        <v>0.79601507070489996</v>
      </c>
      <c r="F3326">
        <v>0.73023003488674798</v>
      </c>
      <c r="G3326">
        <v>0.68862672117479296</v>
      </c>
      <c r="H3326">
        <v>0.50209634137482595</v>
      </c>
      <c r="I3326">
        <v>0.46216473909621097</v>
      </c>
      <c r="J3326">
        <v>0.15097025288364099</v>
      </c>
      <c r="K3326">
        <v>0.16174953566307099</v>
      </c>
      <c r="L3326">
        <v>440.80112743652398</v>
      </c>
      <c r="M3326">
        <v>7.7995560936389099</v>
      </c>
      <c r="N3326">
        <v>56.516181418790403</v>
      </c>
      <c r="O3326">
        <v>53.161958443068201</v>
      </c>
      <c r="P3326">
        <v>-3.6723875972796999E-2</v>
      </c>
      <c r="Q3326">
        <v>0</v>
      </c>
      <c r="R3326">
        <v>0.92601246614479105</v>
      </c>
      <c r="S3326" t="s">
        <v>8877</v>
      </c>
      <c r="T3326" t="s">
        <v>11100</v>
      </c>
      <c r="U3326" t="s">
        <v>11100</v>
      </c>
      <c r="V3326" t="s">
        <v>11100</v>
      </c>
      <c r="W3326" t="s">
        <v>14378</v>
      </c>
      <c r="X3326">
        <v>2</v>
      </c>
      <c r="Y3326" t="s">
        <v>19821</v>
      </c>
      <c r="Z3326" t="s">
        <v>25331</v>
      </c>
      <c r="AA3326">
        <v>0.6429216384825297</v>
      </c>
      <c r="AB3326" t="str">
        <f>HYPERLINK("Melting_Curves/meltCurve_Q5T1Z0_LHPP.pdf", "Melting_Curves/meltCurve_Q5T1Z0_LHPP.pdf")</f>
        <v>Melting_Curves/meltCurve_Q5T1Z0_LHPP.pdf</v>
      </c>
    </row>
    <row r="3327" spans="1:28" x14ac:dyDescent="0.25">
      <c r="A3327" t="s">
        <v>3331</v>
      </c>
      <c r="B3327">
        <v>0.99299721793515405</v>
      </c>
      <c r="C3327">
        <v>0.78766084923605395</v>
      </c>
      <c r="D3327">
        <v>0.74201331505464196</v>
      </c>
      <c r="E3327">
        <v>0.67543487176782901</v>
      </c>
      <c r="F3327">
        <v>0.59348810546303499</v>
      </c>
      <c r="G3327">
        <v>0.33952366086829</v>
      </c>
      <c r="H3327">
        <v>0.38255772832459101</v>
      </c>
      <c r="I3327">
        <v>0.45011198878144199</v>
      </c>
      <c r="J3327">
        <v>0.61479935288154197</v>
      </c>
      <c r="K3327">
        <v>0.52454079135276299</v>
      </c>
      <c r="L3327">
        <v>570.386694489251</v>
      </c>
      <c r="M3327">
        <v>13.2599300849951</v>
      </c>
      <c r="N3327">
        <v>54.172150126415801</v>
      </c>
      <c r="O3327">
        <v>42.072789497102399</v>
      </c>
      <c r="P3327">
        <v>-4.1970039038080401E-2</v>
      </c>
      <c r="Q3327">
        <v>0.46741588456611699</v>
      </c>
      <c r="R3327">
        <v>0.78807503972071002</v>
      </c>
      <c r="S3327" t="s">
        <v>8878</v>
      </c>
      <c r="T3327" t="s">
        <v>11100</v>
      </c>
      <c r="U3327" t="s">
        <v>11100</v>
      </c>
      <c r="V3327" t="s">
        <v>11100</v>
      </c>
      <c r="W3327" t="s">
        <v>14379</v>
      </c>
      <c r="X3327">
        <v>1</v>
      </c>
      <c r="Y3327" t="s">
        <v>19822</v>
      </c>
      <c r="Z3327" t="s">
        <v>25332</v>
      </c>
      <c r="AA3327">
        <v>0.59237852532197921</v>
      </c>
      <c r="AB3327" t="str">
        <f>HYPERLINK("Melting_Curves/meltCurve_Q5T200_2_ZC3H13.pdf", "Melting_Curves/meltCurve_Q5T200_2_ZC3H13.pdf")</f>
        <v>Melting_Curves/meltCurve_Q5T200_2_ZC3H13.pdf</v>
      </c>
    </row>
    <row r="3328" spans="1:28" x14ac:dyDescent="0.25">
      <c r="A3328" t="s">
        <v>3332</v>
      </c>
      <c r="B3328">
        <v>0.99299721793515405</v>
      </c>
      <c r="C3328">
        <v>1.1218194320787001</v>
      </c>
      <c r="D3328">
        <v>0.986004336075605</v>
      </c>
      <c r="E3328">
        <v>0.988484027759019</v>
      </c>
      <c r="F3328">
        <v>0.77394143255267001</v>
      </c>
      <c r="G3328">
        <v>0.58830626114167495</v>
      </c>
      <c r="H3328">
        <v>0.45050837256910398</v>
      </c>
      <c r="I3328">
        <v>0.32796574176770699</v>
      </c>
      <c r="J3328">
        <v>0.19363706576648201</v>
      </c>
      <c r="K3328">
        <v>0.20192043844775401</v>
      </c>
      <c r="L3328">
        <v>792.58313781784102</v>
      </c>
      <c r="M3328">
        <v>14.5439265353404</v>
      </c>
      <c r="N3328">
        <v>55.818140857336203</v>
      </c>
      <c r="O3328">
        <v>53.496631467999599</v>
      </c>
      <c r="P3328">
        <v>-5.8068522806438601E-2</v>
      </c>
      <c r="Q3328">
        <v>0.14572829388646499</v>
      </c>
      <c r="R3328">
        <v>0.97872288140763397</v>
      </c>
      <c r="S3328" t="s">
        <v>8879</v>
      </c>
      <c r="T3328" t="s">
        <v>11100</v>
      </c>
      <c r="U3328" t="s">
        <v>11100</v>
      </c>
      <c r="V3328" t="s">
        <v>11100</v>
      </c>
      <c r="W3328" t="s">
        <v>14380</v>
      </c>
      <c r="X3328">
        <v>5</v>
      </c>
      <c r="Y3328" t="s">
        <v>19823</v>
      </c>
      <c r="Z3328" t="s">
        <v>25333</v>
      </c>
      <c r="AA3328">
        <v>0.65715018249026869</v>
      </c>
      <c r="AB3328" t="str">
        <f>HYPERLINK("Melting_Curves/meltCurve_Q5T2R2_3_PDSS1.pdf", "Melting_Curves/meltCurve_Q5T2R2_3_PDSS1.pdf")</f>
        <v>Melting_Curves/meltCurve_Q5T2R2_3_PDSS1.pdf</v>
      </c>
    </row>
    <row r="3329" spans="1:28" x14ac:dyDescent="0.25">
      <c r="A3329" t="s">
        <v>3333</v>
      </c>
      <c r="B3329">
        <v>0.99299721793515405</v>
      </c>
      <c r="C3329">
        <v>1.0756325127904101</v>
      </c>
      <c r="D3329">
        <v>0.97714834907685699</v>
      </c>
      <c r="E3329">
        <v>0.79981859609063999</v>
      </c>
      <c r="F3329">
        <v>0.66044123517620101</v>
      </c>
      <c r="G3329">
        <v>0.53302029316926602</v>
      </c>
      <c r="H3329">
        <v>0.68118466428481395</v>
      </c>
      <c r="I3329">
        <v>0.65234503354862095</v>
      </c>
      <c r="J3329">
        <v>0.77302997281274999</v>
      </c>
      <c r="K3329">
        <v>0.475997004894396</v>
      </c>
      <c r="L3329">
        <v>1797.4869587287101</v>
      </c>
      <c r="M3329">
        <v>38.703429812025398</v>
      </c>
      <c r="O3329">
        <v>46.319106375503701</v>
      </c>
      <c r="P3329">
        <v>-7.8218916008453404E-2</v>
      </c>
      <c r="Q3329">
        <v>0.62556063579107202</v>
      </c>
      <c r="R3329">
        <v>0.82639553728300297</v>
      </c>
      <c r="S3329" t="s">
        <v>8880</v>
      </c>
      <c r="T3329" t="s">
        <v>11100</v>
      </c>
      <c r="U3329" t="s">
        <v>11100</v>
      </c>
      <c r="V3329" t="s">
        <v>11100</v>
      </c>
      <c r="W3329" t="s">
        <v>14381</v>
      </c>
      <c r="X3329">
        <v>4</v>
      </c>
      <c r="Y3329" t="s">
        <v>19824</v>
      </c>
      <c r="Z3329" t="s">
        <v>25334</v>
      </c>
      <c r="AA3329">
        <v>0.74470167994516578</v>
      </c>
      <c r="AB3329" t="str">
        <f>HYPERLINK("Melting_Curves/meltCurve_Q5T321_NBEA.pdf", "Melting_Curves/meltCurve_Q5T321_NBEA.pdf")</f>
        <v>Melting_Curves/meltCurve_Q5T321_NBEA.pdf</v>
      </c>
    </row>
    <row r="3330" spans="1:28" x14ac:dyDescent="0.25">
      <c r="A3330" t="s">
        <v>3334</v>
      </c>
      <c r="B3330">
        <v>0.99299721793515405</v>
      </c>
      <c r="C3330">
        <v>0.99756830038687505</v>
      </c>
      <c r="D3330">
        <v>0.95172733819328903</v>
      </c>
      <c r="E3330">
        <v>0.67827275279444399</v>
      </c>
      <c r="F3330">
        <v>0.70230932877442498</v>
      </c>
      <c r="G3330">
        <v>0.387573468070947</v>
      </c>
      <c r="H3330">
        <v>0.34097050166135501</v>
      </c>
      <c r="I3330">
        <v>0.167209922507675</v>
      </c>
      <c r="J3330">
        <v>3.7353135089730899E-2</v>
      </c>
      <c r="K3330">
        <v>3.9371595124638802E-2</v>
      </c>
      <c r="L3330">
        <v>593.44300095267397</v>
      </c>
      <c r="M3330">
        <v>11.3451021253868</v>
      </c>
      <c r="N3330">
        <v>52.308299595889402</v>
      </c>
      <c r="O3330">
        <v>50.762166810356199</v>
      </c>
      <c r="P3330">
        <v>-5.5890532917339399E-2</v>
      </c>
      <c r="Q3330">
        <v>0</v>
      </c>
      <c r="R3330">
        <v>0.97213734518608197</v>
      </c>
      <c r="S3330" t="s">
        <v>8881</v>
      </c>
      <c r="T3330" t="s">
        <v>11100</v>
      </c>
      <c r="U3330" t="s">
        <v>11100</v>
      </c>
      <c r="V3330" t="s">
        <v>11100</v>
      </c>
      <c r="W3330" t="s">
        <v>14382</v>
      </c>
      <c r="X3330">
        <v>2</v>
      </c>
      <c r="Y3330" t="s">
        <v>19825</v>
      </c>
      <c r="Z3330" t="s">
        <v>25335</v>
      </c>
      <c r="AA3330">
        <v>0.53412199052836473</v>
      </c>
      <c r="AB3330" t="str">
        <f>HYPERLINK("Melting_Curves/meltCurve_Q5T370_ARRDC1.pdf", "Melting_Curves/meltCurve_Q5T370_ARRDC1.pdf")</f>
        <v>Melting_Curves/meltCurve_Q5T370_ARRDC1.pdf</v>
      </c>
    </row>
    <row r="3331" spans="1:28" x14ac:dyDescent="0.25">
      <c r="A3331" t="s">
        <v>3335</v>
      </c>
      <c r="B3331">
        <v>0.99299721793515405</v>
      </c>
      <c r="C3331">
        <v>1.01738940003265</v>
      </c>
      <c r="D3331">
        <v>0.94694950119075405</v>
      </c>
      <c r="E3331">
        <v>0.82923443628250104</v>
      </c>
      <c r="F3331">
        <v>0.64689831598482805</v>
      </c>
      <c r="G3331">
        <v>0.40019641074175</v>
      </c>
      <c r="H3331">
        <v>0.29556131402742902</v>
      </c>
      <c r="I3331">
        <v>0.32007021926601698</v>
      </c>
      <c r="J3331">
        <v>0.28425116598252598</v>
      </c>
      <c r="K3331">
        <v>0.27825484738670597</v>
      </c>
      <c r="L3331">
        <v>940.13448096775198</v>
      </c>
      <c r="M3331">
        <v>18.8409885837373</v>
      </c>
      <c r="N3331">
        <v>52.045108241878502</v>
      </c>
      <c r="O3331">
        <v>49.346436372219898</v>
      </c>
      <c r="P3331">
        <v>-6.9669677987014997E-2</v>
      </c>
      <c r="Q3331">
        <v>0.27014261170626003</v>
      </c>
      <c r="R3331">
        <v>0.99513734885902405</v>
      </c>
      <c r="S3331" t="s">
        <v>8882</v>
      </c>
      <c r="T3331" t="s">
        <v>11100</v>
      </c>
      <c r="U3331" t="s">
        <v>11100</v>
      </c>
      <c r="V3331" t="s">
        <v>11100</v>
      </c>
      <c r="W3331" t="s">
        <v>14383</v>
      </c>
      <c r="X3331">
        <v>4</v>
      </c>
      <c r="Y3331" t="s">
        <v>19826</v>
      </c>
      <c r="Z3331" t="s">
        <v>25336</v>
      </c>
      <c r="AA3331">
        <v>0.59460236857693594</v>
      </c>
      <c r="AB3331" t="str">
        <f>HYPERLINK("Melting_Curves/meltCurve_Q5T3Q7_HEATR1.pdf", "Melting_Curves/meltCurve_Q5T3Q7_HEATR1.pdf")</f>
        <v>Melting_Curves/meltCurve_Q5T3Q7_HEATR1.pdf</v>
      </c>
    </row>
    <row r="3332" spans="1:28" x14ac:dyDescent="0.25">
      <c r="A3332" t="s">
        <v>3336</v>
      </c>
      <c r="B3332">
        <v>0.99299721793515405</v>
      </c>
      <c r="C3332">
        <v>0.96142210091381297</v>
      </c>
      <c r="D3332">
        <v>0.86519234641923004</v>
      </c>
      <c r="E3332">
        <v>0.87030079278431205</v>
      </c>
      <c r="F3332">
        <v>1.26547201531432</v>
      </c>
      <c r="G3332">
        <v>0.64002384401276502</v>
      </c>
      <c r="H3332">
        <v>0.41934970129666999</v>
      </c>
      <c r="I3332">
        <v>0.18497981856274501</v>
      </c>
      <c r="J3332">
        <v>0.24219839397482201</v>
      </c>
      <c r="K3332">
        <v>0</v>
      </c>
      <c r="L3332">
        <v>1595.9051988905801</v>
      </c>
      <c r="M3332">
        <v>28.695192336969299</v>
      </c>
      <c r="N3332">
        <v>56.131743815513303</v>
      </c>
      <c r="O3332">
        <v>55.347746715289503</v>
      </c>
      <c r="P3332">
        <v>-0.114588546513279</v>
      </c>
      <c r="Q3332">
        <v>0.11592568454594999</v>
      </c>
      <c r="R3332">
        <v>0.88998811855503401</v>
      </c>
      <c r="S3332" t="s">
        <v>8883</v>
      </c>
      <c r="T3332" t="s">
        <v>11100</v>
      </c>
      <c r="U3332" t="s">
        <v>11100</v>
      </c>
      <c r="V3332" t="s">
        <v>11100</v>
      </c>
      <c r="W3332" t="s">
        <v>14384</v>
      </c>
      <c r="X3332">
        <v>2</v>
      </c>
      <c r="Y3332" t="s">
        <v>19827</v>
      </c>
      <c r="Z3332" t="s">
        <v>25337</v>
      </c>
      <c r="AA3332">
        <v>0.67048795236794723</v>
      </c>
      <c r="AB3332" t="str">
        <f>HYPERLINK("Melting_Curves/meltCurve_Q5T3U5_2_ABCC10.pdf", "Melting_Curves/meltCurve_Q5T3U5_2_ABCC10.pdf")</f>
        <v>Melting_Curves/meltCurve_Q5T3U5_2_ABCC10.pdf</v>
      </c>
    </row>
    <row r="3333" spans="1:28" x14ac:dyDescent="0.25">
      <c r="A3333" t="s">
        <v>3337</v>
      </c>
      <c r="B3333">
        <v>0.99299721793515405</v>
      </c>
      <c r="C3333">
        <v>1.00057279340886</v>
      </c>
      <c r="D3333">
        <v>0.87912485813133801</v>
      </c>
      <c r="E3333">
        <v>0.85058575618370802</v>
      </c>
      <c r="F3333">
        <v>0.75851261249359503</v>
      </c>
      <c r="G3333">
        <v>0.44847287692184901</v>
      </c>
      <c r="H3333">
        <v>0.28301070695297198</v>
      </c>
      <c r="I3333">
        <v>0.14375322578244401</v>
      </c>
      <c r="J3333">
        <v>0.11217205516317599</v>
      </c>
      <c r="K3333">
        <v>9.9952572050204302E-2</v>
      </c>
      <c r="L3333">
        <v>715.64913396557199</v>
      </c>
      <c r="M3333">
        <v>13.4621511025522</v>
      </c>
      <c r="N3333">
        <v>53.332196250881701</v>
      </c>
      <c r="O3333">
        <v>52.028179483727598</v>
      </c>
      <c r="P3333">
        <v>-6.3321554220525295E-2</v>
      </c>
      <c r="Q3333">
        <v>2.1256795634614599E-2</v>
      </c>
      <c r="R3333">
        <v>0.98990728543386197</v>
      </c>
      <c r="S3333" t="s">
        <v>8884</v>
      </c>
      <c r="T3333" t="s">
        <v>11100</v>
      </c>
      <c r="U3333" t="s">
        <v>11100</v>
      </c>
      <c r="V3333" t="s">
        <v>11100</v>
      </c>
      <c r="W3333" t="s">
        <v>14385</v>
      </c>
      <c r="X3333">
        <v>8</v>
      </c>
      <c r="Y3333" t="s">
        <v>19828</v>
      </c>
      <c r="Z3333" t="s">
        <v>25338</v>
      </c>
      <c r="AA3333">
        <v>0.56731221381906605</v>
      </c>
      <c r="AB3333" t="str">
        <f>HYPERLINK("Melting_Curves/meltCurve_Q5T440_IBA57.pdf", "Melting_Curves/meltCurve_Q5T440_IBA57.pdf")</f>
        <v>Melting_Curves/meltCurve_Q5T440_IBA57.pdf</v>
      </c>
    </row>
    <row r="3334" spans="1:28" x14ac:dyDescent="0.25">
      <c r="A3334" t="s">
        <v>3338</v>
      </c>
      <c r="B3334">
        <v>0.99299721793515405</v>
      </c>
      <c r="C3334">
        <v>1.0944079021755599</v>
      </c>
      <c r="D3334">
        <v>0.93003416372266601</v>
      </c>
      <c r="E3334">
        <v>0.76239368408173902</v>
      </c>
      <c r="F3334">
        <v>0.31041557437422002</v>
      </c>
      <c r="G3334">
        <v>0.186372076772472</v>
      </c>
      <c r="H3334">
        <v>0.14150512356355899</v>
      </c>
      <c r="I3334">
        <v>0.12541077307322601</v>
      </c>
      <c r="J3334">
        <v>0.15353769339946299</v>
      </c>
      <c r="K3334">
        <v>0.16332274170628</v>
      </c>
      <c r="L3334">
        <v>1465.6299694567599</v>
      </c>
      <c r="M3334">
        <v>30.559876775513501</v>
      </c>
      <c r="N3334">
        <v>48.505116770240399</v>
      </c>
      <c r="O3334">
        <v>47.755330026903898</v>
      </c>
      <c r="P3334">
        <v>-0.13670539521289499</v>
      </c>
      <c r="Q3334">
        <v>0.145497637039643</v>
      </c>
      <c r="R3334">
        <v>0.99150727567173402</v>
      </c>
      <c r="S3334" t="s">
        <v>8885</v>
      </c>
      <c r="T3334" t="s">
        <v>11100</v>
      </c>
      <c r="U3334" t="s">
        <v>11100</v>
      </c>
      <c r="V3334" t="s">
        <v>11100</v>
      </c>
      <c r="W3334" t="s">
        <v>14386</v>
      </c>
      <c r="X3334">
        <v>2</v>
      </c>
      <c r="Y3334" t="s">
        <v>19829</v>
      </c>
      <c r="Z3334" t="s">
        <v>25339</v>
      </c>
      <c r="AA3334">
        <v>0.46252812487009348</v>
      </c>
      <c r="AB3334" t="str">
        <f>HYPERLINK("Melting_Curves/meltCurve_Q5T481_RBM20.pdf", "Melting_Curves/meltCurve_Q5T481_RBM20.pdf")</f>
        <v>Melting_Curves/meltCurve_Q5T481_RBM20.pdf</v>
      </c>
    </row>
    <row r="3335" spans="1:28" x14ac:dyDescent="0.25">
      <c r="A3335" t="s">
        <v>3339</v>
      </c>
      <c r="B3335">
        <v>0.99299721793515405</v>
      </c>
      <c r="C3335">
        <v>1.01241453649548</v>
      </c>
      <c r="D3335">
        <v>1.5669316847338599</v>
      </c>
      <c r="E3335">
        <v>0.71741047809907499</v>
      </c>
      <c r="F3335">
        <v>1.05586377592416</v>
      </c>
      <c r="G3335">
        <v>0.75207311565811197</v>
      </c>
      <c r="H3335">
        <v>0.49665369134598197</v>
      </c>
      <c r="I3335">
        <v>0.506174354251401</v>
      </c>
      <c r="J3335">
        <v>0.47709990152199999</v>
      </c>
      <c r="K3335">
        <v>0.45672960593110001</v>
      </c>
      <c r="L3335">
        <v>8844.3980251117191</v>
      </c>
      <c r="M3335">
        <v>164.31645734397401</v>
      </c>
      <c r="N3335">
        <v>54.980445661853203</v>
      </c>
      <c r="O3335">
        <v>53.817441607273601</v>
      </c>
      <c r="P3335">
        <v>-0.39374384720758498</v>
      </c>
      <c r="Q3335">
        <v>0.48415931455692401</v>
      </c>
      <c r="R3335">
        <v>0.64552955198585804</v>
      </c>
      <c r="S3335" t="s">
        <v>8886</v>
      </c>
      <c r="T3335" t="s">
        <v>11100</v>
      </c>
      <c r="U3335" t="s">
        <v>11100</v>
      </c>
      <c r="V3335" t="s">
        <v>11100</v>
      </c>
      <c r="W3335" t="s">
        <v>14387</v>
      </c>
      <c r="X3335">
        <v>1</v>
      </c>
      <c r="Y3335" t="s">
        <v>19830</v>
      </c>
      <c r="Z3335" t="s">
        <v>25340</v>
      </c>
      <c r="AA3335">
        <v>0.77357956589533039</v>
      </c>
      <c r="AB3335" t="str">
        <f>HYPERLINK("Melting_Curves/meltCurve_Q5T4F4_7_ZFYVE27.pdf", "Melting_Curves/meltCurve_Q5T4F4_7_ZFYVE27.pdf")</f>
        <v>Melting_Curves/meltCurve_Q5T4F4_7_ZFYVE27.pdf</v>
      </c>
    </row>
    <row r="3336" spans="1:28" x14ac:dyDescent="0.25">
      <c r="A3336" t="s">
        <v>3340</v>
      </c>
      <c r="B3336">
        <v>0.99299721793515405</v>
      </c>
      <c r="C3336">
        <v>1.1682684201093501</v>
      </c>
      <c r="D3336">
        <v>1.05043176113478</v>
      </c>
      <c r="E3336">
        <v>0.99446215799825</v>
      </c>
      <c r="F3336">
        <v>0.91731526959958698</v>
      </c>
      <c r="G3336">
        <v>0.47628307326063801</v>
      </c>
      <c r="H3336">
        <v>0.35199119014910901</v>
      </c>
      <c r="I3336">
        <v>0.180805809784545</v>
      </c>
      <c r="J3336">
        <v>0.13306272068373201</v>
      </c>
      <c r="K3336">
        <v>0.100991961561105</v>
      </c>
      <c r="L3336">
        <v>1293.0841845561599</v>
      </c>
      <c r="M3336">
        <v>24.088428295869502</v>
      </c>
      <c r="N3336">
        <v>54.333871623069697</v>
      </c>
      <c r="O3336">
        <v>53.314865696656199</v>
      </c>
      <c r="P3336">
        <v>-9.8756124732998801E-2</v>
      </c>
      <c r="Q3336">
        <v>0.12570676353322099</v>
      </c>
      <c r="R3336">
        <v>0.97141617648177603</v>
      </c>
      <c r="S3336" t="s">
        <v>8887</v>
      </c>
      <c r="T3336" t="s">
        <v>11100</v>
      </c>
      <c r="U3336" t="s">
        <v>11100</v>
      </c>
      <c r="V3336" t="s">
        <v>11100</v>
      </c>
      <c r="W3336" t="s">
        <v>14388</v>
      </c>
      <c r="X3336">
        <v>3</v>
      </c>
      <c r="Y3336" t="s">
        <v>19831</v>
      </c>
      <c r="Z3336" t="s">
        <v>25341</v>
      </c>
      <c r="AA3336">
        <v>0.6199859444250736</v>
      </c>
      <c r="AB3336" t="str">
        <f>HYPERLINK("Melting_Curves/meltCurve_Q5T4U8_RABGGTB.pdf", "Melting_Curves/meltCurve_Q5T4U8_RABGGTB.pdf")</f>
        <v>Melting_Curves/meltCurve_Q5T4U8_RABGGTB.pdf</v>
      </c>
    </row>
    <row r="3337" spans="1:28" x14ac:dyDescent="0.25">
      <c r="A3337" t="s">
        <v>3341</v>
      </c>
      <c r="B3337">
        <v>0.99299721793515405</v>
      </c>
      <c r="C3337">
        <v>0.99154416045772098</v>
      </c>
      <c r="D3337">
        <v>0.93534554339583198</v>
      </c>
      <c r="E3337">
        <v>0.905756226412054</v>
      </c>
      <c r="F3337">
        <v>0.76748409110690097</v>
      </c>
      <c r="G3337">
        <v>0.76972154363141998</v>
      </c>
      <c r="H3337">
        <v>0.44630694951152999</v>
      </c>
      <c r="I3337">
        <v>0.18880955629665599</v>
      </c>
      <c r="J3337">
        <v>0.12051881105379</v>
      </c>
      <c r="K3337">
        <v>9.7416394176065096E-2</v>
      </c>
      <c r="L3337">
        <v>834.27027436683204</v>
      </c>
      <c r="M3337">
        <v>14.806441487577899</v>
      </c>
      <c r="N3337">
        <v>56.345090212835103</v>
      </c>
      <c r="O3337">
        <v>55.347245376998004</v>
      </c>
      <c r="P3337">
        <v>-6.6886867277659107E-2</v>
      </c>
      <c r="Q3337">
        <v>0</v>
      </c>
      <c r="R3337">
        <v>0.97717227574276</v>
      </c>
      <c r="S3337" t="s">
        <v>8888</v>
      </c>
      <c r="T3337" t="s">
        <v>11100</v>
      </c>
      <c r="U3337" t="s">
        <v>11100</v>
      </c>
      <c r="V3337" t="s">
        <v>11100</v>
      </c>
      <c r="W3337" t="s">
        <v>14389</v>
      </c>
      <c r="X3337">
        <v>16</v>
      </c>
      <c r="Y3337" t="s">
        <v>19832</v>
      </c>
      <c r="Z3337" t="s">
        <v>25342</v>
      </c>
      <c r="AA3337">
        <v>0.6551963506102555</v>
      </c>
      <c r="AB3337" t="str">
        <f>HYPERLINK("Melting_Curves/meltCurve_Q5T5C7_SARS.pdf", "Melting_Curves/meltCurve_Q5T5C7_SARS.pdf")</f>
        <v>Melting_Curves/meltCurve_Q5T5C7_SARS.pdf</v>
      </c>
    </row>
    <row r="3338" spans="1:28" x14ac:dyDescent="0.25">
      <c r="A3338" t="s">
        <v>3342</v>
      </c>
      <c r="B3338">
        <v>0.99299721793515405</v>
      </c>
      <c r="C3338">
        <v>1.19605181651229</v>
      </c>
      <c r="D3338">
        <v>1.03973344796032</v>
      </c>
      <c r="E3338">
        <v>0.74768140676887895</v>
      </c>
      <c r="F3338">
        <v>0.48236166642676398</v>
      </c>
      <c r="G3338">
        <v>0.24543283897152099</v>
      </c>
      <c r="H3338">
        <v>0.14298469745084699</v>
      </c>
      <c r="I3338">
        <v>0.15402052293437701</v>
      </c>
      <c r="J3338">
        <v>0</v>
      </c>
      <c r="K3338">
        <v>0</v>
      </c>
      <c r="L3338">
        <v>930.37999209616896</v>
      </c>
      <c r="M3338">
        <v>18.6511874957095</v>
      </c>
      <c r="N3338">
        <v>50.107572387088801</v>
      </c>
      <c r="O3338">
        <v>49.320306868202799</v>
      </c>
      <c r="P3338">
        <v>-9.0756843564133202E-2</v>
      </c>
      <c r="Q3338">
        <v>4.0068776038924302E-2</v>
      </c>
      <c r="R3338">
        <v>0.96569316855631604</v>
      </c>
      <c r="S3338" t="s">
        <v>8889</v>
      </c>
      <c r="T3338" t="s">
        <v>11100</v>
      </c>
      <c r="U3338" t="s">
        <v>11100</v>
      </c>
      <c r="V3338" t="s">
        <v>11100</v>
      </c>
      <c r="W3338" t="s">
        <v>14390</v>
      </c>
      <c r="X3338">
        <v>1</v>
      </c>
      <c r="Y3338" t="s">
        <v>19833</v>
      </c>
      <c r="Z3338" t="s">
        <v>25343</v>
      </c>
      <c r="AA3338">
        <v>0.46656671732426408</v>
      </c>
      <c r="AB3338" t="str">
        <f>HYPERLINK("Melting_Curves/meltCurve_Q5T5P2_3_KIAA1217.pdf", "Melting_Curves/meltCurve_Q5T5P2_3_KIAA1217.pdf")</f>
        <v>Melting_Curves/meltCurve_Q5T5P2_3_KIAA1217.pdf</v>
      </c>
    </row>
    <row r="3339" spans="1:28" x14ac:dyDescent="0.25">
      <c r="A3339" t="s">
        <v>3343</v>
      </c>
      <c r="B3339">
        <v>0.99299721793515405</v>
      </c>
      <c r="C3339">
        <v>0.92709516742341402</v>
      </c>
      <c r="D3339">
        <v>0.70585276878775605</v>
      </c>
      <c r="E3339">
        <v>0.75509374739642399</v>
      </c>
      <c r="F3339">
        <v>0.46139283782069201</v>
      </c>
      <c r="G3339">
        <v>0.71599102624516897</v>
      </c>
      <c r="H3339">
        <v>0.66859461506435103</v>
      </c>
      <c r="I3339">
        <v>0.82497221971938195</v>
      </c>
      <c r="J3339">
        <v>0.76210892087106796</v>
      </c>
      <c r="K3339">
        <v>0.70941311966555898</v>
      </c>
      <c r="L3339">
        <v>2632.3822007587901</v>
      </c>
      <c r="M3339">
        <v>64.839359785314798</v>
      </c>
      <c r="O3339">
        <v>40.559956785170499</v>
      </c>
      <c r="P3339">
        <v>-0.120116402280239</v>
      </c>
      <c r="Q3339">
        <v>0.69944708975112602</v>
      </c>
      <c r="R3339">
        <v>0.57651294221255101</v>
      </c>
      <c r="S3339" t="s">
        <v>8890</v>
      </c>
      <c r="T3339" t="s">
        <v>11100</v>
      </c>
      <c r="U3339" t="s">
        <v>11100</v>
      </c>
      <c r="V3339" t="s">
        <v>11100</v>
      </c>
      <c r="W3339" t="s">
        <v>14391</v>
      </c>
      <c r="X3339">
        <v>2</v>
      </c>
      <c r="Y3339" t="s">
        <v>19834</v>
      </c>
      <c r="Z3339" t="s">
        <v>25344</v>
      </c>
      <c r="AA3339">
        <v>0.73582721498625647</v>
      </c>
      <c r="AB3339" t="str">
        <f>HYPERLINK("Melting_Curves/meltCurve_Q5T5U3_ARHGAP21.pdf", "Melting_Curves/meltCurve_Q5T5U3_ARHGAP21.pdf")</f>
        <v>Melting_Curves/meltCurve_Q5T5U3_ARHGAP21.pdf</v>
      </c>
    </row>
    <row r="3340" spans="1:28" x14ac:dyDescent="0.25">
      <c r="A3340" t="s">
        <v>3344</v>
      </c>
      <c r="B3340">
        <v>0.99299721793515405</v>
      </c>
      <c r="C3340">
        <v>0.95896243740601195</v>
      </c>
      <c r="D3340">
        <v>0.89327107075752399</v>
      </c>
      <c r="E3340">
        <v>0.76082326161370095</v>
      </c>
      <c r="F3340">
        <v>0.62059330544783997</v>
      </c>
      <c r="G3340">
        <v>0.237904894792971</v>
      </c>
      <c r="H3340">
        <v>0.18559465906730599</v>
      </c>
      <c r="I3340">
        <v>0.17318874415955199</v>
      </c>
      <c r="J3340">
        <v>0.12502282908284701</v>
      </c>
      <c r="K3340">
        <v>0.120332572986753</v>
      </c>
      <c r="L3340">
        <v>787.74726051584003</v>
      </c>
      <c r="M3340">
        <v>15.7583379783671</v>
      </c>
      <c r="N3340">
        <v>50.671078112045301</v>
      </c>
      <c r="O3340">
        <v>49.204983187399499</v>
      </c>
      <c r="P3340">
        <v>-7.2421620459141495E-2</v>
      </c>
      <c r="Q3340">
        <v>9.5537120803887002E-2</v>
      </c>
      <c r="R3340">
        <v>0.98550626046915502</v>
      </c>
      <c r="S3340" t="s">
        <v>8891</v>
      </c>
      <c r="T3340" t="s">
        <v>11100</v>
      </c>
      <c r="U3340" t="s">
        <v>11100</v>
      </c>
      <c r="V3340" t="s">
        <v>11100</v>
      </c>
      <c r="W3340" t="s">
        <v>14392</v>
      </c>
      <c r="X3340">
        <v>5</v>
      </c>
      <c r="Y3340" t="s">
        <v>19835</v>
      </c>
      <c r="Z3340" t="s">
        <v>25345</v>
      </c>
      <c r="AA3340">
        <v>0.5047304761043887</v>
      </c>
      <c r="AB3340" t="str">
        <f>HYPERLINK("Melting_Curves/meltCurve_Q5T5Y3_2_CAMSAP1.pdf", "Melting_Curves/meltCurve_Q5T5Y3_2_CAMSAP1.pdf")</f>
        <v>Melting_Curves/meltCurve_Q5T5Y3_2_CAMSAP1.pdf</v>
      </c>
    </row>
    <row r="3341" spans="1:28" x14ac:dyDescent="0.25">
      <c r="A3341" t="s">
        <v>3345</v>
      </c>
      <c r="B3341">
        <v>0.99299721793515405</v>
      </c>
      <c r="C3341">
        <v>1.0226104635148801</v>
      </c>
      <c r="D3341">
        <v>1.11479706555715</v>
      </c>
      <c r="E3341">
        <v>0.89661854833252896</v>
      </c>
      <c r="F3341">
        <v>0.74771293015672502</v>
      </c>
      <c r="G3341">
        <v>0.54940083710440502</v>
      </c>
      <c r="H3341">
        <v>0.70027485732364703</v>
      </c>
      <c r="I3341">
        <v>0.90482592836657805</v>
      </c>
      <c r="J3341">
        <v>1.17576846364395</v>
      </c>
      <c r="K3341">
        <v>0.99522895388495203</v>
      </c>
      <c r="L3341">
        <v>11617.148511487399</v>
      </c>
      <c r="M3341">
        <v>250</v>
      </c>
      <c r="O3341">
        <v>46.465601844318897</v>
      </c>
      <c r="P3341">
        <v>-0.207767420162078</v>
      </c>
      <c r="Q3341">
        <v>0.845535326688587</v>
      </c>
      <c r="R3341">
        <v>0.21439120348334201</v>
      </c>
      <c r="S3341" t="s">
        <v>8892</v>
      </c>
      <c r="T3341" t="s">
        <v>11100</v>
      </c>
      <c r="U3341" t="s">
        <v>11100</v>
      </c>
      <c r="V3341" t="s">
        <v>11100</v>
      </c>
      <c r="W3341" t="s">
        <v>14393</v>
      </c>
      <c r="X3341">
        <v>9</v>
      </c>
      <c r="Y3341" t="s">
        <v>19836</v>
      </c>
      <c r="Z3341" t="s">
        <v>25346</v>
      </c>
      <c r="AA3341">
        <v>0.89430003307320505</v>
      </c>
      <c r="AB3341" t="str">
        <f>HYPERLINK("Melting_Curves/meltCurve_Q5T6F2_UBAP2.pdf", "Melting_Curves/meltCurve_Q5T6F2_UBAP2.pdf")</f>
        <v>Melting_Curves/meltCurve_Q5T6F2_UBAP2.pdf</v>
      </c>
    </row>
    <row r="3342" spans="1:28" x14ac:dyDescent="0.25">
      <c r="A3342" t="s">
        <v>3346</v>
      </c>
      <c r="B3342">
        <v>0.99299721793515405</v>
      </c>
      <c r="C3342">
        <v>1.03694408461326</v>
      </c>
      <c r="D3342">
        <v>1.03745892761491</v>
      </c>
      <c r="E3342">
        <v>0.96832924206451998</v>
      </c>
      <c r="F3342">
        <v>0.76973633023379195</v>
      </c>
      <c r="G3342">
        <v>0.50722889562858298</v>
      </c>
      <c r="H3342">
        <v>0.32535509491804598</v>
      </c>
      <c r="I3342">
        <v>0.275052607891075</v>
      </c>
      <c r="J3342">
        <v>0.237204039817173</v>
      </c>
      <c r="K3342">
        <v>0.18307809239547801</v>
      </c>
      <c r="L3342">
        <v>1096.3183286168301</v>
      </c>
      <c r="M3342">
        <v>20.866254332032302</v>
      </c>
      <c r="N3342">
        <v>53.931441859016701</v>
      </c>
      <c r="O3342">
        <v>52.064837624541198</v>
      </c>
      <c r="P3342">
        <v>-7.93438109896107E-2</v>
      </c>
      <c r="Q3342">
        <v>0.208116886095322</v>
      </c>
      <c r="R3342">
        <v>0.99492682643756802</v>
      </c>
      <c r="S3342" t="s">
        <v>8893</v>
      </c>
      <c r="T3342" t="s">
        <v>11100</v>
      </c>
      <c r="U3342" t="s">
        <v>11100</v>
      </c>
      <c r="V3342" t="s">
        <v>11100</v>
      </c>
      <c r="W3342" t="s">
        <v>14394</v>
      </c>
      <c r="X3342">
        <v>13</v>
      </c>
      <c r="Y3342" t="s">
        <v>19837</v>
      </c>
      <c r="Z3342" t="s">
        <v>25347</v>
      </c>
      <c r="AA3342">
        <v>0.62779064596803169</v>
      </c>
      <c r="AB3342" t="str">
        <f>HYPERLINK("Melting_Curves/meltCurve_Q5T6V5_C9orf64.pdf", "Melting_Curves/meltCurve_Q5T6V5_C9orf64.pdf")</f>
        <v>Melting_Curves/meltCurve_Q5T6V5_C9orf64.pdf</v>
      </c>
    </row>
    <row r="3343" spans="1:28" x14ac:dyDescent="0.25">
      <c r="A3343" t="s">
        <v>3347</v>
      </c>
      <c r="B3343">
        <v>0.99299721793515405</v>
      </c>
      <c r="C3343">
        <v>0.96158041328237798</v>
      </c>
      <c r="D3343">
        <v>0.93657033890626595</v>
      </c>
      <c r="E3343">
        <v>0.91044653985030399</v>
      </c>
      <c r="F3343">
        <v>0.61180122520437197</v>
      </c>
      <c r="G3343">
        <v>0.46812228542312301</v>
      </c>
      <c r="H3343">
        <v>0.45119712432234399</v>
      </c>
      <c r="I3343">
        <v>0.36839754962149401</v>
      </c>
      <c r="J3343">
        <v>0.189872887261677</v>
      </c>
      <c r="K3343">
        <v>0.14920815417616101</v>
      </c>
      <c r="L3343">
        <v>508.89299722146399</v>
      </c>
      <c r="M3343">
        <v>9.4245307033609809</v>
      </c>
      <c r="N3343">
        <v>54.5907547608047</v>
      </c>
      <c r="O3343">
        <v>51.733019787688697</v>
      </c>
      <c r="P3343">
        <v>-4.3350681729071097E-2</v>
      </c>
      <c r="Q3343">
        <v>4.8739840850771501E-2</v>
      </c>
      <c r="R3343">
        <v>0.96997812281775297</v>
      </c>
      <c r="S3343" t="s">
        <v>8894</v>
      </c>
      <c r="T3343" t="s">
        <v>11100</v>
      </c>
      <c r="U3343" t="s">
        <v>11100</v>
      </c>
      <c r="V3343" t="s">
        <v>11100</v>
      </c>
      <c r="W3343" t="s">
        <v>14395</v>
      </c>
      <c r="X3343">
        <v>2</v>
      </c>
      <c r="Y3343" t="s">
        <v>19838</v>
      </c>
      <c r="Z3343" t="s">
        <v>25348</v>
      </c>
      <c r="AA3343">
        <v>0.60394731723861284</v>
      </c>
      <c r="AB3343" t="str">
        <f>HYPERLINK("Melting_Curves/meltCurve_Q5T7M9_FAM69A.pdf", "Melting_Curves/meltCurve_Q5T7M9_FAM69A.pdf")</f>
        <v>Melting_Curves/meltCurve_Q5T7M9_FAM69A.pdf</v>
      </c>
    </row>
    <row r="3344" spans="1:28" x14ac:dyDescent="0.25">
      <c r="A3344" t="s">
        <v>3348</v>
      </c>
      <c r="B3344">
        <v>0.99299721793515405</v>
      </c>
      <c r="C3344">
        <v>0.67664638904046104</v>
      </c>
      <c r="D3344">
        <v>0.90097509758900995</v>
      </c>
      <c r="E3344">
        <v>0.60591944569802103</v>
      </c>
      <c r="F3344">
        <v>0.58791018235468095</v>
      </c>
      <c r="G3344">
        <v>0.34003906031881598</v>
      </c>
      <c r="H3344">
        <v>0.27815689193642101</v>
      </c>
      <c r="I3344">
        <v>0.32433905305553801</v>
      </c>
      <c r="J3344">
        <v>0.212527243376574</v>
      </c>
      <c r="K3344">
        <v>0.27650258390523003</v>
      </c>
      <c r="L3344">
        <v>385.73038473510701</v>
      </c>
      <c r="M3344">
        <v>7.9848486848034499</v>
      </c>
      <c r="N3344">
        <v>50.482439068378703</v>
      </c>
      <c r="O3344">
        <v>45.560146120074698</v>
      </c>
      <c r="P3344">
        <v>-3.7481426447527499E-2</v>
      </c>
      <c r="Q3344">
        <v>0.145523480655249</v>
      </c>
      <c r="R3344">
        <v>0.88720573441010697</v>
      </c>
      <c r="S3344" t="s">
        <v>8895</v>
      </c>
      <c r="T3344" t="s">
        <v>11100</v>
      </c>
      <c r="U3344" t="s">
        <v>11100</v>
      </c>
      <c r="V3344" t="s">
        <v>11100</v>
      </c>
      <c r="W3344" t="s">
        <v>14396</v>
      </c>
      <c r="X3344">
        <v>3</v>
      </c>
      <c r="Y3344" t="s">
        <v>19839</v>
      </c>
      <c r="Z3344" t="s">
        <v>25349</v>
      </c>
      <c r="AA3344">
        <v>0.51059067292279348</v>
      </c>
      <c r="AB3344" t="str">
        <f>HYPERLINK("Melting_Curves/meltCurve_Q5T7V8_GORAB.pdf", "Melting_Curves/meltCurve_Q5T7V8_GORAB.pdf")</f>
        <v>Melting_Curves/meltCurve_Q5T7V8_GORAB.pdf</v>
      </c>
    </row>
    <row r="3345" spans="1:28" x14ac:dyDescent="0.25">
      <c r="A3345" t="s">
        <v>3349</v>
      </c>
      <c r="B3345">
        <v>0.99299721793515405</v>
      </c>
      <c r="C3345">
        <v>0.96298485838207903</v>
      </c>
      <c r="D3345">
        <v>0.93822423010187495</v>
      </c>
      <c r="E3345">
        <v>0.80792076521020995</v>
      </c>
      <c r="F3345">
        <v>0.50507236709225101</v>
      </c>
      <c r="G3345">
        <v>0.20228585809889801</v>
      </c>
      <c r="H3345">
        <v>0.16504349316785599</v>
      </c>
      <c r="I3345">
        <v>0.14544435283082499</v>
      </c>
      <c r="J3345">
        <v>0.109825789714824</v>
      </c>
      <c r="K3345">
        <v>8.6044406033732104E-2</v>
      </c>
      <c r="L3345">
        <v>1031.78596107352</v>
      </c>
      <c r="M3345">
        <v>20.851058547052499</v>
      </c>
      <c r="N3345">
        <v>50.026494628605398</v>
      </c>
      <c r="O3345">
        <v>49.035218833812898</v>
      </c>
      <c r="P3345">
        <v>-9.5545977578432806E-2</v>
      </c>
      <c r="Q3345">
        <v>0.10124685872906999</v>
      </c>
      <c r="R3345">
        <v>0.99636229465541204</v>
      </c>
      <c r="S3345" t="s">
        <v>8896</v>
      </c>
      <c r="T3345" t="s">
        <v>11100</v>
      </c>
      <c r="U3345" t="s">
        <v>11100</v>
      </c>
      <c r="V3345" t="s">
        <v>11100</v>
      </c>
      <c r="W3345" t="s">
        <v>14397</v>
      </c>
      <c r="X3345">
        <v>4</v>
      </c>
      <c r="Y3345" t="s">
        <v>19840</v>
      </c>
      <c r="Z3345" t="s">
        <v>25350</v>
      </c>
      <c r="AA3345">
        <v>0.48622306137048882</v>
      </c>
      <c r="AB3345" t="str">
        <f>HYPERLINK("Melting_Curves/meltCurve_Q5T8D3_2_ACBD5.pdf", "Melting_Curves/meltCurve_Q5T8D3_2_ACBD5.pdf")</f>
        <v>Melting_Curves/meltCurve_Q5T8D3_2_ACBD5.pdf</v>
      </c>
    </row>
    <row r="3346" spans="1:28" x14ac:dyDescent="0.25">
      <c r="A3346" t="s">
        <v>3350</v>
      </c>
      <c r="B3346">
        <v>0.99299721793515405</v>
      </c>
      <c r="C3346">
        <v>0.99618370443992199</v>
      </c>
      <c r="D3346">
        <v>0.970111615812418</v>
      </c>
      <c r="E3346">
        <v>0.78178127249162999</v>
      </c>
      <c r="F3346">
        <v>0.58058052172437202</v>
      </c>
      <c r="G3346">
        <v>0.23823188880260901</v>
      </c>
      <c r="H3346">
        <v>0.177524106842815</v>
      </c>
      <c r="I3346">
        <v>0.17228105591828299</v>
      </c>
      <c r="J3346">
        <v>0.15707446360441599</v>
      </c>
      <c r="K3346">
        <v>0.13193720874928</v>
      </c>
      <c r="L3346">
        <v>999.84954681324598</v>
      </c>
      <c r="M3346">
        <v>20.105154261878099</v>
      </c>
      <c r="N3346">
        <v>50.5041239570984</v>
      </c>
      <c r="O3346">
        <v>49.246852252096097</v>
      </c>
      <c r="P3346">
        <v>-8.8547262611666094E-2</v>
      </c>
      <c r="Q3346">
        <v>0.13245436488733001</v>
      </c>
      <c r="R3346">
        <v>0.99404312406579998</v>
      </c>
      <c r="S3346" t="s">
        <v>8897</v>
      </c>
      <c r="T3346" t="s">
        <v>11100</v>
      </c>
      <c r="U3346" t="s">
        <v>11100</v>
      </c>
      <c r="V3346" t="s">
        <v>11100</v>
      </c>
      <c r="W3346" t="s">
        <v>14398</v>
      </c>
      <c r="X3346">
        <v>12</v>
      </c>
      <c r="Y3346" t="s">
        <v>19841</v>
      </c>
      <c r="Z3346" t="s">
        <v>25351</v>
      </c>
      <c r="AA3346">
        <v>0.51193721868561104</v>
      </c>
      <c r="AB3346" t="str">
        <f>HYPERLINK("Melting_Curves/meltCurve_Q5T8P6_2_RBM26.pdf", "Melting_Curves/meltCurve_Q5T8P6_2_RBM26.pdf")</f>
        <v>Melting_Curves/meltCurve_Q5T8P6_2_RBM26.pdf</v>
      </c>
    </row>
    <row r="3347" spans="1:28" x14ac:dyDescent="0.25">
      <c r="A3347" t="s">
        <v>3351</v>
      </c>
      <c r="B3347">
        <v>0.99299721793515405</v>
      </c>
      <c r="C3347">
        <v>0.88433039622193699</v>
      </c>
      <c r="D3347">
        <v>0.87356352972797702</v>
      </c>
      <c r="E3347">
        <v>0.83771185652060398</v>
      </c>
      <c r="F3347">
        <v>0.68584159486832896</v>
      </c>
      <c r="G3347">
        <v>0.65119891743569802</v>
      </c>
      <c r="H3347">
        <v>0.57696108754692399</v>
      </c>
      <c r="I3347">
        <v>0.62702971499960503</v>
      </c>
      <c r="J3347">
        <v>0.64206604483504404</v>
      </c>
      <c r="K3347">
        <v>0.36264732988266302</v>
      </c>
      <c r="L3347">
        <v>259.81675925786197</v>
      </c>
      <c r="M3347">
        <v>4.3974473005134396</v>
      </c>
      <c r="N3347">
        <v>65.475311488297095</v>
      </c>
      <c r="O3347">
        <v>49.896257490522999</v>
      </c>
      <c r="P3347">
        <v>-1.83596459381354E-2</v>
      </c>
      <c r="Q3347">
        <v>0.174512332003363</v>
      </c>
      <c r="R3347">
        <v>0.85777968870641197</v>
      </c>
      <c r="S3347" t="s">
        <v>8898</v>
      </c>
      <c r="T3347" t="s">
        <v>11100</v>
      </c>
      <c r="U3347" t="s">
        <v>11100</v>
      </c>
      <c r="V3347" t="s">
        <v>11100</v>
      </c>
      <c r="W3347" t="s">
        <v>14399</v>
      </c>
      <c r="X3347">
        <v>3</v>
      </c>
      <c r="Y3347" t="s">
        <v>19842</v>
      </c>
      <c r="Z3347" t="s">
        <v>25352</v>
      </c>
      <c r="AA3347">
        <v>0.71108688688122712</v>
      </c>
      <c r="AB3347" t="str">
        <f>HYPERLINK("Melting_Curves/meltCurve_Q5T8U5_SURF4.pdf", "Melting_Curves/meltCurve_Q5T8U5_SURF4.pdf")</f>
        <v>Melting_Curves/meltCurve_Q5T8U5_SURF4.pdf</v>
      </c>
    </row>
    <row r="3348" spans="1:28" x14ac:dyDescent="0.25">
      <c r="A3348" t="s">
        <v>3352</v>
      </c>
      <c r="B3348">
        <v>0.99299721793515405</v>
      </c>
      <c r="C3348">
        <v>0.98537825732802398</v>
      </c>
      <c r="D3348">
        <v>0.98436817373224805</v>
      </c>
      <c r="E3348">
        <v>0.90618836738452802</v>
      </c>
      <c r="F3348">
        <v>0.742868629687227</v>
      </c>
      <c r="G3348">
        <v>0.47229179598505899</v>
      </c>
      <c r="H3348">
        <v>0.27836995372209</v>
      </c>
      <c r="I3348">
        <v>0.25313973367374099</v>
      </c>
      <c r="J3348">
        <v>0.23793846144181699</v>
      </c>
      <c r="K3348">
        <v>0.19918400201339101</v>
      </c>
      <c r="L3348">
        <v>1034.89141431503</v>
      </c>
      <c r="M3348">
        <v>19.938597050890198</v>
      </c>
      <c r="N3348">
        <v>53.289374936474303</v>
      </c>
      <c r="O3348">
        <v>51.390274354464601</v>
      </c>
      <c r="P3348">
        <v>-7.7380474131726204E-2</v>
      </c>
      <c r="Q3348">
        <v>0.202256254560366</v>
      </c>
      <c r="R3348">
        <v>0.99809785536237305</v>
      </c>
      <c r="S3348" t="s">
        <v>8899</v>
      </c>
      <c r="T3348" t="s">
        <v>11100</v>
      </c>
      <c r="U3348" t="s">
        <v>11100</v>
      </c>
      <c r="V3348" t="s">
        <v>11100</v>
      </c>
      <c r="W3348" t="s">
        <v>14400</v>
      </c>
      <c r="X3348">
        <v>22</v>
      </c>
      <c r="Y3348" t="s">
        <v>19843</v>
      </c>
      <c r="Z3348" t="s">
        <v>25353</v>
      </c>
      <c r="AA3348">
        <v>0.60894361527829055</v>
      </c>
      <c r="AB3348" t="str">
        <f>HYPERLINK("Melting_Curves/meltCurve_Q5T9B7_AK1.pdf", "Melting_Curves/meltCurve_Q5T9B7_AK1.pdf")</f>
        <v>Melting_Curves/meltCurve_Q5T9B7_AK1.pdf</v>
      </c>
    </row>
    <row r="3349" spans="1:28" x14ac:dyDescent="0.25">
      <c r="A3349" t="s">
        <v>3353</v>
      </c>
      <c r="B3349">
        <v>0.99299721793515405</v>
      </c>
      <c r="C3349">
        <v>0.96720063631613995</v>
      </c>
      <c r="D3349">
        <v>0.95386900894867399</v>
      </c>
      <c r="E3349">
        <v>0.73750461984612903</v>
      </c>
      <c r="F3349">
        <v>0.654650670823821</v>
      </c>
      <c r="G3349">
        <v>0.54534654750258704</v>
      </c>
      <c r="H3349">
        <v>0.39449359121231198</v>
      </c>
      <c r="I3349">
        <v>0.275645379282216</v>
      </c>
      <c r="J3349">
        <v>0.23385025240205501</v>
      </c>
      <c r="K3349">
        <v>0.18082868814338501</v>
      </c>
      <c r="L3349">
        <v>467.34979501797</v>
      </c>
      <c r="M3349">
        <v>8.6991882110504406</v>
      </c>
      <c r="N3349">
        <v>54.227809181236303</v>
      </c>
      <c r="O3349">
        <v>51.110968358679003</v>
      </c>
      <c r="P3349">
        <v>-4.0930482731336801E-2</v>
      </c>
      <c r="Q3349">
        <v>3.8866341666926402E-2</v>
      </c>
      <c r="R3349">
        <v>0.99109365322536902</v>
      </c>
      <c r="S3349" t="s">
        <v>8900</v>
      </c>
      <c r="T3349" t="s">
        <v>11100</v>
      </c>
      <c r="U3349" t="s">
        <v>11100</v>
      </c>
      <c r="V3349" t="s">
        <v>11100</v>
      </c>
      <c r="W3349" t="s">
        <v>14401</v>
      </c>
      <c r="X3349">
        <v>2</v>
      </c>
      <c r="Y3349" t="s">
        <v>19844</v>
      </c>
      <c r="Z3349" t="s">
        <v>25354</v>
      </c>
      <c r="AA3349">
        <v>0.59181097409818584</v>
      </c>
      <c r="AB3349" t="str">
        <f>HYPERLINK("Melting_Curves/meltCurve_Q5TA45_2_CPSF3L.pdf", "Melting_Curves/meltCurve_Q5TA45_2_CPSF3L.pdf")</f>
        <v>Melting_Curves/meltCurve_Q5TA45_2_CPSF3L.pdf</v>
      </c>
    </row>
    <row r="3350" spans="1:28" x14ac:dyDescent="0.25">
      <c r="A3350" t="s">
        <v>3354</v>
      </c>
      <c r="B3350">
        <v>0.99299721793515405</v>
      </c>
      <c r="C3350">
        <v>0.95397119533257402</v>
      </c>
      <c r="D3350">
        <v>1.09404214104901</v>
      </c>
      <c r="E3350">
        <v>1.0334868477989401</v>
      </c>
      <c r="F3350">
        <v>0.65294407476480998</v>
      </c>
      <c r="G3350">
        <v>0.27633426246084303</v>
      </c>
      <c r="H3350">
        <v>0.19767167752190301</v>
      </c>
      <c r="I3350">
        <v>0.25707336908239597</v>
      </c>
      <c r="J3350">
        <v>0.29142682980128398</v>
      </c>
      <c r="K3350">
        <v>0.159023288556601</v>
      </c>
      <c r="L3350">
        <v>2754.2644263389602</v>
      </c>
      <c r="M3350">
        <v>54.647059439033796</v>
      </c>
      <c r="N3350">
        <v>50.979083567540997</v>
      </c>
      <c r="O3350">
        <v>50.333604702750101</v>
      </c>
      <c r="P3350">
        <v>-0.208737783092007</v>
      </c>
      <c r="Q3350">
        <v>0.23095451198139899</v>
      </c>
      <c r="R3350">
        <v>0.98271120168302795</v>
      </c>
      <c r="S3350" t="s">
        <v>8901</v>
      </c>
      <c r="T3350" t="s">
        <v>11100</v>
      </c>
      <c r="U3350" t="s">
        <v>11100</v>
      </c>
      <c r="V3350" t="s">
        <v>11100</v>
      </c>
      <c r="W3350" t="s">
        <v>14402</v>
      </c>
      <c r="X3350">
        <v>2</v>
      </c>
      <c r="Y3350" t="s">
        <v>19845</v>
      </c>
      <c r="Z3350" t="s">
        <v>25355</v>
      </c>
      <c r="AA3350">
        <v>0.57591614276461756</v>
      </c>
      <c r="AB3350" t="str">
        <f>HYPERLINK("Melting_Curves/meltCurve_Q5TA50_GLTPD1.pdf", "Melting_Curves/meltCurve_Q5TA50_GLTPD1.pdf")</f>
        <v>Melting_Curves/meltCurve_Q5TA50_GLTPD1.pdf</v>
      </c>
    </row>
    <row r="3351" spans="1:28" x14ac:dyDescent="0.25">
      <c r="A3351" t="s">
        <v>3355</v>
      </c>
      <c r="B3351">
        <v>0.99299721793515405</v>
      </c>
      <c r="C3351">
        <v>1.0032454575462399</v>
      </c>
      <c r="D3351">
        <v>0.977934470033476</v>
      </c>
      <c r="E3351">
        <v>0.91164409887295295</v>
      </c>
      <c r="F3351">
        <v>0.79496679669453596</v>
      </c>
      <c r="G3351">
        <v>0.34355710289646302</v>
      </c>
      <c r="H3351">
        <v>0.21838346613710899</v>
      </c>
      <c r="I3351">
        <v>0.17885008860313001</v>
      </c>
      <c r="J3351">
        <v>0.154663937406948</v>
      </c>
      <c r="K3351">
        <v>0.121643147324978</v>
      </c>
      <c r="L3351">
        <v>1512.688445836</v>
      </c>
      <c r="M3351">
        <v>29.163279778844998</v>
      </c>
      <c r="N3351">
        <v>52.505284414066303</v>
      </c>
      <c r="O3351">
        <v>51.627572215279898</v>
      </c>
      <c r="P3351">
        <v>-0.120216076760813</v>
      </c>
      <c r="Q3351">
        <v>0.14873512099476799</v>
      </c>
      <c r="R3351">
        <v>0.99500573987847096</v>
      </c>
      <c r="S3351" t="s">
        <v>8902</v>
      </c>
      <c r="T3351" t="s">
        <v>11100</v>
      </c>
      <c r="U3351" t="s">
        <v>11100</v>
      </c>
      <c r="V3351" t="s">
        <v>11100</v>
      </c>
      <c r="W3351" t="s">
        <v>14403</v>
      </c>
      <c r="X3351">
        <v>13</v>
      </c>
      <c r="Y3351" t="s">
        <v>19846</v>
      </c>
      <c r="Z3351" t="s">
        <v>25356</v>
      </c>
      <c r="AA3351">
        <v>0.57632970710380171</v>
      </c>
      <c r="AB3351" t="str">
        <f>HYPERLINK("Melting_Curves/meltCurve_Q5TA95_TTC4.pdf", "Melting_Curves/meltCurve_Q5TA95_TTC4.pdf")</f>
        <v>Melting_Curves/meltCurve_Q5TA95_TTC4.pdf</v>
      </c>
    </row>
    <row r="3352" spans="1:28" x14ac:dyDescent="0.25">
      <c r="A3352" t="s">
        <v>3356</v>
      </c>
      <c r="B3352">
        <v>0.99299721793515405</v>
      </c>
      <c r="C3352">
        <v>0.96465689109226505</v>
      </c>
      <c r="D3352">
        <v>0.93752727543493397</v>
      </c>
      <c r="E3352">
        <v>0.81812114524419</v>
      </c>
      <c r="F3352">
        <v>0.55998296254187796</v>
      </c>
      <c r="G3352">
        <v>0.299097234225006</v>
      </c>
      <c r="H3352">
        <v>0.27244166611356802</v>
      </c>
      <c r="I3352">
        <v>0.19127714531722401</v>
      </c>
      <c r="J3352">
        <v>0.18591370182183301</v>
      </c>
      <c r="K3352">
        <v>0.127435707210699</v>
      </c>
      <c r="L3352">
        <v>857.151287323784</v>
      </c>
      <c r="M3352">
        <v>17.183794432357999</v>
      </c>
      <c r="N3352">
        <v>50.944081937358398</v>
      </c>
      <c r="O3352">
        <v>49.220534339052499</v>
      </c>
      <c r="P3352">
        <v>-7.4137843439074994E-2</v>
      </c>
      <c r="Q3352">
        <v>0.15062109739634399</v>
      </c>
      <c r="R3352">
        <v>0.99510827321571005</v>
      </c>
      <c r="S3352" t="s">
        <v>8903</v>
      </c>
      <c r="T3352" t="s">
        <v>11100</v>
      </c>
      <c r="U3352" t="s">
        <v>11100</v>
      </c>
      <c r="V3352" t="s">
        <v>11100</v>
      </c>
      <c r="W3352" t="s">
        <v>14404</v>
      </c>
      <c r="X3352">
        <v>11</v>
      </c>
      <c r="Y3352" t="s">
        <v>19847</v>
      </c>
      <c r="Z3352" t="s">
        <v>25357</v>
      </c>
      <c r="AA3352">
        <v>0.5297848496678319</v>
      </c>
      <c r="AB3352" t="str">
        <f>HYPERLINK("Melting_Curves/meltCurve_Q5TAX3_ZCCHC11.pdf", "Melting_Curves/meltCurve_Q5TAX3_ZCCHC11.pdf")</f>
        <v>Melting_Curves/meltCurve_Q5TAX3_ZCCHC11.pdf</v>
      </c>
    </row>
    <row r="3353" spans="1:28" x14ac:dyDescent="0.25">
      <c r="A3353" t="s">
        <v>3357</v>
      </c>
      <c r="B3353">
        <v>0.99299721793515405</v>
      </c>
      <c r="C3353">
        <v>0.99269143280005101</v>
      </c>
      <c r="D3353">
        <v>0.862204943543739</v>
      </c>
      <c r="E3353">
        <v>0.91504593334861295</v>
      </c>
      <c r="F3353">
        <v>0.72532673540722203</v>
      </c>
      <c r="G3353">
        <v>0.27364852939713402</v>
      </c>
      <c r="H3353">
        <v>0.19376662122973001</v>
      </c>
      <c r="I3353">
        <v>0.17963004775488001</v>
      </c>
      <c r="J3353">
        <v>0.15755482743455199</v>
      </c>
      <c r="K3353">
        <v>9.4304249878419205E-2</v>
      </c>
      <c r="L3353">
        <v>1497.3423300043301</v>
      </c>
      <c r="M3353">
        <v>29.231767582843698</v>
      </c>
      <c r="N3353">
        <v>51.801792241441603</v>
      </c>
      <c r="O3353">
        <v>50.985194232893299</v>
      </c>
      <c r="P3353">
        <v>-0.123369815635906</v>
      </c>
      <c r="Q3353">
        <v>0.13929415190096001</v>
      </c>
      <c r="R3353">
        <v>0.98091868805584903</v>
      </c>
      <c r="S3353" t="s">
        <v>8904</v>
      </c>
      <c r="T3353" t="s">
        <v>11100</v>
      </c>
      <c r="U3353" t="s">
        <v>11100</v>
      </c>
      <c r="V3353" t="s">
        <v>11100</v>
      </c>
      <c r="W3353" t="s">
        <v>14405</v>
      </c>
      <c r="X3353">
        <v>2</v>
      </c>
      <c r="Y3353" t="s">
        <v>19848</v>
      </c>
      <c r="Z3353" t="s">
        <v>25358</v>
      </c>
      <c r="AA3353">
        <v>0.55301442402016532</v>
      </c>
      <c r="AB3353" t="str">
        <f>HYPERLINK("Melting_Curves/meltCurve_Q5TBB1_RNASEH2B.pdf", "Melting_Curves/meltCurve_Q5TBB1_RNASEH2B.pdf")</f>
        <v>Melting_Curves/meltCurve_Q5TBB1_RNASEH2B.pdf</v>
      </c>
    </row>
    <row r="3354" spans="1:28" x14ac:dyDescent="0.25">
      <c r="A3354" t="s">
        <v>3358</v>
      </c>
      <c r="B3354">
        <v>0.99299721793515405</v>
      </c>
      <c r="C3354">
        <v>1.1760228182968699</v>
      </c>
      <c r="D3354">
        <v>0.96231828928138696</v>
      </c>
      <c r="E3354">
        <v>0.82339702381662905</v>
      </c>
      <c r="F3354">
        <v>0.52853324180805505</v>
      </c>
      <c r="G3354">
        <v>0.14075696889126299</v>
      </c>
      <c r="H3354">
        <v>7.3436195393971102E-2</v>
      </c>
      <c r="I3354">
        <v>0.12023658970088601</v>
      </c>
      <c r="J3354">
        <v>0</v>
      </c>
      <c r="K3354">
        <v>0</v>
      </c>
      <c r="L3354">
        <v>1172.2410729790799</v>
      </c>
      <c r="M3354">
        <v>23.427172957387501</v>
      </c>
      <c r="N3354">
        <v>50.149062614802197</v>
      </c>
      <c r="O3354">
        <v>49.677352568450203</v>
      </c>
      <c r="P3354">
        <v>-0.114909504694853</v>
      </c>
      <c r="Q3354">
        <v>2.53539379087242E-2</v>
      </c>
      <c r="R3354">
        <v>0.97748357092182603</v>
      </c>
      <c r="S3354" t="s">
        <v>8905</v>
      </c>
      <c r="T3354" t="s">
        <v>11100</v>
      </c>
      <c r="U3354" t="s">
        <v>11100</v>
      </c>
      <c r="V3354" t="s">
        <v>11100</v>
      </c>
      <c r="W3354" t="s">
        <v>14406</v>
      </c>
      <c r="X3354">
        <v>1</v>
      </c>
      <c r="Y3354" t="s">
        <v>19849</v>
      </c>
      <c r="Z3354" t="s">
        <v>25359</v>
      </c>
      <c r="AA3354">
        <v>0.45856282694605333</v>
      </c>
      <c r="AB3354" t="str">
        <f>HYPERLINK("Melting_Curves/meltCurve_Q5TCQ9_3_MAGI3.pdf", "Melting_Curves/meltCurve_Q5TCQ9_3_MAGI3.pdf")</f>
        <v>Melting_Curves/meltCurve_Q5TCQ9_3_MAGI3.pdf</v>
      </c>
    </row>
    <row r="3355" spans="1:28" x14ac:dyDescent="0.25">
      <c r="A3355" t="s">
        <v>3359</v>
      </c>
      <c r="B3355">
        <v>0.99299721793515405</v>
      </c>
      <c r="C3355">
        <v>0.96595179322124003</v>
      </c>
      <c r="D3355">
        <v>0.89619608710619403</v>
      </c>
      <c r="E3355">
        <v>0.79789849534813495</v>
      </c>
      <c r="F3355">
        <v>0.62300186401502899</v>
      </c>
      <c r="G3355">
        <v>0.39356298704311998</v>
      </c>
      <c r="H3355">
        <v>0.32369215896881698</v>
      </c>
      <c r="I3355">
        <v>0.26380006735957001</v>
      </c>
      <c r="J3355">
        <v>0.19824641855500999</v>
      </c>
      <c r="K3355">
        <v>0.183067317581351</v>
      </c>
      <c r="L3355">
        <v>621.577280737774</v>
      </c>
      <c r="M3355">
        <v>12.241178367749001</v>
      </c>
      <c r="N3355">
        <v>52.243513386970299</v>
      </c>
      <c r="O3355">
        <v>49.479500431958897</v>
      </c>
      <c r="P3355">
        <v>-5.28715115980746E-2</v>
      </c>
      <c r="Q3355">
        <v>0.14535301133387599</v>
      </c>
      <c r="R3355">
        <v>0.99685315042576506</v>
      </c>
      <c r="S3355" t="s">
        <v>8906</v>
      </c>
      <c r="T3355" t="s">
        <v>11100</v>
      </c>
      <c r="U3355" t="s">
        <v>11100</v>
      </c>
      <c r="V3355" t="s">
        <v>11100</v>
      </c>
      <c r="W3355" t="s">
        <v>14407</v>
      </c>
      <c r="X3355">
        <v>7</v>
      </c>
      <c r="Y3355" t="s">
        <v>19850</v>
      </c>
      <c r="Z3355" t="s">
        <v>25360</v>
      </c>
      <c r="AA3355">
        <v>0.5600266591121188</v>
      </c>
      <c r="AB3355" t="str">
        <f>HYPERLINK("Melting_Curves/meltCurve_Q5TD07_NQO2.pdf", "Melting_Curves/meltCurve_Q5TD07_NQO2.pdf")</f>
        <v>Melting_Curves/meltCurve_Q5TD07_NQO2.pdf</v>
      </c>
    </row>
    <row r="3356" spans="1:28" x14ac:dyDescent="0.25">
      <c r="A3356" t="s">
        <v>3360</v>
      </c>
      <c r="B3356">
        <v>0.99299721793515405</v>
      </c>
      <c r="C3356">
        <v>0.884652055907727</v>
      </c>
      <c r="D3356">
        <v>0.98083231752497901</v>
      </c>
      <c r="E3356">
        <v>0.86664775594230903</v>
      </c>
      <c r="F3356">
        <v>0.73448407133292404</v>
      </c>
      <c r="G3356">
        <v>0.550897540305885</v>
      </c>
      <c r="H3356">
        <v>0.44363726138061099</v>
      </c>
      <c r="I3356">
        <v>0.466847689600768</v>
      </c>
      <c r="J3356">
        <v>0.56100527787076904</v>
      </c>
      <c r="K3356">
        <v>0.48999675660069603</v>
      </c>
      <c r="L3356">
        <v>1034.3568256855799</v>
      </c>
      <c r="M3356">
        <v>20.9264216124777</v>
      </c>
      <c r="N3356">
        <v>58.749434534796997</v>
      </c>
      <c r="O3356">
        <v>48.983537737835398</v>
      </c>
      <c r="P3356">
        <v>-5.5333461182688802E-2</v>
      </c>
      <c r="Q3356">
        <v>0.48192672469432302</v>
      </c>
      <c r="R3356">
        <v>0.94283983622943301</v>
      </c>
      <c r="S3356" t="s">
        <v>8907</v>
      </c>
      <c r="T3356" t="s">
        <v>11100</v>
      </c>
      <c r="U3356" t="s">
        <v>11100</v>
      </c>
      <c r="V3356" t="s">
        <v>11100</v>
      </c>
      <c r="W3356" t="s">
        <v>14408</v>
      </c>
      <c r="X3356">
        <v>4</v>
      </c>
      <c r="Y3356" t="s">
        <v>19851</v>
      </c>
      <c r="Z3356" t="s">
        <v>25361</v>
      </c>
      <c r="AA3356">
        <v>0.70284224692069408</v>
      </c>
      <c r="AB3356" t="str">
        <f>HYPERLINK("Melting_Curves/meltCurve_Q5TDC5_C6orf89.pdf", "Melting_Curves/meltCurve_Q5TDC5_C6orf89.pdf")</f>
        <v>Melting_Curves/meltCurve_Q5TDC5_C6orf89.pdf</v>
      </c>
    </row>
    <row r="3357" spans="1:28" x14ac:dyDescent="0.25">
      <c r="A3357" t="s">
        <v>3361</v>
      </c>
      <c r="B3357">
        <v>0.99299721793515405</v>
      </c>
      <c r="C3357">
        <v>1.0095726441420201</v>
      </c>
      <c r="D3357">
        <v>0.931986921459103</v>
      </c>
      <c r="E3357">
        <v>0.88388761165284002</v>
      </c>
      <c r="F3357">
        <v>0.73204568259031999</v>
      </c>
      <c r="G3357">
        <v>0.59189041329087699</v>
      </c>
      <c r="H3357">
        <v>0.46341386063058498</v>
      </c>
      <c r="I3357">
        <v>0.32636577614448598</v>
      </c>
      <c r="J3357">
        <v>0.16416535001628599</v>
      </c>
      <c r="K3357">
        <v>0.113285637968199</v>
      </c>
      <c r="L3357">
        <v>578.90124447815401</v>
      </c>
      <c r="M3357">
        <v>10.3862753593455</v>
      </c>
      <c r="N3357">
        <v>55.7371154959731</v>
      </c>
      <c r="O3357">
        <v>53.789673233252401</v>
      </c>
      <c r="P3357">
        <v>-4.8292934660201799E-2</v>
      </c>
      <c r="Q3357">
        <v>0</v>
      </c>
      <c r="R3357">
        <v>0.99270247738195305</v>
      </c>
      <c r="S3357" t="s">
        <v>8908</v>
      </c>
      <c r="T3357" t="s">
        <v>11100</v>
      </c>
      <c r="U3357" t="s">
        <v>11100</v>
      </c>
      <c r="V3357" t="s">
        <v>11100</v>
      </c>
      <c r="W3357" t="s">
        <v>14409</v>
      </c>
      <c r="X3357">
        <v>19</v>
      </c>
      <c r="Y3357" t="s">
        <v>19852</v>
      </c>
      <c r="Z3357" t="s">
        <v>25362</v>
      </c>
      <c r="AA3357">
        <v>0.63317474910894123</v>
      </c>
      <c r="AB3357" t="str">
        <f>HYPERLINK("Melting_Curves/meltCurve_Q5TDH0_DDI2.pdf", "Melting_Curves/meltCurve_Q5TDH0_DDI2.pdf")</f>
        <v>Melting_Curves/meltCurve_Q5TDH0_DDI2.pdf</v>
      </c>
    </row>
    <row r="3358" spans="1:28" x14ac:dyDescent="0.25">
      <c r="A3358" t="s">
        <v>3362</v>
      </c>
      <c r="B3358">
        <v>0.99299721793515405</v>
      </c>
      <c r="C3358">
        <v>1.0020929451669101</v>
      </c>
      <c r="D3358">
        <v>0.90780728853383197</v>
      </c>
      <c r="E3358">
        <v>0.85822614045895596</v>
      </c>
      <c r="F3358">
        <v>0.79171639901753199</v>
      </c>
      <c r="G3358">
        <v>0.54086673795190499</v>
      </c>
      <c r="H3358">
        <v>0.46831815825943501</v>
      </c>
      <c r="I3358">
        <v>0.31015599969347502</v>
      </c>
      <c r="J3358">
        <v>0.20499921962652601</v>
      </c>
      <c r="K3358">
        <v>0.15798679457588599</v>
      </c>
      <c r="L3358">
        <v>541.14420840145203</v>
      </c>
      <c r="M3358">
        <v>9.6983888281617396</v>
      </c>
      <c r="N3358">
        <v>55.7973242436736</v>
      </c>
      <c r="O3358">
        <v>53.580009572477003</v>
      </c>
      <c r="P3358">
        <v>-4.5276639140040001E-2</v>
      </c>
      <c r="Q3358">
        <v>0</v>
      </c>
      <c r="R3358">
        <v>0.99149297347087195</v>
      </c>
      <c r="S3358" t="s">
        <v>8909</v>
      </c>
      <c r="T3358" t="s">
        <v>11100</v>
      </c>
      <c r="U3358" t="s">
        <v>11100</v>
      </c>
      <c r="V3358" t="s">
        <v>11100</v>
      </c>
      <c r="W3358" t="s">
        <v>14410</v>
      </c>
      <c r="X3358">
        <v>4</v>
      </c>
      <c r="Y3358" t="s">
        <v>19853</v>
      </c>
      <c r="Z3358" t="s">
        <v>25363</v>
      </c>
      <c r="AA3358">
        <v>0.63313595537400424</v>
      </c>
      <c r="AB3358" t="str">
        <f>HYPERLINK("Melting_Curves/meltCurve_Q5TEU4_2_NDUFAF5.pdf", "Melting_Curves/meltCurve_Q5TEU4_2_NDUFAF5.pdf")</f>
        <v>Melting_Curves/meltCurve_Q5TEU4_2_NDUFAF5.pdf</v>
      </c>
    </row>
    <row r="3359" spans="1:28" x14ac:dyDescent="0.25">
      <c r="A3359" t="s">
        <v>3363</v>
      </c>
      <c r="B3359">
        <v>0.99299721793515405</v>
      </c>
      <c r="C3359">
        <v>0.967008048048969</v>
      </c>
      <c r="D3359">
        <v>0.91913084471903095</v>
      </c>
      <c r="E3359">
        <v>0.87225312839498104</v>
      </c>
      <c r="F3359">
        <v>0.78785001600816396</v>
      </c>
      <c r="G3359">
        <v>0.58916615292210905</v>
      </c>
      <c r="H3359">
        <v>0.44392649255713301</v>
      </c>
      <c r="I3359">
        <v>0.34125361891612699</v>
      </c>
      <c r="J3359">
        <v>0.16180003182783401</v>
      </c>
      <c r="K3359">
        <v>0.13087217359468201</v>
      </c>
      <c r="L3359">
        <v>582.01377652693805</v>
      </c>
      <c r="M3359">
        <v>10.411886363419001</v>
      </c>
      <c r="N3359">
        <v>55.8989986181098</v>
      </c>
      <c r="O3359">
        <v>53.954907470919601</v>
      </c>
      <c r="P3359">
        <v>-4.8263567486715397E-2</v>
      </c>
      <c r="Q3359">
        <v>0</v>
      </c>
      <c r="R3359">
        <v>0.99238855228121903</v>
      </c>
      <c r="S3359" t="s">
        <v>8910</v>
      </c>
      <c r="T3359" t="s">
        <v>11100</v>
      </c>
      <c r="U3359" t="s">
        <v>11100</v>
      </c>
      <c r="V3359" t="s">
        <v>11100</v>
      </c>
      <c r="W3359" t="s">
        <v>14411</v>
      </c>
      <c r="X3359">
        <v>10</v>
      </c>
      <c r="Y3359" t="s">
        <v>19854</v>
      </c>
      <c r="Z3359" t="s">
        <v>25364</v>
      </c>
      <c r="AA3359">
        <v>0.63765954026868987</v>
      </c>
      <c r="AB3359" t="str">
        <f>HYPERLINK("Melting_Curves/meltCurve_Q5TFE4_NT5DC1.pdf", "Melting_Curves/meltCurve_Q5TFE4_NT5DC1.pdf")</f>
        <v>Melting_Curves/meltCurve_Q5TFE4_NT5DC1.pdf</v>
      </c>
    </row>
    <row r="3360" spans="1:28" x14ac:dyDescent="0.25">
      <c r="A3360" t="s">
        <v>3364</v>
      </c>
      <c r="B3360">
        <v>0.99299721793515405</v>
      </c>
      <c r="C3360">
        <v>1.1387220758827601</v>
      </c>
      <c r="D3360">
        <v>1.11570850427435</v>
      </c>
      <c r="E3360">
        <v>0.95581905172477999</v>
      </c>
      <c r="F3360">
        <v>0.94216660923044804</v>
      </c>
      <c r="G3360">
        <v>0.63584581500997905</v>
      </c>
      <c r="H3360">
        <v>0.44244924374796901</v>
      </c>
      <c r="I3360">
        <v>0.43671631194574601</v>
      </c>
      <c r="J3360">
        <v>0.51005349960470403</v>
      </c>
      <c r="K3360">
        <v>0.337626355917647</v>
      </c>
      <c r="L3360">
        <v>2025.08415460725</v>
      </c>
      <c r="M3360">
        <v>38.1910837530354</v>
      </c>
      <c r="N3360">
        <v>55.764374834700199</v>
      </c>
      <c r="O3360">
        <v>52.880302543639402</v>
      </c>
      <c r="P3360">
        <v>-0.10410714905023701</v>
      </c>
      <c r="Q3360">
        <v>0.42340437317929402</v>
      </c>
      <c r="R3360">
        <v>0.94235679431379604</v>
      </c>
      <c r="S3360" t="s">
        <v>8911</v>
      </c>
      <c r="T3360" t="s">
        <v>11100</v>
      </c>
      <c r="U3360" t="s">
        <v>11100</v>
      </c>
      <c r="V3360" t="s">
        <v>11100</v>
      </c>
      <c r="W3360" t="s">
        <v>14412</v>
      </c>
      <c r="X3360">
        <v>1</v>
      </c>
      <c r="Y3360" t="s">
        <v>17338</v>
      </c>
      <c r="Z3360" t="s">
        <v>25365</v>
      </c>
      <c r="AA3360">
        <v>0.73370861787956765</v>
      </c>
      <c r="AB3360" t="str">
        <f>HYPERLINK("Melting_Curves/meltCurve_Q5TGE2_TMEM189.pdf", "Melting_Curves/meltCurve_Q5TGE2_TMEM189.pdf")</f>
        <v>Melting_Curves/meltCurve_Q5TGE2_TMEM189.pdf</v>
      </c>
    </row>
    <row r="3361" spans="1:28" x14ac:dyDescent="0.25">
      <c r="A3361" t="s">
        <v>3365</v>
      </c>
      <c r="B3361">
        <v>0.99299721793515405</v>
      </c>
      <c r="C3361">
        <v>1.0504037805261399</v>
      </c>
      <c r="D3361">
        <v>0.87772293194458195</v>
      </c>
      <c r="E3361">
        <v>0.80258500755354201</v>
      </c>
      <c r="F3361">
        <v>0.79733163602579804</v>
      </c>
      <c r="G3361">
        <v>0.56501231255400197</v>
      </c>
      <c r="H3361">
        <v>0.31661388810275398</v>
      </c>
      <c r="I3361">
        <v>0.21633055399624601</v>
      </c>
      <c r="J3361">
        <v>0.18122905139864801</v>
      </c>
      <c r="K3361">
        <v>0.114992688759131</v>
      </c>
      <c r="L3361">
        <v>606.85276493994695</v>
      </c>
      <c r="M3361">
        <v>11.126347110767499</v>
      </c>
      <c r="N3361">
        <v>54.541952320563396</v>
      </c>
      <c r="O3361">
        <v>52.869018378172797</v>
      </c>
      <c r="P3361">
        <v>-5.2629780606366701E-2</v>
      </c>
      <c r="Q3361">
        <v>0</v>
      </c>
      <c r="R3361">
        <v>0.979368153539657</v>
      </c>
      <c r="S3361" t="s">
        <v>8912</v>
      </c>
      <c r="T3361" t="s">
        <v>11100</v>
      </c>
      <c r="U3361" t="s">
        <v>11100</v>
      </c>
      <c r="V3361" t="s">
        <v>11100</v>
      </c>
      <c r="W3361" t="s">
        <v>14413</v>
      </c>
      <c r="X3361">
        <v>9</v>
      </c>
      <c r="Y3361" t="s">
        <v>19855</v>
      </c>
      <c r="Z3361" t="s">
        <v>25366</v>
      </c>
      <c r="AA3361">
        <v>0.60042693195285357</v>
      </c>
      <c r="AB3361" t="str">
        <f>HYPERLINK("Melting_Curves/meltCurve_Q5TH30_NDRG3.pdf", "Melting_Curves/meltCurve_Q5TH30_NDRG3.pdf")</f>
        <v>Melting_Curves/meltCurve_Q5TH30_NDRG3.pdf</v>
      </c>
    </row>
    <row r="3362" spans="1:28" x14ac:dyDescent="0.25">
      <c r="A3362" t="s">
        <v>3366</v>
      </c>
      <c r="B3362">
        <v>0.99299721793515405</v>
      </c>
      <c r="C3362">
        <v>1.00102191217603</v>
      </c>
      <c r="D3362">
        <v>0.89452672313035198</v>
      </c>
      <c r="E3362">
        <v>0.91857302316011502</v>
      </c>
      <c r="F3362">
        <v>0.69490276013473196</v>
      </c>
      <c r="G3362">
        <v>0.36014459589687398</v>
      </c>
      <c r="H3362">
        <v>0.40856338487831401</v>
      </c>
      <c r="I3362">
        <v>0.405276196646492</v>
      </c>
      <c r="J3362">
        <v>0.50597748976331403</v>
      </c>
      <c r="K3362">
        <v>0.34531733315126001</v>
      </c>
      <c r="L3362">
        <v>2194.1075211446901</v>
      </c>
      <c r="M3362">
        <v>43.882929890058897</v>
      </c>
      <c r="N3362">
        <v>51.924183724322802</v>
      </c>
      <c r="O3362">
        <v>49.895614718930901</v>
      </c>
      <c r="P3362">
        <v>-0.131542738626867</v>
      </c>
      <c r="Q3362">
        <v>0.40173581381866802</v>
      </c>
      <c r="R3362">
        <v>0.95153419065950695</v>
      </c>
      <c r="S3362" t="s">
        <v>8913</v>
      </c>
      <c r="T3362" t="s">
        <v>11100</v>
      </c>
      <c r="U3362" t="s">
        <v>11100</v>
      </c>
      <c r="V3362" t="s">
        <v>11100</v>
      </c>
      <c r="W3362" t="s">
        <v>14414</v>
      </c>
      <c r="X3362">
        <v>5</v>
      </c>
      <c r="Y3362" t="s">
        <v>19856</v>
      </c>
      <c r="Z3362" t="s">
        <v>25367</v>
      </c>
      <c r="AA3362">
        <v>0.66268112868078399</v>
      </c>
      <c r="AB3362" t="str">
        <f>HYPERLINK("Melting_Curves/meltCurve_Q5THK1_3_PRR14L.pdf", "Melting_Curves/meltCurve_Q5THK1_3_PRR14L.pdf")</f>
        <v>Melting_Curves/meltCurve_Q5THK1_3_PRR14L.pdf</v>
      </c>
    </row>
    <row r="3363" spans="1:28" x14ac:dyDescent="0.25">
      <c r="A3363" t="s">
        <v>3367</v>
      </c>
      <c r="B3363">
        <v>0.99299721793515405</v>
      </c>
      <c r="C3363">
        <v>0.81186593627521397</v>
      </c>
      <c r="D3363">
        <v>0.93217335450045102</v>
      </c>
      <c r="E3363">
        <v>0.79437860433743002</v>
      </c>
      <c r="F3363">
        <v>0.73357549141984402</v>
      </c>
      <c r="G3363">
        <v>0.74541180128357798</v>
      </c>
      <c r="H3363">
        <v>0.53535298147039401</v>
      </c>
      <c r="I3363">
        <v>0.44192069231783998</v>
      </c>
      <c r="J3363">
        <v>0.57710209830457304</v>
      </c>
      <c r="K3363">
        <v>0.32906931770556003</v>
      </c>
      <c r="L3363">
        <v>286.09820680562501</v>
      </c>
      <c r="M3363">
        <v>4.6585021897593899</v>
      </c>
      <c r="N3363">
        <v>61.4142047499789</v>
      </c>
      <c r="O3363">
        <v>52.676133329826598</v>
      </c>
      <c r="P3363">
        <v>-2.2281404769843301E-2</v>
      </c>
      <c r="Q3363">
        <v>0</v>
      </c>
      <c r="R3363">
        <v>0.87155026381795297</v>
      </c>
      <c r="S3363" t="s">
        <v>8914</v>
      </c>
      <c r="T3363" t="s">
        <v>11100</v>
      </c>
      <c r="U3363" t="s">
        <v>11100</v>
      </c>
      <c r="V3363" t="s">
        <v>11100</v>
      </c>
      <c r="W3363" t="s">
        <v>14415</v>
      </c>
      <c r="X3363">
        <v>2</v>
      </c>
      <c r="Y3363" t="s">
        <v>19857</v>
      </c>
      <c r="Z3363" t="s">
        <v>25368</v>
      </c>
      <c r="AA3363">
        <v>0.69379342452692083</v>
      </c>
      <c r="AB3363" t="str">
        <f>HYPERLINK("Melting_Curves/meltCurve_Q5TIE1_SLC19A2.pdf", "Melting_Curves/meltCurve_Q5TIE1_SLC19A2.pdf")</f>
        <v>Melting_Curves/meltCurve_Q5TIE1_SLC19A2.pdf</v>
      </c>
    </row>
    <row r="3364" spans="1:28" x14ac:dyDescent="0.25">
      <c r="A3364" t="s">
        <v>3368</v>
      </c>
      <c r="B3364">
        <v>0.99299721793515405</v>
      </c>
      <c r="C3364">
        <v>1.01089611331066</v>
      </c>
      <c r="D3364">
        <v>0.89835705084814799</v>
      </c>
      <c r="E3364">
        <v>0.90497476204295402</v>
      </c>
      <c r="F3364">
        <v>0.78108224501891399</v>
      </c>
      <c r="G3364">
        <v>0.54734298699442796</v>
      </c>
      <c r="H3364">
        <v>0.29622341521143902</v>
      </c>
      <c r="I3364">
        <v>0.199588246136325</v>
      </c>
      <c r="J3364">
        <v>0.191598588852461</v>
      </c>
      <c r="K3364">
        <v>0.15009304885725699</v>
      </c>
      <c r="L3364">
        <v>856.48289628254895</v>
      </c>
      <c r="M3364">
        <v>16.057724052061101</v>
      </c>
      <c r="N3364">
        <v>54.200448613540502</v>
      </c>
      <c r="O3364">
        <v>52.531105644488903</v>
      </c>
      <c r="P3364">
        <v>-6.7807429894193097E-2</v>
      </c>
      <c r="Q3364">
        <v>0.11276995186168701</v>
      </c>
      <c r="R3364">
        <v>0.99126425638606697</v>
      </c>
      <c r="S3364" t="s">
        <v>8915</v>
      </c>
      <c r="T3364" t="s">
        <v>11100</v>
      </c>
      <c r="U3364" t="s">
        <v>11100</v>
      </c>
      <c r="V3364" t="s">
        <v>11100</v>
      </c>
      <c r="W3364" t="s">
        <v>14416</v>
      </c>
      <c r="X3364">
        <v>15</v>
      </c>
      <c r="Y3364" t="s">
        <v>19858</v>
      </c>
      <c r="Z3364" t="s">
        <v>25369</v>
      </c>
      <c r="AA3364">
        <v>0.6103618102659093</v>
      </c>
      <c r="AB3364" t="str">
        <f>HYPERLINK("Melting_Curves/meltCurve_Q5TZA2_CROCC.pdf", "Melting_Curves/meltCurve_Q5TZA2_CROCC.pdf")</f>
        <v>Melting_Curves/meltCurve_Q5TZA2_CROCC.pdf</v>
      </c>
    </row>
    <row r="3365" spans="1:28" x14ac:dyDescent="0.25">
      <c r="A3365" t="s">
        <v>3369</v>
      </c>
      <c r="B3365">
        <v>0.99299721793515405</v>
      </c>
      <c r="C3365">
        <v>0.96845550687620197</v>
      </c>
      <c r="D3365">
        <v>1.16360307544494</v>
      </c>
      <c r="E3365">
        <v>1.0092181606489501</v>
      </c>
      <c r="F3365">
        <v>0.78249568681819204</v>
      </c>
      <c r="G3365">
        <v>0.60514994585000004</v>
      </c>
      <c r="H3365">
        <v>0.26266426600641302</v>
      </c>
      <c r="I3365">
        <v>0.171965956559891</v>
      </c>
      <c r="J3365">
        <v>0.136891124974342</v>
      </c>
      <c r="K3365">
        <v>0.13487311923179801</v>
      </c>
      <c r="L3365">
        <v>1172.0209720831101</v>
      </c>
      <c r="M3365">
        <v>21.779609606471901</v>
      </c>
      <c r="N3365">
        <v>54.441140512363397</v>
      </c>
      <c r="O3365">
        <v>53.365261944259501</v>
      </c>
      <c r="P3365">
        <v>-9.0693295597121998E-2</v>
      </c>
      <c r="Q3365">
        <v>0.111139474801127</v>
      </c>
      <c r="R3365">
        <v>0.97518598510246002</v>
      </c>
      <c r="S3365" t="s">
        <v>8916</v>
      </c>
      <c r="T3365" t="s">
        <v>11100</v>
      </c>
      <c r="U3365" t="s">
        <v>11100</v>
      </c>
      <c r="V3365" t="s">
        <v>11100</v>
      </c>
      <c r="W3365" t="s">
        <v>14417</v>
      </c>
      <c r="X3365">
        <v>7</v>
      </c>
      <c r="Y3365" t="s">
        <v>19859</v>
      </c>
      <c r="Z3365" t="s">
        <v>25370</v>
      </c>
      <c r="AA3365">
        <v>0.61891745152444322</v>
      </c>
      <c r="AB3365" t="str">
        <f>HYPERLINK("Melting_Curves/meltCurve_Q5U5X0_LYRM7.pdf", "Melting_Curves/meltCurve_Q5U5X0_LYRM7.pdf")</f>
        <v>Melting_Curves/meltCurve_Q5U5X0_LYRM7.pdf</v>
      </c>
    </row>
    <row r="3366" spans="1:28" x14ac:dyDescent="0.25">
      <c r="A3366" t="s">
        <v>3370</v>
      </c>
      <c r="B3366">
        <v>0.99299721793515405</v>
      </c>
      <c r="C3366">
        <v>0.92902684695633397</v>
      </c>
      <c r="D3366">
        <v>0.876763700033932</v>
      </c>
      <c r="E3366">
        <v>0.82211439178682599</v>
      </c>
      <c r="F3366">
        <v>0.57677804060218596</v>
      </c>
      <c r="G3366">
        <v>0.244456857120433</v>
      </c>
      <c r="H3366">
        <v>0.20518795840753601</v>
      </c>
      <c r="I3366">
        <v>0.179764034411969</v>
      </c>
      <c r="J3366">
        <v>0.16563986455629701</v>
      </c>
      <c r="K3366">
        <v>0.14221251306986099</v>
      </c>
      <c r="L3366">
        <v>901.26917758532102</v>
      </c>
      <c r="M3366">
        <v>18.1206558958513</v>
      </c>
      <c r="N3366">
        <v>50.6173185533249</v>
      </c>
      <c r="O3366">
        <v>49.143251289173499</v>
      </c>
      <c r="P3366">
        <v>-7.9728876632621307E-2</v>
      </c>
      <c r="Q3366">
        <v>0.13514218126495101</v>
      </c>
      <c r="R3366">
        <v>0.98571161538755503</v>
      </c>
      <c r="S3366" t="s">
        <v>8917</v>
      </c>
      <c r="T3366" t="s">
        <v>11100</v>
      </c>
      <c r="U3366" t="s">
        <v>11100</v>
      </c>
      <c r="V3366" t="s">
        <v>11100</v>
      </c>
      <c r="W3366" t="s">
        <v>14418</v>
      </c>
      <c r="X3366">
        <v>6</v>
      </c>
      <c r="Y3366" t="s">
        <v>19860</v>
      </c>
      <c r="Z3366" t="s">
        <v>25371</v>
      </c>
      <c r="AA3366">
        <v>0.51584832206445808</v>
      </c>
      <c r="AB3366" t="str">
        <f>HYPERLINK("Melting_Curves/meltCurve_Q5UIP0_2_RIF1.pdf", "Melting_Curves/meltCurve_Q5UIP0_2_RIF1.pdf")</f>
        <v>Melting_Curves/meltCurve_Q5UIP0_2_RIF1.pdf</v>
      </c>
    </row>
    <row r="3367" spans="1:28" x14ac:dyDescent="0.25">
      <c r="A3367" t="s">
        <v>3371</v>
      </c>
      <c r="B3367">
        <v>0.99299721793515405</v>
      </c>
      <c r="C3367">
        <v>1.14684975828376</v>
      </c>
      <c r="D3367">
        <v>0.92529078180457303</v>
      </c>
      <c r="E3367">
        <v>0.90584009203748606</v>
      </c>
      <c r="F3367">
        <v>0.81781341819404796</v>
      </c>
      <c r="G3367">
        <v>0.30091018306335099</v>
      </c>
      <c r="H3367">
        <v>0.17126833318259599</v>
      </c>
      <c r="I3367">
        <v>0.14655141079384501</v>
      </c>
      <c r="J3367">
        <v>0.14496542581754199</v>
      </c>
      <c r="K3367">
        <v>0.12671205810875999</v>
      </c>
      <c r="L3367">
        <v>1930.2516390665301</v>
      </c>
      <c r="M3367">
        <v>37.248648009447699</v>
      </c>
      <c r="N3367">
        <v>52.277365352329198</v>
      </c>
      <c r="O3367">
        <v>51.672033934533701</v>
      </c>
      <c r="P3367">
        <v>-0.15519092123373299</v>
      </c>
      <c r="Q3367">
        <v>0.13886717008336599</v>
      </c>
      <c r="R3367">
        <v>0.97846842950963597</v>
      </c>
      <c r="S3367" t="s">
        <v>8918</v>
      </c>
      <c r="T3367" t="s">
        <v>11100</v>
      </c>
      <c r="U3367" t="s">
        <v>11100</v>
      </c>
      <c r="V3367" t="s">
        <v>11100</v>
      </c>
      <c r="W3367" t="s">
        <v>14419</v>
      </c>
      <c r="X3367">
        <v>5</v>
      </c>
      <c r="Y3367" t="s">
        <v>19861</v>
      </c>
      <c r="Z3367" t="s">
        <v>25372</v>
      </c>
      <c r="AA3367">
        <v>0.56783479362003775</v>
      </c>
      <c r="AB3367" t="str">
        <f>HYPERLINK("Melting_Curves/meltCurve_Q5VIR6_4_VPS53.pdf", "Melting_Curves/meltCurve_Q5VIR6_4_VPS53.pdf")</f>
        <v>Melting_Curves/meltCurve_Q5VIR6_4_VPS53.pdf</v>
      </c>
    </row>
    <row r="3368" spans="1:28" x14ac:dyDescent="0.25">
      <c r="A3368" t="s">
        <v>3372</v>
      </c>
      <c r="B3368">
        <v>0.99299721793515405</v>
      </c>
      <c r="C3368">
        <v>0.90020794163501505</v>
      </c>
      <c r="D3368">
        <v>0.662282110798038</v>
      </c>
      <c r="E3368">
        <v>0.74857994924739002</v>
      </c>
      <c r="F3368">
        <v>0.70394401050573796</v>
      </c>
      <c r="G3368">
        <v>0.491252390512253</v>
      </c>
      <c r="H3368">
        <v>0.374336235958591</v>
      </c>
      <c r="I3368">
        <v>0.16816705516359201</v>
      </c>
      <c r="J3368">
        <v>6.8925598341408101E-2</v>
      </c>
      <c r="K3368">
        <v>4.2829638239466797E-2</v>
      </c>
      <c r="L3368">
        <v>456.38522150342402</v>
      </c>
      <c r="M3368">
        <v>8.74147468060292</v>
      </c>
      <c r="N3368">
        <v>52.209179571113701</v>
      </c>
      <c r="O3368">
        <v>49.692984358764001</v>
      </c>
      <c r="P3368">
        <v>-4.4013065209550097E-2</v>
      </c>
      <c r="Q3368">
        <v>0</v>
      </c>
      <c r="R3368">
        <v>0.92069774330792398</v>
      </c>
      <c r="S3368" t="s">
        <v>8919</v>
      </c>
      <c r="T3368" t="s">
        <v>11100</v>
      </c>
      <c r="U3368" t="s">
        <v>11100</v>
      </c>
      <c r="V3368" t="s">
        <v>11100</v>
      </c>
      <c r="W3368" t="s">
        <v>14420</v>
      </c>
      <c r="X3368">
        <v>4</v>
      </c>
      <c r="Y3368" t="s">
        <v>19862</v>
      </c>
      <c r="Z3368" t="s">
        <v>25373</v>
      </c>
      <c r="AA3368">
        <v>0.53386662941200869</v>
      </c>
      <c r="AB3368" t="str">
        <f>HYPERLINK("Melting_Curves/meltCurve_Q5VSL9_STRIP1.pdf", "Melting_Curves/meltCurve_Q5VSL9_STRIP1.pdf")</f>
        <v>Melting_Curves/meltCurve_Q5VSL9_STRIP1.pdf</v>
      </c>
    </row>
    <row r="3369" spans="1:28" x14ac:dyDescent="0.25">
      <c r="A3369" t="s">
        <v>3373</v>
      </c>
      <c r="B3369">
        <v>0.99299721793515405</v>
      </c>
      <c r="C3369">
        <v>1.0725488095840201</v>
      </c>
      <c r="D3369">
        <v>1.1731700496586099</v>
      </c>
      <c r="E3369">
        <v>0.94301892655535102</v>
      </c>
      <c r="F3369">
        <v>0.63553761357831795</v>
      </c>
      <c r="G3369">
        <v>0.25278466383442799</v>
      </c>
      <c r="H3369">
        <v>0.183826357398714</v>
      </c>
      <c r="I3369">
        <v>0.18439654248197501</v>
      </c>
      <c r="J3369">
        <v>0.166667069554359</v>
      </c>
      <c r="K3369">
        <v>0.14288521892787401</v>
      </c>
      <c r="L3369">
        <v>1773.4563948313801</v>
      </c>
      <c r="M3369">
        <v>35.081912495490997</v>
      </c>
      <c r="N3369">
        <v>51.136683195650001</v>
      </c>
      <c r="O3369">
        <v>50.388466536826598</v>
      </c>
      <c r="P3369">
        <v>-0.14529597856038201</v>
      </c>
      <c r="Q3369">
        <v>0.16524333476630601</v>
      </c>
      <c r="R3369">
        <v>0.97798084162445997</v>
      </c>
      <c r="S3369" t="s">
        <v>8920</v>
      </c>
      <c r="T3369" t="s">
        <v>11100</v>
      </c>
      <c r="U3369" t="s">
        <v>11100</v>
      </c>
      <c r="V3369" t="s">
        <v>11100</v>
      </c>
      <c r="W3369" t="s">
        <v>14421</v>
      </c>
      <c r="X3369">
        <v>10</v>
      </c>
      <c r="Y3369" t="s">
        <v>19863</v>
      </c>
      <c r="Z3369" t="s">
        <v>25374</v>
      </c>
      <c r="AA3369">
        <v>0.54611670770708765</v>
      </c>
      <c r="AB3369" t="str">
        <f>HYPERLINK("Melting_Curves/meltCurve_Q5VT52_RPRD2.pdf", "Melting_Curves/meltCurve_Q5VT52_RPRD2.pdf")</f>
        <v>Melting_Curves/meltCurve_Q5VT52_RPRD2.pdf</v>
      </c>
    </row>
    <row r="3370" spans="1:28" x14ac:dyDescent="0.25">
      <c r="A3370" t="s">
        <v>3374</v>
      </c>
      <c r="B3370">
        <v>0.99299721793515405</v>
      </c>
      <c r="C3370">
        <v>1.0454528168920401</v>
      </c>
      <c r="D3370">
        <v>0.89928272164281597</v>
      </c>
      <c r="E3370">
        <v>0.84112761024483296</v>
      </c>
      <c r="F3370">
        <v>0.76078219985944895</v>
      </c>
      <c r="G3370">
        <v>0.60153813671271805</v>
      </c>
      <c r="H3370">
        <v>0.48065996231073299</v>
      </c>
      <c r="I3370">
        <v>0.52834569454987501</v>
      </c>
      <c r="J3370">
        <v>0.36543304485134498</v>
      </c>
      <c r="K3370">
        <v>0.22642509095465199</v>
      </c>
      <c r="L3370">
        <v>406.42526140814903</v>
      </c>
      <c r="M3370">
        <v>6.9788020352790197</v>
      </c>
      <c r="N3370">
        <v>58.237109894500399</v>
      </c>
      <c r="O3370">
        <v>54.020418595929399</v>
      </c>
      <c r="P3370">
        <v>-3.2357603496606699E-2</v>
      </c>
      <c r="Q3370">
        <v>0</v>
      </c>
      <c r="R3370">
        <v>0.96092546879235696</v>
      </c>
      <c r="S3370" t="s">
        <v>8921</v>
      </c>
      <c r="T3370" t="s">
        <v>11100</v>
      </c>
      <c r="U3370" t="s">
        <v>11100</v>
      </c>
      <c r="V3370" t="s">
        <v>11100</v>
      </c>
      <c r="W3370" t="s">
        <v>14422</v>
      </c>
      <c r="X3370">
        <v>6</v>
      </c>
      <c r="Y3370" t="s">
        <v>19864</v>
      </c>
      <c r="Z3370" t="s">
        <v>25375</v>
      </c>
      <c r="AA3370">
        <v>0.6749056988312766</v>
      </c>
      <c r="AB3370" t="str">
        <f>HYPERLINK("Melting_Curves/meltCurve_Q5VT66_MARC1.pdf", "Melting_Curves/meltCurve_Q5VT66_MARC1.pdf")</f>
        <v>Melting_Curves/meltCurve_Q5VT66_MARC1.pdf</v>
      </c>
    </row>
    <row r="3371" spans="1:28" x14ac:dyDescent="0.25">
      <c r="A3371" t="s">
        <v>3375</v>
      </c>
      <c r="B3371">
        <v>0.99299721793515405</v>
      </c>
      <c r="C3371">
        <v>0.87086744660343796</v>
      </c>
      <c r="D3371">
        <v>0.82423943348419104</v>
      </c>
      <c r="E3371">
        <v>0.70172574794543496</v>
      </c>
      <c r="F3371">
        <v>0.83553678862597902</v>
      </c>
      <c r="G3371">
        <v>0.38309721855495199</v>
      </c>
      <c r="H3371">
        <v>0.52742925119530204</v>
      </c>
      <c r="I3371">
        <v>0.67019239038614498</v>
      </c>
      <c r="J3371">
        <v>0.897427526379318</v>
      </c>
      <c r="K3371">
        <v>0.641718060997711</v>
      </c>
      <c r="L3371">
        <v>702.49440042723802</v>
      </c>
      <c r="M3371">
        <v>16.588529708535798</v>
      </c>
      <c r="O3371">
        <v>41.747138257047098</v>
      </c>
      <c r="P3371">
        <v>-3.4705236802700198E-2</v>
      </c>
      <c r="Q3371">
        <v>0.65066325886574405</v>
      </c>
      <c r="R3371">
        <v>0.41313956830238602</v>
      </c>
      <c r="S3371" t="s">
        <v>8922</v>
      </c>
      <c r="T3371" t="s">
        <v>11100</v>
      </c>
      <c r="U3371" t="s">
        <v>11100</v>
      </c>
      <c r="V3371" t="s">
        <v>11100</v>
      </c>
      <c r="W3371" t="s">
        <v>14423</v>
      </c>
      <c r="X3371">
        <v>1</v>
      </c>
      <c r="Y3371" t="s">
        <v>19865</v>
      </c>
      <c r="Z3371" t="s">
        <v>25376</v>
      </c>
      <c r="AA3371">
        <v>0.72075282279991659</v>
      </c>
      <c r="AB3371" t="str">
        <f>HYPERLINK("Melting_Curves/meltCurve_Q5VT94_GHITM.pdf", "Melting_Curves/meltCurve_Q5VT94_GHITM.pdf")</f>
        <v>Melting_Curves/meltCurve_Q5VT94_GHITM.pdf</v>
      </c>
    </row>
    <row r="3372" spans="1:28" x14ac:dyDescent="0.25">
      <c r="A3372" t="s">
        <v>3376</v>
      </c>
      <c r="B3372">
        <v>0.99299721793515405</v>
      </c>
      <c r="C3372">
        <v>0.96826790083841796</v>
      </c>
      <c r="D3372">
        <v>0.91166407523864301</v>
      </c>
      <c r="E3372">
        <v>0.79227152621293595</v>
      </c>
      <c r="F3372">
        <v>0.67855305753818196</v>
      </c>
      <c r="G3372">
        <v>0.61721247711207405</v>
      </c>
      <c r="H3372">
        <v>0.27295405351347302</v>
      </c>
      <c r="I3372">
        <v>0.23481164346698499</v>
      </c>
      <c r="J3372">
        <v>0.15416932302545799</v>
      </c>
      <c r="K3372">
        <v>0.110600644484192</v>
      </c>
      <c r="L3372">
        <v>557.27031808811103</v>
      </c>
      <c r="M3372">
        <v>10.329876182735999</v>
      </c>
      <c r="N3372">
        <v>53.947434434146203</v>
      </c>
      <c r="O3372">
        <v>52.043066785056901</v>
      </c>
      <c r="P3372">
        <v>-4.9643093192936402E-2</v>
      </c>
      <c r="Q3372">
        <v>0</v>
      </c>
      <c r="R3372">
        <v>0.98135778839502397</v>
      </c>
      <c r="S3372" t="s">
        <v>8923</v>
      </c>
      <c r="T3372" t="s">
        <v>11100</v>
      </c>
      <c r="U3372" t="s">
        <v>11100</v>
      </c>
      <c r="V3372" t="s">
        <v>11100</v>
      </c>
      <c r="W3372" t="s">
        <v>14424</v>
      </c>
      <c r="X3372">
        <v>6</v>
      </c>
      <c r="Y3372" t="s">
        <v>19866</v>
      </c>
      <c r="Z3372" t="s">
        <v>25377</v>
      </c>
      <c r="AA3372">
        <v>0.58294680041047398</v>
      </c>
      <c r="AB3372" t="str">
        <f>HYPERLINK("Melting_Curves/meltCurve_Q5VTL8_PRPF38B.pdf", "Melting_Curves/meltCurve_Q5VTL8_PRPF38B.pdf")</f>
        <v>Melting_Curves/meltCurve_Q5VTL8_PRPF38B.pdf</v>
      </c>
    </row>
    <row r="3373" spans="1:28" x14ac:dyDescent="0.25">
      <c r="A3373" t="s">
        <v>3377</v>
      </c>
      <c r="B3373">
        <v>0.99299721793515405</v>
      </c>
      <c r="C3373">
        <v>0.97224993735324505</v>
      </c>
      <c r="D3373">
        <v>0.94659794054776103</v>
      </c>
      <c r="E3373">
        <v>0.91075328217854701</v>
      </c>
      <c r="F3373">
        <v>0.72024296488490003</v>
      </c>
      <c r="G3373">
        <v>0.31654061721346599</v>
      </c>
      <c r="H3373">
        <v>0.26589081175150697</v>
      </c>
      <c r="I3373">
        <v>0.21826275905023301</v>
      </c>
      <c r="J3373">
        <v>0.17138468336702001</v>
      </c>
      <c r="K3373">
        <v>0.15925349954349899</v>
      </c>
      <c r="L3373">
        <v>1310.75416093584</v>
      </c>
      <c r="M3373">
        <v>25.623846688624599</v>
      </c>
      <c r="N3373">
        <v>52.061111108327701</v>
      </c>
      <c r="O3373">
        <v>50.845187358213103</v>
      </c>
      <c r="P3373">
        <v>-0.10329949591009201</v>
      </c>
      <c r="Q3373">
        <v>0.18010484347642899</v>
      </c>
      <c r="R3373">
        <v>0.992200187998725</v>
      </c>
      <c r="S3373" t="s">
        <v>8924</v>
      </c>
      <c r="T3373" t="s">
        <v>11100</v>
      </c>
      <c r="U3373" t="s">
        <v>11100</v>
      </c>
      <c r="V3373" t="s">
        <v>11100</v>
      </c>
      <c r="W3373" t="s">
        <v>14425</v>
      </c>
      <c r="X3373">
        <v>25</v>
      </c>
      <c r="Y3373" t="s">
        <v>19867</v>
      </c>
      <c r="Z3373" t="s">
        <v>25378</v>
      </c>
      <c r="AA3373">
        <v>0.57383943896101475</v>
      </c>
      <c r="AB3373" t="str">
        <f>HYPERLINK("Melting_Curves/meltCurve_Q5VTR2_RNF20.pdf", "Melting_Curves/meltCurve_Q5VTR2_RNF20.pdf")</f>
        <v>Melting_Curves/meltCurve_Q5VTR2_RNF20.pdf</v>
      </c>
    </row>
    <row r="3374" spans="1:28" x14ac:dyDescent="0.25">
      <c r="A3374" t="s">
        <v>3378</v>
      </c>
      <c r="B3374">
        <v>0.99299721793515405</v>
      </c>
      <c r="C3374">
        <v>1.07749910909988</v>
      </c>
      <c r="D3374">
        <v>0.87300898469896904</v>
      </c>
      <c r="E3374">
        <v>1.0645611468895499</v>
      </c>
      <c r="F3374">
        <v>0.86692230748712396</v>
      </c>
      <c r="G3374">
        <v>0.71636723432460403</v>
      </c>
      <c r="H3374">
        <v>0.70415773558141204</v>
      </c>
      <c r="I3374">
        <v>0.70679416730878097</v>
      </c>
      <c r="J3374">
        <v>0.83145453274813597</v>
      </c>
      <c r="K3374">
        <v>0.62052029847006296</v>
      </c>
      <c r="L3374">
        <v>12556.3637183026</v>
      </c>
      <c r="M3374">
        <v>250</v>
      </c>
      <c r="O3374">
        <v>50.222260133255901</v>
      </c>
      <c r="P3374">
        <v>-0.35360480383388099</v>
      </c>
      <c r="Q3374">
        <v>0.71585879010403797</v>
      </c>
      <c r="R3374">
        <v>0.78823436018464399</v>
      </c>
      <c r="S3374" t="s">
        <v>8925</v>
      </c>
      <c r="T3374" t="s">
        <v>11100</v>
      </c>
      <c r="U3374" t="s">
        <v>11100</v>
      </c>
      <c r="V3374" t="s">
        <v>11100</v>
      </c>
      <c r="W3374" t="s">
        <v>14426</v>
      </c>
      <c r="X3374">
        <v>54</v>
      </c>
      <c r="Y3374" t="s">
        <v>17558</v>
      </c>
      <c r="Z3374" t="s">
        <v>25379</v>
      </c>
      <c r="AA3374">
        <v>0.84114706067013811</v>
      </c>
      <c r="AB3374" t="str">
        <f>HYPERLINK("Melting_Curves/meltCurve_Q5VU58_TPM3.pdf", "Melting_Curves/meltCurve_Q5VU58_TPM3.pdf")</f>
        <v>Melting_Curves/meltCurve_Q5VU58_TPM3.pdf</v>
      </c>
    </row>
    <row r="3375" spans="1:28" x14ac:dyDescent="0.25">
      <c r="A3375" t="s">
        <v>3379</v>
      </c>
      <c r="B3375">
        <v>0.99299721793515405</v>
      </c>
      <c r="C3375">
        <v>0.916370644675635</v>
      </c>
      <c r="D3375">
        <v>1.0103591395984399</v>
      </c>
      <c r="E3375">
        <v>0.78170607792478797</v>
      </c>
      <c r="F3375">
        <v>0.495027282374573</v>
      </c>
      <c r="G3375">
        <v>0.33414664817463602</v>
      </c>
      <c r="H3375">
        <v>0.27402673896905</v>
      </c>
      <c r="I3375">
        <v>0.24475438208950601</v>
      </c>
      <c r="J3375">
        <v>0.19549429218005701</v>
      </c>
      <c r="K3375">
        <v>0.23391146434499699</v>
      </c>
      <c r="L3375">
        <v>1020.7515213123399</v>
      </c>
      <c r="M3375">
        <v>20.9073823522548</v>
      </c>
      <c r="N3375">
        <v>50.257773204242497</v>
      </c>
      <c r="O3375">
        <v>48.382468307463903</v>
      </c>
      <c r="P3375">
        <v>-8.3749769006583499E-2</v>
      </c>
      <c r="Q3375">
        <v>0.22478865335828499</v>
      </c>
      <c r="R3375">
        <v>0.98978429484328201</v>
      </c>
      <c r="S3375" t="s">
        <v>8926</v>
      </c>
      <c r="T3375" t="s">
        <v>11100</v>
      </c>
      <c r="U3375" t="s">
        <v>11100</v>
      </c>
      <c r="V3375" t="s">
        <v>11100</v>
      </c>
      <c r="W3375" t="s">
        <v>14427</v>
      </c>
      <c r="X3375">
        <v>8</v>
      </c>
      <c r="Y3375" t="s">
        <v>19868</v>
      </c>
      <c r="Z3375" t="s">
        <v>25380</v>
      </c>
      <c r="AA3375">
        <v>0.53969263997322392</v>
      </c>
      <c r="AB3375" t="str">
        <f>HYPERLINK("Melting_Curves/meltCurve_Q5VUA4_ZNF318.pdf", "Melting_Curves/meltCurve_Q5VUA4_ZNF318.pdf")</f>
        <v>Melting_Curves/meltCurve_Q5VUA4_ZNF318.pdf</v>
      </c>
    </row>
    <row r="3376" spans="1:28" x14ac:dyDescent="0.25">
      <c r="A3376" t="s">
        <v>3380</v>
      </c>
      <c r="B3376">
        <v>0.99299721793515405</v>
      </c>
      <c r="C3376">
        <v>1.1971553784712601</v>
      </c>
      <c r="D3376">
        <v>1.02070014321813</v>
      </c>
      <c r="E3376">
        <v>0.96215031185669897</v>
      </c>
      <c r="F3376">
        <v>0.83814301629033805</v>
      </c>
      <c r="G3376">
        <v>0.55395657218436101</v>
      </c>
      <c r="H3376">
        <v>0.21535058281585401</v>
      </c>
      <c r="I3376">
        <v>0.16705759207408399</v>
      </c>
      <c r="J3376">
        <v>0.11838835298120801</v>
      </c>
      <c r="K3376">
        <v>8.5800141935312504E-2</v>
      </c>
      <c r="L3376">
        <v>1276.0117104390999</v>
      </c>
      <c r="M3376">
        <v>23.783376546694502</v>
      </c>
      <c r="N3376">
        <v>54.112310611424903</v>
      </c>
      <c r="O3376">
        <v>53.276446936133802</v>
      </c>
      <c r="P3376">
        <v>-0.101372718458786</v>
      </c>
      <c r="Q3376">
        <v>9.1686993505688097E-2</v>
      </c>
      <c r="R3376">
        <v>0.97502889453517105</v>
      </c>
      <c r="S3376" t="s">
        <v>8927</v>
      </c>
      <c r="T3376" t="s">
        <v>11100</v>
      </c>
      <c r="U3376" t="s">
        <v>11100</v>
      </c>
      <c r="V3376" t="s">
        <v>11100</v>
      </c>
      <c r="W3376" t="s">
        <v>14428</v>
      </c>
      <c r="X3376">
        <v>3</v>
      </c>
      <c r="Y3376" t="s">
        <v>19869</v>
      </c>
      <c r="Z3376" t="s">
        <v>25381</v>
      </c>
      <c r="AA3376">
        <v>0.60449107989355944</v>
      </c>
      <c r="AB3376" t="str">
        <f>HYPERLINK("Melting_Curves/meltCurve_Q5VUD6_2_FAM69B.pdf", "Melting_Curves/meltCurve_Q5VUD6_2_FAM69B.pdf")</f>
        <v>Melting_Curves/meltCurve_Q5VUD6_2_FAM69B.pdf</v>
      </c>
    </row>
    <row r="3377" spans="1:28" x14ac:dyDescent="0.25">
      <c r="A3377" t="s">
        <v>3381</v>
      </c>
      <c r="B3377">
        <v>0.99299721793515405</v>
      </c>
      <c r="C3377">
        <v>0.87754040779881404</v>
      </c>
      <c r="D3377">
        <v>0.84210049043214896</v>
      </c>
      <c r="E3377">
        <v>0.79185163456791496</v>
      </c>
      <c r="F3377">
        <v>0.75544013062784299</v>
      </c>
      <c r="G3377">
        <v>0.34111952031355097</v>
      </c>
      <c r="H3377">
        <v>0.25467834218625102</v>
      </c>
      <c r="I3377">
        <v>0.246910562646558</v>
      </c>
      <c r="J3377">
        <v>0.26483909799815503</v>
      </c>
      <c r="K3377">
        <v>0.18803184862720701</v>
      </c>
      <c r="L3377">
        <v>607.30224524370601</v>
      </c>
      <c r="M3377">
        <v>11.9204405905347</v>
      </c>
      <c r="N3377">
        <v>52.383249169169098</v>
      </c>
      <c r="O3377">
        <v>49.576009437571599</v>
      </c>
      <c r="P3377">
        <v>-5.1741703500064101E-2</v>
      </c>
      <c r="Q3377">
        <v>0.13945703511646901</v>
      </c>
      <c r="R3377">
        <v>0.94359107665166797</v>
      </c>
      <c r="S3377" t="s">
        <v>8928</v>
      </c>
      <c r="T3377" t="s">
        <v>11100</v>
      </c>
      <c r="U3377" t="s">
        <v>11100</v>
      </c>
      <c r="V3377" t="s">
        <v>11100</v>
      </c>
      <c r="W3377" t="s">
        <v>14429</v>
      </c>
      <c r="X3377">
        <v>4</v>
      </c>
      <c r="Y3377" t="s">
        <v>19870</v>
      </c>
      <c r="Z3377" t="s">
        <v>25382</v>
      </c>
      <c r="AA3377">
        <v>0.56215242381275643</v>
      </c>
      <c r="AB3377" t="str">
        <f>HYPERLINK("Melting_Curves/meltCurve_Q5VV41_ARHGEF16.pdf", "Melting_Curves/meltCurve_Q5VV41_ARHGEF16.pdf")</f>
        <v>Melting_Curves/meltCurve_Q5VV41_ARHGEF16.pdf</v>
      </c>
    </row>
    <row r="3378" spans="1:28" x14ac:dyDescent="0.25">
      <c r="A3378" t="s">
        <v>3382</v>
      </c>
      <c r="B3378">
        <v>0.99299721793515405</v>
      </c>
      <c r="C3378">
        <v>0.91546278764589994</v>
      </c>
      <c r="D3378">
        <v>0.83697894764115099</v>
      </c>
      <c r="E3378">
        <v>0.80787875606440296</v>
      </c>
      <c r="F3378">
        <v>0.445084208493842</v>
      </c>
      <c r="G3378">
        <v>0.21955091806534999</v>
      </c>
      <c r="H3378">
        <v>0.24145082988570299</v>
      </c>
      <c r="I3378">
        <v>0.15450477432985901</v>
      </c>
      <c r="J3378">
        <v>0.113910664754633</v>
      </c>
      <c r="K3378">
        <v>0.15402181354946901</v>
      </c>
      <c r="L3378">
        <v>808.75671088985303</v>
      </c>
      <c r="M3378">
        <v>16.5698314510751</v>
      </c>
      <c r="N3378">
        <v>49.657062266399699</v>
      </c>
      <c r="O3378">
        <v>48.114697156354197</v>
      </c>
      <c r="P3378">
        <v>-7.5490331850387601E-2</v>
      </c>
      <c r="Q3378">
        <v>0.123238832113521</v>
      </c>
      <c r="R3378">
        <v>0.97893397619064604</v>
      </c>
      <c r="S3378" t="s">
        <v>8929</v>
      </c>
      <c r="T3378" t="s">
        <v>11100</v>
      </c>
      <c r="U3378" t="s">
        <v>11100</v>
      </c>
      <c r="V3378" t="s">
        <v>11100</v>
      </c>
      <c r="W3378" t="s">
        <v>14430</v>
      </c>
      <c r="X3378">
        <v>5</v>
      </c>
      <c r="Y3378" t="s">
        <v>19871</v>
      </c>
      <c r="Z3378" t="s">
        <v>25383</v>
      </c>
      <c r="AA3378">
        <v>0.48445838256322787</v>
      </c>
      <c r="AB3378" t="str">
        <f>HYPERLINK("Melting_Curves/meltCurve_Q5VV42_CDKAL1.pdf", "Melting_Curves/meltCurve_Q5VV42_CDKAL1.pdf")</f>
        <v>Melting_Curves/meltCurve_Q5VV42_CDKAL1.pdf</v>
      </c>
    </row>
    <row r="3379" spans="1:28" x14ac:dyDescent="0.25">
      <c r="A3379" t="s">
        <v>3383</v>
      </c>
      <c r="B3379">
        <v>0.99299721793515405</v>
      </c>
      <c r="C3379">
        <v>1.0284460264025499</v>
      </c>
      <c r="D3379">
        <v>0.83175746879615997</v>
      </c>
      <c r="E3379">
        <v>0.85207932184256796</v>
      </c>
      <c r="F3379">
        <v>0.61353358487807397</v>
      </c>
      <c r="G3379">
        <v>0.39631607568615701</v>
      </c>
      <c r="H3379">
        <v>0.35174156876295898</v>
      </c>
      <c r="I3379">
        <v>0.40660291709294699</v>
      </c>
      <c r="J3379">
        <v>0.39189167321493601</v>
      </c>
      <c r="K3379">
        <v>0.21564696795400601</v>
      </c>
      <c r="L3379">
        <v>747.98390088651297</v>
      </c>
      <c r="M3379">
        <v>15.173567160183699</v>
      </c>
      <c r="N3379">
        <v>52.430971261552898</v>
      </c>
      <c r="O3379">
        <v>48.462779664249602</v>
      </c>
      <c r="P3379">
        <v>-5.4935621369684599E-2</v>
      </c>
      <c r="Q3379">
        <v>0.298233546458191</v>
      </c>
      <c r="R3379">
        <v>0.95061028429981298</v>
      </c>
      <c r="S3379" t="s">
        <v>8930</v>
      </c>
      <c r="T3379" t="s">
        <v>11100</v>
      </c>
      <c r="U3379" t="s">
        <v>11100</v>
      </c>
      <c r="V3379" t="s">
        <v>11100</v>
      </c>
      <c r="W3379" t="s">
        <v>14431</v>
      </c>
      <c r="X3379">
        <v>3</v>
      </c>
      <c r="Y3379" t="s">
        <v>19872</v>
      </c>
      <c r="Z3379" t="s">
        <v>25384</v>
      </c>
      <c r="AA3379">
        <v>0.60056181335181213</v>
      </c>
      <c r="AB3379" t="str">
        <f>HYPERLINK("Melting_Curves/meltCurve_Q5VV50_ZNF691.pdf", "Melting_Curves/meltCurve_Q5VV50_ZNF691.pdf")</f>
        <v>Melting_Curves/meltCurve_Q5VV50_ZNF691.pdf</v>
      </c>
    </row>
    <row r="3380" spans="1:28" x14ac:dyDescent="0.25">
      <c r="A3380" t="s">
        <v>3384</v>
      </c>
      <c r="B3380">
        <v>0.99299721793515405</v>
      </c>
      <c r="C3380">
        <v>0.90625356760347198</v>
      </c>
      <c r="D3380">
        <v>1.0689036895706201</v>
      </c>
      <c r="E3380">
        <v>0.80104513322524995</v>
      </c>
      <c r="F3380">
        <v>0.58820388121709799</v>
      </c>
      <c r="G3380">
        <v>0.51799244688196799</v>
      </c>
      <c r="H3380">
        <v>0.39115594055323599</v>
      </c>
      <c r="I3380">
        <v>0.39903235720929803</v>
      </c>
      <c r="J3380">
        <v>0.23636208747732801</v>
      </c>
      <c r="K3380">
        <v>0.110250286775447</v>
      </c>
      <c r="L3380">
        <v>489.71117376061397</v>
      </c>
      <c r="M3380">
        <v>9.0925581206814208</v>
      </c>
      <c r="N3380">
        <v>54.442097545711299</v>
      </c>
      <c r="O3380">
        <v>51.4450188393959</v>
      </c>
      <c r="P3380">
        <v>-4.2163340810229703E-2</v>
      </c>
      <c r="Q3380">
        <v>4.6437969190936401E-2</v>
      </c>
      <c r="R3380">
        <v>0.94590654257957196</v>
      </c>
      <c r="S3380" t="s">
        <v>8931</v>
      </c>
      <c r="T3380" t="s">
        <v>11100</v>
      </c>
      <c r="U3380" t="s">
        <v>11100</v>
      </c>
      <c r="V3380" t="s">
        <v>11100</v>
      </c>
      <c r="W3380" t="s">
        <v>14432</v>
      </c>
      <c r="X3380">
        <v>5</v>
      </c>
      <c r="Y3380" t="s">
        <v>19873</v>
      </c>
      <c r="Z3380" t="s">
        <v>25385</v>
      </c>
      <c r="AA3380">
        <v>0.59900472473986233</v>
      </c>
      <c r="AB3380" t="str">
        <f>HYPERLINK("Melting_Curves/meltCurve_Q5VVD7_PLEKHM2.pdf", "Melting_Curves/meltCurve_Q5VVD7_PLEKHM2.pdf")</f>
        <v>Melting_Curves/meltCurve_Q5VVD7_PLEKHM2.pdf</v>
      </c>
    </row>
    <row r="3381" spans="1:28" x14ac:dyDescent="0.25">
      <c r="A3381" t="s">
        <v>3385</v>
      </c>
      <c r="B3381">
        <v>0.99299721793515405</v>
      </c>
      <c r="C3381">
        <v>0.98743297165638499</v>
      </c>
      <c r="D3381">
        <v>0.97503647339891097</v>
      </c>
      <c r="E3381">
        <v>0.910692995370883</v>
      </c>
      <c r="F3381">
        <v>0.78760606748837803</v>
      </c>
      <c r="G3381">
        <v>0.39949914455744201</v>
      </c>
      <c r="H3381">
        <v>0.32892949239873998</v>
      </c>
      <c r="I3381">
        <v>0.24637974669113399</v>
      </c>
      <c r="J3381">
        <v>0.176052146919981</v>
      </c>
      <c r="K3381">
        <v>0.105754948180662</v>
      </c>
      <c r="L3381">
        <v>960.26119244942504</v>
      </c>
      <c r="M3381">
        <v>18.306650589876199</v>
      </c>
      <c r="N3381">
        <v>53.417100164106301</v>
      </c>
      <c r="O3381">
        <v>51.8403322701012</v>
      </c>
      <c r="P3381">
        <v>-7.5880670642632195E-2</v>
      </c>
      <c r="Q3381">
        <v>0.14053145365868899</v>
      </c>
      <c r="R3381">
        <v>0.98819808766320805</v>
      </c>
      <c r="S3381" t="s">
        <v>8932</v>
      </c>
      <c r="T3381" t="s">
        <v>11100</v>
      </c>
      <c r="U3381" t="s">
        <v>11100</v>
      </c>
      <c r="V3381" t="s">
        <v>11100</v>
      </c>
      <c r="W3381" t="s">
        <v>14433</v>
      </c>
      <c r="X3381">
        <v>10</v>
      </c>
      <c r="Y3381" t="s">
        <v>19874</v>
      </c>
      <c r="Z3381" t="s">
        <v>25386</v>
      </c>
      <c r="AA3381">
        <v>0.59577741820673746</v>
      </c>
      <c r="AB3381" t="str">
        <f>HYPERLINK("Melting_Curves/meltCurve_Q5VVQ6_YOD1.pdf", "Melting_Curves/meltCurve_Q5VVQ6_YOD1.pdf")</f>
        <v>Melting_Curves/meltCurve_Q5VVQ6_YOD1.pdf</v>
      </c>
    </row>
    <row r="3382" spans="1:28" x14ac:dyDescent="0.25">
      <c r="A3382" t="s">
        <v>3386</v>
      </c>
      <c r="B3382">
        <v>0.99299721793515405</v>
      </c>
      <c r="C3382">
        <v>0.799261714163498</v>
      </c>
      <c r="D3382">
        <v>0.95276445660126596</v>
      </c>
      <c r="E3382">
        <v>0.833986458291751</v>
      </c>
      <c r="F3382">
        <v>0.80743155512724596</v>
      </c>
      <c r="G3382">
        <v>0.51469356560517898</v>
      </c>
      <c r="H3382">
        <v>0.76703943498305305</v>
      </c>
      <c r="I3382">
        <v>0.68948195955674596</v>
      </c>
      <c r="J3382">
        <v>0.56215523423244396</v>
      </c>
      <c r="K3382">
        <v>0.415850678776927</v>
      </c>
      <c r="L3382">
        <v>235.02336904237299</v>
      </c>
      <c r="M3382">
        <v>3.4783480134498199</v>
      </c>
      <c r="O3382">
        <v>52.8489360543728</v>
      </c>
      <c r="P3382">
        <v>-1.6781862520116101E-2</v>
      </c>
      <c r="Q3382">
        <v>0</v>
      </c>
      <c r="R3382">
        <v>0.70722693562209005</v>
      </c>
      <c r="S3382" t="s">
        <v>8933</v>
      </c>
      <c r="T3382" t="s">
        <v>11100</v>
      </c>
      <c r="U3382" t="s">
        <v>11100</v>
      </c>
      <c r="V3382" t="s">
        <v>11100</v>
      </c>
      <c r="W3382" t="s">
        <v>14434</v>
      </c>
      <c r="X3382">
        <v>1</v>
      </c>
      <c r="Y3382" t="s">
        <v>19875</v>
      </c>
      <c r="Z3382" t="s">
        <v>25387</v>
      </c>
      <c r="AA3382">
        <v>0.73577338258585856</v>
      </c>
      <c r="AB3382" t="str">
        <f>HYPERLINK("Melting_Curves/meltCurve_Q5VVW5_SLC2A8.pdf", "Melting_Curves/meltCurve_Q5VVW5_SLC2A8.pdf")</f>
        <v>Melting_Curves/meltCurve_Q5VVW5_SLC2A8.pdf</v>
      </c>
    </row>
    <row r="3383" spans="1:28" x14ac:dyDescent="0.25">
      <c r="A3383" t="s">
        <v>3387</v>
      </c>
      <c r="B3383">
        <v>0.99299721793515405</v>
      </c>
      <c r="C3383">
        <v>1.08256938073394</v>
      </c>
      <c r="D3383">
        <v>1.11254929754166</v>
      </c>
      <c r="E3383">
        <v>0.88226763230916405</v>
      </c>
      <c r="F3383">
        <v>0.61581123842067997</v>
      </c>
      <c r="G3383">
        <v>0.92477358138446297</v>
      </c>
      <c r="H3383">
        <v>0.55880654285718601</v>
      </c>
      <c r="I3383">
        <v>0.65963578753441598</v>
      </c>
      <c r="J3383">
        <v>1.0399644872285601</v>
      </c>
      <c r="K3383">
        <v>1.74077019049071</v>
      </c>
      <c r="L3383">
        <v>15000</v>
      </c>
      <c r="M3383">
        <v>231.603563078506</v>
      </c>
      <c r="O3383">
        <v>64.761013944230697</v>
      </c>
      <c r="P3383">
        <v>0.44703508609367099</v>
      </c>
      <c r="Q3383">
        <v>1.5</v>
      </c>
      <c r="R3383">
        <v>0.46213599338275002</v>
      </c>
      <c r="S3383" t="s">
        <v>8934</v>
      </c>
      <c r="T3383" t="s">
        <v>11100</v>
      </c>
      <c r="U3383" t="s">
        <v>11100</v>
      </c>
      <c r="V3383" t="s">
        <v>11100</v>
      </c>
      <c r="W3383" t="s">
        <v>14435</v>
      </c>
      <c r="X3383">
        <v>1</v>
      </c>
      <c r="Y3383" t="s">
        <v>19876</v>
      </c>
      <c r="Z3383" t="s">
        <v>25388</v>
      </c>
      <c r="AA3383">
        <v>1.037171956304243</v>
      </c>
      <c r="AB3383" t="str">
        <f>HYPERLINK("Melting_Curves/meltCurve_Q5VW27_NFIB.pdf", "Melting_Curves/meltCurve_Q5VW27_NFIB.pdf")</f>
        <v>Melting_Curves/meltCurve_Q5VW27_NFIB.pdf</v>
      </c>
    </row>
    <row r="3384" spans="1:28" x14ac:dyDescent="0.25">
      <c r="A3384" t="s">
        <v>3388</v>
      </c>
      <c r="B3384">
        <v>0.99299721793515405</v>
      </c>
      <c r="C3384">
        <v>1.07692669460226</v>
      </c>
      <c r="D3384">
        <v>0.98382792521641405</v>
      </c>
      <c r="E3384">
        <v>0.90371035063920102</v>
      </c>
      <c r="F3384">
        <v>0.77397370195869097</v>
      </c>
      <c r="G3384">
        <v>0.302938890318599</v>
      </c>
      <c r="H3384">
        <v>0.159015030349101</v>
      </c>
      <c r="I3384">
        <v>9.83683563982925E-2</v>
      </c>
      <c r="J3384">
        <v>9.3596777440034098E-2</v>
      </c>
      <c r="K3384">
        <v>7.6414228907230194E-2</v>
      </c>
      <c r="L3384">
        <v>1482.4150320260701</v>
      </c>
      <c r="M3384">
        <v>28.580188755330301</v>
      </c>
      <c r="N3384">
        <v>52.211069954260402</v>
      </c>
      <c r="O3384">
        <v>51.616676045236296</v>
      </c>
      <c r="P3384">
        <v>-0.12659539351103999</v>
      </c>
      <c r="Q3384">
        <v>8.5466949008475596E-2</v>
      </c>
      <c r="R3384">
        <v>0.99297348515708295</v>
      </c>
      <c r="S3384" t="s">
        <v>8935</v>
      </c>
      <c r="T3384" t="s">
        <v>11100</v>
      </c>
      <c r="U3384" t="s">
        <v>11100</v>
      </c>
      <c r="V3384" t="s">
        <v>11100</v>
      </c>
      <c r="W3384" t="s">
        <v>14436</v>
      </c>
      <c r="X3384">
        <v>10</v>
      </c>
      <c r="Y3384" t="s">
        <v>19877</v>
      </c>
      <c r="Z3384" t="s">
        <v>25389</v>
      </c>
      <c r="AA3384">
        <v>0.54504892866557764</v>
      </c>
      <c r="AB3384" t="str">
        <f>HYPERLINK("Melting_Curves/meltCurve_Q5VW32_BROX.pdf", "Melting_Curves/meltCurve_Q5VW32_BROX.pdf")</f>
        <v>Melting_Curves/meltCurve_Q5VW32_BROX.pdf</v>
      </c>
    </row>
    <row r="3385" spans="1:28" x14ac:dyDescent="0.25">
      <c r="A3385" t="s">
        <v>3389</v>
      </c>
      <c r="B3385">
        <v>0.99299721793515405</v>
      </c>
      <c r="C3385">
        <v>1.03710442856684</v>
      </c>
      <c r="D3385">
        <v>0.94576293181672799</v>
      </c>
      <c r="E3385">
        <v>0.88186768693911599</v>
      </c>
      <c r="F3385">
        <v>0.56145304891655701</v>
      </c>
      <c r="G3385">
        <v>0.26952846319081403</v>
      </c>
      <c r="H3385">
        <v>0.19784404779228301</v>
      </c>
      <c r="I3385">
        <v>0.173706766916153</v>
      </c>
      <c r="J3385">
        <v>0.18140280959771801</v>
      </c>
      <c r="K3385">
        <v>0.14937137521313401</v>
      </c>
      <c r="L3385">
        <v>1244.00040162302</v>
      </c>
      <c r="M3385">
        <v>24.908309189949001</v>
      </c>
      <c r="N3385">
        <v>50.741982227097402</v>
      </c>
      <c r="O3385">
        <v>49.624612978949401</v>
      </c>
      <c r="P3385">
        <v>-0.105133381507967</v>
      </c>
      <c r="Q3385">
        <v>0.16218605650602799</v>
      </c>
      <c r="R3385">
        <v>0.99716332386036599</v>
      </c>
      <c r="S3385" t="s">
        <v>8936</v>
      </c>
      <c r="T3385" t="s">
        <v>11100</v>
      </c>
      <c r="U3385" t="s">
        <v>11100</v>
      </c>
      <c r="V3385" t="s">
        <v>11100</v>
      </c>
      <c r="W3385" t="s">
        <v>14437</v>
      </c>
      <c r="X3385">
        <v>7</v>
      </c>
      <c r="Y3385" t="s">
        <v>19878</v>
      </c>
      <c r="Z3385" t="s">
        <v>25390</v>
      </c>
      <c r="AA3385">
        <v>0.53102621520613846</v>
      </c>
      <c r="AB3385" t="str">
        <f>HYPERLINK("Melting_Curves/meltCurve_Q5VWJ9_SNX30.pdf", "Melting_Curves/meltCurve_Q5VWJ9_SNX30.pdf")</f>
        <v>Melting_Curves/meltCurve_Q5VWJ9_SNX30.pdf</v>
      </c>
    </row>
    <row r="3386" spans="1:28" x14ac:dyDescent="0.25">
      <c r="A3386" t="s">
        <v>3390</v>
      </c>
      <c r="B3386">
        <v>0.99299721793515405</v>
      </c>
      <c r="C3386">
        <v>1.0143755024777901</v>
      </c>
      <c r="D3386">
        <v>1.0037273829898199</v>
      </c>
      <c r="E3386">
        <v>0.84319805314083895</v>
      </c>
      <c r="F3386">
        <v>0.75068565768803297</v>
      </c>
      <c r="G3386">
        <v>0.57135093635912204</v>
      </c>
      <c r="H3386">
        <v>0.33532303022208598</v>
      </c>
      <c r="I3386">
        <v>0.17481067557175201</v>
      </c>
      <c r="J3386">
        <v>0.13383680578257001</v>
      </c>
      <c r="K3386">
        <v>0.12279341462664101</v>
      </c>
      <c r="L3386">
        <v>713.64965326530603</v>
      </c>
      <c r="M3386">
        <v>13.1647906363047</v>
      </c>
      <c r="N3386">
        <v>54.423032696868603</v>
      </c>
      <c r="O3386">
        <v>53.003921396335002</v>
      </c>
      <c r="P3386">
        <v>-6.0537034082149097E-2</v>
      </c>
      <c r="Q3386">
        <v>2.5230060634071301E-2</v>
      </c>
      <c r="R3386">
        <v>0.993908639284942</v>
      </c>
      <c r="S3386" t="s">
        <v>8937</v>
      </c>
      <c r="T3386" t="s">
        <v>11100</v>
      </c>
      <c r="U3386" t="s">
        <v>11100</v>
      </c>
      <c r="V3386" t="s">
        <v>11100</v>
      </c>
      <c r="W3386" t="s">
        <v>14438</v>
      </c>
      <c r="X3386">
        <v>4</v>
      </c>
      <c r="Y3386" t="s">
        <v>19879</v>
      </c>
      <c r="Z3386" t="s">
        <v>25391</v>
      </c>
      <c r="AA3386">
        <v>0.60082650931823944</v>
      </c>
      <c r="AB3386" t="str">
        <f>HYPERLINK("Melting_Curves/meltCurve_Q5VWZ2_LYPLAL1.pdf", "Melting_Curves/meltCurve_Q5VWZ2_LYPLAL1.pdf")</f>
        <v>Melting_Curves/meltCurve_Q5VWZ2_LYPLAL1.pdf</v>
      </c>
    </row>
    <row r="3387" spans="1:28" x14ac:dyDescent="0.25">
      <c r="A3387" t="s">
        <v>3391</v>
      </c>
      <c r="B3387">
        <v>0.99299721793515405</v>
      </c>
      <c r="C3387">
        <v>0.86272979375647196</v>
      </c>
      <c r="D3387">
        <v>1.22123861211289</v>
      </c>
      <c r="E3387">
        <v>0.89896863948656502</v>
      </c>
      <c r="F3387">
        <v>0.77380191533238696</v>
      </c>
      <c r="G3387">
        <v>1.0289579769016199</v>
      </c>
      <c r="H3387">
        <v>0.60520865655673795</v>
      </c>
      <c r="I3387">
        <v>0.63916932429252704</v>
      </c>
      <c r="J3387">
        <v>0.74598314601225602</v>
      </c>
      <c r="K3387">
        <v>0.65174741617785803</v>
      </c>
      <c r="L3387">
        <v>778.27956230769098</v>
      </c>
      <c r="M3387">
        <v>14.5065991471799</v>
      </c>
      <c r="O3387">
        <v>52.661444513419703</v>
      </c>
      <c r="P3387">
        <v>-2.4992752079804399E-2</v>
      </c>
      <c r="Q3387">
        <v>0.63712987207391603</v>
      </c>
      <c r="R3387">
        <v>0.53321670600767601</v>
      </c>
      <c r="S3387" t="s">
        <v>8938</v>
      </c>
      <c r="T3387" t="s">
        <v>11100</v>
      </c>
      <c r="U3387" t="s">
        <v>11100</v>
      </c>
      <c r="V3387" t="s">
        <v>11100</v>
      </c>
      <c r="W3387" t="s">
        <v>14439</v>
      </c>
      <c r="X3387">
        <v>1</v>
      </c>
      <c r="Y3387" t="s">
        <v>19880</v>
      </c>
      <c r="Z3387" t="s">
        <v>25392</v>
      </c>
      <c r="AA3387">
        <v>0.84478764059533695</v>
      </c>
      <c r="AB3387" t="str">
        <f>HYPERLINK("Melting_Curves/meltCurve_Q5VY30_RBP4.pdf", "Melting_Curves/meltCurve_Q5VY30_RBP4.pdf")</f>
        <v>Melting_Curves/meltCurve_Q5VY30_RBP4.pdf</v>
      </c>
    </row>
    <row r="3388" spans="1:28" x14ac:dyDescent="0.25">
      <c r="A3388" t="s">
        <v>3392</v>
      </c>
      <c r="B3388">
        <v>0.99299721793515405</v>
      </c>
      <c r="C3388">
        <v>0.971667442262794</v>
      </c>
      <c r="D3388">
        <v>1.0069713316048501</v>
      </c>
      <c r="E3388">
        <v>0.77605551058085498</v>
      </c>
      <c r="F3388">
        <v>0.622924262773207</v>
      </c>
      <c r="G3388">
        <v>0.51244531187303799</v>
      </c>
      <c r="H3388">
        <v>0.21784686564400299</v>
      </c>
      <c r="I3388">
        <v>0.379054457695989</v>
      </c>
      <c r="J3388">
        <v>0.39288235157318202</v>
      </c>
      <c r="K3388">
        <v>0.45587520592450498</v>
      </c>
      <c r="L3388">
        <v>996.01771808444801</v>
      </c>
      <c r="M3388">
        <v>20.4341409029002</v>
      </c>
      <c r="N3388">
        <v>52.142415393085301</v>
      </c>
      <c r="O3388">
        <v>48.283207311940103</v>
      </c>
      <c r="P3388">
        <v>-6.6863287719601094E-2</v>
      </c>
      <c r="Q3388">
        <v>0.36806201611195</v>
      </c>
      <c r="R3388">
        <v>0.93417255014477096</v>
      </c>
      <c r="S3388" t="s">
        <v>8939</v>
      </c>
      <c r="T3388" t="s">
        <v>11100</v>
      </c>
      <c r="U3388" t="s">
        <v>11100</v>
      </c>
      <c r="V3388" t="s">
        <v>11100</v>
      </c>
      <c r="W3388" t="s">
        <v>14440</v>
      </c>
      <c r="X3388">
        <v>2</v>
      </c>
      <c r="Y3388" t="s">
        <v>19881</v>
      </c>
      <c r="Z3388" t="s">
        <v>25393</v>
      </c>
      <c r="AA3388">
        <v>0.62341749356022447</v>
      </c>
      <c r="AB3388" t="str">
        <f>HYPERLINK("Melting_Curves/meltCurve_Q5VY93_ARHGEF2.pdf", "Melting_Curves/meltCurve_Q5VY93_ARHGEF2.pdf")</f>
        <v>Melting_Curves/meltCurve_Q5VY93_ARHGEF2.pdf</v>
      </c>
    </row>
    <row r="3389" spans="1:28" x14ac:dyDescent="0.25">
      <c r="A3389" t="s">
        <v>3393</v>
      </c>
      <c r="B3389">
        <v>0.99299721793515405</v>
      </c>
      <c r="C3389">
        <v>0.89091559298015099</v>
      </c>
      <c r="D3389">
        <v>1.0155303680224701</v>
      </c>
      <c r="E3389">
        <v>0.79268477164694495</v>
      </c>
      <c r="F3389">
        <v>0.68172725204611995</v>
      </c>
      <c r="G3389">
        <v>0.57386848449301897</v>
      </c>
      <c r="H3389">
        <v>0.31439738593125</v>
      </c>
      <c r="I3389">
        <v>0.29872425756860099</v>
      </c>
      <c r="J3389">
        <v>0.22205767004069399</v>
      </c>
      <c r="K3389">
        <v>0.20802641164498001</v>
      </c>
      <c r="L3389">
        <v>584.03602015372599</v>
      </c>
      <c r="M3389">
        <v>11.051556424066099</v>
      </c>
      <c r="N3389">
        <v>54.169990210707702</v>
      </c>
      <c r="O3389">
        <v>51.204667488321803</v>
      </c>
      <c r="P3389">
        <v>-4.7589467290569398E-2</v>
      </c>
      <c r="Q3389">
        <v>0.11831580646647601</v>
      </c>
      <c r="R3389">
        <v>0.97462103318544002</v>
      </c>
      <c r="S3389" t="s">
        <v>8940</v>
      </c>
      <c r="T3389" t="s">
        <v>11100</v>
      </c>
      <c r="U3389" t="s">
        <v>11100</v>
      </c>
      <c r="V3389" t="s">
        <v>11100</v>
      </c>
      <c r="W3389" t="s">
        <v>14441</v>
      </c>
      <c r="X3389">
        <v>6</v>
      </c>
      <c r="Y3389" t="s">
        <v>19882</v>
      </c>
      <c r="Z3389" t="s">
        <v>25394</v>
      </c>
      <c r="AA3389">
        <v>0.60378241752010109</v>
      </c>
      <c r="AB3389" t="str">
        <f>HYPERLINK("Melting_Curves/meltCurve_Q5VZE5_NAA35.pdf", "Melting_Curves/meltCurve_Q5VZE5_NAA35.pdf")</f>
        <v>Melting_Curves/meltCurve_Q5VZE5_NAA35.pdf</v>
      </c>
    </row>
    <row r="3390" spans="1:28" x14ac:dyDescent="0.25">
      <c r="A3390" t="s">
        <v>3394</v>
      </c>
      <c r="B3390">
        <v>0.99299721793515405</v>
      </c>
      <c r="C3390">
        <v>0.99060154901395903</v>
      </c>
      <c r="D3390">
        <v>1.0929307691107599</v>
      </c>
      <c r="E3390">
        <v>0.86799062099952196</v>
      </c>
      <c r="F3390">
        <v>0.78487561167730202</v>
      </c>
      <c r="G3390">
        <v>0.70237594544673798</v>
      </c>
      <c r="H3390">
        <v>0.68939086855451603</v>
      </c>
      <c r="I3390">
        <v>0.66672981589630298</v>
      </c>
      <c r="J3390">
        <v>0.51182584014774002</v>
      </c>
      <c r="K3390">
        <v>0.58951172913404204</v>
      </c>
      <c r="L3390">
        <v>730.81006371981596</v>
      </c>
      <c r="M3390">
        <v>14.343961789998801</v>
      </c>
      <c r="O3390">
        <v>49.989396057721898</v>
      </c>
      <c r="P3390">
        <v>-3.0667818684438901E-2</v>
      </c>
      <c r="Q3390">
        <v>0.57253608389732003</v>
      </c>
      <c r="R3390">
        <v>0.91107859371594602</v>
      </c>
      <c r="S3390" t="s">
        <v>8941</v>
      </c>
      <c r="T3390" t="s">
        <v>11100</v>
      </c>
      <c r="U3390" t="s">
        <v>11100</v>
      </c>
      <c r="V3390" t="s">
        <v>11100</v>
      </c>
      <c r="W3390" t="s">
        <v>14442</v>
      </c>
      <c r="X3390">
        <v>1</v>
      </c>
      <c r="Y3390" t="s">
        <v>19883</v>
      </c>
      <c r="Z3390" t="s">
        <v>25395</v>
      </c>
      <c r="AA3390">
        <v>0.78042718730368454</v>
      </c>
      <c r="AB3390" t="str">
        <f>HYPERLINK("Melting_Curves/meltCurve_Q5VZI3_2_C9orf91.pdf", "Melting_Curves/meltCurve_Q5VZI3_2_C9orf91.pdf")</f>
        <v>Melting_Curves/meltCurve_Q5VZI3_2_C9orf91.pdf</v>
      </c>
    </row>
    <row r="3391" spans="1:28" x14ac:dyDescent="0.25">
      <c r="A3391" t="s">
        <v>3395</v>
      </c>
      <c r="B3391">
        <v>0.99299721793515405</v>
      </c>
      <c r="C3391">
        <v>0.87843444668638604</v>
      </c>
      <c r="D3391">
        <v>1.2057237838800501</v>
      </c>
      <c r="E3391">
        <v>0.92350944783896805</v>
      </c>
      <c r="F3391">
        <v>0.67899931379623701</v>
      </c>
      <c r="G3391">
        <v>0.88324671128951204</v>
      </c>
      <c r="H3391">
        <v>0.61154423197951202</v>
      </c>
      <c r="I3391">
        <v>0.39461459679791699</v>
      </c>
      <c r="J3391">
        <v>0.35958488677385803</v>
      </c>
      <c r="K3391">
        <v>0.30879585320512598</v>
      </c>
      <c r="L3391">
        <v>601.69683359221904</v>
      </c>
      <c r="M3391">
        <v>10.250065658356</v>
      </c>
      <c r="N3391">
        <v>59.844553889521201</v>
      </c>
      <c r="O3391">
        <v>56.599051005099902</v>
      </c>
      <c r="P3391">
        <v>-4.12689003441939E-2</v>
      </c>
      <c r="Q3391">
        <v>8.8884887254305406E-2</v>
      </c>
      <c r="R3391">
        <v>0.85017917934811005</v>
      </c>
      <c r="S3391" t="s">
        <v>8942</v>
      </c>
      <c r="T3391" t="s">
        <v>11100</v>
      </c>
      <c r="U3391" t="s">
        <v>11100</v>
      </c>
      <c r="V3391" t="s">
        <v>11100</v>
      </c>
      <c r="W3391" t="s">
        <v>14443</v>
      </c>
      <c r="X3391">
        <v>3</v>
      </c>
      <c r="Y3391" t="s">
        <v>19884</v>
      </c>
      <c r="Z3391" t="s">
        <v>25396</v>
      </c>
      <c r="AA3391">
        <v>0.73589793507876311</v>
      </c>
      <c r="AB3391" t="str">
        <f>HYPERLINK("Melting_Curves/meltCurve_Q5VZK9_LRRC16A.pdf", "Melting_Curves/meltCurve_Q5VZK9_LRRC16A.pdf")</f>
        <v>Melting_Curves/meltCurve_Q5VZK9_LRRC16A.pdf</v>
      </c>
    </row>
    <row r="3392" spans="1:28" x14ac:dyDescent="0.25">
      <c r="A3392" t="s">
        <v>3396</v>
      </c>
      <c r="B3392">
        <v>0.99299721793515405</v>
      </c>
      <c r="C3392">
        <v>1.03339342932219</v>
      </c>
      <c r="D3392">
        <v>0.84791615079668203</v>
      </c>
      <c r="E3392">
        <v>0.889527819897034</v>
      </c>
      <c r="F3392">
        <v>0.69090822431975096</v>
      </c>
      <c r="G3392">
        <v>0.57982413168449698</v>
      </c>
      <c r="H3392">
        <v>0.29141261484937703</v>
      </c>
      <c r="I3392">
        <v>0.21820019615682301</v>
      </c>
      <c r="J3392">
        <v>0.27572586145705602</v>
      </c>
      <c r="K3392">
        <v>0.18575362010226601</v>
      </c>
      <c r="L3392">
        <v>672.99382535801703</v>
      </c>
      <c r="M3392">
        <v>12.769572450987299</v>
      </c>
      <c r="N3392">
        <v>54.021419860385599</v>
      </c>
      <c r="O3392">
        <v>51.460579961312398</v>
      </c>
      <c r="P3392">
        <v>-5.3740111720440499E-2</v>
      </c>
      <c r="Q3392">
        <v>0.13388685456361299</v>
      </c>
      <c r="R3392">
        <v>0.97097866790486698</v>
      </c>
      <c r="S3392" t="s">
        <v>8943</v>
      </c>
      <c r="T3392" t="s">
        <v>11100</v>
      </c>
      <c r="U3392" t="s">
        <v>11100</v>
      </c>
      <c r="V3392" t="s">
        <v>11100</v>
      </c>
      <c r="W3392" t="s">
        <v>14444</v>
      </c>
      <c r="X3392">
        <v>3</v>
      </c>
      <c r="Y3392" t="s">
        <v>19885</v>
      </c>
      <c r="Z3392" t="s">
        <v>25397</v>
      </c>
      <c r="AA3392">
        <v>0.60545161372066858</v>
      </c>
      <c r="AB3392" t="str">
        <f>HYPERLINK("Melting_Curves/meltCurve_Q5VZR0_GLIPR2.pdf", "Melting_Curves/meltCurve_Q5VZR0_GLIPR2.pdf")</f>
        <v>Melting_Curves/meltCurve_Q5VZR0_GLIPR2.pdf</v>
      </c>
    </row>
    <row r="3393" spans="1:28" x14ac:dyDescent="0.25">
      <c r="A3393" t="s">
        <v>3397</v>
      </c>
      <c r="B3393">
        <v>0.99299721793515405</v>
      </c>
      <c r="C3393">
        <v>0.89507765253701899</v>
      </c>
      <c r="D3393">
        <v>0.84086133426057097</v>
      </c>
      <c r="E3393">
        <v>0.74091823287479197</v>
      </c>
      <c r="F3393">
        <v>0.60050921735422502</v>
      </c>
      <c r="G3393">
        <v>0.65036421279518597</v>
      </c>
      <c r="H3393">
        <v>0.70160969125481099</v>
      </c>
      <c r="I3393">
        <v>0.56877712263990099</v>
      </c>
      <c r="J3393">
        <v>0.21193097968333399</v>
      </c>
      <c r="K3393">
        <v>0.18449832523979301</v>
      </c>
      <c r="L3393">
        <v>325.55837978124799</v>
      </c>
      <c r="M3393">
        <v>5.6438649764139699</v>
      </c>
      <c r="N3393">
        <v>57.683590397595403</v>
      </c>
      <c r="O3393">
        <v>51.664844574754099</v>
      </c>
      <c r="P3393">
        <v>-2.7419858970188601E-2</v>
      </c>
      <c r="Q3393">
        <v>0</v>
      </c>
      <c r="R3393">
        <v>0.81910419570149895</v>
      </c>
      <c r="S3393" t="s">
        <v>8944</v>
      </c>
      <c r="T3393" t="s">
        <v>11100</v>
      </c>
      <c r="U3393" t="s">
        <v>11100</v>
      </c>
      <c r="V3393" t="s">
        <v>11100</v>
      </c>
      <c r="W3393" t="s">
        <v>14445</v>
      </c>
      <c r="X3393">
        <v>17</v>
      </c>
      <c r="Y3393" t="s">
        <v>19886</v>
      </c>
      <c r="Z3393" t="s">
        <v>25398</v>
      </c>
      <c r="AA3393">
        <v>0.64713990114366682</v>
      </c>
      <c r="AB3393" t="str">
        <f>HYPERLINK("Melting_Curves/meltCurve_Q5VZU9_TPP2.pdf", "Melting_Curves/meltCurve_Q5VZU9_TPP2.pdf")</f>
        <v>Melting_Curves/meltCurve_Q5VZU9_TPP2.pdf</v>
      </c>
    </row>
    <row r="3394" spans="1:28" x14ac:dyDescent="0.25">
      <c r="A3394" t="s">
        <v>3398</v>
      </c>
      <c r="B3394">
        <v>0.99299721793515405</v>
      </c>
      <c r="C3394">
        <v>0.85432056945471402</v>
      </c>
      <c r="D3394">
        <v>1.1584166231375399</v>
      </c>
      <c r="E3394">
        <v>0.83227571843150505</v>
      </c>
      <c r="F3394">
        <v>0.77677464912240501</v>
      </c>
      <c r="G3394">
        <v>0.73096824182792197</v>
      </c>
      <c r="H3394">
        <v>0.410363100096091</v>
      </c>
      <c r="I3394">
        <v>0.37954386301300802</v>
      </c>
      <c r="J3394">
        <v>0.30500533558709197</v>
      </c>
      <c r="K3394">
        <v>0.261645654474643</v>
      </c>
      <c r="L3394">
        <v>682.57769736511102</v>
      </c>
      <c r="M3394">
        <v>12.4376666534005</v>
      </c>
      <c r="N3394">
        <v>56.957975220028302</v>
      </c>
      <c r="O3394">
        <v>53.5191044040752</v>
      </c>
      <c r="P3394">
        <v>-4.7512517373456797E-2</v>
      </c>
      <c r="Q3394">
        <v>0.18238864526610399</v>
      </c>
      <c r="R3394">
        <v>0.91426460866839698</v>
      </c>
      <c r="S3394" t="s">
        <v>8945</v>
      </c>
      <c r="T3394" t="s">
        <v>11100</v>
      </c>
      <c r="U3394" t="s">
        <v>11100</v>
      </c>
      <c r="V3394" t="s">
        <v>11100</v>
      </c>
      <c r="W3394" t="s">
        <v>14446</v>
      </c>
      <c r="X3394">
        <v>5</v>
      </c>
      <c r="Y3394" t="s">
        <v>19887</v>
      </c>
      <c r="Z3394" t="s">
        <v>25399</v>
      </c>
      <c r="AA3394">
        <v>0.68177232332668913</v>
      </c>
      <c r="AB3394" t="str">
        <f>HYPERLINK("Melting_Curves/meltCurve_Q5W015_PFKFB3.pdf", "Melting_Curves/meltCurve_Q5W015_PFKFB3.pdf")</f>
        <v>Melting_Curves/meltCurve_Q5W015_PFKFB3.pdf</v>
      </c>
    </row>
    <row r="3395" spans="1:28" x14ac:dyDescent="0.25">
      <c r="A3395" t="s">
        <v>3399</v>
      </c>
      <c r="B3395">
        <v>0.99299721793515405</v>
      </c>
      <c r="C3395">
        <v>1.0838825492861499</v>
      </c>
      <c r="D3395">
        <v>0.94509765650497801</v>
      </c>
      <c r="E3395">
        <v>0.969130184924758</v>
      </c>
      <c r="F3395">
        <v>0.84440478254854601</v>
      </c>
      <c r="G3395">
        <v>0.45882257277622301</v>
      </c>
      <c r="H3395">
        <v>0.485746216507564</v>
      </c>
      <c r="I3395">
        <v>0.25131389286170502</v>
      </c>
      <c r="J3395">
        <v>0.106128523350936</v>
      </c>
      <c r="K3395">
        <v>8.6373384015731205E-2</v>
      </c>
      <c r="L3395">
        <v>728.94605897443603</v>
      </c>
      <c r="M3395">
        <v>13.1593946916938</v>
      </c>
      <c r="N3395">
        <v>55.3935859408097</v>
      </c>
      <c r="O3395">
        <v>54.161238412294303</v>
      </c>
      <c r="P3395">
        <v>-6.07519902276447E-2</v>
      </c>
      <c r="Q3395">
        <v>0</v>
      </c>
      <c r="R3395">
        <v>0.96752758932243499</v>
      </c>
      <c r="S3395" t="s">
        <v>8946</v>
      </c>
      <c r="T3395" t="s">
        <v>11100</v>
      </c>
      <c r="U3395" t="s">
        <v>11100</v>
      </c>
      <c r="V3395" t="s">
        <v>11100</v>
      </c>
      <c r="W3395" t="s">
        <v>14447</v>
      </c>
      <c r="X3395">
        <v>3</v>
      </c>
      <c r="Y3395" t="s">
        <v>19888</v>
      </c>
      <c r="Z3395" t="s">
        <v>25400</v>
      </c>
      <c r="AA3395">
        <v>0.62622635583236952</v>
      </c>
      <c r="AB3395" t="str">
        <f>HYPERLINK("Melting_Curves/meltCurve_Q5W0V3_2_FAM160B1.pdf", "Melting_Curves/meltCurve_Q5W0V3_2_FAM160B1.pdf")</f>
        <v>Melting_Curves/meltCurve_Q5W0V3_2_FAM160B1.pdf</v>
      </c>
    </row>
    <row r="3396" spans="1:28" x14ac:dyDescent="0.25">
      <c r="A3396" t="s">
        <v>3400</v>
      </c>
      <c r="B3396">
        <v>0.99299721793515405</v>
      </c>
      <c r="C3396">
        <v>0.93971651390802702</v>
      </c>
      <c r="D3396">
        <v>0.90116509599176797</v>
      </c>
      <c r="E3396">
        <v>0.82884381289515896</v>
      </c>
      <c r="F3396">
        <v>0.770984047760638</v>
      </c>
      <c r="G3396">
        <v>0.52944667853689598</v>
      </c>
      <c r="H3396">
        <v>0.54610158594582803</v>
      </c>
      <c r="I3396">
        <v>0.63585943727142302</v>
      </c>
      <c r="J3396">
        <v>0.59217730837576898</v>
      </c>
      <c r="K3396">
        <v>0.49548113662347798</v>
      </c>
      <c r="L3396">
        <v>634.99262002143598</v>
      </c>
      <c r="M3396">
        <v>13.1927194480333</v>
      </c>
      <c r="O3396">
        <v>47.066454539248099</v>
      </c>
      <c r="P3396">
        <v>-3.2783238365660897E-2</v>
      </c>
      <c r="Q3396">
        <v>0.53224703041091403</v>
      </c>
      <c r="R3396">
        <v>0.91471047835810504</v>
      </c>
      <c r="S3396" t="s">
        <v>8947</v>
      </c>
      <c r="T3396" t="s">
        <v>11100</v>
      </c>
      <c r="U3396" t="s">
        <v>11100</v>
      </c>
      <c r="V3396" t="s">
        <v>11100</v>
      </c>
      <c r="W3396" t="s">
        <v>14448</v>
      </c>
      <c r="X3396">
        <v>5</v>
      </c>
      <c r="Y3396" t="s">
        <v>19889</v>
      </c>
      <c r="Z3396" t="s">
        <v>25401</v>
      </c>
      <c r="AA3396">
        <v>0.71844145326461439</v>
      </c>
      <c r="AB3396" t="str">
        <f>HYPERLINK("Melting_Curves/meltCurve_Q5W0Z9_3_ZDHHC20.pdf", "Melting_Curves/meltCurve_Q5W0Z9_3_ZDHHC20.pdf")</f>
        <v>Melting_Curves/meltCurve_Q5W0Z9_3_ZDHHC20.pdf</v>
      </c>
    </row>
    <row r="3397" spans="1:28" x14ac:dyDescent="0.25">
      <c r="A3397" t="s">
        <v>3401</v>
      </c>
      <c r="B3397">
        <v>0.99299721793515405</v>
      </c>
      <c r="C3397">
        <v>1.07730008465174</v>
      </c>
      <c r="D3397">
        <v>0.98573480371051003</v>
      </c>
      <c r="E3397">
        <v>0.93280141205760803</v>
      </c>
      <c r="F3397">
        <v>0.71794871223920698</v>
      </c>
      <c r="G3397">
        <v>0.61922291400757101</v>
      </c>
      <c r="H3397">
        <v>0.314851744321686</v>
      </c>
      <c r="I3397">
        <v>0.16276891647161201</v>
      </c>
      <c r="J3397">
        <v>0.10246759026845401</v>
      </c>
      <c r="K3397">
        <v>5.4163473709697402E-2</v>
      </c>
      <c r="L3397">
        <v>798.43527603479697</v>
      </c>
      <c r="M3397">
        <v>14.6215368845605</v>
      </c>
      <c r="N3397">
        <v>54.6067957983133</v>
      </c>
      <c r="O3397">
        <v>53.615869233733697</v>
      </c>
      <c r="P3397">
        <v>-6.8184906626727396E-2</v>
      </c>
      <c r="Q3397">
        <v>0</v>
      </c>
      <c r="R3397">
        <v>0.98932429967509905</v>
      </c>
      <c r="S3397" t="s">
        <v>8948</v>
      </c>
      <c r="T3397" t="s">
        <v>11100</v>
      </c>
      <c r="U3397" t="s">
        <v>11100</v>
      </c>
      <c r="V3397" t="s">
        <v>11100</v>
      </c>
      <c r="W3397" t="s">
        <v>14449</v>
      </c>
      <c r="X3397">
        <v>2</v>
      </c>
      <c r="Y3397" t="s">
        <v>19890</v>
      </c>
      <c r="Z3397" t="s">
        <v>25402</v>
      </c>
      <c r="AA3397">
        <v>0.6020696538935657</v>
      </c>
      <c r="AB3397" t="str">
        <f>HYPERLINK("Melting_Curves/meltCurve_Q5W111_SPRYD7.pdf", "Melting_Curves/meltCurve_Q5W111_SPRYD7.pdf")</f>
        <v>Melting_Curves/meltCurve_Q5W111_SPRYD7.pdf</v>
      </c>
    </row>
    <row r="3398" spans="1:28" x14ac:dyDescent="0.25">
      <c r="A3398" t="s">
        <v>3402</v>
      </c>
      <c r="B3398">
        <v>0.99299721793515405</v>
      </c>
      <c r="C3398">
        <v>0.88222475520003196</v>
      </c>
      <c r="D3398">
        <v>0.96591357979813197</v>
      </c>
      <c r="E3398">
        <v>0.82136571308752404</v>
      </c>
      <c r="F3398">
        <v>0.59155255881049396</v>
      </c>
      <c r="G3398">
        <v>0.40589727331520298</v>
      </c>
      <c r="H3398">
        <v>1.3560371589096101</v>
      </c>
      <c r="I3398">
        <v>2.5514262350458301</v>
      </c>
      <c r="J3398">
        <v>2.6604752738325099</v>
      </c>
      <c r="K3398">
        <v>1.7514384284213</v>
      </c>
      <c r="L3398">
        <v>14298.025250916</v>
      </c>
      <c r="M3398">
        <v>250</v>
      </c>
      <c r="O3398">
        <v>57.188441169132403</v>
      </c>
      <c r="P3398">
        <v>0.54643909576487903</v>
      </c>
      <c r="Q3398">
        <v>1.5</v>
      </c>
      <c r="R3398">
        <v>0.44310959056336302</v>
      </c>
      <c r="S3398" t="s">
        <v>8949</v>
      </c>
      <c r="T3398" t="s">
        <v>11100</v>
      </c>
      <c r="U3398" t="s">
        <v>11100</v>
      </c>
      <c r="V3398" t="s">
        <v>11100</v>
      </c>
      <c r="W3398" t="s">
        <v>14450</v>
      </c>
      <c r="X3398">
        <v>4</v>
      </c>
      <c r="Y3398" t="s">
        <v>19891</v>
      </c>
      <c r="Z3398" t="s">
        <v>25403</v>
      </c>
      <c r="AA3398">
        <v>1.1634147976486879</v>
      </c>
      <c r="AB3398" t="str">
        <f>HYPERLINK("Melting_Curves/meltCurve_Q5W145_NDUFB8.pdf", "Melting_Curves/meltCurve_Q5W145_NDUFB8.pdf")</f>
        <v>Melting_Curves/meltCurve_Q5W145_NDUFB8.pdf</v>
      </c>
    </row>
    <row r="3399" spans="1:28" x14ac:dyDescent="0.25">
      <c r="A3399" t="s">
        <v>3403</v>
      </c>
      <c r="B3399">
        <v>0.99299721793515405</v>
      </c>
      <c r="C3399">
        <v>0.92833480755436504</v>
      </c>
      <c r="D3399">
        <v>1.01328596414231</v>
      </c>
      <c r="E3399">
        <v>0.99423325554001696</v>
      </c>
      <c r="F3399">
        <v>0.75677194612656495</v>
      </c>
      <c r="G3399">
        <v>0.55160578323203402</v>
      </c>
      <c r="H3399">
        <v>0.49258528333202201</v>
      </c>
      <c r="I3399">
        <v>0.42965022234876799</v>
      </c>
      <c r="J3399">
        <v>0.42293234695679799</v>
      </c>
      <c r="K3399">
        <v>0.26714879678722198</v>
      </c>
      <c r="L3399">
        <v>943.72048903637199</v>
      </c>
      <c r="M3399">
        <v>18.108837019194201</v>
      </c>
      <c r="N3399">
        <v>55.831213431349902</v>
      </c>
      <c r="O3399">
        <v>51.490767330666799</v>
      </c>
      <c r="P3399">
        <v>-5.71292972982985E-2</v>
      </c>
      <c r="Q3399">
        <v>0.35026426388139298</v>
      </c>
      <c r="R3399">
        <v>0.96460649283151501</v>
      </c>
      <c r="S3399" t="s">
        <v>8950</v>
      </c>
      <c r="T3399" t="s">
        <v>11100</v>
      </c>
      <c r="U3399" t="s">
        <v>11100</v>
      </c>
      <c r="V3399" t="s">
        <v>11100</v>
      </c>
      <c r="W3399" t="s">
        <v>14451</v>
      </c>
      <c r="X3399">
        <v>3</v>
      </c>
      <c r="Y3399" t="s">
        <v>19892</v>
      </c>
      <c r="Z3399" t="s">
        <v>25404</v>
      </c>
      <c r="AA3399">
        <v>0.68730227780991926</v>
      </c>
      <c r="AB3399" t="str">
        <f>HYPERLINK("Melting_Curves/meltCurve_Q5XKP0_QIL1.pdf", "Melting_Curves/meltCurve_Q5XKP0_QIL1.pdf")</f>
        <v>Melting_Curves/meltCurve_Q5XKP0_QIL1.pdf</v>
      </c>
    </row>
    <row r="3400" spans="1:28" x14ac:dyDescent="0.25">
      <c r="A3400" t="s">
        <v>3404</v>
      </c>
      <c r="B3400">
        <v>0.99299721793515405</v>
      </c>
      <c r="C3400">
        <v>1.12602592630319</v>
      </c>
      <c r="D3400">
        <v>0.88664476137780501</v>
      </c>
      <c r="E3400">
        <v>0.87746399677720899</v>
      </c>
      <c r="F3400">
        <v>0.76181931176502904</v>
      </c>
      <c r="G3400">
        <v>0.50777897528792104</v>
      </c>
      <c r="H3400">
        <v>0.47938577872312899</v>
      </c>
      <c r="I3400">
        <v>0.23262347382136001</v>
      </c>
      <c r="J3400">
        <v>0.122244103464211</v>
      </c>
      <c r="K3400">
        <v>0.108283015906865</v>
      </c>
      <c r="L3400">
        <v>625.27914134114496</v>
      </c>
      <c r="M3400">
        <v>11.366289126041099</v>
      </c>
      <c r="N3400">
        <v>55.011743353195001</v>
      </c>
      <c r="O3400">
        <v>53.3914535271646</v>
      </c>
      <c r="P3400">
        <v>-5.3237307696485499E-2</v>
      </c>
      <c r="Q3400">
        <v>0</v>
      </c>
      <c r="R3400">
        <v>0.96824798477888196</v>
      </c>
      <c r="S3400" t="s">
        <v>8951</v>
      </c>
      <c r="T3400" t="s">
        <v>11100</v>
      </c>
      <c r="U3400" t="s">
        <v>11100</v>
      </c>
      <c r="V3400" t="s">
        <v>11100</v>
      </c>
      <c r="W3400" t="s">
        <v>14452</v>
      </c>
      <c r="X3400">
        <v>2</v>
      </c>
      <c r="Y3400" t="s">
        <v>19893</v>
      </c>
      <c r="Z3400" t="s">
        <v>25405</v>
      </c>
      <c r="AA3400">
        <v>0.61413870312482222</v>
      </c>
      <c r="AB3400" t="str">
        <f>HYPERLINK("Melting_Curves/meltCurve_Q5XUX1_3_FBXW9.pdf", "Melting_Curves/meltCurve_Q5XUX1_3_FBXW9.pdf")</f>
        <v>Melting_Curves/meltCurve_Q5XUX1_3_FBXW9.pdf</v>
      </c>
    </row>
    <row r="3401" spans="1:28" x14ac:dyDescent="0.25">
      <c r="A3401" t="s">
        <v>3405</v>
      </c>
      <c r="B3401">
        <v>0.99299721793515405</v>
      </c>
      <c r="C3401">
        <v>0.90069118629414502</v>
      </c>
      <c r="D3401">
        <v>0.98267714856332</v>
      </c>
      <c r="E3401">
        <v>0.82126335771881798</v>
      </c>
      <c r="F3401">
        <v>0.81299091521313305</v>
      </c>
      <c r="G3401">
        <v>0.60967248886515601</v>
      </c>
      <c r="H3401">
        <v>0.51785154455146798</v>
      </c>
      <c r="I3401">
        <v>0.54713516485425095</v>
      </c>
      <c r="J3401">
        <v>0.52447213066367204</v>
      </c>
      <c r="K3401">
        <v>0.39308838702086002</v>
      </c>
      <c r="L3401">
        <v>497.87212138753398</v>
      </c>
      <c r="M3401">
        <v>9.4932129916234</v>
      </c>
      <c r="N3401">
        <v>61.324779555498303</v>
      </c>
      <c r="O3401">
        <v>50.276042196231998</v>
      </c>
      <c r="P3401">
        <v>-2.9590353336631101E-2</v>
      </c>
      <c r="Q3401">
        <v>0.37352968670279602</v>
      </c>
      <c r="R3401">
        <v>0.943891307691481</v>
      </c>
      <c r="S3401" t="s">
        <v>8952</v>
      </c>
      <c r="T3401" t="s">
        <v>11100</v>
      </c>
      <c r="U3401" t="s">
        <v>11100</v>
      </c>
      <c r="V3401" t="s">
        <v>11100</v>
      </c>
      <c r="W3401" t="s">
        <v>14453</v>
      </c>
      <c r="X3401">
        <v>6</v>
      </c>
      <c r="Y3401" t="s">
        <v>19894</v>
      </c>
      <c r="Z3401" t="s">
        <v>25406</v>
      </c>
      <c r="AA3401">
        <v>0.71185051006681599</v>
      </c>
      <c r="AB3401" t="str">
        <f>HYPERLINK("Melting_Curves/meltCurve_Q5ZPR3_CD276.pdf", "Melting_Curves/meltCurve_Q5ZPR3_CD276.pdf")</f>
        <v>Melting_Curves/meltCurve_Q5ZPR3_CD276.pdf</v>
      </c>
    </row>
    <row r="3402" spans="1:28" x14ac:dyDescent="0.25">
      <c r="A3402" t="s">
        <v>3406</v>
      </c>
      <c r="B3402">
        <v>0.99299721793515405</v>
      </c>
      <c r="C3402">
        <v>0.92566352712562905</v>
      </c>
      <c r="D3402">
        <v>0.94300686297415004</v>
      </c>
      <c r="E3402">
        <v>0.78509812973848603</v>
      </c>
      <c r="F3402">
        <v>0.66033892624008395</v>
      </c>
      <c r="G3402">
        <v>0.64844843783982398</v>
      </c>
      <c r="H3402">
        <v>0.61597764451357295</v>
      </c>
      <c r="I3402">
        <v>0.70828135854051</v>
      </c>
      <c r="J3402">
        <v>0.76548929025799295</v>
      </c>
      <c r="K3402">
        <v>0.62413879576383102</v>
      </c>
      <c r="L3402">
        <v>1227.2413558518699</v>
      </c>
      <c r="M3402">
        <v>27.109401811361899</v>
      </c>
      <c r="O3402">
        <v>45.025776418270198</v>
      </c>
      <c r="P3402">
        <v>-5.0034135330734503E-2</v>
      </c>
      <c r="Q3402">
        <v>0.66759818683408401</v>
      </c>
      <c r="R3402">
        <v>0.878395888319074</v>
      </c>
      <c r="S3402" t="s">
        <v>8953</v>
      </c>
      <c r="T3402" t="s">
        <v>11100</v>
      </c>
      <c r="U3402" t="s">
        <v>11100</v>
      </c>
      <c r="V3402" t="s">
        <v>11100</v>
      </c>
      <c r="W3402" t="s">
        <v>14454</v>
      </c>
      <c r="X3402">
        <v>26</v>
      </c>
      <c r="Y3402" t="s">
        <v>19895</v>
      </c>
      <c r="Z3402" t="s">
        <v>25407</v>
      </c>
      <c r="AA3402">
        <v>0.76153959275130634</v>
      </c>
      <c r="AB3402" t="str">
        <f>HYPERLINK("Melting_Curves/meltCurve_Q641Q2_2_FAM21A.pdf", "Melting_Curves/meltCurve_Q641Q2_2_FAM21A.pdf")</f>
        <v>Melting_Curves/meltCurve_Q641Q2_2_FAM21A.pdf</v>
      </c>
    </row>
    <row r="3403" spans="1:28" x14ac:dyDescent="0.25">
      <c r="A3403" t="s">
        <v>3407</v>
      </c>
      <c r="B3403">
        <v>0.99299721793515405</v>
      </c>
      <c r="C3403">
        <v>0.84981087571682601</v>
      </c>
      <c r="D3403">
        <v>0.85468918647987102</v>
      </c>
      <c r="E3403">
        <v>0.755540574957549</v>
      </c>
      <c r="F3403">
        <v>0.63670584553959098</v>
      </c>
      <c r="G3403">
        <v>0.24371520065586999</v>
      </c>
      <c r="H3403">
        <v>0.16846027724856699</v>
      </c>
      <c r="I3403">
        <v>0.13572622470416501</v>
      </c>
      <c r="J3403">
        <v>0.11823781905530099</v>
      </c>
      <c r="K3403">
        <v>8.9975814830318496E-2</v>
      </c>
      <c r="L3403">
        <v>613.84635760997696</v>
      </c>
      <c r="M3403">
        <v>12.1715474376802</v>
      </c>
      <c r="N3403">
        <v>50.6534942453874</v>
      </c>
      <c r="O3403">
        <v>49.129458123466797</v>
      </c>
      <c r="P3403">
        <v>-6.0351116921353698E-2</v>
      </c>
      <c r="Q3403">
        <v>2.58128386480472E-2</v>
      </c>
      <c r="R3403">
        <v>0.96855302179112701</v>
      </c>
      <c r="S3403" t="s">
        <v>8954</v>
      </c>
      <c r="T3403" t="s">
        <v>11100</v>
      </c>
      <c r="U3403" t="s">
        <v>11100</v>
      </c>
      <c r="V3403" t="s">
        <v>11100</v>
      </c>
      <c r="W3403" t="s">
        <v>14455</v>
      </c>
      <c r="X3403">
        <v>1</v>
      </c>
      <c r="Y3403" t="s">
        <v>19896</v>
      </c>
      <c r="Z3403" t="s">
        <v>25408</v>
      </c>
      <c r="AA3403">
        <v>0.48808191175322002</v>
      </c>
      <c r="AB3403" t="str">
        <f>HYPERLINK("Melting_Curves/meltCurve_Q643R3_LPCAT4.pdf", "Melting_Curves/meltCurve_Q643R3_LPCAT4.pdf")</f>
        <v>Melting_Curves/meltCurve_Q643R3_LPCAT4.pdf</v>
      </c>
    </row>
    <row r="3404" spans="1:28" x14ac:dyDescent="0.25">
      <c r="A3404" t="s">
        <v>3408</v>
      </c>
      <c r="B3404">
        <v>0.99299721793515405</v>
      </c>
      <c r="C3404">
        <v>1.0857906565764299</v>
      </c>
      <c r="D3404">
        <v>0.88425876984179697</v>
      </c>
      <c r="E3404">
        <v>0.87402644838864596</v>
      </c>
      <c r="F3404">
        <v>0.73433313699158898</v>
      </c>
      <c r="G3404">
        <v>0.546816788846475</v>
      </c>
      <c r="H3404">
        <v>0.32124542292406599</v>
      </c>
      <c r="I3404">
        <v>0.208648874288513</v>
      </c>
      <c r="J3404">
        <v>0.173314284670397</v>
      </c>
      <c r="K3404">
        <v>0.13017860032261</v>
      </c>
      <c r="L3404">
        <v>678.80936737655395</v>
      </c>
      <c r="M3404">
        <v>12.6323224982296</v>
      </c>
      <c r="N3404">
        <v>54.208497149538402</v>
      </c>
      <c r="O3404">
        <v>52.4426368841225</v>
      </c>
      <c r="P3404">
        <v>-5.7091127151745198E-2</v>
      </c>
      <c r="Q3404">
        <v>5.2140078005437199E-2</v>
      </c>
      <c r="R3404">
        <v>0.98569828051106601</v>
      </c>
      <c r="S3404" t="s">
        <v>8955</v>
      </c>
      <c r="T3404" t="s">
        <v>11100</v>
      </c>
      <c r="U3404" t="s">
        <v>11100</v>
      </c>
      <c r="V3404" t="s">
        <v>11100</v>
      </c>
      <c r="W3404" t="s">
        <v>14456</v>
      </c>
      <c r="X3404">
        <v>5</v>
      </c>
      <c r="Y3404" t="s">
        <v>19897</v>
      </c>
      <c r="Z3404" t="s">
        <v>25409</v>
      </c>
      <c r="AA3404">
        <v>0.59843311725792481</v>
      </c>
      <c r="AB3404" t="str">
        <f>HYPERLINK("Melting_Curves/meltCurve_Q658P3_3_STEAP3.pdf", "Melting_Curves/meltCurve_Q658P3_3_STEAP3.pdf")</f>
        <v>Melting_Curves/meltCurve_Q658P3_3_STEAP3.pdf</v>
      </c>
    </row>
    <row r="3405" spans="1:28" x14ac:dyDescent="0.25">
      <c r="A3405" t="s">
        <v>3409</v>
      </c>
      <c r="B3405">
        <v>0.99299721793515405</v>
      </c>
      <c r="C3405">
        <v>1.18202078807394</v>
      </c>
      <c r="D3405">
        <v>0.88802967802338495</v>
      </c>
      <c r="E3405">
        <v>0.87590511153943096</v>
      </c>
      <c r="F3405">
        <v>0.73379115135199002</v>
      </c>
      <c r="G3405">
        <v>0.59835367512234605</v>
      </c>
      <c r="H3405">
        <v>0.126306828154817</v>
      </c>
      <c r="I3405">
        <v>7.6583057406912305E-2</v>
      </c>
      <c r="J3405">
        <v>4.89694563672824E-2</v>
      </c>
      <c r="K3405">
        <v>3.8897637167243801E-2</v>
      </c>
      <c r="L3405">
        <v>982.91483506630698</v>
      </c>
      <c r="M3405">
        <v>18.3554159461723</v>
      </c>
      <c r="N3405">
        <v>53.549036202589697</v>
      </c>
      <c r="O3405">
        <v>52.925590526917901</v>
      </c>
      <c r="P3405">
        <v>-8.6707839363113798E-2</v>
      </c>
      <c r="Q3405">
        <v>0</v>
      </c>
      <c r="R3405">
        <v>0.95788407255020502</v>
      </c>
      <c r="S3405" t="s">
        <v>8956</v>
      </c>
      <c r="T3405" t="s">
        <v>11100</v>
      </c>
      <c r="U3405" t="s">
        <v>11100</v>
      </c>
      <c r="V3405" t="s">
        <v>11100</v>
      </c>
      <c r="W3405" t="s">
        <v>14457</v>
      </c>
      <c r="X3405">
        <v>2</v>
      </c>
      <c r="Y3405" t="s">
        <v>19898</v>
      </c>
      <c r="Z3405" t="s">
        <v>25410</v>
      </c>
      <c r="AA3405">
        <v>0.5654280904635024</v>
      </c>
      <c r="AB3405" t="str">
        <f>HYPERLINK("Melting_Curves/meltCurve_Q66GS9_CEP135.pdf", "Melting_Curves/meltCurve_Q66GS9_CEP135.pdf")</f>
        <v>Melting_Curves/meltCurve_Q66GS9_CEP135.pdf</v>
      </c>
    </row>
    <row r="3406" spans="1:28" x14ac:dyDescent="0.25">
      <c r="A3406" t="s">
        <v>3410</v>
      </c>
      <c r="B3406">
        <v>0.99299721793515405</v>
      </c>
      <c r="C3406">
        <v>0.98323652738536205</v>
      </c>
      <c r="D3406">
        <v>0.90578330357382597</v>
      </c>
      <c r="E3406">
        <v>0.84655847249798</v>
      </c>
      <c r="F3406">
        <v>0.71192524238542898</v>
      </c>
      <c r="G3406">
        <v>0.27344928999934898</v>
      </c>
      <c r="H3406">
        <v>0.17764972758842901</v>
      </c>
      <c r="I3406">
        <v>0.146149776896254</v>
      </c>
      <c r="J3406">
        <v>0.126907742462497</v>
      </c>
      <c r="K3406">
        <v>8.5691115373091806E-2</v>
      </c>
      <c r="L3406">
        <v>1080.80747806451</v>
      </c>
      <c r="M3406">
        <v>21.120591416216101</v>
      </c>
      <c r="N3406">
        <v>51.6924854757278</v>
      </c>
      <c r="O3406">
        <v>50.721025873624498</v>
      </c>
      <c r="P3406">
        <v>-9.4152850868411395E-2</v>
      </c>
      <c r="Q3406">
        <v>9.5592608783000604E-2</v>
      </c>
      <c r="R3406">
        <v>0.98630012072194595</v>
      </c>
      <c r="S3406" t="s">
        <v>8957</v>
      </c>
      <c r="T3406" t="s">
        <v>11100</v>
      </c>
      <c r="U3406" t="s">
        <v>11100</v>
      </c>
      <c r="V3406" t="s">
        <v>11100</v>
      </c>
      <c r="W3406" t="s">
        <v>14458</v>
      </c>
      <c r="X3406">
        <v>13</v>
      </c>
      <c r="Y3406" t="s">
        <v>19899</v>
      </c>
      <c r="Z3406" t="s">
        <v>25411</v>
      </c>
      <c r="AA3406">
        <v>0.53365681630933504</v>
      </c>
      <c r="AB3406" t="str">
        <f>HYPERLINK("Melting_Curves/meltCurve_Q66K14_2_TBC1D9B.pdf", "Melting_Curves/meltCurve_Q66K14_2_TBC1D9B.pdf")</f>
        <v>Melting_Curves/meltCurve_Q66K14_2_TBC1D9B.pdf</v>
      </c>
    </row>
    <row r="3407" spans="1:28" x14ac:dyDescent="0.25">
      <c r="A3407" t="s">
        <v>3411</v>
      </c>
      <c r="B3407">
        <v>0.99299721793515405</v>
      </c>
      <c r="C3407">
        <v>0.87528167231389298</v>
      </c>
      <c r="D3407">
        <v>1.2428296175475</v>
      </c>
      <c r="E3407">
        <v>0.83824523204656998</v>
      </c>
      <c r="F3407">
        <v>0.92598423278307895</v>
      </c>
      <c r="G3407">
        <v>0.89714075479501598</v>
      </c>
      <c r="H3407">
        <v>0.69309579153010903</v>
      </c>
      <c r="I3407">
        <v>0.29193755134110599</v>
      </c>
      <c r="J3407">
        <v>0.26561214815989098</v>
      </c>
      <c r="K3407">
        <v>0.23317804844378801</v>
      </c>
      <c r="L3407">
        <v>1862.06563455733</v>
      </c>
      <c r="M3407">
        <v>32.186159200520301</v>
      </c>
      <c r="N3407">
        <v>58.874332366651501</v>
      </c>
      <c r="O3407">
        <v>57.631030544787798</v>
      </c>
      <c r="P3407">
        <v>-0.109753430513022</v>
      </c>
      <c r="Q3407">
        <v>0.21392634084172499</v>
      </c>
      <c r="R3407">
        <v>0.89801186349386397</v>
      </c>
      <c r="S3407" t="s">
        <v>8958</v>
      </c>
      <c r="T3407" t="s">
        <v>11100</v>
      </c>
      <c r="U3407" t="s">
        <v>11100</v>
      </c>
      <c r="V3407" t="s">
        <v>11100</v>
      </c>
      <c r="W3407" t="s">
        <v>14459</v>
      </c>
      <c r="X3407">
        <v>3</v>
      </c>
      <c r="Y3407" t="s">
        <v>19900</v>
      </c>
      <c r="Z3407" t="s">
        <v>25412</v>
      </c>
      <c r="AA3407">
        <v>0.76436782402733505</v>
      </c>
      <c r="AB3407" t="str">
        <f>HYPERLINK("Melting_Curves/meltCurve_Q66K64_DCAF15.pdf", "Melting_Curves/meltCurve_Q66K64_DCAF15.pdf")</f>
        <v>Melting_Curves/meltCurve_Q66K64_DCAF15.pdf</v>
      </c>
    </row>
    <row r="3408" spans="1:28" x14ac:dyDescent="0.25">
      <c r="A3408" t="s">
        <v>3412</v>
      </c>
      <c r="B3408">
        <v>0.99299721793515405</v>
      </c>
      <c r="C3408">
        <v>0.88124545133066401</v>
      </c>
      <c r="D3408">
        <v>0.82689754962870698</v>
      </c>
      <c r="E3408">
        <v>0.87881235591310702</v>
      </c>
      <c r="F3408">
        <v>0.78751448053079198</v>
      </c>
      <c r="G3408">
        <v>0.72958532089843398</v>
      </c>
      <c r="H3408">
        <v>0.55047130528076105</v>
      </c>
      <c r="I3408">
        <v>0.31794956778990802</v>
      </c>
      <c r="J3408">
        <v>0.32443452420845997</v>
      </c>
      <c r="K3408">
        <v>0.24009875584909701</v>
      </c>
      <c r="L3408">
        <v>460.55071380383902</v>
      </c>
      <c r="M3408">
        <v>7.9505140124979201</v>
      </c>
      <c r="N3408">
        <v>57.927160450797402</v>
      </c>
      <c r="O3408">
        <v>54.606497804860702</v>
      </c>
      <c r="P3408">
        <v>-3.6441238513052102E-2</v>
      </c>
      <c r="Q3408">
        <v>0</v>
      </c>
      <c r="R3408">
        <v>0.94585243286026399</v>
      </c>
      <c r="S3408" t="s">
        <v>8959</v>
      </c>
      <c r="T3408" t="s">
        <v>11100</v>
      </c>
      <c r="U3408" t="s">
        <v>11100</v>
      </c>
      <c r="V3408" t="s">
        <v>11100</v>
      </c>
      <c r="W3408" t="s">
        <v>14460</v>
      </c>
      <c r="X3408">
        <v>5</v>
      </c>
      <c r="Y3408" t="s">
        <v>19901</v>
      </c>
      <c r="Z3408" t="s">
        <v>25413</v>
      </c>
      <c r="AA3408">
        <v>0.67703034816225527</v>
      </c>
      <c r="AB3408" t="str">
        <f>HYPERLINK("Melting_Curves/meltCurve_Q66LE6_PPP2R2D.pdf", "Melting_Curves/meltCurve_Q66LE6_PPP2R2D.pdf")</f>
        <v>Melting_Curves/meltCurve_Q66LE6_PPP2R2D.pdf</v>
      </c>
    </row>
    <row r="3409" spans="1:28" x14ac:dyDescent="0.25">
      <c r="A3409" t="s">
        <v>3413</v>
      </c>
      <c r="B3409">
        <v>0.99299721793515405</v>
      </c>
      <c r="C3409">
        <v>0.98668606069730802</v>
      </c>
      <c r="D3409">
        <v>1.48691761267075</v>
      </c>
      <c r="E3409">
        <v>1.0265514166851899</v>
      </c>
      <c r="F3409">
        <v>0.73187965854329595</v>
      </c>
      <c r="G3409">
        <v>0.66505765708831399</v>
      </c>
      <c r="H3409">
        <v>0.331681545053924</v>
      </c>
      <c r="I3409">
        <v>0.32170120303842797</v>
      </c>
      <c r="J3409">
        <v>0.45388949578860399</v>
      </c>
      <c r="K3409">
        <v>0.64572252692468501</v>
      </c>
      <c r="L3409">
        <v>1570.0588370430401</v>
      </c>
      <c r="M3409">
        <v>30.7307984550566</v>
      </c>
      <c r="N3409">
        <v>55.334716348970097</v>
      </c>
      <c r="O3409">
        <v>50.875846883756502</v>
      </c>
      <c r="P3409">
        <v>-8.2655865031581496E-2</v>
      </c>
      <c r="Q3409">
        <v>0.45264526820825102</v>
      </c>
      <c r="R3409">
        <v>0.72059221215881497</v>
      </c>
      <c r="S3409" t="s">
        <v>8960</v>
      </c>
      <c r="T3409" t="s">
        <v>11100</v>
      </c>
      <c r="U3409" t="s">
        <v>11100</v>
      </c>
      <c r="V3409" t="s">
        <v>11100</v>
      </c>
      <c r="W3409" t="s">
        <v>11215</v>
      </c>
      <c r="X3409">
        <v>8</v>
      </c>
      <c r="Y3409" t="s">
        <v>16707</v>
      </c>
      <c r="Z3409" t="s">
        <v>25414</v>
      </c>
      <c r="AA3409">
        <v>0.71299058714038022</v>
      </c>
      <c r="AB3409" t="str">
        <f>HYPERLINK("Melting_Curves/meltCurve_Q66PJ3_ARL6IP4.pdf", "Melting_Curves/meltCurve_Q66PJ3_ARL6IP4.pdf")</f>
        <v>Melting_Curves/meltCurve_Q66PJ3_ARL6IP4.pdf</v>
      </c>
    </row>
    <row r="3410" spans="1:28" x14ac:dyDescent="0.25">
      <c r="A3410" t="s">
        <v>3414</v>
      </c>
      <c r="B3410">
        <v>0.99299721793515405</v>
      </c>
      <c r="C3410">
        <v>0.915993248271324</v>
      </c>
      <c r="D3410">
        <v>0.92960203886465997</v>
      </c>
      <c r="E3410">
        <v>0.87042212026335497</v>
      </c>
      <c r="F3410">
        <v>0.646751323122988</v>
      </c>
      <c r="G3410">
        <v>0.61529761063238397</v>
      </c>
      <c r="H3410">
        <v>0.75317011218524998</v>
      </c>
      <c r="I3410">
        <v>0.544686633781583</v>
      </c>
      <c r="J3410">
        <v>0.468575778246971</v>
      </c>
      <c r="K3410">
        <v>0.379389133833273</v>
      </c>
      <c r="L3410">
        <v>292.555796791273</v>
      </c>
      <c r="M3410">
        <v>4.6715754791785997</v>
      </c>
      <c r="N3410">
        <v>62.624630979873103</v>
      </c>
      <c r="O3410">
        <v>53.753215756597001</v>
      </c>
      <c r="P3410">
        <v>-2.1894627127765E-2</v>
      </c>
      <c r="Q3410">
        <v>0</v>
      </c>
      <c r="R3410">
        <v>0.88736538724312197</v>
      </c>
      <c r="S3410" t="s">
        <v>8961</v>
      </c>
      <c r="T3410" t="s">
        <v>11100</v>
      </c>
      <c r="U3410" t="s">
        <v>11100</v>
      </c>
      <c r="V3410" t="s">
        <v>11100</v>
      </c>
      <c r="W3410" t="s">
        <v>14461</v>
      </c>
      <c r="X3410">
        <v>1</v>
      </c>
      <c r="Y3410" t="s">
        <v>19902</v>
      </c>
      <c r="Z3410" t="s">
        <v>25415</v>
      </c>
      <c r="AA3410">
        <v>0.71289870213282347</v>
      </c>
      <c r="AB3410" t="str">
        <f>HYPERLINK("Melting_Curves/meltCurve_Q67FW5_B3GNTL1.pdf", "Melting_Curves/meltCurve_Q67FW5_B3GNTL1.pdf")</f>
        <v>Melting_Curves/meltCurve_Q67FW5_B3GNTL1.pdf</v>
      </c>
    </row>
    <row r="3411" spans="1:28" x14ac:dyDescent="0.25">
      <c r="A3411" t="s">
        <v>3415</v>
      </c>
      <c r="B3411">
        <v>0.99299721793515405</v>
      </c>
      <c r="C3411">
        <v>1.0936291627132899</v>
      </c>
      <c r="D3411">
        <v>1.00571506159351</v>
      </c>
      <c r="E3411">
        <v>0.89867234821988495</v>
      </c>
      <c r="F3411">
        <v>0.66800164930737105</v>
      </c>
      <c r="G3411">
        <v>0.38580302897601598</v>
      </c>
      <c r="H3411">
        <v>0.35868609626315501</v>
      </c>
      <c r="I3411">
        <v>0.32399756844198302</v>
      </c>
      <c r="J3411">
        <v>0.312942181052002</v>
      </c>
      <c r="K3411">
        <v>0.31318335445018203</v>
      </c>
      <c r="L3411">
        <v>1338.5347619322899</v>
      </c>
      <c r="M3411">
        <v>26.703381503087599</v>
      </c>
      <c r="N3411">
        <v>52.070191755898797</v>
      </c>
      <c r="O3411">
        <v>49.8474564669797</v>
      </c>
      <c r="P3411">
        <v>-9.1671241845630094E-2</v>
      </c>
      <c r="Q3411">
        <v>0.31551276533841699</v>
      </c>
      <c r="R3411">
        <v>0.98891239914564</v>
      </c>
      <c r="S3411" t="s">
        <v>8962</v>
      </c>
      <c r="T3411" t="s">
        <v>11100</v>
      </c>
      <c r="U3411" t="s">
        <v>11100</v>
      </c>
      <c r="V3411" t="s">
        <v>11100</v>
      </c>
      <c r="W3411" t="s">
        <v>14462</v>
      </c>
      <c r="X3411">
        <v>5</v>
      </c>
      <c r="Y3411" t="s">
        <v>19903</v>
      </c>
      <c r="Z3411" t="s">
        <v>25416</v>
      </c>
      <c r="AA3411">
        <v>0.62028234753428535</v>
      </c>
      <c r="AB3411" t="str">
        <f>HYPERLINK("Melting_Curves/meltCurve_Q68CQ4_DIEXF.pdf", "Melting_Curves/meltCurve_Q68CQ4_DIEXF.pdf")</f>
        <v>Melting_Curves/meltCurve_Q68CQ4_DIEXF.pdf</v>
      </c>
    </row>
    <row r="3412" spans="1:28" x14ac:dyDescent="0.25">
      <c r="A3412" t="s">
        <v>3416</v>
      </c>
      <c r="B3412">
        <v>0.99299721793515405</v>
      </c>
      <c r="C3412">
        <v>1.2061501267000501</v>
      </c>
      <c r="D3412">
        <v>1.21675293527321</v>
      </c>
      <c r="E3412">
        <v>0.90789083827436301</v>
      </c>
      <c r="F3412">
        <v>0.89112794564444198</v>
      </c>
      <c r="G3412">
        <v>0.71960727802985502</v>
      </c>
      <c r="H3412">
        <v>0.63111592246584203</v>
      </c>
      <c r="I3412">
        <v>0.50159398127354304</v>
      </c>
      <c r="J3412">
        <v>0.527581996984261</v>
      </c>
      <c r="K3412">
        <v>0.33105356271661901</v>
      </c>
      <c r="L3412">
        <v>774.52520005860799</v>
      </c>
      <c r="M3412">
        <v>13.8449483109193</v>
      </c>
      <c r="N3412">
        <v>61.125929243903201</v>
      </c>
      <c r="O3412">
        <v>54.814445957987203</v>
      </c>
      <c r="P3412">
        <v>-4.1338180618080901E-2</v>
      </c>
      <c r="Q3412">
        <v>0.34543170976334697</v>
      </c>
      <c r="R3412">
        <v>0.86127723383098898</v>
      </c>
      <c r="S3412" t="s">
        <v>8963</v>
      </c>
      <c r="T3412" t="s">
        <v>11100</v>
      </c>
      <c r="U3412" t="s">
        <v>11100</v>
      </c>
      <c r="V3412" t="s">
        <v>11100</v>
      </c>
      <c r="W3412" t="s">
        <v>14463</v>
      </c>
      <c r="X3412">
        <v>4</v>
      </c>
      <c r="Y3412" t="s">
        <v>19904</v>
      </c>
      <c r="Z3412" t="s">
        <v>25417</v>
      </c>
      <c r="AA3412">
        <v>0.76620187365199477</v>
      </c>
      <c r="AB3412" t="str">
        <f>HYPERLINK("Melting_Curves/meltCurve_Q68D85_NCR3LG1.pdf", "Melting_Curves/meltCurve_Q68D85_NCR3LG1.pdf")</f>
        <v>Melting_Curves/meltCurve_Q68D85_NCR3LG1.pdf</v>
      </c>
    </row>
    <row r="3413" spans="1:28" x14ac:dyDescent="0.25">
      <c r="A3413" t="s">
        <v>3417</v>
      </c>
      <c r="B3413">
        <v>0.99299721793515405</v>
      </c>
      <c r="C3413">
        <v>0.99385035447933701</v>
      </c>
      <c r="D3413">
        <v>0.85528725307777498</v>
      </c>
      <c r="E3413">
        <v>0.877328251264888</v>
      </c>
      <c r="F3413">
        <v>0.77364935242882105</v>
      </c>
      <c r="G3413">
        <v>0.439686411806471</v>
      </c>
      <c r="H3413">
        <v>0.52372460843017599</v>
      </c>
      <c r="I3413">
        <v>0.50552558120936897</v>
      </c>
      <c r="J3413">
        <v>0.52302030979301295</v>
      </c>
      <c r="K3413">
        <v>0.43706297887974199</v>
      </c>
      <c r="L3413">
        <v>859.44091123936403</v>
      </c>
      <c r="M3413">
        <v>17.4205809498355</v>
      </c>
      <c r="N3413">
        <v>58.033720744580698</v>
      </c>
      <c r="O3413">
        <v>48.698455072285299</v>
      </c>
      <c r="P3413">
        <v>-4.8002164470717902E-2</v>
      </c>
      <c r="Q3413">
        <v>0.46327831057352498</v>
      </c>
      <c r="R3413">
        <v>0.91758506835060905</v>
      </c>
      <c r="S3413" t="s">
        <v>8964</v>
      </c>
      <c r="T3413" t="s">
        <v>11100</v>
      </c>
      <c r="U3413" t="s">
        <v>11100</v>
      </c>
      <c r="V3413" t="s">
        <v>11100</v>
      </c>
      <c r="W3413" t="s">
        <v>14464</v>
      </c>
      <c r="X3413">
        <v>4</v>
      </c>
      <c r="Y3413" t="s">
        <v>19905</v>
      </c>
      <c r="Z3413" t="s">
        <v>25418</v>
      </c>
      <c r="AA3413">
        <v>0.69295501759552081</v>
      </c>
      <c r="AB3413" t="str">
        <f>HYPERLINK("Melting_Curves/meltCurve_Q68D91_MBLAC2.pdf", "Melting_Curves/meltCurve_Q68D91_MBLAC2.pdf")</f>
        <v>Melting_Curves/meltCurve_Q68D91_MBLAC2.pdf</v>
      </c>
    </row>
    <row r="3414" spans="1:28" x14ac:dyDescent="0.25">
      <c r="A3414" t="s">
        <v>3418</v>
      </c>
      <c r="B3414">
        <v>0.99299721793515405</v>
      </c>
      <c r="C3414">
        <v>0.87260421333746296</v>
      </c>
      <c r="D3414">
        <v>1.2843260290740799</v>
      </c>
      <c r="E3414">
        <v>0.85519598120917195</v>
      </c>
      <c r="F3414">
        <v>0.79847961914828902</v>
      </c>
      <c r="G3414">
        <v>0.83166336908909</v>
      </c>
      <c r="H3414">
        <v>0.69978229342127696</v>
      </c>
      <c r="I3414">
        <v>0.82444042642371196</v>
      </c>
      <c r="J3414">
        <v>0.38338576671826302</v>
      </c>
      <c r="K3414">
        <v>0.19978530095758201</v>
      </c>
      <c r="L3414">
        <v>733.14177720732903</v>
      </c>
      <c r="M3414">
        <v>11.701186444241699</v>
      </c>
      <c r="N3414">
        <v>62.655321203286903</v>
      </c>
      <c r="O3414">
        <v>60.9092897978243</v>
      </c>
      <c r="P3414">
        <v>-4.8039862145245797E-2</v>
      </c>
      <c r="Q3414">
        <v>0</v>
      </c>
      <c r="R3414">
        <v>0.73260970250492496</v>
      </c>
      <c r="S3414" t="s">
        <v>8965</v>
      </c>
      <c r="T3414" t="s">
        <v>11100</v>
      </c>
      <c r="U3414" t="s">
        <v>11100</v>
      </c>
      <c r="V3414" t="s">
        <v>11100</v>
      </c>
      <c r="W3414" t="s">
        <v>14465</v>
      </c>
      <c r="X3414">
        <v>2</v>
      </c>
      <c r="Y3414" t="s">
        <v>19906</v>
      </c>
      <c r="Z3414" t="s">
        <v>25419</v>
      </c>
      <c r="AA3414">
        <v>0.81000392832569912</v>
      </c>
      <c r="AB3414" t="str">
        <f>HYPERLINK("Melting_Curves/meltCurve_Q68DH5_LMBRD2.pdf", "Melting_Curves/meltCurve_Q68DH5_LMBRD2.pdf")</f>
        <v>Melting_Curves/meltCurve_Q68DH5_LMBRD2.pdf</v>
      </c>
    </row>
    <row r="3415" spans="1:28" x14ac:dyDescent="0.25">
      <c r="A3415" t="s">
        <v>3419</v>
      </c>
      <c r="B3415">
        <v>0.99299721793515405</v>
      </c>
      <c r="C3415">
        <v>0.985248411923214</v>
      </c>
      <c r="D3415">
        <v>0.97663403947671001</v>
      </c>
      <c r="E3415">
        <v>0.78102992760690904</v>
      </c>
      <c r="F3415">
        <v>0.47537978225433702</v>
      </c>
      <c r="G3415">
        <v>0.30327745854574201</v>
      </c>
      <c r="H3415">
        <v>0.19848490708032701</v>
      </c>
      <c r="I3415">
        <v>0.156559683048933</v>
      </c>
      <c r="J3415">
        <v>0.10239867762067301</v>
      </c>
      <c r="K3415">
        <v>8.2765786251028095E-2</v>
      </c>
      <c r="L3415">
        <v>854.57527095632702</v>
      </c>
      <c r="M3415">
        <v>17.220109016581699</v>
      </c>
      <c r="N3415">
        <v>50.269154924836897</v>
      </c>
      <c r="O3415">
        <v>48.971832214890803</v>
      </c>
      <c r="P3415">
        <v>-7.9228695679254099E-2</v>
      </c>
      <c r="Q3415">
        <v>9.8786988380756502E-2</v>
      </c>
      <c r="R3415">
        <v>0.99683970001241895</v>
      </c>
      <c r="S3415" t="s">
        <v>8966</v>
      </c>
      <c r="T3415" t="s">
        <v>11100</v>
      </c>
      <c r="U3415" t="s">
        <v>11100</v>
      </c>
      <c r="V3415" t="s">
        <v>11100</v>
      </c>
      <c r="W3415" t="s">
        <v>14466</v>
      </c>
      <c r="X3415">
        <v>10</v>
      </c>
      <c r="Y3415" t="s">
        <v>19907</v>
      </c>
      <c r="Z3415" t="s">
        <v>25420</v>
      </c>
      <c r="AA3415">
        <v>0.49344111034715937</v>
      </c>
      <c r="AB3415" t="str">
        <f>HYPERLINK("Melting_Curves/meltCurve_Q68E01_2_INTS3.pdf", "Melting_Curves/meltCurve_Q68E01_2_INTS3.pdf")</f>
        <v>Melting_Curves/meltCurve_Q68E01_2_INTS3.pdf</v>
      </c>
    </row>
    <row r="3416" spans="1:28" x14ac:dyDescent="0.25">
      <c r="A3416" t="s">
        <v>3420</v>
      </c>
      <c r="B3416">
        <v>0.99299721793515405</v>
      </c>
      <c r="C3416">
        <v>0.92781561787379396</v>
      </c>
      <c r="D3416">
        <v>0.93821324184787902</v>
      </c>
      <c r="E3416">
        <v>0.78808894522624295</v>
      </c>
      <c r="F3416">
        <v>0.58091944779606297</v>
      </c>
      <c r="G3416">
        <v>0.29539761182423802</v>
      </c>
      <c r="H3416">
        <v>0.21930714535892001</v>
      </c>
      <c r="I3416">
        <v>0.22947591047963001</v>
      </c>
      <c r="J3416">
        <v>0.239334109975232</v>
      </c>
      <c r="K3416">
        <v>0.20950168204237299</v>
      </c>
      <c r="L3416">
        <v>933.67306278511501</v>
      </c>
      <c r="M3416">
        <v>18.927874284560499</v>
      </c>
      <c r="N3416">
        <v>50.691868140762701</v>
      </c>
      <c r="O3416">
        <v>48.787231022863701</v>
      </c>
      <c r="P3416">
        <v>-7.7641769022262594E-2</v>
      </c>
      <c r="Q3416">
        <v>0.199535332908401</v>
      </c>
      <c r="R3416">
        <v>0.99001247353294697</v>
      </c>
      <c r="S3416" t="s">
        <v>8967</v>
      </c>
      <c r="T3416" t="s">
        <v>11100</v>
      </c>
      <c r="U3416" t="s">
        <v>11100</v>
      </c>
      <c r="V3416" t="s">
        <v>11100</v>
      </c>
      <c r="W3416" t="s">
        <v>14467</v>
      </c>
      <c r="X3416">
        <v>11</v>
      </c>
      <c r="Y3416" t="s">
        <v>19908</v>
      </c>
      <c r="Z3416" t="s">
        <v>25421</v>
      </c>
      <c r="AA3416">
        <v>0.54010681103857827</v>
      </c>
      <c r="AB3416" t="str">
        <f>HYPERLINK("Melting_Curves/meltCurve_Q68EM7_ARHGAP17.pdf", "Melting_Curves/meltCurve_Q68EM7_ARHGAP17.pdf")</f>
        <v>Melting_Curves/meltCurve_Q68EM7_ARHGAP17.pdf</v>
      </c>
    </row>
    <row r="3417" spans="1:28" x14ac:dyDescent="0.25">
      <c r="A3417" t="s">
        <v>3421</v>
      </c>
      <c r="B3417">
        <v>0.99299721793515405</v>
      </c>
      <c r="C3417">
        <v>0.78054084704087801</v>
      </c>
      <c r="D3417">
        <v>0.96555663775168998</v>
      </c>
      <c r="E3417">
        <v>0.85634097055538205</v>
      </c>
      <c r="F3417">
        <v>0.68095816852068503</v>
      </c>
      <c r="G3417">
        <v>0.56422327265215</v>
      </c>
      <c r="H3417">
        <v>0.371140105139807</v>
      </c>
      <c r="I3417">
        <v>0.35515755370045099</v>
      </c>
      <c r="J3417">
        <v>0.37316315875728701</v>
      </c>
      <c r="K3417">
        <v>0.32576467032207401</v>
      </c>
      <c r="L3417">
        <v>560.94575926378695</v>
      </c>
      <c r="M3417">
        <v>10.9213845489333</v>
      </c>
      <c r="N3417">
        <v>55.082083311031703</v>
      </c>
      <c r="O3417">
        <v>49.730162596815497</v>
      </c>
      <c r="P3417">
        <v>-4.0595065871596399E-2</v>
      </c>
      <c r="Q3417">
        <v>0.26086318346457499</v>
      </c>
      <c r="R3417">
        <v>0.92650962704177098</v>
      </c>
      <c r="S3417" t="s">
        <v>8968</v>
      </c>
      <c r="T3417" t="s">
        <v>11100</v>
      </c>
      <c r="U3417" t="s">
        <v>11100</v>
      </c>
      <c r="V3417" t="s">
        <v>11100</v>
      </c>
      <c r="W3417" t="s">
        <v>14468</v>
      </c>
      <c r="X3417">
        <v>5</v>
      </c>
      <c r="Z3417" t="s">
        <v>25422</v>
      </c>
      <c r="AA3417">
        <v>0.63493723360417365</v>
      </c>
      <c r="AB3417" t="str">
        <f>HYPERLINK("Melting_Curves/meltCurve_Q69YL0_.pdf", "Melting_Curves/meltCurve_Q69YL0_.pdf")</f>
        <v>Melting_Curves/meltCurve_Q69YL0_.pdf</v>
      </c>
    </row>
    <row r="3418" spans="1:28" x14ac:dyDescent="0.25">
      <c r="A3418" t="s">
        <v>3422</v>
      </c>
      <c r="B3418">
        <v>0.99299721793515405</v>
      </c>
      <c r="C3418">
        <v>0.97851767231464404</v>
      </c>
      <c r="D3418">
        <v>0.95629749315893897</v>
      </c>
      <c r="E3418">
        <v>0.86336958531466101</v>
      </c>
      <c r="F3418">
        <v>0.73276255780310195</v>
      </c>
      <c r="G3418">
        <v>0.34578630221913598</v>
      </c>
      <c r="H3418">
        <v>0.14151016116204701</v>
      </c>
      <c r="I3418">
        <v>0.120348475088073</v>
      </c>
      <c r="J3418">
        <v>0.111430022675612</v>
      </c>
      <c r="K3418">
        <v>8.6908254571130203E-2</v>
      </c>
      <c r="L3418">
        <v>1135.3338764212899</v>
      </c>
      <c r="M3418">
        <v>21.944513272464899</v>
      </c>
      <c r="N3418">
        <v>52.149344203694</v>
      </c>
      <c r="O3418">
        <v>51.312691847042899</v>
      </c>
      <c r="P3418">
        <v>-9.8394230117259299E-2</v>
      </c>
      <c r="Q3418">
        <v>7.9722851167098999E-2</v>
      </c>
      <c r="R3418">
        <v>0.99397192765812803</v>
      </c>
      <c r="S3418" t="s">
        <v>8969</v>
      </c>
      <c r="T3418" t="s">
        <v>11100</v>
      </c>
      <c r="U3418" t="s">
        <v>11100</v>
      </c>
      <c r="V3418" t="s">
        <v>11100</v>
      </c>
      <c r="W3418" t="s">
        <v>14469</v>
      </c>
      <c r="X3418">
        <v>15</v>
      </c>
      <c r="Y3418" t="s">
        <v>19909</v>
      </c>
      <c r="Z3418" t="s">
        <v>25423</v>
      </c>
      <c r="AA3418">
        <v>0.54202808901876243</v>
      </c>
      <c r="AB3418" t="str">
        <f>HYPERLINK("Melting_Curves/meltCurve_Q69YN2_CWF19L1.pdf", "Melting_Curves/meltCurve_Q69YN2_CWF19L1.pdf")</f>
        <v>Melting_Curves/meltCurve_Q69YN2_CWF19L1.pdf</v>
      </c>
    </row>
    <row r="3419" spans="1:28" x14ac:dyDescent="0.25">
      <c r="A3419" t="s">
        <v>3423</v>
      </c>
      <c r="B3419">
        <v>0.99299721793515405</v>
      </c>
      <c r="C3419">
        <v>0.89682025546381305</v>
      </c>
      <c r="D3419">
        <v>1.0348830337093</v>
      </c>
      <c r="E3419">
        <v>0.90605588987349495</v>
      </c>
      <c r="F3419">
        <v>0.70850015316594395</v>
      </c>
      <c r="G3419">
        <v>0.67511314631580299</v>
      </c>
      <c r="H3419">
        <v>0.55146689739973498</v>
      </c>
      <c r="I3419">
        <v>0.57777952400486998</v>
      </c>
      <c r="J3419">
        <v>0.549064742248495</v>
      </c>
      <c r="K3419">
        <v>0.60363975723426999</v>
      </c>
      <c r="L3419">
        <v>1136.8710433135</v>
      </c>
      <c r="M3419">
        <v>23.1614160618557</v>
      </c>
      <c r="O3419">
        <v>48.723183456048503</v>
      </c>
      <c r="P3419">
        <v>-5.0685895632074103E-2</v>
      </c>
      <c r="Q3419">
        <v>0.57350910986917603</v>
      </c>
      <c r="R3419">
        <v>0.94138799753314495</v>
      </c>
      <c r="S3419" t="s">
        <v>8970</v>
      </c>
      <c r="T3419" t="s">
        <v>11100</v>
      </c>
      <c r="U3419" t="s">
        <v>11100</v>
      </c>
      <c r="V3419" t="s">
        <v>11100</v>
      </c>
      <c r="W3419" t="s">
        <v>14470</v>
      </c>
      <c r="X3419">
        <v>3</v>
      </c>
      <c r="Y3419" t="s">
        <v>19910</v>
      </c>
      <c r="Z3419" t="s">
        <v>25424</v>
      </c>
      <c r="AA3419">
        <v>0.74958341810036733</v>
      </c>
      <c r="AB3419" t="str">
        <f>HYPERLINK("Melting_Curves/meltCurve_Q69YU5_C12orf73.pdf", "Melting_Curves/meltCurve_Q69YU5_C12orf73.pdf")</f>
        <v>Melting_Curves/meltCurve_Q69YU5_C12orf73.pdf</v>
      </c>
    </row>
    <row r="3420" spans="1:28" x14ac:dyDescent="0.25">
      <c r="A3420" t="s">
        <v>3424</v>
      </c>
      <c r="B3420">
        <v>0.99299721793515405</v>
      </c>
      <c r="C3420">
        <v>0.98407869881800503</v>
      </c>
      <c r="D3420">
        <v>0.91124713229947296</v>
      </c>
      <c r="E3420">
        <v>0.86049603778461503</v>
      </c>
      <c r="F3420">
        <v>0.66112731911657896</v>
      </c>
      <c r="G3420">
        <v>0.33806239530389998</v>
      </c>
      <c r="H3420">
        <v>0.14793075606688699</v>
      </c>
      <c r="I3420">
        <v>0.11266381069159399</v>
      </c>
      <c r="J3420">
        <v>0.160618908687165</v>
      </c>
      <c r="K3420">
        <v>0.13450920988040699</v>
      </c>
      <c r="L3420">
        <v>1034.5913601438299</v>
      </c>
      <c r="M3420">
        <v>20.283462405489601</v>
      </c>
      <c r="N3420">
        <v>51.627782407218199</v>
      </c>
      <c r="O3420">
        <v>50.5186216043437</v>
      </c>
      <c r="P3420">
        <v>-8.95112188220102E-2</v>
      </c>
      <c r="Q3420">
        <v>0.10826972855941799</v>
      </c>
      <c r="R3420">
        <v>0.99154139062894497</v>
      </c>
      <c r="S3420" t="s">
        <v>8971</v>
      </c>
      <c r="T3420" t="s">
        <v>11100</v>
      </c>
      <c r="U3420" t="s">
        <v>11100</v>
      </c>
      <c r="V3420" t="s">
        <v>11100</v>
      </c>
      <c r="W3420" t="s">
        <v>14471</v>
      </c>
      <c r="X3420">
        <v>7</v>
      </c>
      <c r="Y3420" t="s">
        <v>19911</v>
      </c>
      <c r="Z3420" t="s">
        <v>25425</v>
      </c>
      <c r="AA3420">
        <v>0.53601085858710418</v>
      </c>
      <c r="AB3420" t="str">
        <f>HYPERLINK("Melting_Curves/meltCurve_Q6AI08_HEATR6.pdf", "Melting_Curves/meltCurve_Q6AI08_HEATR6.pdf")</f>
        <v>Melting_Curves/meltCurve_Q6AI08_HEATR6.pdf</v>
      </c>
    </row>
    <row r="3421" spans="1:28" x14ac:dyDescent="0.25">
      <c r="A3421" t="s">
        <v>3425</v>
      </c>
      <c r="B3421">
        <v>0.99299721793515405</v>
      </c>
      <c r="C3421">
        <v>1.0244032197814701</v>
      </c>
      <c r="D3421">
        <v>1.2046233648740901</v>
      </c>
      <c r="E3421">
        <v>0.71960591372032501</v>
      </c>
      <c r="F3421">
        <v>0.476458951155106</v>
      </c>
      <c r="G3421">
        <v>0.15591113906572501</v>
      </c>
      <c r="H3421">
        <v>0.131740738363363</v>
      </c>
      <c r="I3421">
        <v>0.13548215413288101</v>
      </c>
      <c r="J3421">
        <v>9.8925770394806101E-2</v>
      </c>
      <c r="K3421">
        <v>0.10305341772860301</v>
      </c>
      <c r="L3421">
        <v>1253.7831628351901</v>
      </c>
      <c r="M3421">
        <v>25.575981553954598</v>
      </c>
      <c r="N3421">
        <v>49.488580972647298</v>
      </c>
      <c r="O3421">
        <v>48.725150133580897</v>
      </c>
      <c r="P3421">
        <v>-0.117166157678182</v>
      </c>
      <c r="Q3421">
        <v>0.107151616708584</v>
      </c>
      <c r="R3421">
        <v>0.96237621626105296</v>
      </c>
      <c r="S3421" t="s">
        <v>8972</v>
      </c>
      <c r="T3421" t="s">
        <v>11100</v>
      </c>
      <c r="U3421" t="s">
        <v>11100</v>
      </c>
      <c r="V3421" t="s">
        <v>11100</v>
      </c>
      <c r="W3421" t="s">
        <v>14472</v>
      </c>
      <c r="X3421">
        <v>1</v>
      </c>
      <c r="Y3421" t="s">
        <v>19912</v>
      </c>
      <c r="Z3421" t="s">
        <v>25426</v>
      </c>
      <c r="AA3421">
        <v>0.47232531752102541</v>
      </c>
      <c r="AB3421" t="str">
        <f>HYPERLINK("Melting_Curves/meltCurve_Q6AI46_DKFZp781D08126.pdf", "Melting_Curves/meltCurve_Q6AI46_DKFZp781D08126.pdf")</f>
        <v>Melting_Curves/meltCurve_Q6AI46_DKFZp781D08126.pdf</v>
      </c>
    </row>
    <row r="3422" spans="1:28" x14ac:dyDescent="0.25">
      <c r="A3422" t="s">
        <v>3426</v>
      </c>
      <c r="B3422">
        <v>0.99299721793515405</v>
      </c>
      <c r="C3422">
        <v>0.75876742732161895</v>
      </c>
      <c r="D3422">
        <v>0.89678918217006298</v>
      </c>
      <c r="E3422">
        <v>0.67034832146391199</v>
      </c>
      <c r="F3422">
        <v>0.54913077108486796</v>
      </c>
      <c r="G3422">
        <v>0.37987505008179201</v>
      </c>
      <c r="H3422">
        <v>0.33014316752619199</v>
      </c>
      <c r="I3422">
        <v>0.30569422345597602</v>
      </c>
      <c r="J3422">
        <v>0.33154011983924098</v>
      </c>
      <c r="K3422">
        <v>0.26769914423784702</v>
      </c>
      <c r="L3422">
        <v>462.34300959971802</v>
      </c>
      <c r="M3422">
        <v>9.6536349507174002</v>
      </c>
      <c r="N3422">
        <v>51.056355108664398</v>
      </c>
      <c r="O3422">
        <v>45.973405068750097</v>
      </c>
      <c r="P3422">
        <v>-4.0703147861167702E-2</v>
      </c>
      <c r="Q3422">
        <v>0.22507049729206799</v>
      </c>
      <c r="R3422">
        <v>0.94498763294454502</v>
      </c>
      <c r="S3422" t="s">
        <v>8973</v>
      </c>
      <c r="T3422" t="s">
        <v>11100</v>
      </c>
      <c r="U3422" t="s">
        <v>11100</v>
      </c>
      <c r="V3422" t="s">
        <v>11100</v>
      </c>
      <c r="W3422" t="s">
        <v>14473</v>
      </c>
      <c r="X3422">
        <v>4</v>
      </c>
      <c r="Y3422" t="s">
        <v>19913</v>
      </c>
      <c r="Z3422" t="s">
        <v>25427</v>
      </c>
      <c r="AA3422">
        <v>0.53925095720934413</v>
      </c>
      <c r="AB3422" t="str">
        <f>HYPERLINK("Melting_Curves/meltCurve_Q6DD87_ZNF787.pdf", "Melting_Curves/meltCurve_Q6DD87_ZNF787.pdf")</f>
        <v>Melting_Curves/meltCurve_Q6DD87_ZNF787.pdf</v>
      </c>
    </row>
    <row r="3423" spans="1:28" x14ac:dyDescent="0.25">
      <c r="A3423" t="s">
        <v>3427</v>
      </c>
      <c r="B3423">
        <v>0.99299721793515405</v>
      </c>
      <c r="C3423">
        <v>1.0931712337605299</v>
      </c>
      <c r="D3423">
        <v>1.0310382659541999</v>
      </c>
      <c r="E3423">
        <v>0.94002436115543497</v>
      </c>
      <c r="F3423">
        <v>0.814841129878765</v>
      </c>
      <c r="G3423">
        <v>0.55077160289451299</v>
      </c>
      <c r="H3423">
        <v>0.27080469151632702</v>
      </c>
      <c r="I3423">
        <v>0.26554796830766397</v>
      </c>
      <c r="J3423">
        <v>0.22218943606320901</v>
      </c>
      <c r="K3423">
        <v>0.21939955668352401</v>
      </c>
      <c r="L3423">
        <v>1246.37487286591</v>
      </c>
      <c r="M3423">
        <v>23.587140827722699</v>
      </c>
      <c r="N3423">
        <v>54.093618052723997</v>
      </c>
      <c r="O3423">
        <v>52.465866727589699</v>
      </c>
      <c r="P3423">
        <v>-8.87480646385089E-2</v>
      </c>
      <c r="Q3423">
        <v>0.21038922218967801</v>
      </c>
      <c r="R3423">
        <v>0.98860742784549005</v>
      </c>
      <c r="S3423" t="s">
        <v>8974</v>
      </c>
      <c r="T3423" t="s">
        <v>11100</v>
      </c>
      <c r="U3423" t="s">
        <v>11100</v>
      </c>
      <c r="V3423" t="s">
        <v>11100</v>
      </c>
      <c r="W3423" t="s">
        <v>14474</v>
      </c>
      <c r="X3423">
        <v>6</v>
      </c>
      <c r="Y3423" t="s">
        <v>19914</v>
      </c>
      <c r="Z3423" t="s">
        <v>25428</v>
      </c>
      <c r="AA3423">
        <v>0.63504926457952893</v>
      </c>
      <c r="AB3423" t="str">
        <f>HYPERLINK("Melting_Curves/meltCurve_Q6DKJ4_NXN.pdf", "Melting_Curves/meltCurve_Q6DKJ4_NXN.pdf")</f>
        <v>Melting_Curves/meltCurve_Q6DKJ4_NXN.pdf</v>
      </c>
    </row>
    <row r="3424" spans="1:28" x14ac:dyDescent="0.25">
      <c r="A3424" t="s">
        <v>3428</v>
      </c>
      <c r="B3424">
        <v>0.99299721793515405</v>
      </c>
      <c r="C3424">
        <v>0.88742117970776901</v>
      </c>
      <c r="D3424">
        <v>0.86391026173645702</v>
      </c>
      <c r="E3424">
        <v>0.83474394641252303</v>
      </c>
      <c r="F3424">
        <v>0.69036585833148401</v>
      </c>
      <c r="G3424">
        <v>0.409095913388833</v>
      </c>
      <c r="H3424">
        <v>0.24411582461731199</v>
      </c>
      <c r="I3424">
        <v>0.245289347217476</v>
      </c>
      <c r="J3424">
        <v>0.28391897325790399</v>
      </c>
      <c r="K3424">
        <v>0.198861663501992</v>
      </c>
      <c r="L3424">
        <v>689.47712128870603</v>
      </c>
      <c r="M3424">
        <v>13.570862970443599</v>
      </c>
      <c r="N3424">
        <v>52.452937503215097</v>
      </c>
      <c r="O3424">
        <v>49.740559490032602</v>
      </c>
      <c r="P3424">
        <v>-5.6382442070680397E-2</v>
      </c>
      <c r="Q3424">
        <v>0.173500914276254</v>
      </c>
      <c r="R3424">
        <v>0.96767252397852399</v>
      </c>
      <c r="S3424" t="s">
        <v>8975</v>
      </c>
      <c r="T3424" t="s">
        <v>11100</v>
      </c>
      <c r="U3424" t="s">
        <v>11100</v>
      </c>
      <c r="V3424" t="s">
        <v>11100</v>
      </c>
      <c r="W3424" t="s">
        <v>14475</v>
      </c>
      <c r="X3424">
        <v>4</v>
      </c>
      <c r="Y3424" t="s">
        <v>19915</v>
      </c>
      <c r="Z3424" t="s">
        <v>25429</v>
      </c>
      <c r="AA3424">
        <v>0.57289643874775287</v>
      </c>
      <c r="AB3424" t="str">
        <f>HYPERLINK("Melting_Curves/meltCurve_Q6DKK2_TTC19.pdf", "Melting_Curves/meltCurve_Q6DKK2_TTC19.pdf")</f>
        <v>Melting_Curves/meltCurve_Q6DKK2_TTC19.pdf</v>
      </c>
    </row>
    <row r="3425" spans="1:28" x14ac:dyDescent="0.25">
      <c r="A3425" t="s">
        <v>3429</v>
      </c>
      <c r="B3425">
        <v>0.99299721793515405</v>
      </c>
      <c r="C3425">
        <v>0.92567191345247901</v>
      </c>
      <c r="D3425">
        <v>0.933944783421923</v>
      </c>
      <c r="E3425">
        <v>0.93461542397094899</v>
      </c>
      <c r="F3425">
        <v>0.82464228820099605</v>
      </c>
      <c r="G3425">
        <v>0.52877656653152905</v>
      </c>
      <c r="H3425">
        <v>0.63617281563785599</v>
      </c>
      <c r="I3425">
        <v>0.84525320982969598</v>
      </c>
      <c r="J3425">
        <v>1.1356636700375899</v>
      </c>
      <c r="K3425">
        <v>0.98076836230554598</v>
      </c>
      <c r="L3425">
        <v>913.39790261344604</v>
      </c>
      <c r="M3425">
        <v>21.021228695222501</v>
      </c>
      <c r="O3425">
        <v>43.063742672940201</v>
      </c>
      <c r="P3425">
        <v>-2.04040396800165E-2</v>
      </c>
      <c r="Q3425">
        <v>0.83280701350014796</v>
      </c>
      <c r="R3425">
        <v>9.9692053754685594E-2</v>
      </c>
      <c r="S3425" t="s">
        <v>8976</v>
      </c>
      <c r="T3425" t="s">
        <v>11100</v>
      </c>
      <c r="U3425" t="s">
        <v>11100</v>
      </c>
      <c r="V3425" t="s">
        <v>11100</v>
      </c>
      <c r="W3425" t="s">
        <v>14476</v>
      </c>
      <c r="X3425">
        <v>4</v>
      </c>
      <c r="Y3425" t="s">
        <v>19916</v>
      </c>
      <c r="Z3425" t="s">
        <v>25430</v>
      </c>
      <c r="AA3425">
        <v>0.87079964683468458</v>
      </c>
      <c r="AB3425" t="str">
        <f>HYPERLINK("Melting_Curves/meltCurve_Q6EEV4_2_POLR2M.pdf", "Melting_Curves/meltCurve_Q6EEV4_2_POLR2M.pdf")</f>
        <v>Melting_Curves/meltCurve_Q6EEV4_2_POLR2M.pdf</v>
      </c>
    </row>
    <row r="3426" spans="1:28" x14ac:dyDescent="0.25">
      <c r="A3426" t="s">
        <v>3430</v>
      </c>
      <c r="B3426">
        <v>0.99299721793515405</v>
      </c>
      <c r="C3426">
        <v>0.77844778603902898</v>
      </c>
      <c r="D3426">
        <v>0.68069825217632995</v>
      </c>
      <c r="E3426">
        <v>0.86611779178598303</v>
      </c>
      <c r="F3426">
        <v>0.73562949570693503</v>
      </c>
      <c r="G3426">
        <v>0.50263481294437995</v>
      </c>
      <c r="H3426">
        <v>0.44176894936445499</v>
      </c>
      <c r="I3426">
        <v>0.425918865495517</v>
      </c>
      <c r="J3426">
        <v>0.18634838945876001</v>
      </c>
      <c r="K3426">
        <v>0.18321747829300999</v>
      </c>
      <c r="L3426">
        <v>339.12674830336198</v>
      </c>
      <c r="M3426">
        <v>6.19986842998581</v>
      </c>
      <c r="N3426">
        <v>54.699023395557901</v>
      </c>
      <c r="O3426">
        <v>49.831398657244499</v>
      </c>
      <c r="P3426">
        <v>-3.11938160032878E-2</v>
      </c>
      <c r="Q3426">
        <v>0</v>
      </c>
      <c r="R3426">
        <v>0.86793182002848601</v>
      </c>
      <c r="S3426" t="s">
        <v>8977</v>
      </c>
      <c r="T3426" t="s">
        <v>11100</v>
      </c>
      <c r="U3426" t="s">
        <v>11100</v>
      </c>
      <c r="V3426" t="s">
        <v>11100</v>
      </c>
      <c r="W3426" t="s">
        <v>14477</v>
      </c>
      <c r="X3426">
        <v>2</v>
      </c>
      <c r="Y3426" t="s">
        <v>19917</v>
      </c>
      <c r="Z3426" t="s">
        <v>25431</v>
      </c>
      <c r="AA3426">
        <v>0.59026753536888676</v>
      </c>
      <c r="AB3426" t="str">
        <f>HYPERLINK("Melting_Curves/meltCurve_Q6EMK4_VASN.pdf", "Melting_Curves/meltCurve_Q6EMK4_VASN.pdf")</f>
        <v>Melting_Curves/meltCurve_Q6EMK4_VASN.pdf</v>
      </c>
    </row>
    <row r="3427" spans="1:28" x14ac:dyDescent="0.25">
      <c r="A3427" t="s">
        <v>3431</v>
      </c>
      <c r="B3427">
        <v>0.99299721793515405</v>
      </c>
      <c r="C3427">
        <v>1.01080928005015</v>
      </c>
      <c r="D3427">
        <v>0.95755493358157195</v>
      </c>
      <c r="E3427">
        <v>0.90195173782553095</v>
      </c>
      <c r="F3427">
        <v>0.72702112805392705</v>
      </c>
      <c r="G3427">
        <v>0.44867727383727302</v>
      </c>
      <c r="H3427">
        <v>0.31133526521510801</v>
      </c>
      <c r="I3427">
        <v>0.267533603871695</v>
      </c>
      <c r="J3427">
        <v>0.23860460728221</v>
      </c>
      <c r="K3427">
        <v>0.198239547938272</v>
      </c>
      <c r="L3427">
        <v>959.73092593370404</v>
      </c>
      <c r="M3427">
        <v>18.567272584126801</v>
      </c>
      <c r="N3427">
        <v>53.213482771558098</v>
      </c>
      <c r="O3427">
        <v>51.1009888695542</v>
      </c>
      <c r="P3427">
        <v>-7.21068873316279E-2</v>
      </c>
      <c r="Q3427">
        <v>0.206222158283726</v>
      </c>
      <c r="R3427">
        <v>0.99792406670169997</v>
      </c>
      <c r="S3427" t="s">
        <v>8978</v>
      </c>
      <c r="T3427" t="s">
        <v>11100</v>
      </c>
      <c r="U3427" t="s">
        <v>11100</v>
      </c>
      <c r="V3427" t="s">
        <v>11100</v>
      </c>
      <c r="W3427" t="s">
        <v>14478</v>
      </c>
      <c r="X3427">
        <v>11</v>
      </c>
      <c r="Y3427" t="s">
        <v>19918</v>
      </c>
      <c r="Z3427" t="s">
        <v>25432</v>
      </c>
      <c r="AA3427">
        <v>0.60645908045025976</v>
      </c>
      <c r="AB3427" t="str">
        <f>HYPERLINK("Melting_Curves/meltCurve_Q6FI81_3_CIAPIN1.pdf", "Melting_Curves/meltCurve_Q6FI81_3_CIAPIN1.pdf")</f>
        <v>Melting_Curves/meltCurve_Q6FI81_3_CIAPIN1.pdf</v>
      </c>
    </row>
    <row r="3428" spans="1:28" x14ac:dyDescent="0.25">
      <c r="A3428" t="s">
        <v>3432</v>
      </c>
      <c r="B3428">
        <v>0.99299721793515405</v>
      </c>
      <c r="C3428">
        <v>0.92658752682773504</v>
      </c>
      <c r="D3428">
        <v>1.0854229861764799</v>
      </c>
      <c r="E3428">
        <v>0.81768329274568297</v>
      </c>
      <c r="F3428">
        <v>0.76138004927952696</v>
      </c>
      <c r="G3428">
        <v>0.51343495621741397</v>
      </c>
      <c r="H3428">
        <v>0.41191160480486499</v>
      </c>
      <c r="I3428">
        <v>0.55254857415654202</v>
      </c>
      <c r="J3428">
        <v>0.65712957887410095</v>
      </c>
      <c r="K3428">
        <v>0.71819464512589104</v>
      </c>
      <c r="L3428">
        <v>1346.18496425687</v>
      </c>
      <c r="M3428">
        <v>27.966076534823799</v>
      </c>
      <c r="O3428">
        <v>47.892242750016401</v>
      </c>
      <c r="P3428">
        <v>-6.1881554109430401E-2</v>
      </c>
      <c r="Q3428">
        <v>0.57611202799527195</v>
      </c>
      <c r="R3428">
        <v>0.79162600374222103</v>
      </c>
      <c r="S3428" t="s">
        <v>8979</v>
      </c>
      <c r="T3428" t="s">
        <v>11100</v>
      </c>
      <c r="U3428" t="s">
        <v>11100</v>
      </c>
      <c r="V3428" t="s">
        <v>11100</v>
      </c>
      <c r="W3428" t="s">
        <v>14479</v>
      </c>
      <c r="X3428">
        <v>8</v>
      </c>
      <c r="Y3428" t="s">
        <v>19919</v>
      </c>
      <c r="Z3428" t="s">
        <v>25433</v>
      </c>
      <c r="AA3428">
        <v>0.73636094166001886</v>
      </c>
      <c r="AB3428" t="str">
        <f>HYPERLINK("Melting_Curves/meltCurve_Q6FIF0_2_ZFAND6.pdf", "Melting_Curves/meltCurve_Q6FIF0_2_ZFAND6.pdf")</f>
        <v>Melting_Curves/meltCurve_Q6FIF0_2_ZFAND6.pdf</v>
      </c>
    </row>
    <row r="3429" spans="1:28" x14ac:dyDescent="0.25">
      <c r="A3429" t="s">
        <v>3433</v>
      </c>
      <c r="B3429">
        <v>0.99299721793515405</v>
      </c>
      <c r="C3429">
        <v>1.0514261776420699</v>
      </c>
      <c r="D3429">
        <v>1.0672706704905199</v>
      </c>
      <c r="E3429">
        <v>0.92929935353664395</v>
      </c>
      <c r="F3429">
        <v>0.72473816319750595</v>
      </c>
      <c r="G3429">
        <v>0.58496676756384103</v>
      </c>
      <c r="H3429">
        <v>0.35721014137075402</v>
      </c>
      <c r="I3429">
        <v>0.152970347075015</v>
      </c>
      <c r="J3429">
        <v>0.12848117688847399</v>
      </c>
      <c r="K3429">
        <v>0.108319048404215</v>
      </c>
      <c r="L3429">
        <v>815.336198567211</v>
      </c>
      <c r="M3429">
        <v>15.0176729716552</v>
      </c>
      <c r="N3429">
        <v>54.595822742973503</v>
      </c>
      <c r="O3429">
        <v>53.356391919444299</v>
      </c>
      <c r="P3429">
        <v>-6.7548980125898495E-2</v>
      </c>
      <c r="Q3429">
        <v>4.0115618645303198E-2</v>
      </c>
      <c r="R3429">
        <v>0.98789365347557001</v>
      </c>
      <c r="S3429" t="s">
        <v>8980</v>
      </c>
      <c r="T3429" t="s">
        <v>11100</v>
      </c>
      <c r="U3429" t="s">
        <v>11100</v>
      </c>
      <c r="V3429" t="s">
        <v>11100</v>
      </c>
      <c r="W3429" t="s">
        <v>14480</v>
      </c>
      <c r="X3429">
        <v>8</v>
      </c>
      <c r="Y3429" t="s">
        <v>19920</v>
      </c>
      <c r="Z3429" t="s">
        <v>25434</v>
      </c>
      <c r="AA3429">
        <v>0.60838306789204888</v>
      </c>
      <c r="AB3429" t="str">
        <f>HYPERLINK("Melting_Curves/meltCurve_Q6GMV2_SMYD5.pdf", "Melting_Curves/meltCurve_Q6GMV2_SMYD5.pdf")</f>
        <v>Melting_Curves/meltCurve_Q6GMV2_SMYD5.pdf</v>
      </c>
    </row>
    <row r="3430" spans="1:28" x14ac:dyDescent="0.25">
      <c r="A3430" t="s">
        <v>3434</v>
      </c>
      <c r="B3430">
        <v>0.99299721793515405</v>
      </c>
      <c r="C3430">
        <v>0.97576492137937798</v>
      </c>
      <c r="D3430">
        <v>0.92020485332934998</v>
      </c>
      <c r="E3430">
        <v>0.70405978238077305</v>
      </c>
      <c r="F3430">
        <v>0.72365410704169997</v>
      </c>
      <c r="G3430">
        <v>0.32089667590723803</v>
      </c>
      <c r="H3430">
        <v>0.44783485326567501</v>
      </c>
      <c r="I3430">
        <v>0.49337427600349398</v>
      </c>
      <c r="J3430">
        <v>0.51644623829335101</v>
      </c>
      <c r="K3430">
        <v>0.44756939306316001</v>
      </c>
      <c r="L3430">
        <v>864.31689848965004</v>
      </c>
      <c r="M3430">
        <v>18.357604157768399</v>
      </c>
      <c r="N3430">
        <v>53.748996806981999</v>
      </c>
      <c r="O3430">
        <v>46.534195631121797</v>
      </c>
      <c r="P3430">
        <v>-5.4373668475484797E-2</v>
      </c>
      <c r="Q3430">
        <v>0.44870373671031799</v>
      </c>
      <c r="R3430">
        <v>0.88873331760538798</v>
      </c>
      <c r="S3430" t="s">
        <v>8981</v>
      </c>
      <c r="T3430" t="s">
        <v>11100</v>
      </c>
      <c r="U3430" t="s">
        <v>11100</v>
      </c>
      <c r="V3430" t="s">
        <v>11100</v>
      </c>
      <c r="W3430" t="s">
        <v>14481</v>
      </c>
      <c r="X3430">
        <v>5</v>
      </c>
      <c r="Y3430" t="s">
        <v>19921</v>
      </c>
      <c r="Z3430" t="s">
        <v>25435</v>
      </c>
      <c r="AA3430">
        <v>0.64250075169692533</v>
      </c>
      <c r="AB3430" t="str">
        <f>HYPERLINK("Melting_Curves/meltCurve_Q6GMV3_PTRHD1.pdf", "Melting_Curves/meltCurve_Q6GMV3_PTRHD1.pdf")</f>
        <v>Melting_Curves/meltCurve_Q6GMV3_PTRHD1.pdf</v>
      </c>
    </row>
    <row r="3431" spans="1:28" x14ac:dyDescent="0.25">
      <c r="A3431" t="s">
        <v>3435</v>
      </c>
      <c r="B3431">
        <v>0.99299721793515405</v>
      </c>
      <c r="C3431">
        <v>0.89600252776766798</v>
      </c>
      <c r="D3431">
        <v>0.97704436787917304</v>
      </c>
      <c r="E3431">
        <v>0.761694404801745</v>
      </c>
      <c r="F3431">
        <v>0.74677175852500699</v>
      </c>
      <c r="G3431">
        <v>0.32545769210314102</v>
      </c>
      <c r="H3431">
        <v>0.187836947039795</v>
      </c>
      <c r="I3431">
        <v>0.18396136620883499</v>
      </c>
      <c r="J3431">
        <v>0.18050814738051599</v>
      </c>
      <c r="K3431">
        <v>0.18436022464964499</v>
      </c>
      <c r="L3431">
        <v>919.58499737742102</v>
      </c>
      <c r="M3431">
        <v>18.053862891519799</v>
      </c>
      <c r="N3431">
        <v>51.891401795151197</v>
      </c>
      <c r="O3431">
        <v>50.323039419427403</v>
      </c>
      <c r="P3431">
        <v>-7.7007418672268499E-2</v>
      </c>
      <c r="Q3431">
        <v>0.14144503387183499</v>
      </c>
      <c r="R3431">
        <v>0.96423926749510702</v>
      </c>
      <c r="S3431" t="s">
        <v>8982</v>
      </c>
      <c r="T3431" t="s">
        <v>11100</v>
      </c>
      <c r="U3431" t="s">
        <v>11100</v>
      </c>
      <c r="V3431" t="s">
        <v>11100</v>
      </c>
      <c r="W3431" t="s">
        <v>14482</v>
      </c>
      <c r="X3431">
        <v>9</v>
      </c>
      <c r="Y3431" t="s">
        <v>19922</v>
      </c>
      <c r="Z3431" t="s">
        <v>25436</v>
      </c>
      <c r="AA3431">
        <v>0.55353250682263322</v>
      </c>
      <c r="AB3431" t="str">
        <f>HYPERLINK("Melting_Curves/meltCurve_Q6GQQ9_OTUD7B.pdf", "Melting_Curves/meltCurve_Q6GQQ9_OTUD7B.pdf")</f>
        <v>Melting_Curves/meltCurve_Q6GQQ9_OTUD7B.pdf</v>
      </c>
    </row>
    <row r="3432" spans="1:28" x14ac:dyDescent="0.25">
      <c r="A3432" t="s">
        <v>3436</v>
      </c>
      <c r="B3432">
        <v>0.99299721793515405</v>
      </c>
      <c r="C3432">
        <v>0.91508133939566405</v>
      </c>
      <c r="D3432">
        <v>1.00058812720708</v>
      </c>
      <c r="E3432">
        <v>0.76003303783351395</v>
      </c>
      <c r="F3432">
        <v>0.59117142873085105</v>
      </c>
      <c r="G3432">
        <v>0.70476624110876795</v>
      </c>
      <c r="H3432">
        <v>0.53377500104808695</v>
      </c>
      <c r="I3432">
        <v>0.41514151188998899</v>
      </c>
      <c r="J3432">
        <v>0.29068698216476002</v>
      </c>
      <c r="K3432">
        <v>0.29465842541688497</v>
      </c>
      <c r="L3432">
        <v>365.18040424959401</v>
      </c>
      <c r="M3432">
        <v>6.3590683634706702</v>
      </c>
      <c r="N3432">
        <v>57.4267148588007</v>
      </c>
      <c r="O3432">
        <v>52.534716259583803</v>
      </c>
      <c r="P3432">
        <v>-3.03408345450185E-2</v>
      </c>
      <c r="Q3432">
        <v>0</v>
      </c>
      <c r="R3432">
        <v>0.93249684066396299</v>
      </c>
      <c r="S3432" t="s">
        <v>8983</v>
      </c>
      <c r="T3432" t="s">
        <v>11100</v>
      </c>
      <c r="U3432" t="s">
        <v>11100</v>
      </c>
      <c r="V3432" t="s">
        <v>11100</v>
      </c>
      <c r="W3432" t="s">
        <v>14483</v>
      </c>
      <c r="X3432">
        <v>3</v>
      </c>
      <c r="Y3432" t="s">
        <v>19923</v>
      </c>
      <c r="Z3432" t="s">
        <v>25437</v>
      </c>
      <c r="AA3432">
        <v>0.6509088200450035</v>
      </c>
      <c r="AB3432" t="str">
        <f>HYPERLINK("Melting_Curves/meltCurve_Q6I9Y2_THOC7.pdf", "Melting_Curves/meltCurve_Q6I9Y2_THOC7.pdf")</f>
        <v>Melting_Curves/meltCurve_Q6I9Y2_THOC7.pdf</v>
      </c>
    </row>
    <row r="3433" spans="1:28" x14ac:dyDescent="0.25">
      <c r="A3433" t="s">
        <v>3437</v>
      </c>
      <c r="B3433">
        <v>0.99299721793515405</v>
      </c>
      <c r="C3433">
        <v>0.83549937206722902</v>
      </c>
      <c r="D3433">
        <v>0.963813484577002</v>
      </c>
      <c r="E3433">
        <v>0.87678649052578195</v>
      </c>
      <c r="F3433">
        <v>1.03291046274984</v>
      </c>
      <c r="G3433">
        <v>0.68430134112431895</v>
      </c>
      <c r="H3433">
        <v>1.1307538179033201</v>
      </c>
      <c r="I3433">
        <v>0.88099597722904299</v>
      </c>
      <c r="J3433">
        <v>9.5412288374915305E-2</v>
      </c>
      <c r="K3433">
        <v>0.18559275617540499</v>
      </c>
      <c r="L3433">
        <v>15000</v>
      </c>
      <c r="M3433">
        <v>244.07361457557801</v>
      </c>
      <c r="N3433">
        <v>61.540054927049802</v>
      </c>
      <c r="O3433">
        <v>61.452720433074099</v>
      </c>
      <c r="P3433">
        <v>-0.85343879490710295</v>
      </c>
      <c r="Q3433">
        <v>0.14048629300991899</v>
      </c>
      <c r="R3433">
        <v>0.85201638654981504</v>
      </c>
      <c r="S3433" t="s">
        <v>8984</v>
      </c>
      <c r="T3433" t="s">
        <v>11100</v>
      </c>
      <c r="U3433" t="s">
        <v>11100</v>
      </c>
      <c r="V3433" t="s">
        <v>11100</v>
      </c>
      <c r="W3433" t="s">
        <v>14484</v>
      </c>
      <c r="X3433">
        <v>1</v>
      </c>
      <c r="Y3433" t="s">
        <v>19924</v>
      </c>
      <c r="Z3433" t="s">
        <v>25438</v>
      </c>
      <c r="AA3433">
        <v>0.84128400690237803</v>
      </c>
      <c r="AB3433" t="str">
        <f>HYPERLINK("Melting_Curves/meltCurve_Q6IA69_NADSYN1.pdf", "Melting_Curves/meltCurve_Q6IA69_NADSYN1.pdf")</f>
        <v>Melting_Curves/meltCurve_Q6IA69_NADSYN1.pdf</v>
      </c>
    </row>
    <row r="3434" spans="1:28" x14ac:dyDescent="0.25">
      <c r="A3434" t="s">
        <v>3438</v>
      </c>
      <c r="B3434">
        <v>0.99299721793515405</v>
      </c>
      <c r="C3434">
        <v>1.30817798790165</v>
      </c>
      <c r="D3434">
        <v>0.86738722866298201</v>
      </c>
      <c r="E3434">
        <v>1.3225629715037499</v>
      </c>
      <c r="F3434">
        <v>0.88065019144564305</v>
      </c>
      <c r="G3434">
        <v>0.94545990185403905</v>
      </c>
      <c r="H3434">
        <v>0.98132356649468699</v>
      </c>
      <c r="I3434">
        <v>0.62629558113903205</v>
      </c>
      <c r="J3434">
        <v>0.48337609679265497</v>
      </c>
      <c r="K3434">
        <v>0.30083094676912497</v>
      </c>
      <c r="L3434">
        <v>1825.4765525640901</v>
      </c>
      <c r="M3434">
        <v>29.696924273780201</v>
      </c>
      <c r="N3434">
        <v>63.0903530733191</v>
      </c>
      <c r="O3434">
        <v>61.1935121618491</v>
      </c>
      <c r="P3434">
        <v>-8.8958319634570598E-2</v>
      </c>
      <c r="Q3434">
        <v>0.26677462923938799</v>
      </c>
      <c r="R3434">
        <v>0.74893899005704501</v>
      </c>
      <c r="S3434" t="s">
        <v>8985</v>
      </c>
      <c r="T3434" t="s">
        <v>11100</v>
      </c>
      <c r="U3434" t="s">
        <v>11100</v>
      </c>
      <c r="V3434" t="s">
        <v>11100</v>
      </c>
      <c r="W3434" t="s">
        <v>14485</v>
      </c>
      <c r="X3434">
        <v>2</v>
      </c>
      <c r="Y3434" t="s">
        <v>19925</v>
      </c>
      <c r="Z3434" t="s">
        <v>25439</v>
      </c>
      <c r="AA3434">
        <v>0.86515181370483973</v>
      </c>
      <c r="AB3434" t="str">
        <f>HYPERLINK("Melting_Curves/meltCurve_Q6IA86_4_ELP2.pdf", "Melting_Curves/meltCurve_Q6IA86_4_ELP2.pdf")</f>
        <v>Melting_Curves/meltCurve_Q6IA86_4_ELP2.pdf</v>
      </c>
    </row>
    <row r="3435" spans="1:28" x14ac:dyDescent="0.25">
      <c r="A3435" t="s">
        <v>3439</v>
      </c>
      <c r="B3435">
        <v>0.99299721793515405</v>
      </c>
      <c r="C3435">
        <v>0.93760660276633501</v>
      </c>
      <c r="D3435">
        <v>0.88316247133021297</v>
      </c>
      <c r="E3435">
        <v>0.90871095991048401</v>
      </c>
      <c r="F3435">
        <v>0.74559672604795302</v>
      </c>
      <c r="G3435">
        <v>0.60528538560003198</v>
      </c>
      <c r="H3435">
        <v>0.563550896915197</v>
      </c>
      <c r="I3435">
        <v>0.55196562117909997</v>
      </c>
      <c r="J3435">
        <v>0.45558541618305698</v>
      </c>
      <c r="K3435">
        <v>0.22163198053861499</v>
      </c>
      <c r="L3435">
        <v>373.115574303632</v>
      </c>
      <c r="M3435">
        <v>6.2569798553896998</v>
      </c>
      <c r="N3435">
        <v>59.631896359218501</v>
      </c>
      <c r="O3435">
        <v>54.4082434425939</v>
      </c>
      <c r="P3435">
        <v>-2.8830258182038E-2</v>
      </c>
      <c r="Q3435">
        <v>0</v>
      </c>
      <c r="R3435">
        <v>0.94081550333248998</v>
      </c>
      <c r="S3435" t="s">
        <v>8986</v>
      </c>
      <c r="T3435" t="s">
        <v>11100</v>
      </c>
      <c r="U3435" t="s">
        <v>11100</v>
      </c>
      <c r="V3435" t="s">
        <v>11100</v>
      </c>
      <c r="W3435" t="s">
        <v>14486</v>
      </c>
      <c r="X3435">
        <v>7</v>
      </c>
      <c r="Y3435" t="s">
        <v>19926</v>
      </c>
      <c r="Z3435" t="s">
        <v>25440</v>
      </c>
      <c r="AA3435">
        <v>0.69409803193133146</v>
      </c>
      <c r="AB3435" t="str">
        <f>HYPERLINK("Melting_Curves/meltCurve_Q6IAA8_LAMTOR1.pdf", "Melting_Curves/meltCurve_Q6IAA8_LAMTOR1.pdf")</f>
        <v>Melting_Curves/meltCurve_Q6IAA8_LAMTOR1.pdf</v>
      </c>
    </row>
    <row r="3436" spans="1:28" x14ac:dyDescent="0.25">
      <c r="A3436" t="s">
        <v>3440</v>
      </c>
      <c r="B3436">
        <v>0.99299721793515405</v>
      </c>
      <c r="C3436">
        <v>1.0701593677899599</v>
      </c>
      <c r="D3436">
        <v>0.96084588293116902</v>
      </c>
      <c r="E3436">
        <v>0.91137812551008002</v>
      </c>
      <c r="F3436">
        <v>0.69266109951300103</v>
      </c>
      <c r="G3436">
        <v>0.40284461301984897</v>
      </c>
      <c r="H3436">
        <v>0.19517562698385699</v>
      </c>
      <c r="I3436">
        <v>0.131757601442163</v>
      </c>
      <c r="J3436">
        <v>0.13458125569502399</v>
      </c>
      <c r="K3436">
        <v>0.10376897585022</v>
      </c>
      <c r="L3436">
        <v>1041.63860113189</v>
      </c>
      <c r="M3436">
        <v>20.085963991571202</v>
      </c>
      <c r="N3436">
        <v>52.424082620819803</v>
      </c>
      <c r="O3436">
        <v>51.353206385013003</v>
      </c>
      <c r="P3436">
        <v>-8.8268913795649606E-2</v>
      </c>
      <c r="Q3436">
        <v>9.7330517221855498E-2</v>
      </c>
      <c r="R3436">
        <v>0.99548119889908504</v>
      </c>
      <c r="S3436" t="s">
        <v>8987</v>
      </c>
      <c r="T3436" t="s">
        <v>11100</v>
      </c>
      <c r="U3436" t="s">
        <v>11100</v>
      </c>
      <c r="V3436" t="s">
        <v>11100</v>
      </c>
      <c r="W3436" t="s">
        <v>14487</v>
      </c>
      <c r="X3436">
        <v>5</v>
      </c>
      <c r="Y3436" t="s">
        <v>19927</v>
      </c>
      <c r="Z3436" t="s">
        <v>25441</v>
      </c>
      <c r="AA3436">
        <v>0.55603127357097604</v>
      </c>
      <c r="AB3436" t="str">
        <f>HYPERLINK("Melting_Curves/meltCurve_Q6IAN0_DHRS7B.pdf", "Melting_Curves/meltCurve_Q6IAN0_DHRS7B.pdf")</f>
        <v>Melting_Curves/meltCurve_Q6IAN0_DHRS7B.pdf</v>
      </c>
    </row>
    <row r="3437" spans="1:28" x14ac:dyDescent="0.25">
      <c r="A3437" t="s">
        <v>3441</v>
      </c>
      <c r="B3437">
        <v>0.99299721793515405</v>
      </c>
      <c r="C3437">
        <v>0.91623544285353797</v>
      </c>
      <c r="D3437">
        <v>0.86714937943616099</v>
      </c>
      <c r="E3437">
        <v>0.83725133725930501</v>
      </c>
      <c r="F3437">
        <v>0.71883921993653799</v>
      </c>
      <c r="G3437">
        <v>0.58948554079286797</v>
      </c>
      <c r="H3437">
        <v>0.543622885455461</v>
      </c>
      <c r="I3437">
        <v>0.28718831076151102</v>
      </c>
      <c r="J3437">
        <v>0.202521602838485</v>
      </c>
      <c r="K3437">
        <v>0.12109365582047001</v>
      </c>
      <c r="L3437">
        <v>493.90397442863002</v>
      </c>
      <c r="M3437">
        <v>8.8704906089595994</v>
      </c>
      <c r="N3437">
        <v>55.679442391235902</v>
      </c>
      <c r="O3437">
        <v>53.0675764676892</v>
      </c>
      <c r="P3437">
        <v>-4.18207133505962E-2</v>
      </c>
      <c r="Q3437">
        <v>0</v>
      </c>
      <c r="R3437">
        <v>0.97126879211221595</v>
      </c>
      <c r="S3437" t="s">
        <v>8988</v>
      </c>
      <c r="T3437" t="s">
        <v>11100</v>
      </c>
      <c r="U3437" t="s">
        <v>11100</v>
      </c>
      <c r="V3437" t="s">
        <v>11100</v>
      </c>
      <c r="W3437" t="s">
        <v>14488</v>
      </c>
      <c r="X3437">
        <v>9</v>
      </c>
      <c r="Y3437" t="s">
        <v>19928</v>
      </c>
      <c r="Z3437" t="s">
        <v>25442</v>
      </c>
      <c r="AA3437">
        <v>0.62740008190763219</v>
      </c>
      <c r="AB3437" t="str">
        <f>HYPERLINK("Melting_Curves/meltCurve_Q6IBS0_TWF2.pdf", "Melting_Curves/meltCurve_Q6IBS0_TWF2.pdf")</f>
        <v>Melting_Curves/meltCurve_Q6IBS0_TWF2.pdf</v>
      </c>
    </row>
    <row r="3438" spans="1:28" x14ac:dyDescent="0.25">
      <c r="A3438" t="s">
        <v>3442</v>
      </c>
      <c r="B3438">
        <v>0.99299721793515405</v>
      </c>
      <c r="C3438">
        <v>0.93985237419648704</v>
      </c>
      <c r="D3438">
        <v>0.82802617317608695</v>
      </c>
      <c r="E3438">
        <v>0.67981167042068302</v>
      </c>
      <c r="F3438">
        <v>0.39707223224131399</v>
      </c>
      <c r="G3438">
        <v>0.35093897849837302</v>
      </c>
      <c r="H3438">
        <v>0.17473086072887201</v>
      </c>
      <c r="I3438">
        <v>0.235206153829668</v>
      </c>
      <c r="J3438">
        <v>0.16063733081645501</v>
      </c>
      <c r="K3438">
        <v>0.118838613120601</v>
      </c>
      <c r="L3438">
        <v>615.20050280127896</v>
      </c>
      <c r="M3438">
        <v>12.8025312701196</v>
      </c>
      <c r="N3438">
        <v>49.1621077705205</v>
      </c>
      <c r="O3438">
        <v>46.925900662634497</v>
      </c>
      <c r="P3438">
        <v>-5.9662492685309099E-2</v>
      </c>
      <c r="Q3438">
        <v>0.125425658142158</v>
      </c>
      <c r="R3438">
        <v>0.98836133820418903</v>
      </c>
      <c r="S3438" t="s">
        <v>8989</v>
      </c>
      <c r="T3438" t="s">
        <v>11100</v>
      </c>
      <c r="U3438" t="s">
        <v>11100</v>
      </c>
      <c r="V3438" t="s">
        <v>11100</v>
      </c>
      <c r="W3438" t="s">
        <v>14489</v>
      </c>
      <c r="X3438">
        <v>1</v>
      </c>
      <c r="Y3438" t="s">
        <v>19929</v>
      </c>
      <c r="Z3438" t="s">
        <v>25443</v>
      </c>
      <c r="AA3438">
        <v>0.47244638450056509</v>
      </c>
      <c r="AB3438" t="str">
        <f>HYPERLINK("Melting_Curves/meltCurve_Q6ICB0_DESI1.pdf", "Melting_Curves/meltCurve_Q6ICB0_DESI1.pdf")</f>
        <v>Melting_Curves/meltCurve_Q6ICB0_DESI1.pdf</v>
      </c>
    </row>
    <row r="3439" spans="1:28" x14ac:dyDescent="0.25">
      <c r="A3439" t="s">
        <v>3443</v>
      </c>
      <c r="B3439">
        <v>0.99299721793515405</v>
      </c>
      <c r="C3439">
        <v>1.0202276010398299</v>
      </c>
      <c r="D3439">
        <v>0.86183506141192201</v>
      </c>
      <c r="E3439">
        <v>0.84655666968976195</v>
      </c>
      <c r="F3439">
        <v>0.61904511149506003</v>
      </c>
      <c r="G3439">
        <v>0.50155194897170297</v>
      </c>
      <c r="H3439">
        <v>0.62619844377966605</v>
      </c>
      <c r="I3439">
        <v>0.55787235475015096</v>
      </c>
      <c r="J3439">
        <v>0.36671809487683998</v>
      </c>
      <c r="K3439">
        <v>0.206382623621677</v>
      </c>
      <c r="L3439">
        <v>341.61541633893</v>
      </c>
      <c r="M3439">
        <v>5.8866620884983503</v>
      </c>
      <c r="N3439">
        <v>58.032109602524599</v>
      </c>
      <c r="O3439">
        <v>52.390879680717902</v>
      </c>
      <c r="P3439">
        <v>-2.8187465920578501E-2</v>
      </c>
      <c r="Q3439">
        <v>0</v>
      </c>
      <c r="R3439">
        <v>0.88907396462131605</v>
      </c>
      <c r="S3439" t="s">
        <v>8990</v>
      </c>
      <c r="T3439" t="s">
        <v>11100</v>
      </c>
      <c r="U3439" t="s">
        <v>11100</v>
      </c>
      <c r="V3439" t="s">
        <v>11100</v>
      </c>
      <c r="W3439" t="s">
        <v>14490</v>
      </c>
      <c r="X3439">
        <v>1</v>
      </c>
      <c r="Y3439" t="s">
        <v>19930</v>
      </c>
      <c r="Z3439" t="s">
        <v>25444</v>
      </c>
      <c r="AA3439">
        <v>0.65738226597524485</v>
      </c>
      <c r="AB3439" t="str">
        <f>HYPERLINK("Melting_Curves/meltCurve_Q6IEE7_TMEM132E.pdf", "Melting_Curves/meltCurve_Q6IEE7_TMEM132E.pdf")</f>
        <v>Melting_Curves/meltCurve_Q6IEE7_TMEM132E.pdf</v>
      </c>
    </row>
    <row r="3440" spans="1:28" x14ac:dyDescent="0.25">
      <c r="A3440" t="s">
        <v>3444</v>
      </c>
      <c r="B3440">
        <v>0.99299721793515405</v>
      </c>
      <c r="C3440">
        <v>1.0238847945916401</v>
      </c>
      <c r="D3440">
        <v>1.0496948876888099</v>
      </c>
      <c r="E3440">
        <v>0.90162496894805799</v>
      </c>
      <c r="F3440">
        <v>0.76870123436234306</v>
      </c>
      <c r="G3440">
        <v>0.710990203532749</v>
      </c>
      <c r="H3440">
        <v>0.551577434232015</v>
      </c>
      <c r="I3440">
        <v>0.38662297391246397</v>
      </c>
      <c r="J3440">
        <v>0.25355447460734298</v>
      </c>
      <c r="K3440">
        <v>0.20184231632126701</v>
      </c>
      <c r="L3440">
        <v>588.69382075659996</v>
      </c>
      <c r="M3440">
        <v>10.1464071825599</v>
      </c>
      <c r="N3440">
        <v>58.019928665864299</v>
      </c>
      <c r="O3440">
        <v>55.901517197893298</v>
      </c>
      <c r="P3440">
        <v>-4.5397136952701499E-2</v>
      </c>
      <c r="Q3440">
        <v>0</v>
      </c>
      <c r="R3440">
        <v>0.985929040892075</v>
      </c>
      <c r="S3440" t="s">
        <v>8991</v>
      </c>
      <c r="T3440" t="s">
        <v>11100</v>
      </c>
      <c r="U3440" t="s">
        <v>11100</v>
      </c>
      <c r="V3440" t="s">
        <v>11100</v>
      </c>
      <c r="W3440" t="s">
        <v>14491</v>
      </c>
      <c r="X3440">
        <v>9</v>
      </c>
      <c r="Y3440" t="s">
        <v>19931</v>
      </c>
      <c r="Z3440" t="s">
        <v>25445</v>
      </c>
      <c r="AA3440">
        <v>0.69259833596478504</v>
      </c>
      <c r="AB3440" t="str">
        <f>HYPERLINK("Melting_Curves/meltCurve_Q6IN85_2_SMEK1.pdf", "Melting_Curves/meltCurve_Q6IN85_2_SMEK1.pdf")</f>
        <v>Melting_Curves/meltCurve_Q6IN85_2_SMEK1.pdf</v>
      </c>
    </row>
    <row r="3441" spans="1:28" x14ac:dyDescent="0.25">
      <c r="A3441" t="s">
        <v>3445</v>
      </c>
      <c r="B3441">
        <v>0.99299721793515405</v>
      </c>
      <c r="C3441">
        <v>0.956716353427151</v>
      </c>
      <c r="D3441">
        <v>0.89943274845397803</v>
      </c>
      <c r="E3441">
        <v>0.84714204275020899</v>
      </c>
      <c r="F3441">
        <v>0.79480138133884204</v>
      </c>
      <c r="G3441">
        <v>0.58774893302109499</v>
      </c>
      <c r="H3441">
        <v>0.46960398863812902</v>
      </c>
      <c r="I3441">
        <v>0.32897626902812899</v>
      </c>
      <c r="J3441">
        <v>0.26228957047415802</v>
      </c>
      <c r="K3441">
        <v>0.179425215348363</v>
      </c>
      <c r="L3441">
        <v>498.60661883745701</v>
      </c>
      <c r="M3441">
        <v>8.8495341615102596</v>
      </c>
      <c r="N3441">
        <v>56.342694478567601</v>
      </c>
      <c r="O3441">
        <v>53.688142679098902</v>
      </c>
      <c r="P3441">
        <v>-4.1239941527634598E-2</v>
      </c>
      <c r="Q3441">
        <v>0</v>
      </c>
      <c r="R3441">
        <v>0.99373804059384996</v>
      </c>
      <c r="S3441" t="s">
        <v>8992</v>
      </c>
      <c r="T3441" t="s">
        <v>11100</v>
      </c>
      <c r="U3441" t="s">
        <v>11100</v>
      </c>
      <c r="V3441" t="s">
        <v>11100</v>
      </c>
      <c r="W3441" t="s">
        <v>14492</v>
      </c>
      <c r="X3441">
        <v>9</v>
      </c>
      <c r="Y3441" t="s">
        <v>19932</v>
      </c>
      <c r="Z3441" t="s">
        <v>25446</v>
      </c>
      <c r="AA3441">
        <v>0.64428504477749349</v>
      </c>
      <c r="AB3441" t="str">
        <f>HYPERLINK("Melting_Curves/meltCurve_Q6IQ22_RAB12.pdf", "Melting_Curves/meltCurve_Q6IQ22_RAB12.pdf")</f>
        <v>Melting_Curves/meltCurve_Q6IQ22_RAB12.pdf</v>
      </c>
    </row>
    <row r="3442" spans="1:28" x14ac:dyDescent="0.25">
      <c r="A3442" t="s">
        <v>3446</v>
      </c>
      <c r="B3442">
        <v>0.99299721793515405</v>
      </c>
      <c r="C3442">
        <v>0.91028856480982501</v>
      </c>
      <c r="D3442">
        <v>0.93963278676532502</v>
      </c>
      <c r="E3442">
        <v>0.90821705172751099</v>
      </c>
      <c r="F3442">
        <v>0.77667559363555605</v>
      </c>
      <c r="G3442">
        <v>0.51287548192178001</v>
      </c>
      <c r="H3442">
        <v>0.37732271901512399</v>
      </c>
      <c r="I3442">
        <v>0.42148031272281899</v>
      </c>
      <c r="J3442">
        <v>0.41522565012718798</v>
      </c>
      <c r="K3442">
        <v>0.31789041911525501</v>
      </c>
      <c r="L3442">
        <v>1071.4339653961499</v>
      </c>
      <c r="M3442">
        <v>20.940091960814101</v>
      </c>
      <c r="N3442">
        <v>54.468050635264099</v>
      </c>
      <c r="O3442">
        <v>50.706831517443497</v>
      </c>
      <c r="P3442">
        <v>-6.6130275945110395E-2</v>
      </c>
      <c r="Q3442">
        <v>0.359474260997314</v>
      </c>
      <c r="R3442">
        <v>0.97045379035752499</v>
      </c>
      <c r="S3442" t="s">
        <v>8993</v>
      </c>
      <c r="T3442" t="s">
        <v>11100</v>
      </c>
      <c r="U3442" t="s">
        <v>11100</v>
      </c>
      <c r="V3442" t="s">
        <v>11100</v>
      </c>
      <c r="W3442" t="s">
        <v>14493</v>
      </c>
      <c r="X3442">
        <v>7</v>
      </c>
      <c r="Y3442" t="s">
        <v>19933</v>
      </c>
      <c r="Z3442" t="s">
        <v>25447</v>
      </c>
      <c r="AA3442">
        <v>0.66969644349080093</v>
      </c>
      <c r="AB3442" t="str">
        <f>HYPERLINK("Melting_Curves/meltCurve_Q6IQ49_2_SDE2.pdf", "Melting_Curves/meltCurve_Q6IQ49_2_SDE2.pdf")</f>
        <v>Melting_Curves/meltCurve_Q6IQ49_2_SDE2.pdf</v>
      </c>
    </row>
    <row r="3443" spans="1:28" x14ac:dyDescent="0.25">
      <c r="A3443" t="s">
        <v>3447</v>
      </c>
      <c r="B3443">
        <v>0.99299721793515405</v>
      </c>
      <c r="C3443">
        <v>1.15397757452595</v>
      </c>
      <c r="D3443">
        <v>1.7972269627766899</v>
      </c>
      <c r="E3443">
        <v>1.0343479245411999</v>
      </c>
      <c r="F3443">
        <v>0.90920874147092101</v>
      </c>
      <c r="G3443">
        <v>0.59263281233869702</v>
      </c>
      <c r="H3443">
        <v>0.30114244031898202</v>
      </c>
      <c r="I3443">
        <v>0.275731738172596</v>
      </c>
      <c r="J3443">
        <v>0.29596260652063899</v>
      </c>
      <c r="K3443">
        <v>0.42901524915329597</v>
      </c>
      <c r="L3443">
        <v>2187.3647988576799</v>
      </c>
      <c r="M3443">
        <v>41.1845952358209</v>
      </c>
      <c r="N3443">
        <v>54.462850693517098</v>
      </c>
      <c r="O3443">
        <v>52.986486671771502</v>
      </c>
      <c r="P3443">
        <v>-0.13212032221633899</v>
      </c>
      <c r="Q3443">
        <v>0.32007805192628003</v>
      </c>
      <c r="R3443">
        <v>0.68800389380445603</v>
      </c>
      <c r="S3443" t="s">
        <v>8994</v>
      </c>
      <c r="T3443" t="s">
        <v>11100</v>
      </c>
      <c r="U3443" t="s">
        <v>11100</v>
      </c>
      <c r="V3443" t="s">
        <v>11100</v>
      </c>
      <c r="W3443" t="s">
        <v>14494</v>
      </c>
      <c r="X3443">
        <v>9</v>
      </c>
      <c r="Y3443" t="s">
        <v>19934</v>
      </c>
      <c r="Z3443" t="s">
        <v>25448</v>
      </c>
      <c r="AA3443">
        <v>0.68756853340386193</v>
      </c>
      <c r="AB3443" t="str">
        <f>HYPERLINK("Melting_Curves/meltCurve_Q6IS14_EIF5AL1.pdf", "Melting_Curves/meltCurve_Q6IS14_EIF5AL1.pdf")</f>
        <v>Melting_Curves/meltCurve_Q6IS14_EIF5AL1.pdf</v>
      </c>
    </row>
    <row r="3444" spans="1:28" x14ac:dyDescent="0.25">
      <c r="A3444" t="s">
        <v>3448</v>
      </c>
      <c r="B3444">
        <v>0.99299721793515405</v>
      </c>
      <c r="C3444">
        <v>1.14250429785906</v>
      </c>
      <c r="D3444">
        <v>1.2250041656781601</v>
      </c>
      <c r="E3444">
        <v>1.01606938050893</v>
      </c>
      <c r="F3444">
        <v>0.99314283770781797</v>
      </c>
      <c r="G3444">
        <v>0.58789452806068898</v>
      </c>
      <c r="H3444">
        <v>0.44580185274059603</v>
      </c>
      <c r="I3444">
        <v>0.37683674072168399</v>
      </c>
      <c r="J3444">
        <v>0.30116990506365499</v>
      </c>
      <c r="K3444">
        <v>0.285589361163128</v>
      </c>
      <c r="L3444">
        <v>1992.02655704313</v>
      </c>
      <c r="M3444">
        <v>37.296255693467202</v>
      </c>
      <c r="N3444">
        <v>55.035564931040497</v>
      </c>
      <c r="O3444">
        <v>53.258042643102101</v>
      </c>
      <c r="P3444">
        <v>-0.11664641119654701</v>
      </c>
      <c r="Q3444">
        <v>0.33373016505212899</v>
      </c>
      <c r="R3444">
        <v>0.93225426271633405</v>
      </c>
      <c r="S3444" t="s">
        <v>8995</v>
      </c>
      <c r="T3444" t="s">
        <v>11100</v>
      </c>
      <c r="U3444" t="s">
        <v>11100</v>
      </c>
      <c r="V3444" t="s">
        <v>11100</v>
      </c>
      <c r="W3444" t="s">
        <v>14495</v>
      </c>
      <c r="X3444">
        <v>1</v>
      </c>
      <c r="Y3444" t="s">
        <v>19935</v>
      </c>
      <c r="Z3444" t="s">
        <v>25449</v>
      </c>
      <c r="AA3444">
        <v>0.70100584180936643</v>
      </c>
      <c r="AB3444" t="str">
        <f>HYPERLINK("Melting_Curves/meltCurve_Q6IV72_ZNF425.pdf", "Melting_Curves/meltCurve_Q6IV72_ZNF425.pdf")</f>
        <v>Melting_Curves/meltCurve_Q6IV72_ZNF425.pdf</v>
      </c>
    </row>
    <row r="3445" spans="1:28" x14ac:dyDescent="0.25">
      <c r="A3445" t="s">
        <v>3449</v>
      </c>
      <c r="B3445">
        <v>0.99299721793515405</v>
      </c>
      <c r="C3445">
        <v>1.32179474409632</v>
      </c>
      <c r="D3445">
        <v>1.11231642789027</v>
      </c>
      <c r="E3445">
        <v>0.93428819113835004</v>
      </c>
      <c r="F3445">
        <v>0.81334005131322096</v>
      </c>
      <c r="G3445">
        <v>4.2359438299339497E-2</v>
      </c>
      <c r="H3445">
        <v>5.08102311678994E-2</v>
      </c>
      <c r="I3445">
        <v>5.0146018319408001E-2</v>
      </c>
      <c r="J3445">
        <v>0.12794364889031801</v>
      </c>
      <c r="K3445">
        <v>5.4959111264459203E-2</v>
      </c>
      <c r="L3445">
        <v>12619.689806480899</v>
      </c>
      <c r="M3445">
        <v>250</v>
      </c>
      <c r="N3445">
        <v>50.507007320567602</v>
      </c>
      <c r="O3445">
        <v>50.4755520967678</v>
      </c>
      <c r="P3445">
        <v>-1.1574375290344501</v>
      </c>
      <c r="Q3445">
        <v>6.52436544977755E-2</v>
      </c>
      <c r="R3445">
        <v>0.94988943264450398</v>
      </c>
      <c r="S3445" t="s">
        <v>8996</v>
      </c>
      <c r="T3445" t="s">
        <v>11100</v>
      </c>
      <c r="U3445" t="s">
        <v>11100</v>
      </c>
      <c r="V3445" t="s">
        <v>11100</v>
      </c>
      <c r="W3445" t="s">
        <v>11311</v>
      </c>
      <c r="X3445">
        <v>4</v>
      </c>
      <c r="Y3445" t="s">
        <v>19936</v>
      </c>
      <c r="Z3445" t="s">
        <v>25450</v>
      </c>
      <c r="AA3445">
        <v>0.48530498790027721</v>
      </c>
      <c r="AB3445" t="str">
        <f>HYPERLINK("Melting_Curves/meltCurve_Q6JHV3_USP3.pdf", "Melting_Curves/meltCurve_Q6JHV3_USP3.pdf")</f>
        <v>Melting_Curves/meltCurve_Q6JHV3_USP3.pdf</v>
      </c>
    </row>
    <row r="3446" spans="1:28" x14ac:dyDescent="0.25">
      <c r="A3446" t="s">
        <v>3450</v>
      </c>
      <c r="B3446">
        <v>0.99299721793515405</v>
      </c>
      <c r="C3446">
        <v>1.0987463913062301</v>
      </c>
      <c r="D3446">
        <v>1.0140527392677201</v>
      </c>
      <c r="E3446">
        <v>0.89509571170413504</v>
      </c>
      <c r="F3446">
        <v>0.73359698853126099</v>
      </c>
      <c r="G3446">
        <v>0.37526461187013099</v>
      </c>
      <c r="H3446">
        <v>0.22256042828200501</v>
      </c>
      <c r="I3446">
        <v>0.240771997067697</v>
      </c>
      <c r="J3446">
        <v>0.26098555806325102</v>
      </c>
      <c r="K3446">
        <v>0.27428780562938299</v>
      </c>
      <c r="L3446">
        <v>1495.9576752463399</v>
      </c>
      <c r="M3446">
        <v>29.3162509447601</v>
      </c>
      <c r="N3446">
        <v>52.202661026525</v>
      </c>
      <c r="O3446">
        <v>50.792597668884603</v>
      </c>
      <c r="P3446">
        <v>-0.109454941475483</v>
      </c>
      <c r="Q3446">
        <v>0.241449815565287</v>
      </c>
      <c r="R3446">
        <v>0.98527643576392399</v>
      </c>
      <c r="S3446" t="s">
        <v>8997</v>
      </c>
      <c r="T3446" t="s">
        <v>11100</v>
      </c>
      <c r="U3446" t="s">
        <v>11100</v>
      </c>
      <c r="V3446" t="s">
        <v>11100</v>
      </c>
      <c r="W3446" t="s">
        <v>14496</v>
      </c>
      <c r="X3446">
        <v>8</v>
      </c>
      <c r="Y3446" t="s">
        <v>19937</v>
      </c>
      <c r="Z3446" t="s">
        <v>25451</v>
      </c>
      <c r="AA3446">
        <v>0.60109933041951458</v>
      </c>
      <c r="AB3446" t="str">
        <f>HYPERLINK("Melting_Curves/meltCurve_Q6JQN1_ACAD10.pdf", "Melting_Curves/meltCurve_Q6JQN1_ACAD10.pdf")</f>
        <v>Melting_Curves/meltCurve_Q6JQN1_ACAD10.pdf</v>
      </c>
    </row>
    <row r="3447" spans="1:28" x14ac:dyDescent="0.25">
      <c r="A3447" t="s">
        <v>3451</v>
      </c>
      <c r="B3447">
        <v>0.99299721793515405</v>
      </c>
      <c r="C3447">
        <v>1.1457716142977299</v>
      </c>
      <c r="D3447">
        <v>0.91348800761048898</v>
      </c>
      <c r="E3447">
        <v>0.91688799971976598</v>
      </c>
      <c r="F3447">
        <v>0.76093825415777205</v>
      </c>
      <c r="G3447">
        <v>0.349881693390028</v>
      </c>
      <c r="H3447">
        <v>1.61091716462642</v>
      </c>
      <c r="I3447">
        <v>1.47205979585318</v>
      </c>
      <c r="J3447">
        <v>1.49699528392172</v>
      </c>
      <c r="K3447">
        <v>0.61929775161536404</v>
      </c>
      <c r="L3447">
        <v>1635.1351045035101</v>
      </c>
      <c r="M3447">
        <v>29.094433840068199</v>
      </c>
      <c r="O3447">
        <v>55.937459717901298</v>
      </c>
      <c r="P3447">
        <v>3.2186119037375102E-2</v>
      </c>
      <c r="Q3447">
        <v>1.24752452515976</v>
      </c>
      <c r="R3447">
        <v>0.122316304635263</v>
      </c>
      <c r="S3447" t="s">
        <v>8998</v>
      </c>
      <c r="T3447" t="s">
        <v>11100</v>
      </c>
      <c r="U3447" t="s">
        <v>11100</v>
      </c>
      <c r="V3447" t="s">
        <v>11100</v>
      </c>
      <c r="W3447" t="s">
        <v>14497</v>
      </c>
      <c r="X3447">
        <v>1</v>
      </c>
      <c r="Y3447" t="s">
        <v>19938</v>
      </c>
      <c r="Z3447" t="s">
        <v>25452</v>
      </c>
      <c r="AA3447">
        <v>1.087494954297854</v>
      </c>
      <c r="AB3447" t="str">
        <f>HYPERLINK("Melting_Curves/meltCurve_Q6KC79_2_NIPBL.pdf", "Melting_Curves/meltCurve_Q6KC79_2_NIPBL.pdf")</f>
        <v>Melting_Curves/meltCurve_Q6KC79_2_NIPBL.pdf</v>
      </c>
    </row>
    <row r="3448" spans="1:28" x14ac:dyDescent="0.25">
      <c r="A3448" t="s">
        <v>3452</v>
      </c>
      <c r="B3448">
        <v>0.99299721793515405</v>
      </c>
      <c r="C3448">
        <v>0.97070238330926495</v>
      </c>
      <c r="D3448">
        <v>0.98294442992290598</v>
      </c>
      <c r="E3448">
        <v>0.97185182951896099</v>
      </c>
      <c r="F3448">
        <v>0.57142202535597597</v>
      </c>
      <c r="G3448">
        <v>0.40822138165432498</v>
      </c>
      <c r="H3448">
        <v>0.24279434301319</v>
      </c>
      <c r="I3448">
        <v>0.20038921734653101</v>
      </c>
      <c r="J3448">
        <v>0.15016780134634999</v>
      </c>
      <c r="K3448">
        <v>0.147020629390235</v>
      </c>
      <c r="L3448">
        <v>1066.29802684013</v>
      </c>
      <c r="M3448">
        <v>20.941102515726001</v>
      </c>
      <c r="N3448">
        <v>51.867511942277801</v>
      </c>
      <c r="O3448">
        <v>50.461392524689899</v>
      </c>
      <c r="P3448">
        <v>-8.7245168457789096E-2</v>
      </c>
      <c r="Q3448">
        <v>0.15909043439974499</v>
      </c>
      <c r="R3448">
        <v>0.98869882818306898</v>
      </c>
      <c r="S3448" t="s">
        <v>8999</v>
      </c>
      <c r="T3448" t="s">
        <v>11100</v>
      </c>
      <c r="U3448" t="s">
        <v>11100</v>
      </c>
      <c r="V3448" t="s">
        <v>11100</v>
      </c>
      <c r="W3448" t="s">
        <v>14498</v>
      </c>
      <c r="X3448">
        <v>3</v>
      </c>
      <c r="Y3448" t="s">
        <v>19939</v>
      </c>
      <c r="Z3448" t="s">
        <v>25453</v>
      </c>
      <c r="AA3448">
        <v>0.55943284597608456</v>
      </c>
      <c r="AB3448" t="str">
        <f>HYPERLINK("Melting_Curves/meltCurve_Q6N063_OGFOD2.pdf", "Melting_Curves/meltCurve_Q6N063_OGFOD2.pdf")</f>
        <v>Melting_Curves/meltCurve_Q6N063_OGFOD2.pdf</v>
      </c>
    </row>
    <row r="3449" spans="1:28" x14ac:dyDescent="0.25">
      <c r="A3449" t="s">
        <v>3453</v>
      </c>
      <c r="B3449">
        <v>0.99299721793515405</v>
      </c>
      <c r="C3449">
        <v>0.86480234664410804</v>
      </c>
      <c r="D3449">
        <v>0.76066665282697898</v>
      </c>
      <c r="E3449">
        <v>0.67318752112935198</v>
      </c>
      <c r="F3449">
        <v>0.71062734012104001</v>
      </c>
      <c r="G3449">
        <v>0.287919691497873</v>
      </c>
      <c r="H3449">
        <v>0.151470610195796</v>
      </c>
      <c r="I3449">
        <v>8.3519744465997206E-2</v>
      </c>
      <c r="J3449">
        <v>0.140221627683567</v>
      </c>
      <c r="K3449">
        <v>7.9867789998810404E-2</v>
      </c>
      <c r="L3449">
        <v>506.85123557978301</v>
      </c>
      <c r="M3449">
        <v>10.0587077068498</v>
      </c>
      <c r="N3449">
        <v>50.3892981123903</v>
      </c>
      <c r="O3449">
        <v>48.519229691045702</v>
      </c>
      <c r="P3449">
        <v>-5.1853108838772199E-2</v>
      </c>
      <c r="Q3449">
        <v>0</v>
      </c>
      <c r="R3449">
        <v>0.941043258068331</v>
      </c>
      <c r="S3449" t="s">
        <v>9000</v>
      </c>
      <c r="T3449" t="s">
        <v>11100</v>
      </c>
      <c r="U3449" t="s">
        <v>11100</v>
      </c>
      <c r="V3449" t="s">
        <v>11100</v>
      </c>
      <c r="W3449" t="s">
        <v>14499</v>
      </c>
      <c r="X3449">
        <v>6</v>
      </c>
      <c r="Y3449" t="s">
        <v>19940</v>
      </c>
      <c r="Z3449" t="s">
        <v>25454</v>
      </c>
      <c r="AA3449">
        <v>0.4787708562873409</v>
      </c>
      <c r="AB3449" t="str">
        <f>HYPERLINK("Melting_Curves/meltCurve_Q6N069_NAA16.pdf", "Melting_Curves/meltCurve_Q6N069_NAA16.pdf")</f>
        <v>Melting_Curves/meltCurve_Q6N069_NAA16.pdf</v>
      </c>
    </row>
    <row r="3450" spans="1:28" x14ac:dyDescent="0.25">
      <c r="A3450" t="s">
        <v>3454</v>
      </c>
      <c r="B3450">
        <v>0.99299721793515405</v>
      </c>
      <c r="C3450">
        <v>0.88934790656332696</v>
      </c>
      <c r="D3450">
        <v>0.85733600355853901</v>
      </c>
      <c r="E3450">
        <v>0.66125522835794703</v>
      </c>
      <c r="F3450">
        <v>0.65759018705066596</v>
      </c>
      <c r="G3450">
        <v>0.49302299070323402</v>
      </c>
      <c r="H3450">
        <v>1.76734296154782</v>
      </c>
      <c r="I3450">
        <v>1.38417160997512</v>
      </c>
      <c r="J3450">
        <v>1.6789508109647</v>
      </c>
      <c r="K3450">
        <v>1.37444717864152</v>
      </c>
      <c r="L3450">
        <v>4288.0691209345596</v>
      </c>
      <c r="M3450">
        <v>76.894787547788496</v>
      </c>
      <c r="O3450">
        <v>55.727724907436901</v>
      </c>
      <c r="P3450">
        <v>0.17247878018882501</v>
      </c>
      <c r="Q3450">
        <v>1.5</v>
      </c>
      <c r="R3450">
        <v>0.60415274893497195</v>
      </c>
      <c r="S3450" t="s">
        <v>9001</v>
      </c>
      <c r="T3450" t="s">
        <v>11100</v>
      </c>
      <c r="U3450" t="s">
        <v>11100</v>
      </c>
      <c r="V3450" t="s">
        <v>11100</v>
      </c>
      <c r="W3450" t="s">
        <v>14500</v>
      </c>
      <c r="X3450">
        <v>3</v>
      </c>
      <c r="Y3450" t="s">
        <v>19941</v>
      </c>
      <c r="Z3450" t="s">
        <v>25455</v>
      </c>
      <c r="AA3450">
        <v>1.1867249193681919</v>
      </c>
      <c r="AB3450" t="str">
        <f>HYPERLINK("Melting_Curves/meltCurve_Q6NSI4_4_CXorf57.pdf", "Melting_Curves/meltCurve_Q6NSI4_4_CXorf57.pdf")</f>
        <v>Melting_Curves/meltCurve_Q6NSI4_4_CXorf57.pdf</v>
      </c>
    </row>
    <row r="3451" spans="1:28" x14ac:dyDescent="0.25">
      <c r="A3451" t="s">
        <v>3455</v>
      </c>
      <c r="B3451">
        <v>0.99299721793515405</v>
      </c>
      <c r="C3451">
        <v>0.70536398475941497</v>
      </c>
      <c r="D3451">
        <v>0.90380116563673996</v>
      </c>
      <c r="E3451">
        <v>0.37415471844818299</v>
      </c>
      <c r="F3451">
        <v>0.355313062098015</v>
      </c>
      <c r="G3451">
        <v>0.28923815757574101</v>
      </c>
      <c r="H3451">
        <v>0.140740969642599</v>
      </c>
      <c r="I3451">
        <v>0</v>
      </c>
      <c r="J3451">
        <v>0</v>
      </c>
      <c r="K3451">
        <v>0.192112847741711</v>
      </c>
      <c r="L3451">
        <v>509.137874759878</v>
      </c>
      <c r="M3451">
        <v>10.9633191007512</v>
      </c>
      <c r="N3451">
        <v>46.748037358907602</v>
      </c>
      <c r="O3451">
        <v>44.975217600624603</v>
      </c>
      <c r="P3451">
        <v>-5.8838224985529902E-2</v>
      </c>
      <c r="Q3451">
        <v>3.4833243002653801E-2</v>
      </c>
      <c r="R3451">
        <v>0.89587988596004897</v>
      </c>
      <c r="S3451" t="s">
        <v>9002</v>
      </c>
      <c r="T3451" t="s">
        <v>11100</v>
      </c>
      <c r="U3451" t="s">
        <v>11100</v>
      </c>
      <c r="V3451" t="s">
        <v>11100</v>
      </c>
      <c r="W3451" t="s">
        <v>14501</v>
      </c>
      <c r="X3451">
        <v>1</v>
      </c>
      <c r="Y3451" t="s">
        <v>19942</v>
      </c>
      <c r="Z3451" t="s">
        <v>25456</v>
      </c>
      <c r="AA3451">
        <v>0.37622180055577409</v>
      </c>
      <c r="AB3451" t="str">
        <f>HYPERLINK("Melting_Curves/meltCurve_Q6NSJ2_2_PHLDB3.pdf", "Melting_Curves/meltCurve_Q6NSJ2_2_PHLDB3.pdf")</f>
        <v>Melting_Curves/meltCurve_Q6NSJ2_2_PHLDB3.pdf</v>
      </c>
    </row>
    <row r="3452" spans="1:28" x14ac:dyDescent="0.25">
      <c r="A3452" t="s">
        <v>3456</v>
      </c>
      <c r="B3452">
        <v>0.99299721793515405</v>
      </c>
      <c r="C3452">
        <v>0.86248581704910299</v>
      </c>
      <c r="D3452">
        <v>0.80515153626885305</v>
      </c>
      <c r="E3452">
        <v>0.73128044170388895</v>
      </c>
      <c r="F3452">
        <v>0.94831069150137404</v>
      </c>
      <c r="G3452">
        <v>0.37918137526175</v>
      </c>
      <c r="H3452">
        <v>0.45031464839559798</v>
      </c>
      <c r="I3452">
        <v>0.50070228770863301</v>
      </c>
      <c r="J3452">
        <v>0.50757597693194301</v>
      </c>
      <c r="K3452">
        <v>0.42459161255981198</v>
      </c>
      <c r="L3452">
        <v>379.49141843886201</v>
      </c>
      <c r="M3452">
        <v>7.5845279071244303</v>
      </c>
      <c r="N3452">
        <v>59.058055624198701</v>
      </c>
      <c r="O3452">
        <v>46.911836746513103</v>
      </c>
      <c r="P3452">
        <v>-2.65891965725811E-2</v>
      </c>
      <c r="Q3452">
        <v>0.34306790441562501</v>
      </c>
      <c r="R3452">
        <v>0.71597980721229604</v>
      </c>
      <c r="S3452" t="s">
        <v>9003</v>
      </c>
      <c r="T3452" t="s">
        <v>11100</v>
      </c>
      <c r="U3452" t="s">
        <v>11100</v>
      </c>
      <c r="V3452" t="s">
        <v>11100</v>
      </c>
      <c r="W3452" t="s">
        <v>14502</v>
      </c>
      <c r="X3452">
        <v>3</v>
      </c>
      <c r="Y3452" t="s">
        <v>19943</v>
      </c>
      <c r="Z3452" t="s">
        <v>25457</v>
      </c>
      <c r="AA3452">
        <v>0.65610310334767008</v>
      </c>
      <c r="AB3452" t="str">
        <f>HYPERLINK("Melting_Curves/meltCurve_Q6NT16_SLC18B1.pdf", "Melting_Curves/meltCurve_Q6NT16_SLC18B1.pdf")</f>
        <v>Melting_Curves/meltCurve_Q6NT16_SLC18B1.pdf</v>
      </c>
    </row>
    <row r="3453" spans="1:28" x14ac:dyDescent="0.25">
      <c r="A3453" t="s">
        <v>3457</v>
      </c>
      <c r="B3453">
        <v>0.99299721793515405</v>
      </c>
      <c r="C3453">
        <v>0.966733338399138</v>
      </c>
      <c r="D3453">
        <v>0.99482509882951797</v>
      </c>
      <c r="E3453">
        <v>0.83026425720534003</v>
      </c>
      <c r="F3453">
        <v>0.68637325111807901</v>
      </c>
      <c r="G3453">
        <v>0.61838023033589595</v>
      </c>
      <c r="H3453">
        <v>0.57299680844196399</v>
      </c>
      <c r="I3453">
        <v>0.68483207703328097</v>
      </c>
      <c r="J3453">
        <v>0.76738937933694895</v>
      </c>
      <c r="K3453">
        <v>0.42332868715844202</v>
      </c>
      <c r="L3453">
        <v>1279.7925263884099</v>
      </c>
      <c r="M3453">
        <v>27.111478538244899</v>
      </c>
      <c r="O3453">
        <v>46.950249719521899</v>
      </c>
      <c r="P3453">
        <v>-5.6136344061490998E-2</v>
      </c>
      <c r="Q3453">
        <v>0.61114783508512904</v>
      </c>
      <c r="R3453">
        <v>0.79688973177456901</v>
      </c>
      <c r="S3453" t="s">
        <v>9004</v>
      </c>
      <c r="T3453" t="s">
        <v>11100</v>
      </c>
      <c r="U3453" t="s">
        <v>11100</v>
      </c>
      <c r="V3453" t="s">
        <v>11100</v>
      </c>
      <c r="W3453" t="s">
        <v>14503</v>
      </c>
      <c r="X3453">
        <v>18</v>
      </c>
      <c r="Y3453" t="s">
        <v>19944</v>
      </c>
      <c r="Z3453" t="s">
        <v>25458</v>
      </c>
      <c r="AA3453">
        <v>0.74620291938007888</v>
      </c>
      <c r="AB3453" t="str">
        <f>HYPERLINK("Melting_Curves/meltCurve_Q6NUK1_SLC25A24.pdf", "Melting_Curves/meltCurve_Q6NUK1_SLC25A24.pdf")</f>
        <v>Melting_Curves/meltCurve_Q6NUK1_SLC25A24.pdf</v>
      </c>
    </row>
    <row r="3454" spans="1:28" x14ac:dyDescent="0.25">
      <c r="A3454" t="s">
        <v>3458</v>
      </c>
      <c r="B3454">
        <v>0.99299721793515405</v>
      </c>
      <c r="C3454">
        <v>0.885614934649121</v>
      </c>
      <c r="D3454">
        <v>0.99222213411434901</v>
      </c>
      <c r="E3454">
        <v>0.86366605594995005</v>
      </c>
      <c r="F3454">
        <v>0.67878826488035904</v>
      </c>
      <c r="G3454">
        <v>0.43197206043634001</v>
      </c>
      <c r="H3454">
        <v>0.325150322068334</v>
      </c>
      <c r="I3454">
        <v>0.25702759663075397</v>
      </c>
      <c r="J3454">
        <v>0.34945148312244401</v>
      </c>
      <c r="K3454">
        <v>0.273156854667779</v>
      </c>
      <c r="L3454">
        <v>998.90844188216704</v>
      </c>
      <c r="M3454">
        <v>19.799003623442701</v>
      </c>
      <c r="N3454">
        <v>52.598182577894399</v>
      </c>
      <c r="O3454">
        <v>49.946232009481299</v>
      </c>
      <c r="P3454">
        <v>-7.1647221696139796E-2</v>
      </c>
      <c r="Q3454">
        <v>0.27705711602028499</v>
      </c>
      <c r="R3454">
        <v>0.97746457192907199</v>
      </c>
      <c r="S3454" t="s">
        <v>9005</v>
      </c>
      <c r="T3454" t="s">
        <v>11100</v>
      </c>
      <c r="U3454" t="s">
        <v>11100</v>
      </c>
      <c r="V3454" t="s">
        <v>11100</v>
      </c>
      <c r="W3454" t="s">
        <v>14504</v>
      </c>
      <c r="X3454">
        <v>1</v>
      </c>
      <c r="Y3454" t="s">
        <v>19945</v>
      </c>
      <c r="Z3454" t="s">
        <v>25459</v>
      </c>
      <c r="AA3454">
        <v>0.61090433736818572</v>
      </c>
      <c r="AB3454" t="str">
        <f>HYPERLINK("Melting_Curves/meltCurve_Q6NUK4_2_REEP3.pdf", "Melting_Curves/meltCurve_Q6NUK4_2_REEP3.pdf")</f>
        <v>Melting_Curves/meltCurve_Q6NUK4_2_REEP3.pdf</v>
      </c>
    </row>
    <row r="3455" spans="1:28" x14ac:dyDescent="0.25">
      <c r="A3455" t="s">
        <v>3459</v>
      </c>
      <c r="B3455">
        <v>0.99299721793515405</v>
      </c>
      <c r="C3455">
        <v>1.0720773798009</v>
      </c>
      <c r="D3455">
        <v>1.0732712373492399</v>
      </c>
      <c r="E3455">
        <v>0.85855801961718603</v>
      </c>
      <c r="F3455">
        <v>0.62268067323297205</v>
      </c>
      <c r="G3455">
        <v>0.60236835407427403</v>
      </c>
      <c r="H3455">
        <v>0.337533672575835</v>
      </c>
      <c r="I3455">
        <v>0.25874707367910699</v>
      </c>
      <c r="J3455">
        <v>0.20663195879292201</v>
      </c>
      <c r="K3455">
        <v>0.17481737252420099</v>
      </c>
      <c r="L3455">
        <v>708.17019617532401</v>
      </c>
      <c r="M3455">
        <v>13.3889265694093</v>
      </c>
      <c r="N3455">
        <v>54.131708853405001</v>
      </c>
      <c r="O3455">
        <v>51.754109871379796</v>
      </c>
      <c r="P3455">
        <v>-5.6146203804951E-2</v>
      </c>
      <c r="Q3455">
        <v>0.13201726784081799</v>
      </c>
      <c r="R3455">
        <v>0.96966485921915302</v>
      </c>
      <c r="S3455" t="s">
        <v>9006</v>
      </c>
      <c r="T3455" t="s">
        <v>11100</v>
      </c>
      <c r="U3455" t="s">
        <v>11100</v>
      </c>
      <c r="V3455" t="s">
        <v>11100</v>
      </c>
      <c r="W3455" t="s">
        <v>14505</v>
      </c>
      <c r="X3455">
        <v>6</v>
      </c>
      <c r="Y3455" t="s">
        <v>19946</v>
      </c>
      <c r="Z3455" t="s">
        <v>25460</v>
      </c>
      <c r="AA3455">
        <v>0.60908827280590039</v>
      </c>
      <c r="AB3455" t="str">
        <f>HYPERLINK("Melting_Curves/meltCurve_Q6NUM9_RETSAT.pdf", "Melting_Curves/meltCurve_Q6NUM9_RETSAT.pdf")</f>
        <v>Melting_Curves/meltCurve_Q6NUM9_RETSAT.pdf</v>
      </c>
    </row>
    <row r="3456" spans="1:28" x14ac:dyDescent="0.25">
      <c r="A3456" t="s">
        <v>3460</v>
      </c>
      <c r="B3456">
        <v>0.99299721793515405</v>
      </c>
      <c r="C3456">
        <v>0.78691317938073302</v>
      </c>
      <c r="D3456">
        <v>0.77827415186165405</v>
      </c>
      <c r="E3456">
        <v>0.84288928534704499</v>
      </c>
      <c r="F3456">
        <v>0.64320571422006501</v>
      </c>
      <c r="G3456">
        <v>0.46780697030689</v>
      </c>
      <c r="H3456">
        <v>0.23103033686652799</v>
      </c>
      <c r="I3456">
        <v>6.7000619484083604E-2</v>
      </c>
      <c r="J3456">
        <v>0</v>
      </c>
      <c r="K3456">
        <v>0</v>
      </c>
      <c r="L3456">
        <v>658.108886891819</v>
      </c>
      <c r="M3456">
        <v>12.6645104489043</v>
      </c>
      <c r="N3456">
        <v>51.964810598148603</v>
      </c>
      <c r="O3456">
        <v>50.720264727457497</v>
      </c>
      <c r="P3456">
        <v>-6.24355388222139E-2</v>
      </c>
      <c r="Q3456">
        <v>0</v>
      </c>
      <c r="R3456">
        <v>0.93619558346715703</v>
      </c>
      <c r="S3456" t="s">
        <v>9007</v>
      </c>
      <c r="T3456" t="s">
        <v>11100</v>
      </c>
      <c r="U3456" t="s">
        <v>11100</v>
      </c>
      <c r="V3456" t="s">
        <v>11100</v>
      </c>
      <c r="W3456" t="s">
        <v>14506</v>
      </c>
      <c r="X3456">
        <v>2</v>
      </c>
      <c r="Y3456" t="s">
        <v>19947</v>
      </c>
      <c r="Z3456" t="s">
        <v>25461</v>
      </c>
      <c r="AA3456">
        <v>0.52161777767754491</v>
      </c>
      <c r="AB3456" t="str">
        <f>HYPERLINK("Melting_Curves/meltCurve_Q6NUP7_PPP4R4.pdf", "Melting_Curves/meltCurve_Q6NUP7_PPP4R4.pdf")</f>
        <v>Melting_Curves/meltCurve_Q6NUP7_PPP4R4.pdf</v>
      </c>
    </row>
    <row r="3457" spans="1:28" x14ac:dyDescent="0.25">
      <c r="A3457" t="s">
        <v>3461</v>
      </c>
      <c r="B3457">
        <v>0.99299721793515405</v>
      </c>
      <c r="C3457">
        <v>0.94884077851041804</v>
      </c>
      <c r="D3457">
        <v>0.90884966873142503</v>
      </c>
      <c r="E3457">
        <v>0.91158180345615802</v>
      </c>
      <c r="F3457">
        <v>0.45475425064907998</v>
      </c>
      <c r="G3457">
        <v>0.109854045888076</v>
      </c>
      <c r="H3457">
        <v>0.112675193358602</v>
      </c>
      <c r="I3457">
        <v>4.9018520581222601E-2</v>
      </c>
      <c r="J3457">
        <v>8.3859224377411598E-2</v>
      </c>
      <c r="K3457">
        <v>0</v>
      </c>
      <c r="L3457">
        <v>1595.66365692317</v>
      </c>
      <c r="M3457">
        <v>32.098229408707702</v>
      </c>
      <c r="N3457">
        <v>49.886492644512799</v>
      </c>
      <c r="O3457">
        <v>49.520130856093097</v>
      </c>
      <c r="P3457">
        <v>-0.15343734311774501</v>
      </c>
      <c r="Q3457">
        <v>5.3131663180654203E-2</v>
      </c>
      <c r="R3457">
        <v>0.99036605426861302</v>
      </c>
      <c r="S3457" t="s">
        <v>9008</v>
      </c>
      <c r="T3457" t="s">
        <v>11100</v>
      </c>
      <c r="U3457" t="s">
        <v>11100</v>
      </c>
      <c r="V3457" t="s">
        <v>11100</v>
      </c>
      <c r="W3457" t="s">
        <v>14507</v>
      </c>
      <c r="X3457">
        <v>3</v>
      </c>
      <c r="Y3457" t="s">
        <v>19948</v>
      </c>
      <c r="Z3457" t="s">
        <v>25462</v>
      </c>
      <c r="AA3457">
        <v>0.45940309811382962</v>
      </c>
      <c r="AB3457" t="str">
        <f>HYPERLINK("Melting_Curves/meltCurve_Q6NUQ1_RINT1.pdf", "Melting_Curves/meltCurve_Q6NUQ1_RINT1.pdf")</f>
        <v>Melting_Curves/meltCurve_Q6NUQ1_RINT1.pdf</v>
      </c>
    </row>
    <row r="3458" spans="1:28" x14ac:dyDescent="0.25">
      <c r="A3458" t="s">
        <v>3462</v>
      </c>
      <c r="B3458">
        <v>0.99299721793515405</v>
      </c>
      <c r="C3458">
        <v>0.93808484257871905</v>
      </c>
      <c r="D3458">
        <v>0.92596763187650999</v>
      </c>
      <c r="E3458">
        <v>0.78843932441266296</v>
      </c>
      <c r="F3458">
        <v>0.66974237878708198</v>
      </c>
      <c r="G3458">
        <v>0.37710982226427098</v>
      </c>
      <c r="H3458">
        <v>0.17668518768071401</v>
      </c>
      <c r="I3458">
        <v>0.14047892453926</v>
      </c>
      <c r="J3458">
        <v>0.116238529851347</v>
      </c>
      <c r="K3458">
        <v>8.6117594763133298E-2</v>
      </c>
      <c r="L3458">
        <v>716.49015059822204</v>
      </c>
      <c r="M3458">
        <v>13.895424476271</v>
      </c>
      <c r="N3458">
        <v>51.862536382632697</v>
      </c>
      <c r="O3458">
        <v>50.530297006823602</v>
      </c>
      <c r="P3458">
        <v>-6.6106366283244899E-2</v>
      </c>
      <c r="Q3458">
        <v>3.8555685625799099E-2</v>
      </c>
      <c r="R3458">
        <v>0.99211417473976404</v>
      </c>
      <c r="S3458" t="s">
        <v>9009</v>
      </c>
      <c r="T3458" t="s">
        <v>11100</v>
      </c>
      <c r="U3458" t="s">
        <v>11100</v>
      </c>
      <c r="V3458" t="s">
        <v>11100</v>
      </c>
      <c r="W3458" t="s">
        <v>14508</v>
      </c>
      <c r="X3458">
        <v>4</v>
      </c>
      <c r="Y3458" t="s">
        <v>19949</v>
      </c>
      <c r="Z3458" t="s">
        <v>25463</v>
      </c>
      <c r="AA3458">
        <v>0.52587860026807254</v>
      </c>
      <c r="AB3458" t="str">
        <f>HYPERLINK("Melting_Curves/meltCurve_Q6NUQ4_2_TMEM214.pdf", "Melting_Curves/meltCurve_Q6NUQ4_2_TMEM214.pdf")</f>
        <v>Melting_Curves/meltCurve_Q6NUQ4_2_TMEM214.pdf</v>
      </c>
    </row>
    <row r="3459" spans="1:28" x14ac:dyDescent="0.25">
      <c r="A3459" t="s">
        <v>3463</v>
      </c>
      <c r="B3459">
        <v>0.99299721793515405</v>
      </c>
      <c r="C3459">
        <v>1.13080162749733</v>
      </c>
      <c r="D3459">
        <v>0.82537511812866104</v>
      </c>
      <c r="E3459">
        <v>0.86579613539811595</v>
      </c>
      <c r="F3459">
        <v>0.52125741792904301</v>
      </c>
      <c r="G3459">
        <v>0.466201985155896</v>
      </c>
      <c r="H3459">
        <v>0.35596218006684299</v>
      </c>
      <c r="I3459">
        <v>0.26054974048273299</v>
      </c>
      <c r="J3459">
        <v>0.28195279080764502</v>
      </c>
      <c r="K3459">
        <v>0.23158985645976801</v>
      </c>
      <c r="L3459">
        <v>732.23380114322799</v>
      </c>
      <c r="M3459">
        <v>14.7163624180181</v>
      </c>
      <c r="N3459">
        <v>52.024891684166001</v>
      </c>
      <c r="O3459">
        <v>48.864777861653302</v>
      </c>
      <c r="P3459">
        <v>-5.7468809759126799E-2</v>
      </c>
      <c r="Q3459">
        <v>0.23679648185623101</v>
      </c>
      <c r="R3459">
        <v>0.95190782784472205</v>
      </c>
      <c r="S3459" t="s">
        <v>9010</v>
      </c>
      <c r="T3459" t="s">
        <v>11100</v>
      </c>
      <c r="U3459" t="s">
        <v>11100</v>
      </c>
      <c r="V3459" t="s">
        <v>11100</v>
      </c>
      <c r="W3459" t="s">
        <v>14509</v>
      </c>
      <c r="X3459">
        <v>1</v>
      </c>
      <c r="Y3459" t="s">
        <v>19950</v>
      </c>
      <c r="Z3459" t="s">
        <v>25464</v>
      </c>
      <c r="AA3459">
        <v>0.57785410296424922</v>
      </c>
      <c r="AB3459" t="str">
        <f>HYPERLINK("Melting_Curves/meltCurve_Q6NUS6_3_TCTN3.pdf", "Melting_Curves/meltCurve_Q6NUS6_3_TCTN3.pdf")</f>
        <v>Melting_Curves/meltCurve_Q6NUS6_3_TCTN3.pdf</v>
      </c>
    </row>
    <row r="3460" spans="1:28" x14ac:dyDescent="0.25">
      <c r="A3460" t="s">
        <v>3464</v>
      </c>
      <c r="B3460">
        <v>0.99299721793515405</v>
      </c>
      <c r="C3460">
        <v>0.82343968968563197</v>
      </c>
      <c r="D3460">
        <v>0.80821813775457696</v>
      </c>
      <c r="E3460">
        <v>0.73605416526747802</v>
      </c>
      <c r="F3460">
        <v>0.65688405285590501</v>
      </c>
      <c r="G3460">
        <v>0.44517568410175301</v>
      </c>
      <c r="H3460">
        <v>0.35399301211043399</v>
      </c>
      <c r="I3460">
        <v>0.33534146690007699</v>
      </c>
      <c r="J3460">
        <v>0.30022346383190701</v>
      </c>
      <c r="K3460">
        <v>0.276784771458714</v>
      </c>
      <c r="L3460">
        <v>368.90459745721699</v>
      </c>
      <c r="M3460">
        <v>7.2253457056996</v>
      </c>
      <c r="N3460">
        <v>53.237220827266</v>
      </c>
      <c r="O3460">
        <v>47.581033942078598</v>
      </c>
      <c r="P3460">
        <v>-3.3156101067336199E-2</v>
      </c>
      <c r="Q3460">
        <v>0.12806803059605701</v>
      </c>
      <c r="R3460">
        <v>0.97252388019500302</v>
      </c>
      <c r="S3460" t="s">
        <v>9011</v>
      </c>
      <c r="T3460" t="s">
        <v>11100</v>
      </c>
      <c r="U3460" t="s">
        <v>11100</v>
      </c>
      <c r="V3460" t="s">
        <v>11100</v>
      </c>
      <c r="W3460" t="s">
        <v>14510</v>
      </c>
      <c r="X3460">
        <v>2</v>
      </c>
      <c r="Y3460" t="s">
        <v>19951</v>
      </c>
      <c r="Z3460" t="s">
        <v>25465</v>
      </c>
      <c r="AA3460">
        <v>0.56792046206350422</v>
      </c>
      <c r="AB3460" t="str">
        <f>HYPERLINK("Melting_Curves/meltCurve_Q6NVU6_UFSP1.pdf", "Melting_Curves/meltCurve_Q6NVU6_UFSP1.pdf")</f>
        <v>Melting_Curves/meltCurve_Q6NVU6_UFSP1.pdf</v>
      </c>
    </row>
    <row r="3461" spans="1:28" x14ac:dyDescent="0.25">
      <c r="A3461" t="s">
        <v>3465</v>
      </c>
      <c r="B3461">
        <v>0.99299721793515405</v>
      </c>
      <c r="C3461">
        <v>1.0089374706763601</v>
      </c>
      <c r="D3461">
        <v>0.96768895805675004</v>
      </c>
      <c r="E3461">
        <v>0.91795659480555003</v>
      </c>
      <c r="F3461">
        <v>0.75534809060284602</v>
      </c>
      <c r="G3461">
        <v>0.30991549602250701</v>
      </c>
      <c r="H3461">
        <v>0.12652824995079301</v>
      </c>
      <c r="I3461">
        <v>9.4523411138770594E-2</v>
      </c>
      <c r="J3461">
        <v>9.5461203649979606E-2</v>
      </c>
      <c r="K3461">
        <v>8.1332806224875501E-2</v>
      </c>
      <c r="L3461">
        <v>1478.96245636085</v>
      </c>
      <c r="M3461">
        <v>28.5477388004023</v>
      </c>
      <c r="N3461">
        <v>52.129977596231903</v>
      </c>
      <c r="O3461">
        <v>51.554427588142403</v>
      </c>
      <c r="P3461">
        <v>-0.12720356999252599</v>
      </c>
      <c r="Q3461">
        <v>8.1138405717627898E-2</v>
      </c>
      <c r="R3461">
        <v>0.99773716005330004</v>
      </c>
      <c r="S3461" t="s">
        <v>9012</v>
      </c>
      <c r="T3461" t="s">
        <v>11100</v>
      </c>
      <c r="U3461" t="s">
        <v>11100</v>
      </c>
      <c r="V3461" t="s">
        <v>11100</v>
      </c>
      <c r="W3461" t="s">
        <v>14511</v>
      </c>
      <c r="X3461">
        <v>10</v>
      </c>
      <c r="Y3461" t="s">
        <v>19952</v>
      </c>
      <c r="Z3461" t="s">
        <v>25466</v>
      </c>
      <c r="AA3461">
        <v>0.54100712377945281</v>
      </c>
      <c r="AB3461" t="str">
        <f>HYPERLINK("Melting_Curves/meltCurve_Q6NVY1_HIBCH.pdf", "Melting_Curves/meltCurve_Q6NVY1_HIBCH.pdf")</f>
        <v>Melting_Curves/meltCurve_Q6NVY1_HIBCH.pdf</v>
      </c>
    </row>
    <row r="3462" spans="1:28" x14ac:dyDescent="0.25">
      <c r="A3462" t="s">
        <v>3466</v>
      </c>
      <c r="B3462">
        <v>0.99299721793515405</v>
      </c>
      <c r="C3462">
        <v>1.04315737452947</v>
      </c>
      <c r="D3462">
        <v>1.02075292018288</v>
      </c>
      <c r="E3462">
        <v>0.69854323325821799</v>
      </c>
      <c r="F3462">
        <v>0.27501855847593398</v>
      </c>
      <c r="G3462">
        <v>0.191041041115045</v>
      </c>
      <c r="H3462">
        <v>0.13695456038429199</v>
      </c>
      <c r="I3462">
        <v>0.108618417888831</v>
      </c>
      <c r="J3462">
        <v>0.10689533754354399</v>
      </c>
      <c r="K3462">
        <v>9.9363345137374298E-2</v>
      </c>
      <c r="L3462">
        <v>1464.4206213273001</v>
      </c>
      <c r="M3462">
        <v>30.709412231656199</v>
      </c>
      <c r="N3462">
        <v>48.120931542993503</v>
      </c>
      <c r="O3462">
        <v>47.485534434507997</v>
      </c>
      <c r="P3462">
        <v>-0.142100354392874</v>
      </c>
      <c r="Q3462">
        <v>0.12109404735187999</v>
      </c>
      <c r="R3462">
        <v>0.99510113348782403</v>
      </c>
      <c r="S3462" t="s">
        <v>9013</v>
      </c>
      <c r="T3462" t="s">
        <v>11100</v>
      </c>
      <c r="U3462" t="s">
        <v>11100</v>
      </c>
      <c r="V3462" t="s">
        <v>11100</v>
      </c>
      <c r="W3462" t="s">
        <v>14512</v>
      </c>
      <c r="X3462">
        <v>13</v>
      </c>
      <c r="Y3462" t="s">
        <v>19953</v>
      </c>
      <c r="Z3462" t="s">
        <v>25467</v>
      </c>
      <c r="AA3462">
        <v>0.43910839315706351</v>
      </c>
      <c r="AB3462" t="str">
        <f>HYPERLINK("Melting_Curves/meltCurve_Q6NXE6_ARMC6.pdf", "Melting_Curves/meltCurve_Q6NXE6_ARMC6.pdf")</f>
        <v>Melting_Curves/meltCurve_Q6NXE6_ARMC6.pdf</v>
      </c>
    </row>
    <row r="3463" spans="1:28" x14ac:dyDescent="0.25">
      <c r="A3463" t="s">
        <v>3467</v>
      </c>
      <c r="B3463">
        <v>0.99299721793515405</v>
      </c>
      <c r="C3463">
        <v>0.79822545406935497</v>
      </c>
      <c r="D3463">
        <v>1.12109658722123</v>
      </c>
      <c r="E3463">
        <v>0.68675576342917299</v>
      </c>
      <c r="F3463">
        <v>0.61846888006048895</v>
      </c>
      <c r="G3463">
        <v>0.463936915084942</v>
      </c>
      <c r="H3463">
        <v>0.26665282516045102</v>
      </c>
      <c r="I3463">
        <v>0.30567029117691702</v>
      </c>
      <c r="J3463">
        <v>0.291119902689218</v>
      </c>
      <c r="K3463">
        <v>0.21046595031116799</v>
      </c>
      <c r="L3463">
        <v>699.19003131752197</v>
      </c>
      <c r="M3463">
        <v>14.017046395001699</v>
      </c>
      <c r="N3463">
        <v>52.060352944200702</v>
      </c>
      <c r="O3463">
        <v>48.899060637142398</v>
      </c>
      <c r="P3463">
        <v>-5.57675650631946E-2</v>
      </c>
      <c r="Q3463">
        <v>0.22191242003240799</v>
      </c>
      <c r="R3463">
        <v>0.90360608432711897</v>
      </c>
      <c r="S3463" t="s">
        <v>9014</v>
      </c>
      <c r="T3463" t="s">
        <v>11100</v>
      </c>
      <c r="U3463" t="s">
        <v>11100</v>
      </c>
      <c r="V3463" t="s">
        <v>11100</v>
      </c>
      <c r="W3463" t="s">
        <v>14513</v>
      </c>
      <c r="X3463">
        <v>6</v>
      </c>
      <c r="Y3463" t="s">
        <v>19954</v>
      </c>
      <c r="Z3463" t="s">
        <v>25468</v>
      </c>
      <c r="AA3463">
        <v>0.57398465906888585</v>
      </c>
      <c r="AB3463" t="str">
        <f>HYPERLINK("Melting_Curves/meltCurve_Q6NXT1_ANKRD54.pdf", "Melting_Curves/meltCurve_Q6NXT1_ANKRD54.pdf")</f>
        <v>Melting_Curves/meltCurve_Q6NXT1_ANKRD54.pdf</v>
      </c>
    </row>
    <row r="3464" spans="1:28" x14ac:dyDescent="0.25">
      <c r="A3464" t="s">
        <v>3468</v>
      </c>
      <c r="B3464">
        <v>0.99299721793515405</v>
      </c>
      <c r="C3464">
        <v>0.99971377369372305</v>
      </c>
      <c r="D3464">
        <v>1.0265848450939701</v>
      </c>
      <c r="E3464">
        <v>0.95426296241038999</v>
      </c>
      <c r="F3464">
        <v>0.73898166920422204</v>
      </c>
      <c r="G3464">
        <v>0.83327270923929897</v>
      </c>
      <c r="H3464">
        <v>0.87777131716453205</v>
      </c>
      <c r="I3464">
        <v>1.03249989133563</v>
      </c>
      <c r="J3464">
        <v>1.00354722482846</v>
      </c>
      <c r="K3464">
        <v>0.87021430906024999</v>
      </c>
      <c r="L3464">
        <v>11663.836268307101</v>
      </c>
      <c r="M3464">
        <v>250</v>
      </c>
      <c r="O3464">
        <v>46.652359704228601</v>
      </c>
      <c r="P3464">
        <v>-0.14372997439114499</v>
      </c>
      <c r="Q3464">
        <v>0.89271452128275597</v>
      </c>
      <c r="R3464">
        <v>0.30261388946398698</v>
      </c>
      <c r="S3464" t="s">
        <v>9015</v>
      </c>
      <c r="T3464" t="s">
        <v>11100</v>
      </c>
      <c r="U3464" t="s">
        <v>11100</v>
      </c>
      <c r="V3464" t="s">
        <v>11100</v>
      </c>
      <c r="W3464" t="s">
        <v>14514</v>
      </c>
      <c r="X3464">
        <v>3</v>
      </c>
      <c r="Y3464" t="s">
        <v>19955</v>
      </c>
      <c r="Z3464" t="s">
        <v>25469</v>
      </c>
      <c r="AA3464">
        <v>0.92725258303257918</v>
      </c>
      <c r="AB3464" t="str">
        <f>HYPERLINK("Melting_Curves/meltCurve_Q6NXT6_2_TAPT1.pdf", "Melting_Curves/meltCurve_Q6NXT6_2_TAPT1.pdf")</f>
        <v>Melting_Curves/meltCurve_Q6NXT6_2_TAPT1.pdf</v>
      </c>
    </row>
    <row r="3465" spans="1:28" x14ac:dyDescent="0.25">
      <c r="A3465" t="s">
        <v>3469</v>
      </c>
      <c r="B3465">
        <v>0.99299721793515405</v>
      </c>
      <c r="C3465">
        <v>0.87410225230930705</v>
      </c>
      <c r="D3465">
        <v>0.95363909972777305</v>
      </c>
      <c r="E3465">
        <v>0.85384440775937898</v>
      </c>
      <c r="F3465">
        <v>0.67253490219192202</v>
      </c>
      <c r="G3465">
        <v>0.439892027065173</v>
      </c>
      <c r="H3465">
        <v>0.186409294130012</v>
      </c>
      <c r="I3465">
        <v>0.17197035937475999</v>
      </c>
      <c r="J3465">
        <v>0.158795029025356</v>
      </c>
      <c r="K3465">
        <v>9.0045944031632005E-2</v>
      </c>
      <c r="L3465">
        <v>780.392879243371</v>
      </c>
      <c r="M3465">
        <v>15.0267586558353</v>
      </c>
      <c r="N3465">
        <v>52.471488566425599</v>
      </c>
      <c r="O3465">
        <v>51.039839193299699</v>
      </c>
      <c r="P3465">
        <v>-6.8355593958488906E-2</v>
      </c>
      <c r="Q3465">
        <v>7.1387612595977507E-2</v>
      </c>
      <c r="R3465">
        <v>0.98351410602675704</v>
      </c>
      <c r="S3465" t="s">
        <v>9016</v>
      </c>
      <c r="T3465" t="s">
        <v>11100</v>
      </c>
      <c r="U3465" t="s">
        <v>11100</v>
      </c>
      <c r="V3465" t="s">
        <v>11100</v>
      </c>
      <c r="W3465" t="s">
        <v>14515</v>
      </c>
      <c r="X3465">
        <v>7</v>
      </c>
      <c r="Y3465" t="s">
        <v>19956</v>
      </c>
      <c r="Z3465" t="s">
        <v>25470</v>
      </c>
      <c r="AA3465">
        <v>0.55143847724891282</v>
      </c>
      <c r="AB3465" t="str">
        <f>HYPERLINK("Melting_Curves/meltCurve_Q6NYC1_JMJD6.pdf", "Melting_Curves/meltCurve_Q6NYC1_JMJD6.pdf")</f>
        <v>Melting_Curves/meltCurve_Q6NYC1_JMJD6.pdf</v>
      </c>
    </row>
    <row r="3466" spans="1:28" x14ac:dyDescent="0.25">
      <c r="A3466" t="s">
        <v>3470</v>
      </c>
      <c r="B3466">
        <v>0.99299721793515405</v>
      </c>
      <c r="C3466">
        <v>0.84339338027983601</v>
      </c>
      <c r="D3466">
        <v>0.95582025836527096</v>
      </c>
      <c r="E3466">
        <v>0.67063183452956399</v>
      </c>
      <c r="F3466">
        <v>0.59041855477289096</v>
      </c>
      <c r="G3466">
        <v>0.38579859962181201</v>
      </c>
      <c r="H3466">
        <v>0.233817550142146</v>
      </c>
      <c r="I3466">
        <v>0.262763124220184</v>
      </c>
      <c r="J3466">
        <v>0.24533397688572001</v>
      </c>
      <c r="K3466">
        <v>0.245624136815636</v>
      </c>
      <c r="L3466">
        <v>614.89080924574205</v>
      </c>
      <c r="M3466">
        <v>12.5697277016989</v>
      </c>
      <c r="N3466">
        <v>50.914556932309303</v>
      </c>
      <c r="O3466">
        <v>47.729773185393299</v>
      </c>
      <c r="P3466">
        <v>-5.3040080535632902E-2</v>
      </c>
      <c r="Q3466">
        <v>0.19454696262882101</v>
      </c>
      <c r="R3466">
        <v>0.96518543224363396</v>
      </c>
      <c r="S3466" t="s">
        <v>9017</v>
      </c>
      <c r="T3466" t="s">
        <v>11100</v>
      </c>
      <c r="U3466" t="s">
        <v>11100</v>
      </c>
      <c r="V3466" t="s">
        <v>11100</v>
      </c>
      <c r="W3466" t="s">
        <v>14516</v>
      </c>
      <c r="X3466">
        <v>5</v>
      </c>
      <c r="Y3466" t="s">
        <v>19957</v>
      </c>
      <c r="Z3466" t="s">
        <v>25471</v>
      </c>
      <c r="AA3466">
        <v>0.53711024996565659</v>
      </c>
      <c r="AB3466" t="str">
        <f>HYPERLINK("Melting_Curves/meltCurve_Q6NYC8_PPP1R18.pdf", "Melting_Curves/meltCurve_Q6NYC8_PPP1R18.pdf")</f>
        <v>Melting_Curves/meltCurve_Q6NYC8_PPP1R18.pdf</v>
      </c>
    </row>
    <row r="3467" spans="1:28" x14ac:dyDescent="0.25">
      <c r="A3467" t="s">
        <v>3471</v>
      </c>
      <c r="B3467">
        <v>0.99299721793515405</v>
      </c>
      <c r="C3467">
        <v>0.94580604676026403</v>
      </c>
      <c r="D3467">
        <v>0.88944731778622999</v>
      </c>
      <c r="E3467">
        <v>0.79023017560973396</v>
      </c>
      <c r="F3467">
        <v>0.56855164800906699</v>
      </c>
      <c r="G3467">
        <v>0.41126104169094901</v>
      </c>
      <c r="H3467">
        <v>0.29652668662779602</v>
      </c>
      <c r="I3467">
        <v>0.19745529677904999</v>
      </c>
      <c r="J3467">
        <v>0.12261183059914101</v>
      </c>
      <c r="K3467">
        <v>0.11741067440016</v>
      </c>
      <c r="L3467">
        <v>542.46694196072701</v>
      </c>
      <c r="M3467">
        <v>10.498206937504101</v>
      </c>
      <c r="N3467">
        <v>51.9719065060997</v>
      </c>
      <c r="O3467">
        <v>49.903049005761098</v>
      </c>
      <c r="P3467">
        <v>-5.10695730871603E-2</v>
      </c>
      <c r="Q3467">
        <v>2.93584522892128E-2</v>
      </c>
      <c r="R3467">
        <v>0.99820621445961399</v>
      </c>
      <c r="S3467" t="s">
        <v>9018</v>
      </c>
      <c r="T3467" t="s">
        <v>11100</v>
      </c>
      <c r="U3467" t="s">
        <v>11100</v>
      </c>
      <c r="V3467" t="s">
        <v>11100</v>
      </c>
      <c r="W3467" t="s">
        <v>14517</v>
      </c>
      <c r="X3467">
        <v>1</v>
      </c>
      <c r="Y3467" t="s">
        <v>19958</v>
      </c>
      <c r="Z3467" t="s">
        <v>25472</v>
      </c>
      <c r="AA3467">
        <v>0.53042005050272201</v>
      </c>
      <c r="AB3467" t="str">
        <f>HYPERLINK("Melting_Curves/meltCurve_Q6NZI2_PTRF.pdf", "Melting_Curves/meltCurve_Q6NZI2_PTRF.pdf")</f>
        <v>Melting_Curves/meltCurve_Q6NZI2_PTRF.pdf</v>
      </c>
    </row>
    <row r="3468" spans="1:28" x14ac:dyDescent="0.25">
      <c r="A3468" t="s">
        <v>3472</v>
      </c>
      <c r="B3468">
        <v>0.99299721793515405</v>
      </c>
      <c r="C3468">
        <v>0.76393896555352403</v>
      </c>
      <c r="D3468">
        <v>0.94997891680725299</v>
      </c>
      <c r="E3468">
        <v>0.87109913555545104</v>
      </c>
      <c r="F3468">
        <v>0.832740434639474</v>
      </c>
      <c r="G3468">
        <v>1.5271160418862399</v>
      </c>
      <c r="H3468">
        <v>0.88210263092017105</v>
      </c>
      <c r="I3468">
        <v>0.57806233764914905</v>
      </c>
      <c r="J3468">
        <v>0.41143904054258101</v>
      </c>
      <c r="K3468">
        <v>0.35107433336789301</v>
      </c>
      <c r="L3468">
        <v>2781.1830470126001</v>
      </c>
      <c r="M3468">
        <v>46.325561068423298</v>
      </c>
      <c r="N3468">
        <v>61.767229155063298</v>
      </c>
      <c r="O3468">
        <v>59.924052216572001</v>
      </c>
      <c r="P3468">
        <v>-0.123003521119535</v>
      </c>
      <c r="Q3468">
        <v>0.36355993276846099</v>
      </c>
      <c r="R3468">
        <v>0.61374724671558201</v>
      </c>
      <c r="S3468" t="s">
        <v>9019</v>
      </c>
      <c r="T3468" t="s">
        <v>11100</v>
      </c>
      <c r="U3468" t="s">
        <v>11100</v>
      </c>
      <c r="V3468" t="s">
        <v>11100</v>
      </c>
      <c r="W3468" t="s">
        <v>14518</v>
      </c>
      <c r="X3468">
        <v>6</v>
      </c>
      <c r="Y3468" t="s">
        <v>19959</v>
      </c>
      <c r="Z3468" t="s">
        <v>25473</v>
      </c>
      <c r="AA3468">
        <v>0.85392706706599009</v>
      </c>
      <c r="AB3468" t="str">
        <f>HYPERLINK("Melting_Curves/meltCurve_Q6NZY4_ZCCHC8.pdf", "Melting_Curves/meltCurve_Q6NZY4_ZCCHC8.pdf")</f>
        <v>Melting_Curves/meltCurve_Q6NZY4_ZCCHC8.pdf</v>
      </c>
    </row>
    <row r="3469" spans="1:28" x14ac:dyDescent="0.25">
      <c r="A3469" t="s">
        <v>3473</v>
      </c>
      <c r="B3469">
        <v>0.99299721793515405</v>
      </c>
      <c r="C3469">
        <v>0.84879005064827695</v>
      </c>
      <c r="D3469">
        <v>1.0475076714785401</v>
      </c>
      <c r="E3469">
        <v>0.974472065930167</v>
      </c>
      <c r="F3469">
        <v>0.80898228918603998</v>
      </c>
      <c r="G3469">
        <v>0.56908550622076204</v>
      </c>
      <c r="H3469">
        <v>0.43216110437522798</v>
      </c>
      <c r="I3469">
        <v>0.20180677044039699</v>
      </c>
      <c r="J3469">
        <v>0.13075286250366899</v>
      </c>
      <c r="K3469">
        <v>0.17820509751160801</v>
      </c>
      <c r="L3469">
        <v>888.60978232250898</v>
      </c>
      <c r="M3469">
        <v>16.303840857529998</v>
      </c>
      <c r="N3469">
        <v>55.248825174459199</v>
      </c>
      <c r="O3469">
        <v>53.702922832158201</v>
      </c>
      <c r="P3469">
        <v>-6.8407088796722207E-2</v>
      </c>
      <c r="Q3469">
        <v>9.8766221545664307E-2</v>
      </c>
      <c r="R3469">
        <v>0.97048296365294495</v>
      </c>
      <c r="S3469" t="s">
        <v>9020</v>
      </c>
      <c r="T3469" t="s">
        <v>11100</v>
      </c>
      <c r="U3469" t="s">
        <v>11100</v>
      </c>
      <c r="V3469" t="s">
        <v>11100</v>
      </c>
      <c r="W3469" t="s">
        <v>14519</v>
      </c>
      <c r="X3469">
        <v>2</v>
      </c>
      <c r="Y3469" t="s">
        <v>19960</v>
      </c>
      <c r="Z3469" t="s">
        <v>25474</v>
      </c>
      <c r="AA3469">
        <v>0.63753831814498518</v>
      </c>
      <c r="AB3469" t="str">
        <f>HYPERLINK("Melting_Curves/meltCurve_Q6P087_2_RPUSD3.pdf", "Melting_Curves/meltCurve_Q6P087_2_RPUSD3.pdf")</f>
        <v>Melting_Curves/meltCurve_Q6P087_2_RPUSD3.pdf</v>
      </c>
    </row>
    <row r="3470" spans="1:28" x14ac:dyDescent="0.25">
      <c r="A3470" t="s">
        <v>3474</v>
      </c>
      <c r="B3470">
        <v>0.99299721793515405</v>
      </c>
      <c r="C3470">
        <v>1.0086060213203301</v>
      </c>
      <c r="D3470">
        <v>0.95913864237822199</v>
      </c>
      <c r="E3470">
        <v>0.80938684610381695</v>
      </c>
      <c r="F3470">
        <v>0.97272596777252096</v>
      </c>
      <c r="G3470">
        <v>0.50927352017956995</v>
      </c>
      <c r="H3470">
        <v>0.79462294670907596</v>
      </c>
      <c r="I3470">
        <v>0.69839512090824696</v>
      </c>
      <c r="J3470">
        <v>0.70449912079430199</v>
      </c>
      <c r="K3470">
        <v>0.68519831519201002</v>
      </c>
      <c r="L3470">
        <v>771.03990585662098</v>
      </c>
      <c r="M3470">
        <v>15.9984321504141</v>
      </c>
      <c r="O3470">
        <v>47.460574880974498</v>
      </c>
      <c r="P3470">
        <v>-2.6649441023322899E-2</v>
      </c>
      <c r="Q3470">
        <v>0.68379437767626094</v>
      </c>
      <c r="R3470">
        <v>0.61481333263325699</v>
      </c>
      <c r="S3470" t="s">
        <v>9021</v>
      </c>
      <c r="T3470" t="s">
        <v>11100</v>
      </c>
      <c r="U3470" t="s">
        <v>11100</v>
      </c>
      <c r="V3470" t="s">
        <v>11100</v>
      </c>
      <c r="W3470" t="s">
        <v>14520</v>
      </c>
      <c r="X3470">
        <v>1</v>
      </c>
      <c r="Y3470" t="s">
        <v>19961</v>
      </c>
      <c r="Z3470" t="s">
        <v>25475</v>
      </c>
      <c r="AA3470">
        <v>0.80800738725973276</v>
      </c>
      <c r="AB3470" t="str">
        <f>HYPERLINK("Melting_Curves/meltCurve_Q6P161_MRPL54.pdf", "Melting_Curves/meltCurve_Q6P161_MRPL54.pdf")</f>
        <v>Melting_Curves/meltCurve_Q6P161_MRPL54.pdf</v>
      </c>
    </row>
    <row r="3471" spans="1:28" x14ac:dyDescent="0.25">
      <c r="A3471" t="s">
        <v>3475</v>
      </c>
      <c r="B3471">
        <v>0.99299721793515405</v>
      </c>
      <c r="C3471">
        <v>0.81652732293785002</v>
      </c>
      <c r="D3471">
        <v>0.90551370930427699</v>
      </c>
      <c r="E3471">
        <v>0.59570388518345996</v>
      </c>
      <c r="F3471">
        <v>0.49439238917714701</v>
      </c>
      <c r="G3471">
        <v>0.33330637537676899</v>
      </c>
      <c r="H3471">
        <v>0.26138829989204898</v>
      </c>
      <c r="I3471">
        <v>0.25325976179478299</v>
      </c>
      <c r="J3471">
        <v>0.30565372792496498</v>
      </c>
      <c r="K3471">
        <v>0.23053500983561001</v>
      </c>
      <c r="L3471">
        <v>599.50499543740796</v>
      </c>
      <c r="M3471">
        <v>12.7634634996455</v>
      </c>
      <c r="N3471">
        <v>49.2859623466085</v>
      </c>
      <c r="O3471">
        <v>45.862166540452201</v>
      </c>
      <c r="P3471">
        <v>-5.3896117610942998E-2</v>
      </c>
      <c r="Q3471">
        <v>0.22550056833784801</v>
      </c>
      <c r="R3471">
        <v>0.96434609036713403</v>
      </c>
      <c r="S3471" t="s">
        <v>9022</v>
      </c>
      <c r="T3471" t="s">
        <v>11100</v>
      </c>
      <c r="U3471" t="s">
        <v>11100</v>
      </c>
      <c r="V3471" t="s">
        <v>11100</v>
      </c>
      <c r="W3471" t="s">
        <v>14521</v>
      </c>
      <c r="X3471">
        <v>6</v>
      </c>
      <c r="Y3471" t="s">
        <v>19962</v>
      </c>
      <c r="Z3471" t="s">
        <v>25476</v>
      </c>
      <c r="AA3471">
        <v>0.50595951574462139</v>
      </c>
      <c r="AB3471" t="str">
        <f>HYPERLINK("Melting_Curves/meltCurve_Q6P1J9_CDC73.pdf", "Melting_Curves/meltCurve_Q6P1J9_CDC73.pdf")</f>
        <v>Melting_Curves/meltCurve_Q6P1J9_CDC73.pdf</v>
      </c>
    </row>
    <row r="3472" spans="1:28" x14ac:dyDescent="0.25">
      <c r="A3472" t="s">
        <v>3476</v>
      </c>
      <c r="B3472">
        <v>0.99299721793515405</v>
      </c>
      <c r="C3472">
        <v>0.91923778984718596</v>
      </c>
      <c r="D3472">
        <v>0.82488439478273001</v>
      </c>
      <c r="E3472">
        <v>0.86632258504412596</v>
      </c>
      <c r="F3472">
        <v>0.67510004904613996</v>
      </c>
      <c r="G3472">
        <v>0.37547112747628902</v>
      </c>
      <c r="H3472">
        <v>0.315636429259881</v>
      </c>
      <c r="I3472">
        <v>0.27464947983792898</v>
      </c>
      <c r="J3472">
        <v>0.242462005071062</v>
      </c>
      <c r="K3472">
        <v>0.22973972437381901</v>
      </c>
      <c r="L3472">
        <v>660.50662996792096</v>
      </c>
      <c r="M3472">
        <v>13.025539076365501</v>
      </c>
      <c r="N3472">
        <v>52.554992441000103</v>
      </c>
      <c r="O3472">
        <v>49.558003894869302</v>
      </c>
      <c r="P3472">
        <v>-5.3653379729573597E-2</v>
      </c>
      <c r="Q3472">
        <v>0.18360703238210399</v>
      </c>
      <c r="R3472">
        <v>0.96973645737142899</v>
      </c>
      <c r="S3472" t="s">
        <v>9023</v>
      </c>
      <c r="T3472" t="s">
        <v>11100</v>
      </c>
      <c r="U3472" t="s">
        <v>11100</v>
      </c>
      <c r="V3472" t="s">
        <v>11100</v>
      </c>
      <c r="W3472" t="s">
        <v>14522</v>
      </c>
      <c r="X3472">
        <v>5</v>
      </c>
      <c r="Y3472" t="s">
        <v>19963</v>
      </c>
      <c r="Z3472" t="s">
        <v>25477</v>
      </c>
      <c r="AA3472">
        <v>0.57652217315384113</v>
      </c>
      <c r="AB3472" t="str">
        <f>HYPERLINK("Melting_Curves/meltCurve_Q6P1K2_4_PMF1.pdf", "Melting_Curves/meltCurve_Q6P1K2_4_PMF1.pdf")</f>
        <v>Melting_Curves/meltCurve_Q6P1K2_4_PMF1.pdf</v>
      </c>
    </row>
    <row r="3473" spans="1:28" x14ac:dyDescent="0.25">
      <c r="A3473" t="s">
        <v>3477</v>
      </c>
      <c r="B3473">
        <v>0.99299721793515405</v>
      </c>
      <c r="C3473">
        <v>1.08810486229729</v>
      </c>
      <c r="D3473">
        <v>0.95837274630556402</v>
      </c>
      <c r="E3473">
        <v>0.85894039309063797</v>
      </c>
      <c r="F3473">
        <v>0.64487277045677904</v>
      </c>
      <c r="G3473">
        <v>0.18962805484557299</v>
      </c>
      <c r="H3473">
        <v>0.12498133382363499</v>
      </c>
      <c r="I3473">
        <v>0.38847142911216798</v>
      </c>
      <c r="J3473">
        <v>0.30957078253116599</v>
      </c>
      <c r="K3473">
        <v>0.25008338547540399</v>
      </c>
      <c r="L3473">
        <v>12555.000741280301</v>
      </c>
      <c r="M3473">
        <v>250</v>
      </c>
      <c r="N3473">
        <v>50.361703523478099</v>
      </c>
      <c r="O3473">
        <v>50.2167770041303</v>
      </c>
      <c r="P3473">
        <v>-0.93028275663012405</v>
      </c>
      <c r="Q3473">
        <v>0.25254699053817797</v>
      </c>
      <c r="R3473">
        <v>0.94204001332013698</v>
      </c>
      <c r="S3473" t="s">
        <v>9024</v>
      </c>
      <c r="T3473" t="s">
        <v>11100</v>
      </c>
      <c r="U3473" t="s">
        <v>11100</v>
      </c>
      <c r="V3473" t="s">
        <v>11100</v>
      </c>
      <c r="W3473" t="s">
        <v>14523</v>
      </c>
      <c r="X3473">
        <v>3</v>
      </c>
      <c r="Y3473" t="s">
        <v>19964</v>
      </c>
      <c r="Z3473" t="s">
        <v>25478</v>
      </c>
      <c r="AA3473">
        <v>0.58199056759685108</v>
      </c>
      <c r="AB3473" t="str">
        <f>HYPERLINK("Melting_Curves/meltCurve_Q6P1L5_FAM117B.pdf", "Melting_Curves/meltCurve_Q6P1L5_FAM117B.pdf")</f>
        <v>Melting_Curves/meltCurve_Q6P1L5_FAM117B.pdf</v>
      </c>
    </row>
    <row r="3474" spans="1:28" x14ac:dyDescent="0.25">
      <c r="A3474" t="s">
        <v>3478</v>
      </c>
      <c r="B3474">
        <v>0.99299721793515405</v>
      </c>
      <c r="C3474">
        <v>0.95179466762434695</v>
      </c>
      <c r="D3474">
        <v>1.05910161114053</v>
      </c>
      <c r="E3474">
        <v>0.91455210407254395</v>
      </c>
      <c r="F3474">
        <v>0.80563842235195804</v>
      </c>
      <c r="G3474">
        <v>0.61845966619142201</v>
      </c>
      <c r="H3474">
        <v>0.34236540237102198</v>
      </c>
      <c r="I3474">
        <v>0.25117697221684698</v>
      </c>
      <c r="J3474">
        <v>0.18627012878808699</v>
      </c>
      <c r="K3474">
        <v>0.133355825708173</v>
      </c>
      <c r="L3474">
        <v>871.55264472290105</v>
      </c>
      <c r="M3474">
        <v>16.0177825778018</v>
      </c>
      <c r="N3474">
        <v>55.195221838603103</v>
      </c>
      <c r="O3474">
        <v>53.584678235902999</v>
      </c>
      <c r="P3474">
        <v>-6.7135780594597405E-2</v>
      </c>
      <c r="Q3474">
        <v>0.101706350766332</v>
      </c>
      <c r="R3474">
        <v>0.99145077465031906</v>
      </c>
      <c r="S3474" t="s">
        <v>9025</v>
      </c>
      <c r="T3474" t="s">
        <v>11100</v>
      </c>
      <c r="U3474" t="s">
        <v>11100</v>
      </c>
      <c r="V3474" t="s">
        <v>11100</v>
      </c>
      <c r="W3474" t="s">
        <v>14524</v>
      </c>
      <c r="X3474">
        <v>5</v>
      </c>
      <c r="Y3474" t="s">
        <v>19965</v>
      </c>
      <c r="Z3474" t="s">
        <v>25479</v>
      </c>
      <c r="AA3474">
        <v>0.6362911170983131</v>
      </c>
      <c r="AB3474" t="str">
        <f>HYPERLINK("Melting_Curves/meltCurve_Q6P1L8_MRPL14.pdf", "Melting_Curves/meltCurve_Q6P1L8_MRPL14.pdf")</f>
        <v>Melting_Curves/meltCurve_Q6P1L8_MRPL14.pdf</v>
      </c>
    </row>
    <row r="3475" spans="1:28" x14ac:dyDescent="0.25">
      <c r="A3475" t="s">
        <v>3479</v>
      </c>
      <c r="B3475">
        <v>0.99299721793515405</v>
      </c>
      <c r="C3475">
        <v>0.92628867240102197</v>
      </c>
      <c r="D3475">
        <v>0.91854267533214795</v>
      </c>
      <c r="E3475">
        <v>0.802634907960602</v>
      </c>
      <c r="F3475">
        <v>0.67347612594356698</v>
      </c>
      <c r="G3475">
        <v>0.22211016287702501</v>
      </c>
      <c r="H3475">
        <v>0.15303914936670601</v>
      </c>
      <c r="I3475">
        <v>0.132511583491842</v>
      </c>
      <c r="J3475">
        <v>0.121933315973469</v>
      </c>
      <c r="K3475">
        <v>9.6339807100645394E-2</v>
      </c>
      <c r="L3475">
        <v>1002.3933996457901</v>
      </c>
      <c r="M3475">
        <v>19.813426268518</v>
      </c>
      <c r="N3475">
        <v>51.082027961256102</v>
      </c>
      <c r="O3475">
        <v>50.084705273387002</v>
      </c>
      <c r="P3475">
        <v>-9.0337335760566406E-2</v>
      </c>
      <c r="Q3475">
        <v>8.6605752671994302E-2</v>
      </c>
      <c r="R3475">
        <v>0.98008635181487203</v>
      </c>
      <c r="S3475" t="s">
        <v>9026</v>
      </c>
      <c r="T3475" t="s">
        <v>11100</v>
      </c>
      <c r="U3475" t="s">
        <v>11100</v>
      </c>
      <c r="V3475" t="s">
        <v>11100</v>
      </c>
      <c r="W3475" t="s">
        <v>14525</v>
      </c>
      <c r="X3475">
        <v>18</v>
      </c>
      <c r="Y3475" t="s">
        <v>19966</v>
      </c>
      <c r="Z3475" t="s">
        <v>25480</v>
      </c>
      <c r="AA3475">
        <v>0.51261193820627637</v>
      </c>
      <c r="AB3475" t="str">
        <f>HYPERLINK("Melting_Curves/meltCurve_Q6P1M0_SLC27A4.pdf", "Melting_Curves/meltCurve_Q6P1M0_SLC27A4.pdf")</f>
        <v>Melting_Curves/meltCurve_Q6P1M0_SLC27A4.pdf</v>
      </c>
    </row>
    <row r="3476" spans="1:28" x14ac:dyDescent="0.25">
      <c r="A3476" t="s">
        <v>3480</v>
      </c>
      <c r="B3476">
        <v>0.99299721793515405</v>
      </c>
      <c r="C3476">
        <v>0.95031326318674203</v>
      </c>
      <c r="D3476">
        <v>0.95250525746102899</v>
      </c>
      <c r="E3476">
        <v>0.85970677946181595</v>
      </c>
      <c r="F3476">
        <v>0.70259366900731901</v>
      </c>
      <c r="G3476">
        <v>0.294751961026886</v>
      </c>
      <c r="H3476">
        <v>0.20894625585916601</v>
      </c>
      <c r="I3476">
        <v>0.19361130316947101</v>
      </c>
      <c r="J3476">
        <v>0.18777279660031601</v>
      </c>
      <c r="K3476">
        <v>0.180128486823698</v>
      </c>
      <c r="L3476">
        <v>1258.5942695936501</v>
      </c>
      <c r="M3476">
        <v>24.764789952956299</v>
      </c>
      <c r="N3476">
        <v>51.698603421534003</v>
      </c>
      <c r="O3476">
        <v>50.494018015483199</v>
      </c>
      <c r="P3476">
        <v>-0.101590496967116</v>
      </c>
      <c r="Q3476">
        <v>0.17146232099322101</v>
      </c>
      <c r="R3476">
        <v>0.98945646006051402</v>
      </c>
      <c r="S3476" t="s">
        <v>9027</v>
      </c>
      <c r="T3476" t="s">
        <v>11100</v>
      </c>
      <c r="U3476" t="s">
        <v>11100</v>
      </c>
      <c r="V3476" t="s">
        <v>11100</v>
      </c>
      <c r="W3476" t="s">
        <v>14526</v>
      </c>
      <c r="X3476">
        <v>15</v>
      </c>
      <c r="Y3476" t="s">
        <v>19967</v>
      </c>
      <c r="Z3476" t="s">
        <v>25481</v>
      </c>
      <c r="AA3476">
        <v>0.56062548257004019</v>
      </c>
      <c r="AB3476" t="str">
        <f>HYPERLINK("Melting_Curves/meltCurve_Q6P1N0_CC2D1A.pdf", "Melting_Curves/meltCurve_Q6P1N0_CC2D1A.pdf")</f>
        <v>Melting_Curves/meltCurve_Q6P1N0_CC2D1A.pdf</v>
      </c>
    </row>
    <row r="3477" spans="1:28" x14ac:dyDescent="0.25">
      <c r="A3477" t="s">
        <v>3481</v>
      </c>
      <c r="B3477">
        <v>0.99299721793515405</v>
      </c>
      <c r="C3477">
        <v>1.03925540487667</v>
      </c>
      <c r="D3477">
        <v>1.20895186685375</v>
      </c>
      <c r="E3477">
        <v>1.0769406823041101</v>
      </c>
      <c r="F3477">
        <v>0.67071385075954204</v>
      </c>
      <c r="G3477">
        <v>0.31771975910844502</v>
      </c>
      <c r="H3477">
        <v>0.291242380538557</v>
      </c>
      <c r="I3477">
        <v>0.23561914622279001</v>
      </c>
      <c r="J3477">
        <v>0.274836169518341</v>
      </c>
      <c r="K3477">
        <v>0.236969177220301</v>
      </c>
      <c r="L3477">
        <v>2959.0554919985402</v>
      </c>
      <c r="M3477">
        <v>58.708686119322003</v>
      </c>
      <c r="N3477">
        <v>51.066873371978197</v>
      </c>
      <c r="O3477">
        <v>50.343965341242502</v>
      </c>
      <c r="P3477">
        <v>-0.21366965899899801</v>
      </c>
      <c r="Q3477">
        <v>0.267094953830878</v>
      </c>
      <c r="R3477">
        <v>0.96240443971971401</v>
      </c>
      <c r="S3477" t="s">
        <v>9028</v>
      </c>
      <c r="T3477" t="s">
        <v>11100</v>
      </c>
      <c r="U3477" t="s">
        <v>11100</v>
      </c>
      <c r="V3477" t="s">
        <v>11100</v>
      </c>
      <c r="W3477" t="s">
        <v>14527</v>
      </c>
      <c r="X3477">
        <v>10</v>
      </c>
      <c r="Y3477" t="s">
        <v>19968</v>
      </c>
      <c r="Z3477" t="s">
        <v>25482</v>
      </c>
      <c r="AA3477">
        <v>0.5956965554156527</v>
      </c>
      <c r="AB3477" t="str">
        <f>HYPERLINK("Melting_Curves/meltCurve_Q6P1Q9_METTL2B.pdf", "Melting_Curves/meltCurve_Q6P1Q9_METTL2B.pdf")</f>
        <v>Melting_Curves/meltCurve_Q6P1Q9_METTL2B.pdf</v>
      </c>
    </row>
    <row r="3478" spans="1:28" x14ac:dyDescent="0.25">
      <c r="A3478" t="s">
        <v>3482</v>
      </c>
      <c r="B3478">
        <v>0.99299721793515405</v>
      </c>
      <c r="C3478">
        <v>0.99458152470464301</v>
      </c>
      <c r="D3478">
        <v>0.90479973475097897</v>
      </c>
      <c r="E3478">
        <v>0.80472294978693004</v>
      </c>
      <c r="F3478">
        <v>0.45038262319000599</v>
      </c>
      <c r="G3478">
        <v>0.14138889726251699</v>
      </c>
      <c r="H3478">
        <v>0.125193518673758</v>
      </c>
      <c r="I3478">
        <v>0.116087521759378</v>
      </c>
      <c r="J3478">
        <v>0.117278286964307</v>
      </c>
      <c r="K3478">
        <v>0.106787637970683</v>
      </c>
      <c r="L3478">
        <v>1187.32814005553</v>
      </c>
      <c r="M3478">
        <v>24.2229021709459</v>
      </c>
      <c r="N3478">
        <v>49.468580080533599</v>
      </c>
      <c r="O3478">
        <v>48.686329167303597</v>
      </c>
      <c r="P3478">
        <v>-0.11204067223709301</v>
      </c>
      <c r="Q3478">
        <v>9.9237912203220202E-2</v>
      </c>
      <c r="R3478">
        <v>0.99446290467560705</v>
      </c>
      <c r="S3478" t="s">
        <v>9029</v>
      </c>
      <c r="T3478" t="s">
        <v>11100</v>
      </c>
      <c r="U3478" t="s">
        <v>11100</v>
      </c>
      <c r="V3478" t="s">
        <v>11100</v>
      </c>
      <c r="W3478" t="s">
        <v>14528</v>
      </c>
      <c r="X3478">
        <v>17</v>
      </c>
      <c r="Y3478" t="s">
        <v>19969</v>
      </c>
      <c r="Z3478" t="s">
        <v>25483</v>
      </c>
      <c r="AA3478">
        <v>0.46832248707545088</v>
      </c>
      <c r="AB3478" t="str">
        <f>HYPERLINK("Melting_Curves/meltCurve_Q6P1R4_DUS1L.pdf", "Melting_Curves/meltCurve_Q6P1R4_DUS1L.pdf")</f>
        <v>Melting_Curves/meltCurve_Q6P1R4_DUS1L.pdf</v>
      </c>
    </row>
    <row r="3479" spans="1:28" x14ac:dyDescent="0.25">
      <c r="A3479" t="s">
        <v>3483</v>
      </c>
      <c r="B3479">
        <v>0.99299721793515405</v>
      </c>
      <c r="C3479">
        <v>0.93544566644382598</v>
      </c>
      <c r="D3479">
        <v>0.99596321757482098</v>
      </c>
      <c r="E3479">
        <v>0.63364962234423605</v>
      </c>
      <c r="F3479">
        <v>0.61393906426053402</v>
      </c>
      <c r="G3479">
        <v>0.31502729025085202</v>
      </c>
      <c r="H3479">
        <v>0.29527108430427401</v>
      </c>
      <c r="I3479">
        <v>0.26076112241991301</v>
      </c>
      <c r="J3479">
        <v>0.24534780808284901</v>
      </c>
      <c r="K3479">
        <v>0.18004730984508099</v>
      </c>
      <c r="L3479">
        <v>695.01418400795296</v>
      </c>
      <c r="M3479">
        <v>14.199941123779</v>
      </c>
      <c r="N3479">
        <v>50.724475941275998</v>
      </c>
      <c r="O3479">
        <v>48.004846628805602</v>
      </c>
      <c r="P3479">
        <v>-5.9450008559275201E-2</v>
      </c>
      <c r="Q3479">
        <v>0.19618503096103801</v>
      </c>
      <c r="R3479">
        <v>0.96635252118996695</v>
      </c>
      <c r="S3479" t="s">
        <v>9030</v>
      </c>
      <c r="T3479" t="s">
        <v>11100</v>
      </c>
      <c r="U3479" t="s">
        <v>11100</v>
      </c>
      <c r="V3479" t="s">
        <v>11100</v>
      </c>
      <c r="W3479" t="s">
        <v>14529</v>
      </c>
      <c r="X3479">
        <v>2</v>
      </c>
      <c r="Y3479" t="s">
        <v>19970</v>
      </c>
      <c r="Z3479" t="s">
        <v>25484</v>
      </c>
      <c r="AA3479">
        <v>0.53508218600483981</v>
      </c>
      <c r="AB3479" t="str">
        <f>HYPERLINK("Melting_Curves/meltCurve_Q6P2C8_2_MED27.pdf", "Melting_Curves/meltCurve_Q6P2C8_2_MED27.pdf")</f>
        <v>Melting_Curves/meltCurve_Q6P2C8_2_MED27.pdf</v>
      </c>
    </row>
    <row r="3480" spans="1:28" x14ac:dyDescent="0.25">
      <c r="A3480" t="s">
        <v>3484</v>
      </c>
      <c r="B3480">
        <v>0.99299721793515405</v>
      </c>
      <c r="C3480">
        <v>0.98118024194417697</v>
      </c>
      <c r="D3480">
        <v>0.98885800851388805</v>
      </c>
      <c r="E3480">
        <v>0.81672844652147303</v>
      </c>
      <c r="F3480">
        <v>0.62708024484015001</v>
      </c>
      <c r="G3480">
        <v>0.49893777185765897</v>
      </c>
      <c r="H3480">
        <v>0.29353501409688498</v>
      </c>
      <c r="I3480">
        <v>0.22054953031257199</v>
      </c>
      <c r="J3480">
        <v>0.16971085509000799</v>
      </c>
      <c r="K3480">
        <v>0.149547677988176</v>
      </c>
      <c r="L3480">
        <v>660.25987036436402</v>
      </c>
      <c r="M3480">
        <v>12.670878463017999</v>
      </c>
      <c r="N3480">
        <v>53.001198759667801</v>
      </c>
      <c r="O3480">
        <v>50.861649206044198</v>
      </c>
      <c r="P3480">
        <v>-5.6307218447870101E-2</v>
      </c>
      <c r="Q3480">
        <v>9.6094202567092904E-2</v>
      </c>
      <c r="R3480">
        <v>0.99542114405551696</v>
      </c>
      <c r="S3480" t="s">
        <v>9031</v>
      </c>
      <c r="T3480" t="s">
        <v>11100</v>
      </c>
      <c r="U3480" t="s">
        <v>11100</v>
      </c>
      <c r="V3480" t="s">
        <v>11100</v>
      </c>
      <c r="W3480" t="s">
        <v>14530</v>
      </c>
      <c r="X3480">
        <v>24</v>
      </c>
      <c r="Y3480" t="s">
        <v>19971</v>
      </c>
      <c r="Z3480" t="s">
        <v>25485</v>
      </c>
      <c r="AA3480">
        <v>0.5716344974226274</v>
      </c>
      <c r="AB3480" t="str">
        <f>HYPERLINK("Melting_Curves/meltCurve_Q6P2E9_EDC4.pdf", "Melting_Curves/meltCurve_Q6P2E9_EDC4.pdf")</f>
        <v>Melting_Curves/meltCurve_Q6P2E9_EDC4.pdf</v>
      </c>
    </row>
    <row r="3481" spans="1:28" x14ac:dyDescent="0.25">
      <c r="A3481" t="s">
        <v>3485</v>
      </c>
      <c r="B3481">
        <v>0.99299721793515405</v>
      </c>
      <c r="C3481">
        <v>0.85764576394288605</v>
      </c>
      <c r="D3481">
        <v>0.760191280167829</v>
      </c>
      <c r="E3481">
        <v>0.66152529155336004</v>
      </c>
      <c r="F3481">
        <v>0.41575325758652198</v>
      </c>
      <c r="G3481">
        <v>0.23162882563690701</v>
      </c>
      <c r="H3481">
        <v>0.20725546619982699</v>
      </c>
      <c r="I3481">
        <v>0.14519155303025</v>
      </c>
      <c r="J3481">
        <v>0.16763211798029901</v>
      </c>
      <c r="K3481">
        <v>0.123599240624541</v>
      </c>
      <c r="L3481">
        <v>532.46338512653097</v>
      </c>
      <c r="M3481">
        <v>11.1888760088714</v>
      </c>
      <c r="N3481">
        <v>48.417011947321903</v>
      </c>
      <c r="O3481">
        <v>46.144433730944499</v>
      </c>
      <c r="P3481">
        <v>-5.5355634818776998E-2</v>
      </c>
      <c r="Q3481">
        <v>8.7112017726787699E-2</v>
      </c>
      <c r="R3481">
        <v>0.98794703043230703</v>
      </c>
      <c r="S3481" t="s">
        <v>9032</v>
      </c>
      <c r="T3481" t="s">
        <v>11100</v>
      </c>
      <c r="U3481" t="s">
        <v>11100</v>
      </c>
      <c r="V3481" t="s">
        <v>11100</v>
      </c>
      <c r="W3481" t="s">
        <v>14531</v>
      </c>
      <c r="X3481">
        <v>8</v>
      </c>
      <c r="Y3481" t="s">
        <v>19972</v>
      </c>
      <c r="Z3481" t="s">
        <v>25486</v>
      </c>
      <c r="AA3481">
        <v>0.44166500208010012</v>
      </c>
      <c r="AB3481" t="str">
        <f>HYPERLINK("Melting_Curves/meltCurve_Q6P2H3_2_CEP85.pdf", "Melting_Curves/meltCurve_Q6P2H3_2_CEP85.pdf")</f>
        <v>Melting_Curves/meltCurve_Q6P2H3_2_CEP85.pdf</v>
      </c>
    </row>
    <row r="3482" spans="1:28" x14ac:dyDescent="0.25">
      <c r="A3482" t="s">
        <v>3486</v>
      </c>
      <c r="B3482">
        <v>0.99299721793515405</v>
      </c>
      <c r="C3482">
        <v>0.91075785724298197</v>
      </c>
      <c r="D3482">
        <v>0.96462134357729401</v>
      </c>
      <c r="E3482">
        <v>0.80530497019170699</v>
      </c>
      <c r="F3482">
        <v>0.74928003512165398</v>
      </c>
      <c r="G3482">
        <v>0.535884457505446</v>
      </c>
      <c r="H3482">
        <v>0.21095541203866</v>
      </c>
      <c r="I3482">
        <v>0.173266582366225</v>
      </c>
      <c r="J3482">
        <v>0.18745723446256901</v>
      </c>
      <c r="K3482">
        <v>0.14812494313899899</v>
      </c>
      <c r="L3482">
        <v>754.63602177172004</v>
      </c>
      <c r="M3482">
        <v>14.3162572640801</v>
      </c>
      <c r="N3482">
        <v>53.410380925914801</v>
      </c>
      <c r="O3482">
        <v>51.715339761814597</v>
      </c>
      <c r="P3482">
        <v>-6.3305876150138898E-2</v>
      </c>
      <c r="Q3482">
        <v>8.5378987150544705E-2</v>
      </c>
      <c r="R3482">
        <v>0.97523590366509005</v>
      </c>
      <c r="S3482" t="s">
        <v>9033</v>
      </c>
      <c r="T3482" t="s">
        <v>11100</v>
      </c>
      <c r="U3482" t="s">
        <v>11100</v>
      </c>
      <c r="V3482" t="s">
        <v>11100</v>
      </c>
      <c r="W3482" t="s">
        <v>14532</v>
      </c>
      <c r="X3482">
        <v>5</v>
      </c>
      <c r="Y3482" t="s">
        <v>19973</v>
      </c>
      <c r="Z3482" t="s">
        <v>25487</v>
      </c>
      <c r="AA3482">
        <v>0.58186542568689315</v>
      </c>
      <c r="AB3482" t="str">
        <f>HYPERLINK("Melting_Curves/meltCurve_Q6P2P2_PRMT10.pdf", "Melting_Curves/meltCurve_Q6P2P2_PRMT10.pdf")</f>
        <v>Melting_Curves/meltCurve_Q6P2P2_PRMT10.pdf</v>
      </c>
    </row>
    <row r="3483" spans="1:28" x14ac:dyDescent="0.25">
      <c r="A3483" t="s">
        <v>3487</v>
      </c>
      <c r="B3483">
        <v>0.99299721793515405</v>
      </c>
      <c r="C3483">
        <v>1.06918415790426</v>
      </c>
      <c r="D3483">
        <v>0.931398235776979</v>
      </c>
      <c r="E3483">
        <v>0.85132949488486898</v>
      </c>
      <c r="F3483">
        <v>0.68057504154687398</v>
      </c>
      <c r="G3483">
        <v>0.45014814538368603</v>
      </c>
      <c r="H3483">
        <v>0.39157067368584098</v>
      </c>
      <c r="I3483">
        <v>0.32619343387143102</v>
      </c>
      <c r="J3483">
        <v>0.26314950792188402</v>
      </c>
      <c r="K3483">
        <v>0.15494585822503701</v>
      </c>
      <c r="L3483">
        <v>656.70404734998294</v>
      </c>
      <c r="M3483">
        <v>12.623248210686</v>
      </c>
      <c r="N3483">
        <v>53.773445207090397</v>
      </c>
      <c r="O3483">
        <v>50.769594446093301</v>
      </c>
      <c r="P3483">
        <v>-5.1699043310801801E-2</v>
      </c>
      <c r="Q3483">
        <v>0.16844869609105001</v>
      </c>
      <c r="R3483">
        <v>0.98288621778992202</v>
      </c>
      <c r="S3483" t="s">
        <v>9034</v>
      </c>
      <c r="T3483" t="s">
        <v>11100</v>
      </c>
      <c r="U3483" t="s">
        <v>11100</v>
      </c>
      <c r="V3483" t="s">
        <v>11100</v>
      </c>
      <c r="W3483" t="s">
        <v>14533</v>
      </c>
      <c r="X3483">
        <v>1</v>
      </c>
      <c r="Y3483" t="s">
        <v>19974</v>
      </c>
      <c r="Z3483" t="s">
        <v>25488</v>
      </c>
      <c r="AA3483">
        <v>0.60377612818775528</v>
      </c>
      <c r="AB3483" t="str">
        <f>HYPERLINK("Melting_Curves/meltCurve_Q6P3S6_FBXO42.pdf", "Melting_Curves/meltCurve_Q6P3S6_FBXO42.pdf")</f>
        <v>Melting_Curves/meltCurve_Q6P3S6_FBXO42.pdf</v>
      </c>
    </row>
    <row r="3484" spans="1:28" x14ac:dyDescent="0.25">
      <c r="A3484" t="s">
        <v>3488</v>
      </c>
      <c r="B3484">
        <v>0.99299721793515405</v>
      </c>
      <c r="C3484">
        <v>1.0328119636752799</v>
      </c>
      <c r="D3484">
        <v>0.93679032825580599</v>
      </c>
      <c r="E3484">
        <v>0.8859691925905</v>
      </c>
      <c r="F3484">
        <v>0.73985675650837801</v>
      </c>
      <c r="G3484">
        <v>0.59656665408056397</v>
      </c>
      <c r="H3484">
        <v>0.39673120035461301</v>
      </c>
      <c r="I3484">
        <v>0.245671382440495</v>
      </c>
      <c r="J3484">
        <v>0.18461051041052201</v>
      </c>
      <c r="K3484">
        <v>0.14668829839629599</v>
      </c>
      <c r="L3484">
        <v>624.21747549533904</v>
      </c>
      <c r="M3484">
        <v>11.350548214585499</v>
      </c>
      <c r="N3484">
        <v>55.227808995896098</v>
      </c>
      <c r="O3484">
        <v>53.370439603836701</v>
      </c>
      <c r="P3484">
        <v>-5.1939377665463402E-2</v>
      </c>
      <c r="Q3484">
        <v>2.3413174488242799E-2</v>
      </c>
      <c r="R3484">
        <v>0.99647466562112996</v>
      </c>
      <c r="S3484" t="s">
        <v>9035</v>
      </c>
      <c r="T3484" t="s">
        <v>11100</v>
      </c>
      <c r="U3484" t="s">
        <v>11100</v>
      </c>
      <c r="V3484" t="s">
        <v>11100</v>
      </c>
      <c r="W3484" t="s">
        <v>14534</v>
      </c>
      <c r="X3484">
        <v>4</v>
      </c>
      <c r="Y3484" t="s">
        <v>19975</v>
      </c>
      <c r="Z3484" t="s">
        <v>25489</v>
      </c>
      <c r="AA3484">
        <v>0.62267612270126638</v>
      </c>
      <c r="AB3484" t="str">
        <f>HYPERLINK("Melting_Curves/meltCurve_Q6P3W7_SCYL2.pdf", "Melting_Curves/meltCurve_Q6P3W7_SCYL2.pdf")</f>
        <v>Melting_Curves/meltCurve_Q6P3W7_SCYL2.pdf</v>
      </c>
    </row>
    <row r="3485" spans="1:28" x14ac:dyDescent="0.25">
      <c r="A3485" t="s">
        <v>3489</v>
      </c>
      <c r="B3485">
        <v>0.99299721793515405</v>
      </c>
      <c r="C3485">
        <v>0.94872773400486998</v>
      </c>
      <c r="D3485">
        <v>0.91199386334501997</v>
      </c>
      <c r="E3485">
        <v>0.86968019461766199</v>
      </c>
      <c r="F3485">
        <v>0.59748461113880602</v>
      </c>
      <c r="G3485">
        <v>0.27837593430846902</v>
      </c>
      <c r="H3485">
        <v>0.20584724526287401</v>
      </c>
      <c r="I3485">
        <v>0.19294316278519799</v>
      </c>
      <c r="J3485">
        <v>0.185828817638099</v>
      </c>
      <c r="K3485">
        <v>0.144762095801477</v>
      </c>
      <c r="L3485">
        <v>1099.7853847563199</v>
      </c>
      <c r="M3485">
        <v>21.9396879761007</v>
      </c>
      <c r="N3485">
        <v>51.018054864226201</v>
      </c>
      <c r="O3485">
        <v>49.716787584745298</v>
      </c>
      <c r="P3485">
        <v>-9.2777457405733399E-2</v>
      </c>
      <c r="Q3485">
        <v>0.15905950442498301</v>
      </c>
      <c r="R3485">
        <v>0.99203067172220405</v>
      </c>
      <c r="S3485" t="s">
        <v>9036</v>
      </c>
      <c r="T3485" t="s">
        <v>11100</v>
      </c>
      <c r="U3485" t="s">
        <v>11100</v>
      </c>
      <c r="V3485" t="s">
        <v>11100</v>
      </c>
      <c r="W3485" t="s">
        <v>14535</v>
      </c>
      <c r="X3485">
        <v>7</v>
      </c>
      <c r="Y3485" t="s">
        <v>19976</v>
      </c>
      <c r="Z3485" t="s">
        <v>25490</v>
      </c>
      <c r="AA3485">
        <v>0.5364347588288384</v>
      </c>
      <c r="AB3485" t="str">
        <f>HYPERLINK("Melting_Curves/meltCurve_Q6P3X3_TTC27.pdf", "Melting_Curves/meltCurve_Q6P3X3_TTC27.pdf")</f>
        <v>Melting_Curves/meltCurve_Q6P3X3_TTC27.pdf</v>
      </c>
    </row>
    <row r="3486" spans="1:28" x14ac:dyDescent="0.25">
      <c r="A3486" t="s">
        <v>3490</v>
      </c>
      <c r="B3486">
        <v>0.99299721793515405</v>
      </c>
      <c r="C3486">
        <v>0.93713563691857105</v>
      </c>
      <c r="D3486">
        <v>0.93173798405811203</v>
      </c>
      <c r="E3486">
        <v>0.80601614671867206</v>
      </c>
      <c r="F3486">
        <v>0.52329303371901004</v>
      </c>
      <c r="G3486">
        <v>0.27630593108337898</v>
      </c>
      <c r="H3486">
        <v>0.27038132265916698</v>
      </c>
      <c r="I3486">
        <v>0.27537586812954201</v>
      </c>
      <c r="J3486">
        <v>0.29538794646416999</v>
      </c>
      <c r="K3486">
        <v>0.22047198690695299</v>
      </c>
      <c r="L3486">
        <v>1105.90219571239</v>
      </c>
      <c r="M3486">
        <v>22.717112066975002</v>
      </c>
      <c r="N3486">
        <v>50.204211533795899</v>
      </c>
      <c r="O3486">
        <v>48.308956199437098</v>
      </c>
      <c r="P3486">
        <v>-8.8293952995229699E-2</v>
      </c>
      <c r="Q3486">
        <v>0.24897088168890799</v>
      </c>
      <c r="R3486">
        <v>0.98888554412593599</v>
      </c>
      <c r="S3486" t="s">
        <v>9037</v>
      </c>
      <c r="T3486" t="s">
        <v>11100</v>
      </c>
      <c r="U3486" t="s">
        <v>11100</v>
      </c>
      <c r="V3486" t="s">
        <v>11100</v>
      </c>
      <c r="W3486" t="s">
        <v>14536</v>
      </c>
      <c r="X3486">
        <v>3</v>
      </c>
      <c r="Y3486" t="s">
        <v>19977</v>
      </c>
      <c r="Z3486" t="s">
        <v>25491</v>
      </c>
      <c r="AA3486">
        <v>0.54918729981485082</v>
      </c>
      <c r="AB3486" t="str">
        <f>HYPERLINK("Melting_Curves/meltCurve_Q6P444_MTFR2.pdf", "Melting_Curves/meltCurve_Q6P444_MTFR2.pdf")</f>
        <v>Melting_Curves/meltCurve_Q6P444_MTFR2.pdf</v>
      </c>
    </row>
    <row r="3487" spans="1:28" x14ac:dyDescent="0.25">
      <c r="A3487" t="s">
        <v>3491</v>
      </c>
      <c r="B3487">
        <v>0.99299721793515405</v>
      </c>
      <c r="C3487">
        <v>1.0313632800629999</v>
      </c>
      <c r="D3487">
        <v>0.94426760657304898</v>
      </c>
      <c r="E3487">
        <v>0.84447690543572895</v>
      </c>
      <c r="F3487">
        <v>0.73395926898431196</v>
      </c>
      <c r="G3487">
        <v>0.59939548255576802</v>
      </c>
      <c r="H3487">
        <v>0.66023007612772999</v>
      </c>
      <c r="I3487">
        <v>0.78167067400807</v>
      </c>
      <c r="J3487">
        <v>0.77645344979645803</v>
      </c>
      <c r="K3487">
        <v>0.40087194057846098</v>
      </c>
      <c r="L3487">
        <v>1021.02899943025</v>
      </c>
      <c r="M3487">
        <v>21.656690027682501</v>
      </c>
      <c r="O3487">
        <v>46.749658079133702</v>
      </c>
      <c r="P3487">
        <v>-4.1685513053781098E-2</v>
      </c>
      <c r="Q3487">
        <v>0.64006739348334496</v>
      </c>
      <c r="R3487">
        <v>0.69491418912388303</v>
      </c>
      <c r="S3487" t="s">
        <v>9038</v>
      </c>
      <c r="T3487" t="s">
        <v>11100</v>
      </c>
      <c r="U3487" t="s">
        <v>11100</v>
      </c>
      <c r="V3487" t="s">
        <v>11100</v>
      </c>
      <c r="W3487" t="s">
        <v>14537</v>
      </c>
      <c r="X3487">
        <v>6</v>
      </c>
      <c r="Y3487" t="s">
        <v>19978</v>
      </c>
      <c r="Z3487" t="s">
        <v>25492</v>
      </c>
      <c r="AA3487">
        <v>0.76583073313810812</v>
      </c>
      <c r="AB3487" t="str">
        <f>HYPERLINK("Melting_Curves/meltCurve_Q6P4A7_SFXN4.pdf", "Melting_Curves/meltCurve_Q6P4A7_SFXN4.pdf")</f>
        <v>Melting_Curves/meltCurve_Q6P4A7_SFXN4.pdf</v>
      </c>
    </row>
    <row r="3488" spans="1:28" x14ac:dyDescent="0.25">
      <c r="A3488" t="s">
        <v>3492</v>
      </c>
      <c r="B3488">
        <v>0.99299721793515405</v>
      </c>
      <c r="C3488">
        <v>0.97882194166594105</v>
      </c>
      <c r="D3488">
        <v>0.92386389574398398</v>
      </c>
      <c r="E3488">
        <v>0.82493670835672395</v>
      </c>
      <c r="F3488">
        <v>0.75000964493891598</v>
      </c>
      <c r="G3488">
        <v>0.53097580024665603</v>
      </c>
      <c r="H3488">
        <v>0.56421047110030598</v>
      </c>
      <c r="I3488">
        <v>0.63740416692354895</v>
      </c>
      <c r="J3488">
        <v>0.67223448481635395</v>
      </c>
      <c r="K3488">
        <v>0.55704742471082502</v>
      </c>
      <c r="L3488">
        <v>908.690533655384</v>
      </c>
      <c r="M3488">
        <v>19.215601609278899</v>
      </c>
      <c r="O3488">
        <v>46.7859785004947</v>
      </c>
      <c r="P3488">
        <v>-4.2050478851840101E-2</v>
      </c>
      <c r="Q3488">
        <v>0.59047905924269095</v>
      </c>
      <c r="R3488">
        <v>0.91561127706477197</v>
      </c>
      <c r="S3488" t="s">
        <v>9039</v>
      </c>
      <c r="T3488" t="s">
        <v>11100</v>
      </c>
      <c r="U3488" t="s">
        <v>11100</v>
      </c>
      <c r="V3488" t="s">
        <v>11100</v>
      </c>
      <c r="W3488" t="s">
        <v>14538</v>
      </c>
      <c r="X3488">
        <v>9</v>
      </c>
      <c r="Y3488" t="s">
        <v>19979</v>
      </c>
      <c r="Z3488" t="s">
        <v>25493</v>
      </c>
      <c r="AA3488">
        <v>0.73673112920555639</v>
      </c>
      <c r="AB3488" t="str">
        <f>HYPERLINK("Melting_Curves/meltCurve_Q6P4E1_CASC4.pdf", "Melting_Curves/meltCurve_Q6P4E1_CASC4.pdf")</f>
        <v>Melting_Curves/meltCurve_Q6P4E1_CASC4.pdf</v>
      </c>
    </row>
    <row r="3489" spans="1:28" x14ac:dyDescent="0.25">
      <c r="A3489" t="s">
        <v>3493</v>
      </c>
      <c r="B3489">
        <v>0.99299721793515405</v>
      </c>
      <c r="C3489">
        <v>0.95216914102721595</v>
      </c>
      <c r="D3489">
        <v>1.0219515753844099</v>
      </c>
      <c r="E3489">
        <v>0.88417964486544698</v>
      </c>
      <c r="F3489">
        <v>0.66663641282628405</v>
      </c>
      <c r="G3489">
        <v>0.48815743154692998</v>
      </c>
      <c r="H3489">
        <v>0.55459666713227596</v>
      </c>
      <c r="I3489">
        <v>0.782337129939223</v>
      </c>
      <c r="J3489">
        <v>0.83328915454874997</v>
      </c>
      <c r="K3489">
        <v>0.75586159270485298</v>
      </c>
      <c r="L3489">
        <v>11676.3869057876</v>
      </c>
      <c r="M3489">
        <v>250</v>
      </c>
      <c r="O3489">
        <v>46.702559294813398</v>
      </c>
      <c r="P3489">
        <v>-0.42804614450119599</v>
      </c>
      <c r="Q3489">
        <v>0.68014639680283495</v>
      </c>
      <c r="R3489">
        <v>0.677018096655015</v>
      </c>
      <c r="S3489" t="s">
        <v>9040</v>
      </c>
      <c r="T3489" t="s">
        <v>11100</v>
      </c>
      <c r="U3489" t="s">
        <v>11100</v>
      </c>
      <c r="V3489" t="s">
        <v>11100</v>
      </c>
      <c r="W3489" t="s">
        <v>14539</v>
      </c>
      <c r="X3489">
        <v>4</v>
      </c>
      <c r="Y3489" t="s">
        <v>19980</v>
      </c>
      <c r="Z3489" t="s">
        <v>25494</v>
      </c>
      <c r="AA3489">
        <v>0.78365109368153574</v>
      </c>
      <c r="AB3489" t="str">
        <f>HYPERLINK("Melting_Curves/meltCurve_Q6P4F2_FDX1L.pdf", "Melting_Curves/meltCurve_Q6P4F2_FDX1L.pdf")</f>
        <v>Melting_Curves/meltCurve_Q6P4F2_FDX1L.pdf</v>
      </c>
    </row>
    <row r="3490" spans="1:28" x14ac:dyDescent="0.25">
      <c r="A3490" t="s">
        <v>3494</v>
      </c>
      <c r="B3490">
        <v>0.99299721793515405</v>
      </c>
      <c r="C3490">
        <v>0.91126147420221304</v>
      </c>
      <c r="D3490">
        <v>0.86956147109653104</v>
      </c>
      <c r="E3490">
        <v>0.83396013042775097</v>
      </c>
      <c r="F3490">
        <v>0.709639800169926</v>
      </c>
      <c r="G3490">
        <v>0.56877809014418301</v>
      </c>
      <c r="H3490">
        <v>0.38975878127400998</v>
      </c>
      <c r="I3490">
        <v>0.36521357268007398</v>
      </c>
      <c r="J3490">
        <v>0.185542635294387</v>
      </c>
      <c r="K3490">
        <v>0.14534072022663599</v>
      </c>
      <c r="L3490">
        <v>469.01766719153102</v>
      </c>
      <c r="M3490">
        <v>8.5259238526377992</v>
      </c>
      <c r="N3490">
        <v>55.010778846910299</v>
      </c>
      <c r="O3490">
        <v>52.234941331971399</v>
      </c>
      <c r="P3490">
        <v>-4.0842003521224003E-2</v>
      </c>
      <c r="Q3490">
        <v>0</v>
      </c>
      <c r="R3490">
        <v>0.98492804514063204</v>
      </c>
      <c r="S3490" t="s">
        <v>9041</v>
      </c>
      <c r="T3490" t="s">
        <v>11100</v>
      </c>
      <c r="U3490" t="s">
        <v>11100</v>
      </c>
      <c r="V3490" t="s">
        <v>11100</v>
      </c>
      <c r="W3490" t="s">
        <v>14540</v>
      </c>
      <c r="X3490">
        <v>10</v>
      </c>
      <c r="Y3490" t="s">
        <v>19981</v>
      </c>
      <c r="Z3490" t="s">
        <v>25495</v>
      </c>
      <c r="AA3490">
        <v>0.60892006277866628</v>
      </c>
      <c r="AB3490" t="str">
        <f>HYPERLINK("Melting_Curves/meltCurve_Q6P4I2_WDR73.pdf", "Melting_Curves/meltCurve_Q6P4I2_WDR73.pdf")</f>
        <v>Melting_Curves/meltCurve_Q6P4I2_WDR73.pdf</v>
      </c>
    </row>
    <row r="3491" spans="1:28" x14ac:dyDescent="0.25">
      <c r="A3491" t="s">
        <v>3495</v>
      </c>
      <c r="B3491">
        <v>0.99299721793515405</v>
      </c>
      <c r="C3491">
        <v>0.85322595166994497</v>
      </c>
      <c r="D3491">
        <v>1.03716807870552</v>
      </c>
      <c r="E3491">
        <v>0.75631330762451299</v>
      </c>
      <c r="F3491">
        <v>0.67416373926883899</v>
      </c>
      <c r="G3491">
        <v>0.84217230825728895</v>
      </c>
      <c r="H3491">
        <v>1.04901250286933</v>
      </c>
      <c r="I3491">
        <v>1.10909174458077</v>
      </c>
      <c r="J3491">
        <v>1.0410909593025199</v>
      </c>
      <c r="K3491">
        <v>1.5452570081543699</v>
      </c>
      <c r="L3491">
        <v>15000</v>
      </c>
      <c r="M3491">
        <v>231.60332877527301</v>
      </c>
      <c r="O3491">
        <v>64.761079449624503</v>
      </c>
      <c r="P3491">
        <v>0.44703418166973202</v>
      </c>
      <c r="Q3491">
        <v>1.5</v>
      </c>
      <c r="R3491">
        <v>0.56289068984281498</v>
      </c>
      <c r="S3491" t="s">
        <v>9042</v>
      </c>
      <c r="T3491" t="s">
        <v>11100</v>
      </c>
      <c r="U3491" t="s">
        <v>11100</v>
      </c>
      <c r="V3491" t="s">
        <v>11100</v>
      </c>
      <c r="W3491" t="s">
        <v>14541</v>
      </c>
      <c r="X3491">
        <v>2</v>
      </c>
      <c r="Y3491" t="s">
        <v>19982</v>
      </c>
      <c r="Z3491" t="s">
        <v>25496</v>
      </c>
      <c r="AA3491">
        <v>1.037170864610802</v>
      </c>
      <c r="AB3491" t="str">
        <f>HYPERLINK("Melting_Curves/meltCurve_Q6P4R8_3_NFRKB.pdf", "Melting_Curves/meltCurve_Q6P4R8_3_NFRKB.pdf")</f>
        <v>Melting_Curves/meltCurve_Q6P4R8_3_NFRKB.pdf</v>
      </c>
    </row>
    <row r="3492" spans="1:28" x14ac:dyDescent="0.25">
      <c r="A3492" t="s">
        <v>3496</v>
      </c>
      <c r="B3492">
        <v>0.99299721793515405</v>
      </c>
      <c r="C3492">
        <v>0.852639483787066</v>
      </c>
      <c r="D3492">
        <v>0.82931155232983</v>
      </c>
      <c r="E3492">
        <v>0.93180564134960897</v>
      </c>
      <c r="F3492">
        <v>0.73908809445141499</v>
      </c>
      <c r="G3492">
        <v>0.81021175732158102</v>
      </c>
      <c r="H3492">
        <v>0.55673838842879497</v>
      </c>
      <c r="I3492">
        <v>0.55225550333003304</v>
      </c>
      <c r="J3492">
        <v>0.65041067945838904</v>
      </c>
      <c r="K3492">
        <v>0.50335653000144598</v>
      </c>
      <c r="L3492">
        <v>239.210985510629</v>
      </c>
      <c r="M3492">
        <v>3.6373002133769399</v>
      </c>
      <c r="O3492">
        <v>52.289118033628597</v>
      </c>
      <c r="P3492">
        <v>-1.62954816218467E-2</v>
      </c>
      <c r="Q3492">
        <v>7.8940927899047705E-2</v>
      </c>
      <c r="R3492">
        <v>0.80275846318520505</v>
      </c>
      <c r="S3492" t="s">
        <v>9043</v>
      </c>
      <c r="T3492" t="s">
        <v>11100</v>
      </c>
      <c r="U3492" t="s">
        <v>11100</v>
      </c>
      <c r="V3492" t="s">
        <v>11100</v>
      </c>
      <c r="W3492" t="s">
        <v>14542</v>
      </c>
      <c r="X3492">
        <v>4</v>
      </c>
      <c r="Y3492" t="s">
        <v>19983</v>
      </c>
      <c r="Z3492" t="s">
        <v>25497</v>
      </c>
      <c r="AA3492">
        <v>0.74326528958608939</v>
      </c>
      <c r="AB3492" t="str">
        <f>HYPERLINK("Melting_Curves/meltCurve_Q6P582_MZT2A.pdf", "Melting_Curves/meltCurve_Q6P582_MZT2A.pdf")</f>
        <v>Melting_Curves/meltCurve_Q6P582_MZT2A.pdf</v>
      </c>
    </row>
    <row r="3493" spans="1:28" x14ac:dyDescent="0.25">
      <c r="A3493" t="s">
        <v>3497</v>
      </c>
      <c r="B3493">
        <v>0.99299721793515405</v>
      </c>
      <c r="C3493">
        <v>0.91365497081185498</v>
      </c>
      <c r="D3493">
        <v>1.0056818092549</v>
      </c>
      <c r="E3493">
        <v>0.84890096857416297</v>
      </c>
      <c r="F3493">
        <v>0.78901102564402903</v>
      </c>
      <c r="G3493">
        <v>0.57935629644058595</v>
      </c>
      <c r="H3493">
        <v>0.57702439390756299</v>
      </c>
      <c r="I3493">
        <v>0.714987050539442</v>
      </c>
      <c r="J3493">
        <v>0.86875958993400904</v>
      </c>
      <c r="K3493">
        <v>0.79017346758440998</v>
      </c>
      <c r="L3493">
        <v>1583.6498247178899</v>
      </c>
      <c r="M3493">
        <v>33.9314225863397</v>
      </c>
      <c r="O3493">
        <v>46.510860023401897</v>
      </c>
      <c r="P3493">
        <v>-5.21657110789416E-2</v>
      </c>
      <c r="Q3493">
        <v>0.71398048648233303</v>
      </c>
      <c r="R3493">
        <v>0.61844491538264801</v>
      </c>
      <c r="S3493" t="s">
        <v>9044</v>
      </c>
      <c r="T3493" t="s">
        <v>11100</v>
      </c>
      <c r="U3493" t="s">
        <v>11100</v>
      </c>
      <c r="V3493" t="s">
        <v>11100</v>
      </c>
      <c r="W3493" t="s">
        <v>14543</v>
      </c>
      <c r="X3493">
        <v>10</v>
      </c>
      <c r="Y3493" t="s">
        <v>19984</v>
      </c>
      <c r="Z3493" t="s">
        <v>25498</v>
      </c>
      <c r="AA3493">
        <v>0.80748114067419985</v>
      </c>
      <c r="AB3493" t="str">
        <f>HYPERLINK("Melting_Curves/meltCurve_Q6P587_FAHD1.pdf", "Melting_Curves/meltCurve_Q6P587_FAHD1.pdf")</f>
        <v>Melting_Curves/meltCurve_Q6P587_FAHD1.pdf</v>
      </c>
    </row>
    <row r="3494" spans="1:28" x14ac:dyDescent="0.25">
      <c r="A3494" t="s">
        <v>3498</v>
      </c>
      <c r="B3494">
        <v>0.99299721793515405</v>
      </c>
      <c r="C3494">
        <v>0.86590594755036598</v>
      </c>
      <c r="D3494">
        <v>0.79756351411004001</v>
      </c>
      <c r="E3494">
        <v>0.73778842361747099</v>
      </c>
      <c r="F3494">
        <v>0.64022193817648299</v>
      </c>
      <c r="G3494">
        <v>0.52267349595568002</v>
      </c>
      <c r="H3494">
        <v>0.41279874966395702</v>
      </c>
      <c r="I3494">
        <v>0.41835686568638297</v>
      </c>
      <c r="J3494">
        <v>0.38350369701040798</v>
      </c>
      <c r="K3494">
        <v>0.37943299427953298</v>
      </c>
      <c r="L3494">
        <v>390.553266296858</v>
      </c>
      <c r="M3494">
        <v>7.9706958712582097</v>
      </c>
      <c r="N3494">
        <v>54.959624586811003</v>
      </c>
      <c r="O3494">
        <v>46.202714725822403</v>
      </c>
      <c r="P3494">
        <v>-3.06838067703235E-2</v>
      </c>
      <c r="Q3494">
        <v>0.28937119956706697</v>
      </c>
      <c r="R3494">
        <v>0.98364704873932696</v>
      </c>
      <c r="S3494" t="s">
        <v>9045</v>
      </c>
      <c r="T3494" t="s">
        <v>11100</v>
      </c>
      <c r="U3494" t="s">
        <v>11100</v>
      </c>
      <c r="V3494" t="s">
        <v>11100</v>
      </c>
      <c r="W3494" t="s">
        <v>14544</v>
      </c>
      <c r="X3494">
        <v>1</v>
      </c>
      <c r="Y3494" t="s">
        <v>19985</v>
      </c>
      <c r="Z3494" t="s">
        <v>25499</v>
      </c>
      <c r="AA3494">
        <v>0.60667794278813403</v>
      </c>
      <c r="AB3494" t="str">
        <f>HYPERLINK("Melting_Curves/meltCurve_Q6P6B1_C8orf47.pdf", "Melting_Curves/meltCurve_Q6P6B1_C8orf47.pdf")</f>
        <v>Melting_Curves/meltCurve_Q6P6B1_C8orf47.pdf</v>
      </c>
    </row>
    <row r="3495" spans="1:28" x14ac:dyDescent="0.25">
      <c r="A3495" t="s">
        <v>3499</v>
      </c>
      <c r="B3495">
        <v>0.99299721793515405</v>
      </c>
      <c r="C3495">
        <v>0.85228643815222704</v>
      </c>
      <c r="D3495">
        <v>0.78730739160106</v>
      </c>
      <c r="E3495">
        <v>0.73485047251742497</v>
      </c>
      <c r="F3495">
        <v>0.60425702755892996</v>
      </c>
      <c r="G3495">
        <v>0.321046230214526</v>
      </c>
      <c r="H3495">
        <v>0.242823347411732</v>
      </c>
      <c r="I3495">
        <v>0.22067103545522301</v>
      </c>
      <c r="J3495">
        <v>0.15514118939522101</v>
      </c>
      <c r="K3495">
        <v>0.153148667981683</v>
      </c>
      <c r="L3495">
        <v>443.061857565433</v>
      </c>
      <c r="M3495">
        <v>8.7588140557524898</v>
      </c>
      <c r="N3495">
        <v>50.904300297214398</v>
      </c>
      <c r="O3495">
        <v>48.155671945786899</v>
      </c>
      <c r="P3495">
        <v>-4.4290388608881501E-2</v>
      </c>
      <c r="Q3495">
        <v>2.67548172950101E-2</v>
      </c>
      <c r="R3495">
        <v>0.97712214075538895</v>
      </c>
      <c r="S3495" t="s">
        <v>9046</v>
      </c>
      <c r="T3495" t="s">
        <v>11100</v>
      </c>
      <c r="U3495" t="s">
        <v>11100</v>
      </c>
      <c r="V3495" t="s">
        <v>11100</v>
      </c>
      <c r="W3495" t="s">
        <v>14545</v>
      </c>
      <c r="X3495">
        <v>1</v>
      </c>
      <c r="Y3495" t="s">
        <v>19986</v>
      </c>
      <c r="Z3495" t="s">
        <v>25500</v>
      </c>
      <c r="AA3495">
        <v>0.5018044087149599</v>
      </c>
      <c r="AB3495" t="str">
        <f>HYPERLINK("Melting_Curves/meltCurve_Q6P6B7_2_ANKRD16.pdf", "Melting_Curves/meltCurve_Q6P6B7_2_ANKRD16.pdf")</f>
        <v>Melting_Curves/meltCurve_Q6P6B7_2_ANKRD16.pdf</v>
      </c>
    </row>
    <row r="3496" spans="1:28" x14ac:dyDescent="0.25">
      <c r="A3496" t="s">
        <v>3500</v>
      </c>
      <c r="B3496">
        <v>0.99299721793515405</v>
      </c>
      <c r="C3496">
        <v>0.85079017283364999</v>
      </c>
      <c r="D3496">
        <v>1.00484017723993</v>
      </c>
      <c r="E3496">
        <v>0.77978149401964103</v>
      </c>
      <c r="F3496">
        <v>0.65652925693229502</v>
      </c>
      <c r="G3496">
        <v>0.41738661828061402</v>
      </c>
      <c r="H3496">
        <v>0.36309655846886302</v>
      </c>
      <c r="I3496">
        <v>0.35558305390870099</v>
      </c>
      <c r="J3496">
        <v>0.42885101097829598</v>
      </c>
      <c r="K3496">
        <v>0.38422225445858799</v>
      </c>
      <c r="L3496">
        <v>929.69475101919897</v>
      </c>
      <c r="M3496">
        <v>19.055940217629502</v>
      </c>
      <c r="N3496">
        <v>52.424686862751599</v>
      </c>
      <c r="O3496">
        <v>48.259908967564797</v>
      </c>
      <c r="P3496">
        <v>-6.2518387456660801E-2</v>
      </c>
      <c r="Q3496">
        <v>0.36670397267228499</v>
      </c>
      <c r="R3496">
        <v>0.94703373153190495</v>
      </c>
      <c r="S3496" t="s">
        <v>9047</v>
      </c>
      <c r="T3496" t="s">
        <v>11100</v>
      </c>
      <c r="U3496" t="s">
        <v>11100</v>
      </c>
      <c r="V3496" t="s">
        <v>11100</v>
      </c>
      <c r="W3496" t="s">
        <v>14546</v>
      </c>
      <c r="X3496">
        <v>7</v>
      </c>
      <c r="Y3496" t="s">
        <v>19987</v>
      </c>
      <c r="Z3496" t="s">
        <v>25501</v>
      </c>
      <c r="AA3496">
        <v>0.62464810517386793</v>
      </c>
      <c r="AB3496" t="str">
        <f>HYPERLINK("Melting_Curves/meltCurve_Q6P6C2_ALKBH5.pdf", "Melting_Curves/meltCurve_Q6P6C2_ALKBH5.pdf")</f>
        <v>Melting_Curves/meltCurve_Q6P6C2_ALKBH5.pdf</v>
      </c>
    </row>
    <row r="3497" spans="1:28" x14ac:dyDescent="0.25">
      <c r="A3497" t="s">
        <v>3501</v>
      </c>
      <c r="B3497">
        <v>0.99299721793515405</v>
      </c>
      <c r="C3497">
        <v>0.85246908658160803</v>
      </c>
      <c r="D3497">
        <v>1.0642851071424499</v>
      </c>
      <c r="E3497">
        <v>0.79576884833699901</v>
      </c>
      <c r="F3497">
        <v>0.75250649811116999</v>
      </c>
      <c r="G3497">
        <v>0.45472023077711798</v>
      </c>
      <c r="H3497">
        <v>0.27914327108007803</v>
      </c>
      <c r="I3497">
        <v>0.21077368322444401</v>
      </c>
      <c r="J3497">
        <v>0.21515788763325699</v>
      </c>
      <c r="K3497">
        <v>0.197770853830154</v>
      </c>
      <c r="L3497">
        <v>843.72861845272496</v>
      </c>
      <c r="M3497">
        <v>16.269356918818598</v>
      </c>
      <c r="N3497">
        <v>53.138437967450699</v>
      </c>
      <c r="O3497">
        <v>51.095466655852299</v>
      </c>
      <c r="P3497">
        <v>-6.6715751781240604E-2</v>
      </c>
      <c r="Q3497">
        <v>0.16195285226793901</v>
      </c>
      <c r="R3497">
        <v>0.96110781935042899</v>
      </c>
      <c r="S3497" t="s">
        <v>9048</v>
      </c>
      <c r="T3497" t="s">
        <v>11100</v>
      </c>
      <c r="U3497" t="s">
        <v>11100</v>
      </c>
      <c r="V3497" t="s">
        <v>11100</v>
      </c>
      <c r="W3497" t="s">
        <v>14547</v>
      </c>
      <c r="X3497">
        <v>5</v>
      </c>
      <c r="Y3497" t="s">
        <v>19988</v>
      </c>
      <c r="Z3497" t="s">
        <v>25502</v>
      </c>
      <c r="AA3497">
        <v>0.59168545517700755</v>
      </c>
      <c r="AB3497" t="str">
        <f>HYPERLINK("Melting_Curves/meltCurve_Q6P9B6_KIAA1609.pdf", "Melting_Curves/meltCurve_Q6P9B6_KIAA1609.pdf")</f>
        <v>Melting_Curves/meltCurve_Q6P9B6_KIAA1609.pdf</v>
      </c>
    </row>
    <row r="3498" spans="1:28" x14ac:dyDescent="0.25">
      <c r="A3498" t="s">
        <v>3502</v>
      </c>
      <c r="B3498">
        <v>0.99299721793515405</v>
      </c>
      <c r="C3498">
        <v>1.0568134195708201</v>
      </c>
      <c r="D3498">
        <v>0.94873513510735497</v>
      </c>
      <c r="E3498">
        <v>0.92792399729922803</v>
      </c>
      <c r="F3498">
        <v>0.73744897036234602</v>
      </c>
      <c r="G3498">
        <v>0.62001083741760299</v>
      </c>
      <c r="H3498">
        <v>0.44520885183248299</v>
      </c>
      <c r="I3498">
        <v>0.209182619883057</v>
      </c>
      <c r="J3498">
        <v>0.129347244737328</v>
      </c>
      <c r="K3498">
        <v>0.116488187477137</v>
      </c>
      <c r="L3498">
        <v>692.348778953644</v>
      </c>
      <c r="M3498">
        <v>12.476670846507901</v>
      </c>
      <c r="N3498">
        <v>55.491467908345903</v>
      </c>
      <c r="O3498">
        <v>54.123773378254697</v>
      </c>
      <c r="P3498">
        <v>-5.7642216024164201E-2</v>
      </c>
      <c r="Q3498">
        <v>0</v>
      </c>
      <c r="R3498">
        <v>0.98987712271288497</v>
      </c>
      <c r="S3498" t="s">
        <v>9049</v>
      </c>
      <c r="T3498" t="s">
        <v>11100</v>
      </c>
      <c r="U3498" t="s">
        <v>11100</v>
      </c>
      <c r="V3498" t="s">
        <v>11100</v>
      </c>
      <c r="W3498" t="s">
        <v>14548</v>
      </c>
      <c r="X3498">
        <v>9</v>
      </c>
      <c r="Y3498" t="s">
        <v>19989</v>
      </c>
      <c r="Z3498" t="s">
        <v>25503</v>
      </c>
      <c r="AA3498">
        <v>0.62882916843688863</v>
      </c>
      <c r="AB3498" t="str">
        <f>HYPERLINK("Melting_Curves/meltCurve_Q6PCE3_PGM2L1.pdf", "Melting_Curves/meltCurve_Q6PCE3_PGM2L1.pdf")</f>
        <v>Melting_Curves/meltCurve_Q6PCE3_PGM2L1.pdf</v>
      </c>
    </row>
    <row r="3499" spans="1:28" x14ac:dyDescent="0.25">
      <c r="A3499" t="s">
        <v>3503</v>
      </c>
      <c r="B3499">
        <v>0.99299721793515405</v>
      </c>
      <c r="C3499">
        <v>1.10273089335857</v>
      </c>
      <c r="D3499">
        <v>1.0760822892972099</v>
      </c>
      <c r="E3499">
        <v>0.84633222557917798</v>
      </c>
      <c r="F3499">
        <v>0.85667085270879695</v>
      </c>
      <c r="G3499">
        <v>1.0837446341018799</v>
      </c>
      <c r="H3499">
        <v>0.48563065102814101</v>
      </c>
      <c r="I3499">
        <v>0.61792991345553705</v>
      </c>
      <c r="J3499">
        <v>0.35796768735272899</v>
      </c>
      <c r="K3499">
        <v>0.40522481620686601</v>
      </c>
      <c r="L3499">
        <v>14177.0131579385</v>
      </c>
      <c r="M3499">
        <v>250</v>
      </c>
      <c r="N3499">
        <v>57.288978394221303</v>
      </c>
      <c r="O3499">
        <v>56.704438660078303</v>
      </c>
      <c r="P3499">
        <v>-0.59478022166941202</v>
      </c>
      <c r="Q3499">
        <v>0.46037328495024599</v>
      </c>
      <c r="R3499">
        <v>0.86265477926460199</v>
      </c>
      <c r="S3499" t="s">
        <v>9050</v>
      </c>
      <c r="T3499" t="s">
        <v>11100</v>
      </c>
      <c r="U3499" t="s">
        <v>11100</v>
      </c>
      <c r="V3499" t="s">
        <v>11100</v>
      </c>
      <c r="W3499" t="s">
        <v>14549</v>
      </c>
      <c r="X3499">
        <v>4</v>
      </c>
      <c r="Y3499" t="s">
        <v>19990</v>
      </c>
      <c r="Z3499" t="s">
        <v>25504</v>
      </c>
      <c r="AA3499">
        <v>0.81492671293520758</v>
      </c>
      <c r="AB3499" t="str">
        <f>HYPERLINK("Melting_Curves/meltCurve_Q6PD62_CTR9.pdf", "Melting_Curves/meltCurve_Q6PD62_CTR9.pdf")</f>
        <v>Melting_Curves/meltCurve_Q6PD62_CTR9.pdf</v>
      </c>
    </row>
    <row r="3500" spans="1:28" x14ac:dyDescent="0.25">
      <c r="A3500" t="s">
        <v>3504</v>
      </c>
      <c r="B3500">
        <v>0.99299721793515405</v>
      </c>
      <c r="C3500">
        <v>1.0588149405337901</v>
      </c>
      <c r="D3500">
        <v>0.94770995936907099</v>
      </c>
      <c r="E3500">
        <v>0.87558953223765101</v>
      </c>
      <c r="F3500">
        <v>0.65574104033313296</v>
      </c>
      <c r="G3500">
        <v>0.30223707408011202</v>
      </c>
      <c r="H3500">
        <v>0.226745219225122</v>
      </c>
      <c r="I3500">
        <v>0.13866121638321</v>
      </c>
      <c r="J3500">
        <v>0.18047936621653399</v>
      </c>
      <c r="K3500">
        <v>0.13046503391699099</v>
      </c>
      <c r="L3500">
        <v>1116.76886737112</v>
      </c>
      <c r="M3500">
        <v>21.983345319186899</v>
      </c>
      <c r="N3500">
        <v>51.573306900854</v>
      </c>
      <c r="O3500">
        <v>50.385915016588001</v>
      </c>
      <c r="P3500">
        <v>-9.3773833654947E-2</v>
      </c>
      <c r="Q3500">
        <v>0.140299299382694</v>
      </c>
      <c r="R3500">
        <v>0.992963014532802</v>
      </c>
      <c r="S3500" t="s">
        <v>9051</v>
      </c>
      <c r="T3500" t="s">
        <v>11100</v>
      </c>
      <c r="U3500" t="s">
        <v>11100</v>
      </c>
      <c r="V3500" t="s">
        <v>11100</v>
      </c>
      <c r="W3500" t="s">
        <v>14550</v>
      </c>
      <c r="X3500">
        <v>3</v>
      </c>
      <c r="Y3500" t="s">
        <v>19991</v>
      </c>
      <c r="Z3500" t="s">
        <v>25505</v>
      </c>
      <c r="AA3500">
        <v>0.54535536903061643</v>
      </c>
      <c r="AB3500" t="str">
        <f>HYPERLINK("Melting_Curves/meltCurve_Q6PD74_AAGAB.pdf", "Melting_Curves/meltCurve_Q6PD74_AAGAB.pdf")</f>
        <v>Melting_Curves/meltCurve_Q6PD74_AAGAB.pdf</v>
      </c>
    </row>
    <row r="3501" spans="1:28" x14ac:dyDescent="0.25">
      <c r="A3501" t="s">
        <v>3505</v>
      </c>
      <c r="B3501">
        <v>0.99299721793515405</v>
      </c>
      <c r="C3501">
        <v>0.85763353909705597</v>
      </c>
      <c r="D3501">
        <v>0.93493915657743198</v>
      </c>
      <c r="E3501">
        <v>0.69201849035950602</v>
      </c>
      <c r="F3501">
        <v>0.61258396092872103</v>
      </c>
      <c r="G3501">
        <v>0.39550817714049702</v>
      </c>
      <c r="H3501">
        <v>0.35646190561716501</v>
      </c>
      <c r="I3501">
        <v>0.401829639813374</v>
      </c>
      <c r="J3501">
        <v>0.36993956139497097</v>
      </c>
      <c r="K3501">
        <v>0.35961619588215399</v>
      </c>
      <c r="L3501">
        <v>658.96415969110296</v>
      </c>
      <c r="M3501">
        <v>13.847410672580599</v>
      </c>
      <c r="N3501">
        <v>51.844814703200498</v>
      </c>
      <c r="O3501">
        <v>46.628028659705997</v>
      </c>
      <c r="P3501">
        <v>-4.9035691540106299E-2</v>
      </c>
      <c r="Q3501">
        <v>0.33962473445701102</v>
      </c>
      <c r="R3501">
        <v>0.96113771256450098</v>
      </c>
      <c r="S3501" t="s">
        <v>9052</v>
      </c>
      <c r="T3501" t="s">
        <v>11100</v>
      </c>
      <c r="U3501" t="s">
        <v>11100</v>
      </c>
      <c r="V3501" t="s">
        <v>11100</v>
      </c>
      <c r="W3501" t="s">
        <v>14551</v>
      </c>
      <c r="X3501">
        <v>1</v>
      </c>
      <c r="Y3501" t="s">
        <v>19992</v>
      </c>
      <c r="Z3501" t="s">
        <v>25506</v>
      </c>
      <c r="AA3501">
        <v>0.58948705120998535</v>
      </c>
      <c r="AB3501" t="str">
        <f>HYPERLINK("Melting_Curves/meltCurve_Q6PGN9_2_PSRC1.pdf", "Melting_Curves/meltCurve_Q6PGN9_2_PSRC1.pdf")</f>
        <v>Melting_Curves/meltCurve_Q6PGN9_2_PSRC1.pdf</v>
      </c>
    </row>
    <row r="3502" spans="1:28" x14ac:dyDescent="0.25">
      <c r="A3502" t="s">
        <v>3506</v>
      </c>
      <c r="B3502">
        <v>0.99299721793515405</v>
      </c>
      <c r="C3502">
        <v>1.0383188438984301</v>
      </c>
      <c r="D3502">
        <v>0.76710002802314503</v>
      </c>
      <c r="E3502">
        <v>0.75115526356504703</v>
      </c>
      <c r="F3502">
        <v>0.54777715380721803</v>
      </c>
      <c r="G3502">
        <v>0.33735510008471897</v>
      </c>
      <c r="H3502">
        <v>0.23597824770047601</v>
      </c>
      <c r="I3502">
        <v>0.31062595612550398</v>
      </c>
      <c r="J3502">
        <v>0.21520932390559</v>
      </c>
      <c r="K3502">
        <v>7.6100755671114906E-2</v>
      </c>
      <c r="L3502">
        <v>548.74050551481298</v>
      </c>
      <c r="M3502">
        <v>11.032627902387301</v>
      </c>
      <c r="N3502">
        <v>50.8568176131717</v>
      </c>
      <c r="O3502">
        <v>48.187684282115903</v>
      </c>
      <c r="P3502">
        <v>-5.1087269692689098E-2</v>
      </c>
      <c r="Q3502">
        <v>0.107753392014016</v>
      </c>
      <c r="R3502">
        <v>0.96073021515200696</v>
      </c>
      <c r="S3502" t="s">
        <v>9053</v>
      </c>
      <c r="T3502" t="s">
        <v>11100</v>
      </c>
      <c r="U3502" t="s">
        <v>11100</v>
      </c>
      <c r="V3502" t="s">
        <v>11100</v>
      </c>
      <c r="W3502" t="s">
        <v>14552</v>
      </c>
      <c r="X3502">
        <v>3</v>
      </c>
      <c r="Y3502" t="s">
        <v>19993</v>
      </c>
      <c r="Z3502" t="s">
        <v>25507</v>
      </c>
      <c r="AA3502">
        <v>0.5145987387009151</v>
      </c>
      <c r="AB3502" t="str">
        <f>HYPERLINK("Melting_Curves/meltCurve_Q6PGP7_TTC37.pdf", "Melting_Curves/meltCurve_Q6PGP7_TTC37.pdf")</f>
        <v>Melting_Curves/meltCurve_Q6PGP7_TTC37.pdf</v>
      </c>
    </row>
    <row r="3503" spans="1:28" x14ac:dyDescent="0.25">
      <c r="A3503" t="s">
        <v>3507</v>
      </c>
      <c r="B3503">
        <v>0.99299721793515405</v>
      </c>
      <c r="C3503">
        <v>0.84389119481424002</v>
      </c>
      <c r="D3503">
        <v>0.91360872506149904</v>
      </c>
      <c r="E3503">
        <v>0.67226923719948395</v>
      </c>
      <c r="F3503">
        <v>0.47656708381948099</v>
      </c>
      <c r="G3503">
        <v>0.22334669127351001</v>
      </c>
      <c r="H3503">
        <v>0.10483354046306299</v>
      </c>
      <c r="I3503">
        <v>8.6862040474027305E-2</v>
      </c>
      <c r="J3503">
        <v>9.5719088828129406E-2</v>
      </c>
      <c r="K3503">
        <v>8.4777652684973406E-2</v>
      </c>
      <c r="L3503">
        <v>684.58802672261004</v>
      </c>
      <c r="M3503">
        <v>13.9970427362443</v>
      </c>
      <c r="N3503">
        <v>49.199928707923</v>
      </c>
      <c r="O3503">
        <v>47.943601991595997</v>
      </c>
      <c r="P3503">
        <v>-7.0102008059356805E-2</v>
      </c>
      <c r="Q3503">
        <v>3.96549283506114E-2</v>
      </c>
      <c r="R3503">
        <v>0.98394006110920595</v>
      </c>
      <c r="S3503" t="s">
        <v>9054</v>
      </c>
      <c r="T3503" t="s">
        <v>11100</v>
      </c>
      <c r="U3503" t="s">
        <v>11100</v>
      </c>
      <c r="V3503" t="s">
        <v>11100</v>
      </c>
      <c r="W3503" t="s">
        <v>14553</v>
      </c>
      <c r="X3503">
        <v>2</v>
      </c>
      <c r="Y3503" t="s">
        <v>19994</v>
      </c>
      <c r="Z3503" t="s">
        <v>25508</v>
      </c>
      <c r="AA3503">
        <v>0.44393631025473229</v>
      </c>
      <c r="AB3503" t="str">
        <f>HYPERLINK("Melting_Curves/meltCurve_Q6PH81_C16orf87.pdf", "Melting_Curves/meltCurve_Q6PH81_C16orf87.pdf")</f>
        <v>Melting_Curves/meltCurve_Q6PH81_C16orf87.pdf</v>
      </c>
    </row>
    <row r="3504" spans="1:28" x14ac:dyDescent="0.25">
      <c r="A3504" t="s">
        <v>3508</v>
      </c>
      <c r="B3504">
        <v>0.99299721793515405</v>
      </c>
      <c r="C3504">
        <v>0.91696638328183799</v>
      </c>
      <c r="D3504">
        <v>0.94480321475373896</v>
      </c>
      <c r="E3504">
        <v>0.81665437388770701</v>
      </c>
      <c r="F3504">
        <v>0.59853818836702699</v>
      </c>
      <c r="G3504">
        <v>0.32122216365502199</v>
      </c>
      <c r="H3504">
        <v>0.208307016891882</v>
      </c>
      <c r="I3504">
        <v>0.17479792557898799</v>
      </c>
      <c r="J3504">
        <v>0.162679485479756</v>
      </c>
      <c r="K3504">
        <v>0.149733999608681</v>
      </c>
      <c r="L3504">
        <v>864.876930807034</v>
      </c>
      <c r="M3504">
        <v>17.210227061821101</v>
      </c>
      <c r="N3504">
        <v>51.165937718982498</v>
      </c>
      <c r="O3504">
        <v>49.589868382174899</v>
      </c>
      <c r="P3504">
        <v>-7.5304062131114402E-2</v>
      </c>
      <c r="Q3504">
        <v>0.132120652853012</v>
      </c>
      <c r="R3504">
        <v>0.99390228449748097</v>
      </c>
      <c r="S3504" t="s">
        <v>9055</v>
      </c>
      <c r="T3504" t="s">
        <v>11100</v>
      </c>
      <c r="U3504" t="s">
        <v>11100</v>
      </c>
      <c r="V3504" t="s">
        <v>11100</v>
      </c>
      <c r="W3504" t="s">
        <v>14554</v>
      </c>
      <c r="X3504">
        <v>7</v>
      </c>
      <c r="Y3504" t="s">
        <v>19995</v>
      </c>
      <c r="Z3504" t="s">
        <v>25509</v>
      </c>
      <c r="AA3504">
        <v>0.53018362626110371</v>
      </c>
      <c r="AB3504" t="str">
        <f>HYPERLINK("Melting_Curves/meltCurve_Q6PHR2_3_ULK3.pdf", "Melting_Curves/meltCurve_Q6PHR2_3_ULK3.pdf")</f>
        <v>Melting_Curves/meltCurve_Q6PHR2_3_ULK3.pdf</v>
      </c>
    </row>
    <row r="3505" spans="1:28" x14ac:dyDescent="0.25">
      <c r="A3505" t="s">
        <v>3509</v>
      </c>
      <c r="B3505">
        <v>0.99299721793515405</v>
      </c>
      <c r="C3505">
        <v>0.979990648185458</v>
      </c>
      <c r="D3505">
        <v>1.1302925364922201</v>
      </c>
      <c r="E3505">
        <v>0.88748243881058997</v>
      </c>
      <c r="F3505">
        <v>0.745939391506654</v>
      </c>
      <c r="G3505">
        <v>0.82275743750923902</v>
      </c>
      <c r="H3505">
        <v>0.48601372175063301</v>
      </c>
      <c r="I3505">
        <v>0.37877373788662</v>
      </c>
      <c r="J3505">
        <v>0.28559558188981798</v>
      </c>
      <c r="K3505">
        <v>0.20590585389104599</v>
      </c>
      <c r="L3505">
        <v>631.14249491098997</v>
      </c>
      <c r="M3505">
        <v>10.8947968324144</v>
      </c>
      <c r="N3505">
        <v>58.1960682837381</v>
      </c>
      <c r="O3505">
        <v>56.081420542393197</v>
      </c>
      <c r="P3505">
        <v>-4.7406276005367301E-2</v>
      </c>
      <c r="Q3505">
        <v>2.4238497006512399E-2</v>
      </c>
      <c r="R3505">
        <v>0.94595363224805695</v>
      </c>
      <c r="S3505" t="s">
        <v>9056</v>
      </c>
      <c r="T3505" t="s">
        <v>11100</v>
      </c>
      <c r="U3505" t="s">
        <v>11100</v>
      </c>
      <c r="V3505" t="s">
        <v>11100</v>
      </c>
      <c r="W3505" t="s">
        <v>14555</v>
      </c>
      <c r="X3505">
        <v>10</v>
      </c>
      <c r="Y3505" t="s">
        <v>19996</v>
      </c>
      <c r="Z3505" t="s">
        <v>25510</v>
      </c>
      <c r="AA3505">
        <v>0.70077278328219827</v>
      </c>
      <c r="AB3505" t="str">
        <f>HYPERLINK("Melting_Curves/meltCurve_Q6PI48_DARS2.pdf", "Melting_Curves/meltCurve_Q6PI48_DARS2.pdf")</f>
        <v>Melting_Curves/meltCurve_Q6PI48_DARS2.pdf</v>
      </c>
    </row>
    <row r="3506" spans="1:28" x14ac:dyDescent="0.25">
      <c r="A3506" t="s">
        <v>3510</v>
      </c>
      <c r="B3506">
        <v>0.99299721793515405</v>
      </c>
      <c r="C3506">
        <v>1.0615170732500501</v>
      </c>
      <c r="D3506">
        <v>1.0633570024447101</v>
      </c>
      <c r="E3506">
        <v>0.83915814250847098</v>
      </c>
      <c r="F3506">
        <v>0.84249877910861704</v>
      </c>
      <c r="G3506">
        <v>0.58572008948964704</v>
      </c>
      <c r="H3506">
        <v>0.61490361079916001</v>
      </c>
      <c r="I3506">
        <v>0.55411107047834596</v>
      </c>
      <c r="J3506">
        <v>0.44174513470614202</v>
      </c>
      <c r="K3506">
        <v>0.36923949424778502</v>
      </c>
      <c r="L3506">
        <v>614.66423422634102</v>
      </c>
      <c r="M3506">
        <v>11.4289729731713</v>
      </c>
      <c r="N3506">
        <v>60.387419761316799</v>
      </c>
      <c r="O3506">
        <v>52.213698681149999</v>
      </c>
      <c r="P3506">
        <v>-3.5208071191880699E-2</v>
      </c>
      <c r="Q3506">
        <v>0.35678953414273201</v>
      </c>
      <c r="R3506">
        <v>0.93525438913169001</v>
      </c>
      <c r="S3506" t="s">
        <v>9057</v>
      </c>
      <c r="T3506" t="s">
        <v>11100</v>
      </c>
      <c r="U3506" t="s">
        <v>11100</v>
      </c>
      <c r="V3506" t="s">
        <v>11100</v>
      </c>
      <c r="W3506" t="s">
        <v>14556</v>
      </c>
      <c r="X3506">
        <v>2</v>
      </c>
      <c r="Y3506" t="s">
        <v>19997</v>
      </c>
      <c r="Z3506" t="s">
        <v>25511</v>
      </c>
      <c r="AA3506">
        <v>0.7286968763251459</v>
      </c>
      <c r="AB3506" t="str">
        <f>HYPERLINK("Melting_Curves/meltCurve_Q6PI78_TMEM65.pdf", "Melting_Curves/meltCurve_Q6PI78_TMEM65.pdf")</f>
        <v>Melting_Curves/meltCurve_Q6PI78_TMEM65.pdf</v>
      </c>
    </row>
    <row r="3507" spans="1:28" x14ac:dyDescent="0.25">
      <c r="A3507" t="s">
        <v>3511</v>
      </c>
      <c r="B3507">
        <v>0.99299721793515405</v>
      </c>
      <c r="C3507">
        <v>0.90388100139991401</v>
      </c>
      <c r="D3507">
        <v>1.03064349000656</v>
      </c>
      <c r="E3507">
        <v>0.83086155217189805</v>
      </c>
      <c r="F3507">
        <v>0.71928941412173197</v>
      </c>
      <c r="G3507">
        <v>0.67323467005799797</v>
      </c>
      <c r="H3507">
        <v>0.35651421611803502</v>
      </c>
      <c r="I3507">
        <v>0.221519256411563</v>
      </c>
      <c r="J3507">
        <v>0.208398221310194</v>
      </c>
      <c r="K3507">
        <v>0.16074784715408999</v>
      </c>
      <c r="L3507">
        <v>608.28774924975198</v>
      </c>
      <c r="M3507">
        <v>11.0503005125009</v>
      </c>
      <c r="N3507">
        <v>55.263846632415998</v>
      </c>
      <c r="O3507">
        <v>53.336602272776403</v>
      </c>
      <c r="P3507">
        <v>-5.0713777469943697E-2</v>
      </c>
      <c r="Q3507">
        <v>2.1201589753147902E-2</v>
      </c>
      <c r="R3507">
        <v>0.97075834504771696</v>
      </c>
      <c r="S3507" t="s">
        <v>9058</v>
      </c>
      <c r="T3507" t="s">
        <v>11100</v>
      </c>
      <c r="U3507" t="s">
        <v>11100</v>
      </c>
      <c r="V3507" t="s">
        <v>11100</v>
      </c>
      <c r="W3507" t="s">
        <v>14557</v>
      </c>
      <c r="X3507">
        <v>5</v>
      </c>
      <c r="Y3507" t="s">
        <v>19998</v>
      </c>
      <c r="Z3507" t="s">
        <v>25512</v>
      </c>
      <c r="AA3507">
        <v>0.62304239240633563</v>
      </c>
      <c r="AB3507" t="str">
        <f>HYPERLINK("Melting_Curves/meltCurve_Q6PID6_TTC33.pdf", "Melting_Curves/meltCurve_Q6PID6_TTC33.pdf")</f>
        <v>Melting_Curves/meltCurve_Q6PID6_TTC33.pdf</v>
      </c>
    </row>
    <row r="3508" spans="1:28" x14ac:dyDescent="0.25">
      <c r="A3508" t="s">
        <v>3512</v>
      </c>
      <c r="B3508">
        <v>0.99299721793515405</v>
      </c>
      <c r="C3508">
        <v>0.88635606964498503</v>
      </c>
      <c r="D3508">
        <v>1.0586522131631599</v>
      </c>
      <c r="E3508">
        <v>0.73226624421084996</v>
      </c>
      <c r="F3508">
        <v>0.63360955309045697</v>
      </c>
      <c r="G3508">
        <v>0.45004093141516399</v>
      </c>
      <c r="H3508">
        <v>0.30903176799866999</v>
      </c>
      <c r="I3508">
        <v>0.34617152589462302</v>
      </c>
      <c r="J3508">
        <v>0.51536611718180603</v>
      </c>
      <c r="K3508">
        <v>0.27868475202594001</v>
      </c>
      <c r="L3508">
        <v>924.80021984104997</v>
      </c>
      <c r="M3508">
        <v>19.0205304145416</v>
      </c>
      <c r="N3508">
        <v>51.999258484478901</v>
      </c>
      <c r="O3508">
        <v>48.093282302885903</v>
      </c>
      <c r="P3508">
        <v>-6.3807569732073299E-2</v>
      </c>
      <c r="Q3508">
        <v>0.35467758030621899</v>
      </c>
      <c r="R3508">
        <v>0.90998333231305994</v>
      </c>
      <c r="S3508" t="s">
        <v>9059</v>
      </c>
      <c r="T3508" t="s">
        <v>11100</v>
      </c>
      <c r="U3508" t="s">
        <v>11100</v>
      </c>
      <c r="V3508" t="s">
        <v>11100</v>
      </c>
      <c r="W3508" t="s">
        <v>14558</v>
      </c>
      <c r="X3508">
        <v>3</v>
      </c>
      <c r="Y3508" t="s">
        <v>19999</v>
      </c>
      <c r="Z3508" t="s">
        <v>25513</v>
      </c>
      <c r="AA3508">
        <v>0.61397168206036301</v>
      </c>
      <c r="AB3508" t="str">
        <f>HYPERLINK("Melting_Curves/meltCurve_Q6PII5_2_HAGHL.pdf", "Melting_Curves/meltCurve_Q6PII5_2_HAGHL.pdf")</f>
        <v>Melting_Curves/meltCurve_Q6PII5_2_HAGHL.pdf</v>
      </c>
    </row>
    <row r="3509" spans="1:28" x14ac:dyDescent="0.25">
      <c r="A3509" t="s">
        <v>3513</v>
      </c>
      <c r="B3509">
        <v>0.99299721793515405</v>
      </c>
      <c r="C3509">
        <v>1.0628174404556101</v>
      </c>
      <c r="D3509">
        <v>0.96977536686363397</v>
      </c>
      <c r="E3509">
        <v>0.84718465631745499</v>
      </c>
      <c r="F3509">
        <v>0.422822528465498</v>
      </c>
      <c r="G3509">
        <v>0.15440228058223099</v>
      </c>
      <c r="H3509">
        <v>0.132002606784342</v>
      </c>
      <c r="I3509">
        <v>0.106173827196933</v>
      </c>
      <c r="J3509">
        <v>0.11675004747838399</v>
      </c>
      <c r="K3509">
        <v>9.5299086902896998E-2</v>
      </c>
      <c r="L3509">
        <v>1444.6227507262399</v>
      </c>
      <c r="M3509">
        <v>29.404141622826302</v>
      </c>
      <c r="N3509">
        <v>49.528886706628697</v>
      </c>
      <c r="O3509">
        <v>48.904354363280802</v>
      </c>
      <c r="P3509">
        <v>-0.134464678744906</v>
      </c>
      <c r="Q3509">
        <v>0.10545100947330401</v>
      </c>
      <c r="R3509">
        <v>0.99686236822355501</v>
      </c>
      <c r="S3509" t="s">
        <v>9060</v>
      </c>
      <c r="T3509" t="s">
        <v>11100</v>
      </c>
      <c r="U3509" t="s">
        <v>11100</v>
      </c>
      <c r="V3509" t="s">
        <v>11100</v>
      </c>
      <c r="W3509" t="s">
        <v>14559</v>
      </c>
      <c r="X3509">
        <v>6</v>
      </c>
      <c r="Y3509" t="s">
        <v>20000</v>
      </c>
      <c r="Z3509" t="s">
        <v>25514</v>
      </c>
      <c r="AA3509">
        <v>0.47277247431265879</v>
      </c>
      <c r="AB3509" t="str">
        <f>HYPERLINK("Melting_Curves/meltCurve_Q6PIW4_2_FIGNL1.pdf", "Melting_Curves/meltCurve_Q6PIW4_2_FIGNL1.pdf")</f>
        <v>Melting_Curves/meltCurve_Q6PIW4_2_FIGNL1.pdf</v>
      </c>
    </row>
    <row r="3510" spans="1:28" x14ac:dyDescent="0.25">
      <c r="A3510" t="s">
        <v>3514</v>
      </c>
      <c r="B3510">
        <v>0.99299721793515405</v>
      </c>
      <c r="C3510">
        <v>0.91642239925881397</v>
      </c>
      <c r="D3510">
        <v>1.08411762334621</v>
      </c>
      <c r="E3510">
        <v>0.92993066238403999</v>
      </c>
      <c r="F3510">
        <v>0.56969073226131195</v>
      </c>
      <c r="G3510">
        <v>0.29723696729913002</v>
      </c>
      <c r="H3510">
        <v>0.14394430969084501</v>
      </c>
      <c r="I3510">
        <v>0.13813335511444</v>
      </c>
      <c r="J3510">
        <v>0.152067491760733</v>
      </c>
      <c r="K3510">
        <v>0.125862485781362</v>
      </c>
      <c r="L3510">
        <v>1390.39475635908</v>
      </c>
      <c r="M3510">
        <v>27.588435103149202</v>
      </c>
      <c r="N3510">
        <v>50.9812388281088</v>
      </c>
      <c r="O3510">
        <v>50.135157408007402</v>
      </c>
      <c r="P3510">
        <v>-0.118946811323632</v>
      </c>
      <c r="Q3510">
        <v>0.13538190436206099</v>
      </c>
      <c r="R3510">
        <v>0.98810329890501203</v>
      </c>
      <c r="S3510" t="s">
        <v>9061</v>
      </c>
      <c r="T3510" t="s">
        <v>11100</v>
      </c>
      <c r="U3510" t="s">
        <v>11100</v>
      </c>
      <c r="V3510" t="s">
        <v>11100</v>
      </c>
      <c r="W3510" t="s">
        <v>14560</v>
      </c>
      <c r="X3510">
        <v>17</v>
      </c>
      <c r="Y3510" t="s">
        <v>20001</v>
      </c>
      <c r="Z3510" t="s">
        <v>25515</v>
      </c>
      <c r="AA3510">
        <v>0.52780008811905166</v>
      </c>
      <c r="AB3510" t="str">
        <f>HYPERLINK("Melting_Curves/meltCurve_Q6PJ69_TRIM65.pdf", "Melting_Curves/meltCurve_Q6PJ69_TRIM65.pdf")</f>
        <v>Melting_Curves/meltCurve_Q6PJ69_TRIM65.pdf</v>
      </c>
    </row>
    <row r="3511" spans="1:28" x14ac:dyDescent="0.25">
      <c r="A3511" t="s">
        <v>3515</v>
      </c>
      <c r="B3511">
        <v>0.99299721793515405</v>
      </c>
      <c r="C3511">
        <v>0.87982595900790395</v>
      </c>
      <c r="D3511">
        <v>0.91870362038633901</v>
      </c>
      <c r="E3511">
        <v>0.88568522942202299</v>
      </c>
      <c r="F3511">
        <v>0.70786270813129504</v>
      </c>
      <c r="G3511">
        <v>0.53459198073212999</v>
      </c>
      <c r="H3511">
        <v>0.50387665838664697</v>
      </c>
      <c r="I3511">
        <v>0.41216736093571299</v>
      </c>
      <c r="J3511">
        <v>0.25069714231787099</v>
      </c>
      <c r="K3511">
        <v>0.188574766962888</v>
      </c>
      <c r="L3511">
        <v>436.43844700176697</v>
      </c>
      <c r="M3511">
        <v>7.7523273967435999</v>
      </c>
      <c r="N3511">
        <v>56.297731587798403</v>
      </c>
      <c r="O3511">
        <v>52.919599464545101</v>
      </c>
      <c r="P3511">
        <v>-3.6669709940261398E-2</v>
      </c>
      <c r="Q3511">
        <v>0</v>
      </c>
      <c r="R3511">
        <v>0.97433742874120199</v>
      </c>
      <c r="S3511" t="s">
        <v>9062</v>
      </c>
      <c r="T3511" t="s">
        <v>11100</v>
      </c>
      <c r="U3511" t="s">
        <v>11100</v>
      </c>
      <c r="V3511" t="s">
        <v>11100</v>
      </c>
      <c r="W3511" t="s">
        <v>14561</v>
      </c>
      <c r="X3511">
        <v>2</v>
      </c>
      <c r="Y3511" t="s">
        <v>20002</v>
      </c>
      <c r="Z3511" t="s">
        <v>25516</v>
      </c>
      <c r="AA3511">
        <v>0.63740644588840789</v>
      </c>
      <c r="AB3511" t="str">
        <f>HYPERLINK("Melting_Curves/meltCurve_Q6PJF5_2_RHBDF2.pdf", "Melting_Curves/meltCurve_Q6PJF5_2_RHBDF2.pdf")</f>
        <v>Melting_Curves/meltCurve_Q6PJF5_2_RHBDF2.pdf</v>
      </c>
    </row>
    <row r="3512" spans="1:28" x14ac:dyDescent="0.25">
      <c r="A3512" t="s">
        <v>3516</v>
      </c>
      <c r="B3512">
        <v>0.99299721793515405</v>
      </c>
      <c r="C3512">
        <v>0.98891958173522199</v>
      </c>
      <c r="D3512">
        <v>0.91470429057288705</v>
      </c>
      <c r="E3512">
        <v>0.722500923187545</v>
      </c>
      <c r="F3512">
        <v>0.32820804873834902</v>
      </c>
      <c r="G3512">
        <v>0.257611309663273</v>
      </c>
      <c r="H3512">
        <v>0.17748080912530201</v>
      </c>
      <c r="I3512">
        <v>0.15717660715912599</v>
      </c>
      <c r="J3512">
        <v>9.3146729087432101E-2</v>
      </c>
      <c r="K3512">
        <v>7.5488868162285602E-2</v>
      </c>
      <c r="L3512">
        <v>946.92755436854998</v>
      </c>
      <c r="M3512">
        <v>19.685894397759402</v>
      </c>
      <c r="N3512">
        <v>48.741027897082802</v>
      </c>
      <c r="O3512">
        <v>47.613710872624402</v>
      </c>
      <c r="P3512">
        <v>-9.1606633920265093E-2</v>
      </c>
      <c r="Q3512">
        <v>0.113765234423086</v>
      </c>
      <c r="R3512">
        <v>0.992309775163847</v>
      </c>
      <c r="S3512" t="s">
        <v>9063</v>
      </c>
      <c r="T3512" t="s">
        <v>11100</v>
      </c>
      <c r="U3512" t="s">
        <v>11100</v>
      </c>
      <c r="V3512" t="s">
        <v>11100</v>
      </c>
      <c r="W3512" t="s">
        <v>14562</v>
      </c>
      <c r="X3512">
        <v>12</v>
      </c>
      <c r="Y3512" t="s">
        <v>20003</v>
      </c>
      <c r="Z3512" t="s">
        <v>25517</v>
      </c>
      <c r="AA3512">
        <v>0.45372607420370009</v>
      </c>
      <c r="AB3512" t="str">
        <f>HYPERLINK("Melting_Curves/meltCurve_Q6PJG6_BRAT1.pdf", "Melting_Curves/meltCurve_Q6PJG6_BRAT1.pdf")</f>
        <v>Melting_Curves/meltCurve_Q6PJG6_BRAT1.pdf</v>
      </c>
    </row>
    <row r="3513" spans="1:28" x14ac:dyDescent="0.25">
      <c r="A3513" t="s">
        <v>3517</v>
      </c>
      <c r="B3513">
        <v>0.99299721793515405</v>
      </c>
      <c r="C3513">
        <v>0.94043795619665305</v>
      </c>
      <c r="D3513">
        <v>1.1486841709247799</v>
      </c>
      <c r="E3513">
        <v>0.85189942980540201</v>
      </c>
      <c r="F3513">
        <v>0.72145364374162502</v>
      </c>
      <c r="G3513">
        <v>0.52602376946664497</v>
      </c>
      <c r="H3513">
        <v>0.38054711341694197</v>
      </c>
      <c r="I3513">
        <v>0.35618780845474901</v>
      </c>
      <c r="J3513">
        <v>0.35851058146127801</v>
      </c>
      <c r="K3513">
        <v>0.297998528940077</v>
      </c>
      <c r="L3513">
        <v>976.72157617550897</v>
      </c>
      <c r="M3513">
        <v>19.095266633374202</v>
      </c>
      <c r="N3513">
        <v>54.023309594164601</v>
      </c>
      <c r="O3513">
        <v>50.598859636172499</v>
      </c>
      <c r="P3513">
        <v>-6.4260519578276207E-2</v>
      </c>
      <c r="Q3513">
        <v>0.31891350001902002</v>
      </c>
      <c r="R3513">
        <v>0.95892504913402599</v>
      </c>
      <c r="S3513" t="s">
        <v>9064</v>
      </c>
      <c r="T3513" t="s">
        <v>11100</v>
      </c>
      <c r="U3513" t="s">
        <v>11100</v>
      </c>
      <c r="V3513" t="s">
        <v>11100</v>
      </c>
      <c r="W3513" t="s">
        <v>14563</v>
      </c>
      <c r="X3513">
        <v>12</v>
      </c>
      <c r="Y3513" t="s">
        <v>20004</v>
      </c>
      <c r="Z3513" t="s">
        <v>25518</v>
      </c>
      <c r="AA3513">
        <v>0.64975798206043456</v>
      </c>
      <c r="AB3513" t="str">
        <f>HYPERLINK("Melting_Curves/meltCurve_Q6PJT7_5_ZC3H14.pdf", "Melting_Curves/meltCurve_Q6PJT7_5_ZC3H14.pdf")</f>
        <v>Melting_Curves/meltCurve_Q6PJT7_5_ZC3H14.pdf</v>
      </c>
    </row>
    <row r="3514" spans="1:28" x14ac:dyDescent="0.25">
      <c r="A3514" t="s">
        <v>3518</v>
      </c>
      <c r="B3514">
        <v>0.99299721793515405</v>
      </c>
      <c r="C3514">
        <v>0.90786286875655398</v>
      </c>
      <c r="D3514">
        <v>0.75651289109873698</v>
      </c>
      <c r="E3514">
        <v>0.56700785556696698</v>
      </c>
      <c r="F3514">
        <v>0.39114149340096399</v>
      </c>
      <c r="G3514">
        <v>0.38080972351480502</v>
      </c>
      <c r="H3514">
        <v>0.25836657285091502</v>
      </c>
      <c r="I3514">
        <v>0.200866384597682</v>
      </c>
      <c r="J3514">
        <v>0.18856172966762</v>
      </c>
      <c r="K3514">
        <v>8.22544846768406E-2</v>
      </c>
      <c r="L3514">
        <v>465.89530387461798</v>
      </c>
      <c r="M3514">
        <v>9.7875740994346607</v>
      </c>
      <c r="N3514">
        <v>48.660474774958097</v>
      </c>
      <c r="O3514">
        <v>45.741222931029498</v>
      </c>
      <c r="P3514">
        <v>-4.8384972876376303E-2</v>
      </c>
      <c r="Q3514">
        <v>9.5988475792485303E-2</v>
      </c>
      <c r="R3514">
        <v>0.98382750600282798</v>
      </c>
      <c r="S3514" t="s">
        <v>9065</v>
      </c>
      <c r="T3514" t="s">
        <v>11100</v>
      </c>
      <c r="U3514" t="s">
        <v>11100</v>
      </c>
      <c r="V3514" t="s">
        <v>11100</v>
      </c>
      <c r="W3514" t="s">
        <v>14564</v>
      </c>
      <c r="X3514">
        <v>4</v>
      </c>
      <c r="Y3514" t="s">
        <v>20005</v>
      </c>
      <c r="Z3514" t="s">
        <v>25519</v>
      </c>
      <c r="AA3514">
        <v>0.45387904209582403</v>
      </c>
      <c r="AB3514" t="str">
        <f>HYPERLINK("Melting_Curves/meltCurve_Q6PKG0_LARP1.pdf", "Melting_Curves/meltCurve_Q6PKG0_LARP1.pdf")</f>
        <v>Melting_Curves/meltCurve_Q6PKG0_LARP1.pdf</v>
      </c>
    </row>
    <row r="3515" spans="1:28" x14ac:dyDescent="0.25">
      <c r="A3515" t="s">
        <v>3519</v>
      </c>
      <c r="B3515">
        <v>0.99299721793515405</v>
      </c>
      <c r="C3515">
        <v>0.94902442385774</v>
      </c>
      <c r="D3515">
        <v>0.944498255699044</v>
      </c>
      <c r="E3515">
        <v>0.76178191542437701</v>
      </c>
      <c r="F3515">
        <v>0.66294610914987795</v>
      </c>
      <c r="G3515">
        <v>0.34053953622518202</v>
      </c>
      <c r="H3515">
        <v>0.224962305132966</v>
      </c>
      <c r="I3515">
        <v>0.17808771374495</v>
      </c>
      <c r="J3515">
        <v>0.18275150290299499</v>
      </c>
      <c r="K3515">
        <v>0.17174923027310901</v>
      </c>
      <c r="L3515">
        <v>769.82770462487395</v>
      </c>
      <c r="M3515">
        <v>15.243928128785701</v>
      </c>
      <c r="N3515">
        <v>51.539961876893202</v>
      </c>
      <c r="O3515">
        <v>49.655467762656798</v>
      </c>
      <c r="P3515">
        <v>-6.6599101910008701E-2</v>
      </c>
      <c r="Q3515">
        <v>0.13232442646800299</v>
      </c>
      <c r="R3515">
        <v>0.98892833452029405</v>
      </c>
      <c r="S3515" t="s">
        <v>9066</v>
      </c>
      <c r="T3515" t="s">
        <v>11100</v>
      </c>
      <c r="U3515" t="s">
        <v>11100</v>
      </c>
      <c r="V3515" t="s">
        <v>11100</v>
      </c>
      <c r="W3515" t="s">
        <v>14565</v>
      </c>
      <c r="X3515">
        <v>7</v>
      </c>
      <c r="Y3515" t="s">
        <v>20006</v>
      </c>
      <c r="Z3515" t="s">
        <v>25520</v>
      </c>
      <c r="AA3515">
        <v>0.54022382305589711</v>
      </c>
      <c r="AB3515" t="str">
        <f>HYPERLINK("Melting_Curves/meltCurve_Q6PL24_TMED8.pdf", "Melting_Curves/meltCurve_Q6PL24_TMED8.pdf")</f>
        <v>Melting_Curves/meltCurve_Q6PL24_TMED8.pdf</v>
      </c>
    </row>
    <row r="3516" spans="1:28" x14ac:dyDescent="0.25">
      <c r="A3516" t="s">
        <v>3520</v>
      </c>
      <c r="B3516">
        <v>0.99299721793515405</v>
      </c>
      <c r="C3516">
        <v>0.93398929765805205</v>
      </c>
      <c r="D3516">
        <v>0.84775887189436705</v>
      </c>
      <c r="E3516">
        <v>0.755156092135154</v>
      </c>
      <c r="F3516">
        <v>0.64271876761009294</v>
      </c>
      <c r="G3516">
        <v>0.301329274199923</v>
      </c>
      <c r="H3516">
        <v>0.161447704403689</v>
      </c>
      <c r="I3516">
        <v>0.168897018085582</v>
      </c>
      <c r="J3516">
        <v>0.100591151738289</v>
      </c>
      <c r="K3516">
        <v>8.9089186267743994E-2</v>
      </c>
      <c r="L3516">
        <v>619.71044968360798</v>
      </c>
      <c r="M3516">
        <v>12.1939959988105</v>
      </c>
      <c r="N3516">
        <v>51.037910530547201</v>
      </c>
      <c r="O3516">
        <v>49.512110148020703</v>
      </c>
      <c r="P3516">
        <v>-6.00292420896043E-2</v>
      </c>
      <c r="Q3516">
        <v>2.5257563772231099E-2</v>
      </c>
      <c r="R3516">
        <v>0.98355473748503397</v>
      </c>
      <c r="S3516" t="s">
        <v>9067</v>
      </c>
      <c r="T3516" t="s">
        <v>11100</v>
      </c>
      <c r="U3516" t="s">
        <v>11100</v>
      </c>
      <c r="V3516" t="s">
        <v>11100</v>
      </c>
      <c r="W3516" t="s">
        <v>14566</v>
      </c>
      <c r="X3516">
        <v>10</v>
      </c>
      <c r="Y3516" t="s">
        <v>20007</v>
      </c>
      <c r="Z3516" t="s">
        <v>25521</v>
      </c>
      <c r="AA3516">
        <v>0.49963282432454198</v>
      </c>
      <c r="AB3516" t="str">
        <f>HYPERLINK("Melting_Curves/meltCurve_Q6PML9_SLC30A9.pdf", "Melting_Curves/meltCurve_Q6PML9_SLC30A9.pdf")</f>
        <v>Melting_Curves/meltCurve_Q6PML9_SLC30A9.pdf</v>
      </c>
    </row>
    <row r="3517" spans="1:28" x14ac:dyDescent="0.25">
      <c r="A3517" t="s">
        <v>3521</v>
      </c>
      <c r="B3517">
        <v>0.99299721793515405</v>
      </c>
      <c r="C3517">
        <v>0.93604336732042104</v>
      </c>
      <c r="D3517">
        <v>0.901484747323543</v>
      </c>
      <c r="E3517">
        <v>0.84912780019627498</v>
      </c>
      <c r="F3517">
        <v>0.72624812650636905</v>
      </c>
      <c r="G3517">
        <v>0.606009019237019</v>
      </c>
      <c r="H3517">
        <v>0.59060960478954805</v>
      </c>
      <c r="I3517">
        <v>0.60766604416335701</v>
      </c>
      <c r="J3517">
        <v>0.58133664336157598</v>
      </c>
      <c r="K3517">
        <v>0.447573333954706</v>
      </c>
      <c r="L3517">
        <v>461.35766748235898</v>
      </c>
      <c r="M3517">
        <v>9.2254663839579898</v>
      </c>
      <c r="O3517">
        <v>47.827740727660803</v>
      </c>
      <c r="P3517">
        <v>-2.5587275173483699E-2</v>
      </c>
      <c r="Q3517">
        <v>0.469740453460121</v>
      </c>
      <c r="R3517">
        <v>0.95618046374697796</v>
      </c>
      <c r="S3517" t="s">
        <v>9068</v>
      </c>
      <c r="T3517" t="s">
        <v>11100</v>
      </c>
      <c r="U3517" t="s">
        <v>11100</v>
      </c>
      <c r="V3517" t="s">
        <v>11100</v>
      </c>
      <c r="W3517" t="s">
        <v>14567</v>
      </c>
      <c r="X3517">
        <v>13</v>
      </c>
      <c r="Y3517" t="s">
        <v>20008</v>
      </c>
      <c r="Z3517" t="s">
        <v>25522</v>
      </c>
      <c r="AA3517">
        <v>0.7190078754496515</v>
      </c>
      <c r="AB3517" t="str">
        <f>HYPERLINK("Melting_Curves/meltCurve_Q6QNY0_BLOC1S3.pdf", "Melting_Curves/meltCurve_Q6QNY0_BLOC1S3.pdf")</f>
        <v>Melting_Curves/meltCurve_Q6QNY0_BLOC1S3.pdf</v>
      </c>
    </row>
    <row r="3518" spans="1:28" x14ac:dyDescent="0.25">
      <c r="A3518" t="s">
        <v>3522</v>
      </c>
      <c r="B3518">
        <v>0.99299721793515405</v>
      </c>
      <c r="C3518">
        <v>0.78742912440233404</v>
      </c>
      <c r="D3518">
        <v>0.86961995842555595</v>
      </c>
      <c r="E3518">
        <v>0.79379469477837195</v>
      </c>
      <c r="F3518">
        <v>0.72127337627683497</v>
      </c>
      <c r="G3518">
        <v>0.52515175860352203</v>
      </c>
      <c r="H3518">
        <v>0.46190554663035399</v>
      </c>
      <c r="I3518">
        <v>0.43399314568414799</v>
      </c>
      <c r="J3518">
        <v>0.373180280789768</v>
      </c>
      <c r="K3518">
        <v>0.28818138693225898</v>
      </c>
      <c r="L3518">
        <v>301.41486216026698</v>
      </c>
      <c r="M3518">
        <v>5.3028016882665296</v>
      </c>
      <c r="N3518">
        <v>56.840697520754098</v>
      </c>
      <c r="O3518">
        <v>50.2659883848847</v>
      </c>
      <c r="P3518">
        <v>-2.6505663916157801E-2</v>
      </c>
      <c r="Q3518">
        <v>0</v>
      </c>
      <c r="R3518">
        <v>0.951321187452421</v>
      </c>
      <c r="S3518" t="s">
        <v>9069</v>
      </c>
      <c r="T3518" t="s">
        <v>11100</v>
      </c>
      <c r="U3518" t="s">
        <v>11100</v>
      </c>
      <c r="V3518" t="s">
        <v>11100</v>
      </c>
      <c r="W3518" t="s">
        <v>14568</v>
      </c>
      <c r="X3518">
        <v>4</v>
      </c>
      <c r="Y3518" t="s">
        <v>20009</v>
      </c>
      <c r="Z3518" t="s">
        <v>25523</v>
      </c>
      <c r="AA3518">
        <v>0.62600829760957022</v>
      </c>
      <c r="AB3518" t="str">
        <f>HYPERLINK("Melting_Curves/meltCurve_Q6QNY1_BLOC1S2.pdf", "Melting_Curves/meltCurve_Q6QNY1_BLOC1S2.pdf")</f>
        <v>Melting_Curves/meltCurve_Q6QNY1_BLOC1S2.pdf</v>
      </c>
    </row>
    <row r="3519" spans="1:28" x14ac:dyDescent="0.25">
      <c r="A3519" t="s">
        <v>3523</v>
      </c>
      <c r="B3519">
        <v>0.99299721793515405</v>
      </c>
      <c r="C3519">
        <v>1.1018715846656699</v>
      </c>
      <c r="D3519">
        <v>0.85032939723318302</v>
      </c>
      <c r="E3519">
        <v>0.90228455153425002</v>
      </c>
      <c r="F3519">
        <v>0.76324859272563805</v>
      </c>
      <c r="G3519">
        <v>0.47789838683665398</v>
      </c>
      <c r="H3519">
        <v>0.65353251357185604</v>
      </c>
      <c r="I3519">
        <v>0.70714435919987795</v>
      </c>
      <c r="J3519">
        <v>0.78840467327524899</v>
      </c>
      <c r="K3519">
        <v>0.49509149892406601</v>
      </c>
      <c r="L3519">
        <v>1233.73472905265</v>
      </c>
      <c r="M3519">
        <v>25.760992420672402</v>
      </c>
      <c r="O3519">
        <v>47.605786869369602</v>
      </c>
      <c r="P3519">
        <v>-5.0286702055818297E-2</v>
      </c>
      <c r="Q3519">
        <v>0.62828926094265103</v>
      </c>
      <c r="R3519">
        <v>0.69706717809059004</v>
      </c>
      <c r="S3519" t="s">
        <v>9070</v>
      </c>
      <c r="T3519" t="s">
        <v>11100</v>
      </c>
      <c r="U3519" t="s">
        <v>11100</v>
      </c>
      <c r="V3519" t="s">
        <v>11100</v>
      </c>
      <c r="W3519" t="s">
        <v>14569</v>
      </c>
      <c r="X3519">
        <v>1</v>
      </c>
      <c r="Y3519" t="s">
        <v>20010</v>
      </c>
      <c r="Z3519" t="s">
        <v>25524</v>
      </c>
      <c r="AA3519">
        <v>0.766219724201325</v>
      </c>
      <c r="AB3519" t="str">
        <f>HYPERLINK("Melting_Curves/meltCurve_Q6RW13_2_AGTRAP.pdf", "Melting_Curves/meltCurve_Q6RW13_2_AGTRAP.pdf")</f>
        <v>Melting_Curves/meltCurve_Q6RW13_2_AGTRAP.pdf</v>
      </c>
    </row>
    <row r="3520" spans="1:28" x14ac:dyDescent="0.25">
      <c r="A3520" t="s">
        <v>3524</v>
      </c>
      <c r="B3520">
        <v>0.99299721793515405</v>
      </c>
      <c r="C3520">
        <v>1.13893146406684</v>
      </c>
      <c r="D3520">
        <v>0.93041514250948798</v>
      </c>
      <c r="E3520">
        <v>0.89423344568253404</v>
      </c>
      <c r="F3520">
        <v>0.22033619745555499</v>
      </c>
      <c r="G3520">
        <v>0.17346430824089501</v>
      </c>
      <c r="H3520">
        <v>8.4078707808087294E-2</v>
      </c>
      <c r="I3520">
        <v>7.7958023066698398E-2</v>
      </c>
      <c r="J3520">
        <v>2.76820076036048E-2</v>
      </c>
      <c r="K3520">
        <v>6.0923509725952701E-2</v>
      </c>
      <c r="L3520">
        <v>2329.3146498864098</v>
      </c>
      <c r="M3520">
        <v>48.033920879876597</v>
      </c>
      <c r="N3520">
        <v>48.672926527449697</v>
      </c>
      <c r="O3520">
        <v>48.409295992262301</v>
      </c>
      <c r="P3520">
        <v>-0.227895586924699</v>
      </c>
      <c r="Q3520">
        <v>8.1294842441735904E-2</v>
      </c>
      <c r="R3520">
        <v>0.982094136449848</v>
      </c>
      <c r="S3520" t="s">
        <v>9071</v>
      </c>
      <c r="T3520" t="s">
        <v>11100</v>
      </c>
      <c r="U3520" t="s">
        <v>11100</v>
      </c>
      <c r="V3520" t="s">
        <v>11100</v>
      </c>
      <c r="W3520" t="s">
        <v>14570</v>
      </c>
      <c r="X3520">
        <v>2</v>
      </c>
      <c r="Y3520" t="s">
        <v>20011</v>
      </c>
      <c r="Z3520" t="s">
        <v>25525</v>
      </c>
      <c r="AA3520">
        <v>0.43538466296016071</v>
      </c>
      <c r="AB3520" t="str">
        <f>HYPERLINK("Melting_Curves/meltCurve_Q6SPF0_SAMD1.pdf", "Melting_Curves/meltCurve_Q6SPF0_SAMD1.pdf")</f>
        <v>Melting_Curves/meltCurve_Q6SPF0_SAMD1.pdf</v>
      </c>
    </row>
    <row r="3521" spans="1:28" x14ac:dyDescent="0.25">
      <c r="A3521" t="s">
        <v>3525</v>
      </c>
      <c r="B3521">
        <v>0.99299721793515405</v>
      </c>
      <c r="C3521">
        <v>0.799003747960774</v>
      </c>
      <c r="D3521">
        <v>0.92629468907592605</v>
      </c>
      <c r="E3521">
        <v>0.85455444400231495</v>
      </c>
      <c r="F3521">
        <v>0.93480543424928197</v>
      </c>
      <c r="G3521">
        <v>0.64316601262878303</v>
      </c>
      <c r="H3521">
        <v>0.56556283915894601</v>
      </c>
      <c r="I3521">
        <v>0.49662737006435398</v>
      </c>
      <c r="J3521">
        <v>0.34219885163775299</v>
      </c>
      <c r="K3521">
        <v>0.33798951758368601</v>
      </c>
      <c r="L3521">
        <v>417.65071288500502</v>
      </c>
      <c r="M3521">
        <v>6.9653276837479696</v>
      </c>
      <c r="N3521">
        <v>59.961387217973297</v>
      </c>
      <c r="O3521">
        <v>55.604983298425402</v>
      </c>
      <c r="P3521">
        <v>-3.1375229729734597E-2</v>
      </c>
      <c r="Q3521">
        <v>0</v>
      </c>
      <c r="R3521">
        <v>0.89872179664942398</v>
      </c>
      <c r="S3521" t="s">
        <v>9072</v>
      </c>
      <c r="T3521" t="s">
        <v>11100</v>
      </c>
      <c r="U3521" t="s">
        <v>11100</v>
      </c>
      <c r="V3521" t="s">
        <v>11100</v>
      </c>
      <c r="W3521" t="s">
        <v>14571</v>
      </c>
      <c r="X3521">
        <v>5</v>
      </c>
      <c r="Y3521" t="s">
        <v>20012</v>
      </c>
      <c r="Z3521" t="s">
        <v>25526</v>
      </c>
      <c r="AA3521">
        <v>0.71049735085137489</v>
      </c>
      <c r="AB3521" t="str">
        <f>HYPERLINK("Melting_Curves/meltCurve_Q6UB28_METAP1D.pdf", "Melting_Curves/meltCurve_Q6UB28_METAP1D.pdf")</f>
        <v>Melting_Curves/meltCurve_Q6UB28_METAP1D.pdf</v>
      </c>
    </row>
    <row r="3522" spans="1:28" x14ac:dyDescent="0.25">
      <c r="A3522" t="s">
        <v>3526</v>
      </c>
      <c r="B3522">
        <v>0.99299721793515405</v>
      </c>
      <c r="C3522">
        <v>1.0734205704211099</v>
      </c>
      <c r="D3522">
        <v>0.957779056304497</v>
      </c>
      <c r="E3522">
        <v>0.96426199285118697</v>
      </c>
      <c r="F3522">
        <v>0.74652670230199902</v>
      </c>
      <c r="G3522">
        <v>0.58519076151138405</v>
      </c>
      <c r="H3522">
        <v>0.17421109468079299</v>
      </c>
      <c r="I3522">
        <v>0.14956734827439699</v>
      </c>
      <c r="J3522">
        <v>0.13362603278500501</v>
      </c>
      <c r="K3522">
        <v>0.10861530240924</v>
      </c>
      <c r="L3522">
        <v>1099.29166357842</v>
      </c>
      <c r="M3522">
        <v>20.6128253022774</v>
      </c>
      <c r="N3522">
        <v>53.812693064035798</v>
      </c>
      <c r="O3522">
        <v>52.836137592881599</v>
      </c>
      <c r="P3522">
        <v>-8.9309878543261306E-2</v>
      </c>
      <c r="Q3522">
        <v>8.4326755514790006E-2</v>
      </c>
      <c r="R3522">
        <v>0.98374973563618096</v>
      </c>
      <c r="S3522" t="s">
        <v>9073</v>
      </c>
      <c r="T3522" t="s">
        <v>11100</v>
      </c>
      <c r="U3522" t="s">
        <v>11100</v>
      </c>
      <c r="V3522" t="s">
        <v>11100</v>
      </c>
      <c r="W3522" t="s">
        <v>14572</v>
      </c>
      <c r="X3522">
        <v>27</v>
      </c>
      <c r="Y3522" t="s">
        <v>17387</v>
      </c>
      <c r="Z3522" t="s">
        <v>25527</v>
      </c>
      <c r="AA3522">
        <v>0.59369805622914729</v>
      </c>
      <c r="AB3522" t="str">
        <f>HYPERLINK("Melting_Curves/meltCurve_Q6UB35_MTHFD1L.pdf", "Melting_Curves/meltCurve_Q6UB35_MTHFD1L.pdf")</f>
        <v>Melting_Curves/meltCurve_Q6UB35_MTHFD1L.pdf</v>
      </c>
    </row>
    <row r="3523" spans="1:28" x14ac:dyDescent="0.25">
      <c r="A3523" t="s">
        <v>3527</v>
      </c>
      <c r="B3523">
        <v>0.99299721793515405</v>
      </c>
      <c r="C3523">
        <v>0.94102828338531397</v>
      </c>
      <c r="D3523">
        <v>0.88313524180290903</v>
      </c>
      <c r="E3523">
        <v>0.84646867718789198</v>
      </c>
      <c r="F3523">
        <v>0.81454039514584498</v>
      </c>
      <c r="G3523">
        <v>0.55180711232120605</v>
      </c>
      <c r="H3523">
        <v>0.66933180435343098</v>
      </c>
      <c r="I3523">
        <v>0.54784979345985896</v>
      </c>
      <c r="J3523">
        <v>0.47612228658207001</v>
      </c>
      <c r="K3523">
        <v>0.49075342921993398</v>
      </c>
      <c r="L3523">
        <v>401.81723156074202</v>
      </c>
      <c r="M3523">
        <v>7.5973804123015496</v>
      </c>
      <c r="N3523">
        <v>64.693931116564002</v>
      </c>
      <c r="O3523">
        <v>49.5976861457507</v>
      </c>
      <c r="P3523">
        <v>-2.3967019583983298E-2</v>
      </c>
      <c r="Q3523">
        <v>0.37500446968640699</v>
      </c>
      <c r="R3523">
        <v>0.92842478733854095</v>
      </c>
      <c r="S3523" t="s">
        <v>9074</v>
      </c>
      <c r="T3523" t="s">
        <v>11100</v>
      </c>
      <c r="U3523" t="s">
        <v>11100</v>
      </c>
      <c r="V3523" t="s">
        <v>11100</v>
      </c>
      <c r="W3523" t="s">
        <v>14573</v>
      </c>
      <c r="X3523">
        <v>2</v>
      </c>
      <c r="Y3523" t="s">
        <v>20013</v>
      </c>
      <c r="Z3523" t="s">
        <v>25528</v>
      </c>
      <c r="AA3523">
        <v>0.7198935685572333</v>
      </c>
      <c r="AB3523" t="str">
        <f>HYPERLINK("Melting_Curves/meltCurve_Q6ULP2_3_AFTPH.pdf", "Melting_Curves/meltCurve_Q6ULP2_3_AFTPH.pdf")</f>
        <v>Melting_Curves/meltCurve_Q6ULP2_3_AFTPH.pdf</v>
      </c>
    </row>
    <row r="3524" spans="1:28" x14ac:dyDescent="0.25">
      <c r="A3524" t="s">
        <v>3528</v>
      </c>
      <c r="B3524">
        <v>0.99299721793515405</v>
      </c>
      <c r="C3524">
        <v>0.97587693455596702</v>
      </c>
      <c r="D3524">
        <v>0.89467372235348697</v>
      </c>
      <c r="E3524">
        <v>0.88037013471848202</v>
      </c>
      <c r="F3524">
        <v>0.67167170130279297</v>
      </c>
      <c r="G3524">
        <v>0.50460663072307199</v>
      </c>
      <c r="H3524">
        <v>1.00420888467798</v>
      </c>
      <c r="I3524">
        <v>1.51947615329707</v>
      </c>
      <c r="J3524">
        <v>1.8669828209296</v>
      </c>
      <c r="K3524">
        <v>2.1563815914592301</v>
      </c>
      <c r="L3524">
        <v>14622.7301481008</v>
      </c>
      <c r="M3524">
        <v>250</v>
      </c>
      <c r="O3524">
        <v>58.487177575169198</v>
      </c>
      <c r="P3524">
        <v>0.53430514754790004</v>
      </c>
      <c r="Q3524">
        <v>1.5</v>
      </c>
      <c r="R3524">
        <v>0.62534754706010898</v>
      </c>
      <c r="S3524" t="s">
        <v>9075</v>
      </c>
      <c r="T3524" t="s">
        <v>11100</v>
      </c>
      <c r="U3524" t="s">
        <v>11100</v>
      </c>
      <c r="V3524" t="s">
        <v>11100</v>
      </c>
      <c r="W3524" t="s">
        <v>14574</v>
      </c>
      <c r="X3524">
        <v>6</v>
      </c>
      <c r="Y3524" t="s">
        <v>20014</v>
      </c>
      <c r="Z3524" t="s">
        <v>25529</v>
      </c>
      <c r="AA3524">
        <v>1.1417666647989511</v>
      </c>
      <c r="AB3524" t="str">
        <f>HYPERLINK("Melting_Curves/meltCurve_Q6UN15_3_FIP1L1.pdf", "Melting_Curves/meltCurve_Q6UN15_3_FIP1L1.pdf")</f>
        <v>Melting_Curves/meltCurve_Q6UN15_3_FIP1L1.pdf</v>
      </c>
    </row>
    <row r="3525" spans="1:28" x14ac:dyDescent="0.25">
      <c r="A3525" t="s">
        <v>3529</v>
      </c>
      <c r="B3525">
        <v>0.99299721793515405</v>
      </c>
      <c r="C3525">
        <v>0.99982818927509298</v>
      </c>
      <c r="D3525">
        <v>0.93077962858715502</v>
      </c>
      <c r="E3525">
        <v>1.15404333504676</v>
      </c>
      <c r="F3525">
        <v>0.81945493749920595</v>
      </c>
      <c r="G3525">
        <v>0.64677497299634901</v>
      </c>
      <c r="H3525">
        <v>0.64484965409102502</v>
      </c>
      <c r="I3525">
        <v>0.58925646692141398</v>
      </c>
      <c r="J3525">
        <v>0.57452170136189395</v>
      </c>
      <c r="K3525">
        <v>0.53126528814636098</v>
      </c>
      <c r="L3525">
        <v>4118.50483960773</v>
      </c>
      <c r="M3525">
        <v>81.813091302700997</v>
      </c>
      <c r="O3525">
        <v>50.310363981600503</v>
      </c>
      <c r="P3525">
        <v>-0.163942090946045</v>
      </c>
      <c r="Q3525">
        <v>0.59674010860857196</v>
      </c>
      <c r="R3525">
        <v>0.91192286942356204</v>
      </c>
      <c r="S3525" t="s">
        <v>9076</v>
      </c>
      <c r="T3525" t="s">
        <v>11100</v>
      </c>
      <c r="U3525" t="s">
        <v>11100</v>
      </c>
      <c r="V3525" t="s">
        <v>11100</v>
      </c>
      <c r="W3525" t="s">
        <v>14575</v>
      </c>
      <c r="X3525">
        <v>2</v>
      </c>
      <c r="Y3525" t="s">
        <v>20015</v>
      </c>
      <c r="Z3525" t="s">
        <v>25530</v>
      </c>
      <c r="AA3525">
        <v>0.77639518059664192</v>
      </c>
      <c r="AB3525" t="str">
        <f>HYPERLINK("Melting_Curves/meltCurve_Q6UUV9_3_CRTC1.pdf", "Melting_Curves/meltCurve_Q6UUV9_3_CRTC1.pdf")</f>
        <v>Melting_Curves/meltCurve_Q6UUV9_3_CRTC1.pdf</v>
      </c>
    </row>
    <row r="3526" spans="1:28" x14ac:dyDescent="0.25">
      <c r="A3526" t="s">
        <v>3530</v>
      </c>
      <c r="B3526">
        <v>0.99299721793515405</v>
      </c>
      <c r="C3526">
        <v>0.96235247986415695</v>
      </c>
      <c r="D3526">
        <v>1.0061396010560399</v>
      </c>
      <c r="E3526">
        <v>0.91464660047087998</v>
      </c>
      <c r="F3526">
        <v>0.71707405545340597</v>
      </c>
      <c r="G3526">
        <v>0.34895863408337602</v>
      </c>
      <c r="H3526">
        <v>0.268011781792935</v>
      </c>
      <c r="I3526">
        <v>0.23458684512644801</v>
      </c>
      <c r="J3526">
        <v>0.197758536371546</v>
      </c>
      <c r="K3526">
        <v>0.181171144024001</v>
      </c>
      <c r="L3526">
        <v>1313.6854578054199</v>
      </c>
      <c r="M3526">
        <v>25.679694069799101</v>
      </c>
      <c r="N3526">
        <v>52.194504429988697</v>
      </c>
      <c r="O3526">
        <v>50.849407785814599</v>
      </c>
      <c r="P3526">
        <v>-0.101010603986111</v>
      </c>
      <c r="Q3526">
        <v>0.199949174552501</v>
      </c>
      <c r="R3526">
        <v>0.99596767361788097</v>
      </c>
      <c r="S3526" t="s">
        <v>9077</v>
      </c>
      <c r="T3526" t="s">
        <v>11100</v>
      </c>
      <c r="U3526" t="s">
        <v>11100</v>
      </c>
      <c r="V3526" t="s">
        <v>11100</v>
      </c>
      <c r="W3526" t="s">
        <v>14576</v>
      </c>
      <c r="X3526">
        <v>11</v>
      </c>
      <c r="Y3526" t="s">
        <v>20016</v>
      </c>
      <c r="Z3526" t="s">
        <v>25531</v>
      </c>
      <c r="AA3526">
        <v>0.58420415818544524</v>
      </c>
      <c r="AB3526" t="str">
        <f>HYPERLINK("Melting_Curves/meltCurve_Q6UVJ0_SASS6.pdf", "Melting_Curves/meltCurve_Q6UVJ0_SASS6.pdf")</f>
        <v>Melting_Curves/meltCurve_Q6UVJ0_SASS6.pdf</v>
      </c>
    </row>
    <row r="3527" spans="1:28" x14ac:dyDescent="0.25">
      <c r="A3527" t="s">
        <v>3531</v>
      </c>
      <c r="B3527">
        <v>0.99299721793515405</v>
      </c>
      <c r="C3527">
        <v>0.89914403396075504</v>
      </c>
      <c r="D3527">
        <v>0.92897595474040295</v>
      </c>
      <c r="E3527">
        <v>0.76038162841896395</v>
      </c>
      <c r="F3527">
        <v>0.67486108451532201</v>
      </c>
      <c r="G3527">
        <v>0.362513289200323</v>
      </c>
      <c r="H3527">
        <v>0.301260412511416</v>
      </c>
      <c r="I3527">
        <v>0.23624407256005001</v>
      </c>
      <c r="J3527">
        <v>0.20993773277498701</v>
      </c>
      <c r="K3527">
        <v>0.16278366684329901</v>
      </c>
      <c r="L3527">
        <v>607.90951854257798</v>
      </c>
      <c r="M3527">
        <v>11.928822237363899</v>
      </c>
      <c r="N3527">
        <v>52.177946572899501</v>
      </c>
      <c r="O3527">
        <v>49.592554730618701</v>
      </c>
      <c r="P3527">
        <v>-5.2846979313160201E-2</v>
      </c>
      <c r="Q3527">
        <v>0.121398475874453</v>
      </c>
      <c r="R3527">
        <v>0.98393578402416304</v>
      </c>
      <c r="S3527" t="s">
        <v>9078</v>
      </c>
      <c r="T3527" t="s">
        <v>11100</v>
      </c>
      <c r="U3527" t="s">
        <v>11100</v>
      </c>
      <c r="V3527" t="s">
        <v>11100</v>
      </c>
      <c r="W3527" t="s">
        <v>14577</v>
      </c>
      <c r="X3527">
        <v>6</v>
      </c>
      <c r="Y3527" t="s">
        <v>20017</v>
      </c>
      <c r="Z3527" t="s">
        <v>25532</v>
      </c>
      <c r="AA3527">
        <v>0.5533622653810838</v>
      </c>
      <c r="AB3527" t="str">
        <f>HYPERLINK("Melting_Curves/meltCurve_Q6UW63_KDELC1.pdf", "Melting_Curves/meltCurve_Q6UW63_KDELC1.pdf")</f>
        <v>Melting_Curves/meltCurve_Q6UW63_KDELC1.pdf</v>
      </c>
    </row>
    <row r="3528" spans="1:28" x14ac:dyDescent="0.25">
      <c r="A3528" t="s">
        <v>3532</v>
      </c>
      <c r="B3528">
        <v>0.99299721793515405</v>
      </c>
      <c r="C3528">
        <v>0.98536446544451095</v>
      </c>
      <c r="D3528">
        <v>0.85848757971624001</v>
      </c>
      <c r="E3528">
        <v>0.85132149743626295</v>
      </c>
      <c r="F3528">
        <v>0.65506949646701695</v>
      </c>
      <c r="G3528">
        <v>0.39819229879428197</v>
      </c>
      <c r="H3528">
        <v>0.24418025301659799</v>
      </c>
      <c r="I3528">
        <v>0.20618509174202601</v>
      </c>
      <c r="J3528">
        <v>0.175144912542193</v>
      </c>
      <c r="K3528">
        <v>0.15358269463376301</v>
      </c>
      <c r="L3528">
        <v>723.978736639609</v>
      </c>
      <c r="M3528">
        <v>14.1279295314507</v>
      </c>
      <c r="N3528">
        <v>52.2173519481154</v>
      </c>
      <c r="O3528">
        <v>50.2505843135582</v>
      </c>
      <c r="P3528">
        <v>-6.2162285362510797E-2</v>
      </c>
      <c r="Q3528">
        <v>0.115711250754594</v>
      </c>
      <c r="R3528">
        <v>0.99050482582719601</v>
      </c>
      <c r="S3528" t="s">
        <v>9079</v>
      </c>
      <c r="T3528" t="s">
        <v>11100</v>
      </c>
      <c r="U3528" t="s">
        <v>11100</v>
      </c>
      <c r="V3528" t="s">
        <v>11100</v>
      </c>
      <c r="W3528" t="s">
        <v>14578</v>
      </c>
      <c r="X3528">
        <v>16</v>
      </c>
      <c r="Y3528" t="s">
        <v>20018</v>
      </c>
      <c r="Z3528" t="s">
        <v>25533</v>
      </c>
      <c r="AA3528">
        <v>0.55453997752692075</v>
      </c>
      <c r="AB3528" t="str">
        <f>HYPERLINK("Melting_Curves/meltCurve_Q6UWE0_LRSAM1.pdf", "Melting_Curves/meltCurve_Q6UWE0_LRSAM1.pdf")</f>
        <v>Melting_Curves/meltCurve_Q6UWE0_LRSAM1.pdf</v>
      </c>
    </row>
    <row r="3529" spans="1:28" x14ac:dyDescent="0.25">
      <c r="A3529" t="s">
        <v>3533</v>
      </c>
      <c r="B3529">
        <v>0.99299721793515405</v>
      </c>
      <c r="C3529">
        <v>1.1520994906641</v>
      </c>
      <c r="D3529">
        <v>0.90685939375552105</v>
      </c>
      <c r="E3529">
        <v>0.91757195117578105</v>
      </c>
      <c r="F3529">
        <v>0.84742167125915102</v>
      </c>
      <c r="G3529">
        <v>0.49466700045050799</v>
      </c>
      <c r="H3529">
        <v>0.60786091604537296</v>
      </c>
      <c r="I3529">
        <v>0.66021254196717005</v>
      </c>
      <c r="J3529">
        <v>0.74778288381531799</v>
      </c>
      <c r="K3529">
        <v>0.59358114259648798</v>
      </c>
      <c r="L3529">
        <v>12569.854664328999</v>
      </c>
      <c r="M3529">
        <v>250</v>
      </c>
      <c r="O3529">
        <v>50.2762011002362</v>
      </c>
      <c r="P3529">
        <v>-0.47137002209301598</v>
      </c>
      <c r="Q3529">
        <v>0.620820896011819</v>
      </c>
      <c r="R3529">
        <v>0.80906673354279701</v>
      </c>
      <c r="S3529" t="s">
        <v>9080</v>
      </c>
      <c r="T3529" t="s">
        <v>11100</v>
      </c>
      <c r="U3529" t="s">
        <v>11100</v>
      </c>
      <c r="V3529" t="s">
        <v>11100</v>
      </c>
      <c r="W3529" t="s">
        <v>14579</v>
      </c>
      <c r="X3529">
        <v>2</v>
      </c>
      <c r="Y3529" t="s">
        <v>20019</v>
      </c>
      <c r="Z3529" t="s">
        <v>25534</v>
      </c>
      <c r="AA3529">
        <v>0.78869695688873065</v>
      </c>
      <c r="AB3529" t="str">
        <f>HYPERLINK("Melting_Curves/meltCurve_Q6UWI4_SHISA2.pdf", "Melting_Curves/meltCurve_Q6UWI4_SHISA2.pdf")</f>
        <v>Melting_Curves/meltCurve_Q6UWI4_SHISA2.pdf</v>
      </c>
    </row>
    <row r="3530" spans="1:28" x14ac:dyDescent="0.25">
      <c r="A3530" t="s">
        <v>3534</v>
      </c>
      <c r="B3530">
        <v>0.99299721793515405</v>
      </c>
      <c r="C3530">
        <v>0.94536033375373096</v>
      </c>
      <c r="D3530">
        <v>0.93917448172710005</v>
      </c>
      <c r="E3530">
        <v>0.87681717782125301</v>
      </c>
      <c r="F3530">
        <v>0.72551763575702299</v>
      </c>
      <c r="G3530">
        <v>0.62382550570447803</v>
      </c>
      <c r="H3530">
        <v>0.38442139359623101</v>
      </c>
      <c r="I3530">
        <v>0.140645039001322</v>
      </c>
      <c r="J3530">
        <v>0.13593313194345599</v>
      </c>
      <c r="K3530">
        <v>8.4864415613107799E-2</v>
      </c>
      <c r="L3530">
        <v>694.934253448704</v>
      </c>
      <c r="M3530">
        <v>12.690389223393799</v>
      </c>
      <c r="N3530">
        <v>54.760672946620502</v>
      </c>
      <c r="O3530">
        <v>53.454296507526699</v>
      </c>
      <c r="P3530">
        <v>-5.9363102537609298E-2</v>
      </c>
      <c r="Q3530">
        <v>0</v>
      </c>
      <c r="R3530">
        <v>0.98717344612715596</v>
      </c>
      <c r="S3530" t="s">
        <v>9081</v>
      </c>
      <c r="T3530" t="s">
        <v>11100</v>
      </c>
      <c r="U3530" t="s">
        <v>11100</v>
      </c>
      <c r="V3530" t="s">
        <v>11100</v>
      </c>
      <c r="W3530" t="s">
        <v>14580</v>
      </c>
      <c r="X3530">
        <v>9</v>
      </c>
      <c r="Y3530" t="s">
        <v>20020</v>
      </c>
      <c r="Z3530" t="s">
        <v>25535</v>
      </c>
      <c r="AA3530">
        <v>0.60726082742055598</v>
      </c>
      <c r="AB3530" t="str">
        <f>HYPERLINK("Melting_Curves/meltCurve_Q6UWP2_DHRS11.pdf", "Melting_Curves/meltCurve_Q6UWP2_DHRS11.pdf")</f>
        <v>Melting_Curves/meltCurve_Q6UWP2_DHRS11.pdf</v>
      </c>
    </row>
    <row r="3531" spans="1:28" x14ac:dyDescent="0.25">
      <c r="A3531" t="s">
        <v>3535</v>
      </c>
      <c r="B3531">
        <v>0.99299721793515405</v>
      </c>
      <c r="C3531">
        <v>1.0380083323748901</v>
      </c>
      <c r="D3531">
        <v>1.1104843365797099</v>
      </c>
      <c r="E3531">
        <v>0.90637154133350994</v>
      </c>
      <c r="F3531">
        <v>0.85757463093170205</v>
      </c>
      <c r="G3531">
        <v>0.61117712629987297</v>
      </c>
      <c r="H3531">
        <v>0.65473522216100899</v>
      </c>
      <c r="I3531">
        <v>0.57515146281767704</v>
      </c>
      <c r="J3531">
        <v>0.41036621188427103</v>
      </c>
      <c r="K3531">
        <v>0.269216706222066</v>
      </c>
      <c r="L3531">
        <v>498.25649624878702</v>
      </c>
      <c r="M3531">
        <v>8.1907499880257095</v>
      </c>
      <c r="N3531">
        <v>60.831603421099103</v>
      </c>
      <c r="O3531">
        <v>57.528301858899098</v>
      </c>
      <c r="P3531">
        <v>-3.56313022779862E-2</v>
      </c>
      <c r="Q3531">
        <v>0</v>
      </c>
      <c r="R3531">
        <v>0.92740095337789397</v>
      </c>
      <c r="S3531" t="s">
        <v>9082</v>
      </c>
      <c r="T3531" t="s">
        <v>11100</v>
      </c>
      <c r="U3531" t="s">
        <v>11100</v>
      </c>
      <c r="V3531" t="s">
        <v>11100</v>
      </c>
      <c r="W3531" t="s">
        <v>14581</v>
      </c>
      <c r="X3531">
        <v>7</v>
      </c>
      <c r="Y3531" t="s">
        <v>20021</v>
      </c>
      <c r="Z3531" t="s">
        <v>25536</v>
      </c>
      <c r="AA3531">
        <v>0.74268358349356434</v>
      </c>
      <c r="AB3531" t="str">
        <f>HYPERLINK("Melting_Curves/meltCurve_Q6UWP7_3_LCLAT1.pdf", "Melting_Curves/meltCurve_Q6UWP7_3_LCLAT1.pdf")</f>
        <v>Melting_Curves/meltCurve_Q6UWP7_3_LCLAT1.pdf</v>
      </c>
    </row>
    <row r="3532" spans="1:28" x14ac:dyDescent="0.25">
      <c r="A3532" t="s">
        <v>3536</v>
      </c>
      <c r="B3532">
        <v>0.99299721793515405</v>
      </c>
      <c r="C3532">
        <v>0.93968739520135802</v>
      </c>
      <c r="D3532">
        <v>1.2399409424196599</v>
      </c>
      <c r="E3532">
        <v>0.91722004154839698</v>
      </c>
      <c r="F3532">
        <v>0.77354360139050804</v>
      </c>
      <c r="G3532">
        <v>0.79989820110338306</v>
      </c>
      <c r="H3532">
        <v>0.41225267846392499</v>
      </c>
      <c r="I3532">
        <v>0.46178525370693801</v>
      </c>
      <c r="J3532">
        <v>0.49035013735400301</v>
      </c>
      <c r="K3532">
        <v>0.50394762943577698</v>
      </c>
      <c r="L3532">
        <v>1079.3519013193099</v>
      </c>
      <c r="M3532">
        <v>20.522953186467301</v>
      </c>
      <c r="N3532">
        <v>59.491501147868803</v>
      </c>
      <c r="O3532">
        <v>52.1007490048585</v>
      </c>
      <c r="P3532">
        <v>-5.3797305132956698E-2</v>
      </c>
      <c r="Q3532">
        <v>0.45372455683090002</v>
      </c>
      <c r="R3532">
        <v>0.84284845100753103</v>
      </c>
      <c r="S3532" t="s">
        <v>9083</v>
      </c>
      <c r="T3532" t="s">
        <v>11100</v>
      </c>
      <c r="U3532" t="s">
        <v>11100</v>
      </c>
      <c r="V3532" t="s">
        <v>11100</v>
      </c>
      <c r="W3532" t="s">
        <v>14582</v>
      </c>
      <c r="X3532">
        <v>2</v>
      </c>
      <c r="Y3532" t="s">
        <v>20022</v>
      </c>
      <c r="Z3532" t="s">
        <v>25537</v>
      </c>
      <c r="AA3532">
        <v>0.74434579287630809</v>
      </c>
      <c r="AB3532" t="str">
        <f>HYPERLINK("Melting_Curves/meltCurve_Q6UWS5_PET117.pdf", "Melting_Curves/meltCurve_Q6UWS5_PET117.pdf")</f>
        <v>Melting_Curves/meltCurve_Q6UWS5_PET117.pdf</v>
      </c>
    </row>
    <row r="3533" spans="1:28" x14ac:dyDescent="0.25">
      <c r="A3533" t="s">
        <v>3537</v>
      </c>
      <c r="B3533">
        <v>0.99299721793515405</v>
      </c>
      <c r="C3533">
        <v>0.93804383429361704</v>
      </c>
      <c r="D3533">
        <v>0.907559922061136</v>
      </c>
      <c r="E3533">
        <v>0.86209200021270505</v>
      </c>
      <c r="F3533">
        <v>0.81103811019341499</v>
      </c>
      <c r="G3533">
        <v>0.35559927809015901</v>
      </c>
      <c r="H3533">
        <v>0.23862887929757801</v>
      </c>
      <c r="I3533">
        <v>0.21324326154133</v>
      </c>
      <c r="J3533">
        <v>0.18975465768403599</v>
      </c>
      <c r="K3533">
        <v>0.15597860616470899</v>
      </c>
      <c r="L3533">
        <v>1392.78049829817</v>
      </c>
      <c r="M3533">
        <v>26.892485750309302</v>
      </c>
      <c r="N3533">
        <v>52.637996192185597</v>
      </c>
      <c r="O3533">
        <v>51.5068562875881</v>
      </c>
      <c r="P3533">
        <v>-0.107598263514028</v>
      </c>
      <c r="Q3533">
        <v>0.175681630073731</v>
      </c>
      <c r="R3533">
        <v>0.97635959220857205</v>
      </c>
      <c r="S3533" t="s">
        <v>9084</v>
      </c>
      <c r="T3533" t="s">
        <v>11100</v>
      </c>
      <c r="U3533" t="s">
        <v>11100</v>
      </c>
      <c r="V3533" t="s">
        <v>11100</v>
      </c>
      <c r="W3533" t="s">
        <v>14583</v>
      </c>
      <c r="X3533">
        <v>21</v>
      </c>
      <c r="Y3533" t="s">
        <v>20023</v>
      </c>
      <c r="Z3533" t="s">
        <v>25538</v>
      </c>
      <c r="AA3533">
        <v>0.58847331047602225</v>
      </c>
      <c r="AB3533" t="str">
        <f>HYPERLINK("Melting_Curves/meltCurve_Q6UX04_CWC27.pdf", "Melting_Curves/meltCurve_Q6UX04_CWC27.pdf")</f>
        <v>Melting_Curves/meltCurve_Q6UX04_CWC27.pdf</v>
      </c>
    </row>
    <row r="3534" spans="1:28" x14ac:dyDescent="0.25">
      <c r="A3534" t="s">
        <v>3538</v>
      </c>
      <c r="B3534">
        <v>0.99299721793515405</v>
      </c>
      <c r="C3534">
        <v>0.87172863567002001</v>
      </c>
      <c r="D3534">
        <v>0.73937376073944605</v>
      </c>
      <c r="E3534">
        <v>0.86521931381342299</v>
      </c>
      <c r="F3534">
        <v>0.55853907776034195</v>
      </c>
      <c r="G3534">
        <v>0.66012349866532205</v>
      </c>
      <c r="H3534">
        <v>0.46235419239744502</v>
      </c>
      <c r="I3534">
        <v>0.26763533621025498</v>
      </c>
      <c r="J3534">
        <v>0.290062834867157</v>
      </c>
      <c r="K3534">
        <v>0.70914219476497997</v>
      </c>
      <c r="L3534">
        <v>441.95903379983599</v>
      </c>
      <c r="M3534">
        <v>9.2985878208665191</v>
      </c>
      <c r="N3534">
        <v>56.9718699214163</v>
      </c>
      <c r="O3534">
        <v>45.486648815899798</v>
      </c>
      <c r="P3534">
        <v>-3.1045094005096401E-2</v>
      </c>
      <c r="Q3534">
        <v>0.39292645279011801</v>
      </c>
      <c r="R3534">
        <v>0.65358632331886601</v>
      </c>
      <c r="S3534" t="s">
        <v>9085</v>
      </c>
      <c r="T3534" t="s">
        <v>11100</v>
      </c>
      <c r="U3534" t="s">
        <v>11100</v>
      </c>
      <c r="V3534" t="s">
        <v>11100</v>
      </c>
      <c r="W3534" t="s">
        <v>14584</v>
      </c>
      <c r="X3534">
        <v>2</v>
      </c>
      <c r="Y3534" t="s">
        <v>20024</v>
      </c>
      <c r="Z3534" t="s">
        <v>25539</v>
      </c>
      <c r="AA3534">
        <v>0.63372329812171813</v>
      </c>
      <c r="AB3534" t="str">
        <f>HYPERLINK("Melting_Curves/meltCurve_Q6UX71_PLXDC2.pdf", "Melting_Curves/meltCurve_Q6UX71_PLXDC2.pdf")</f>
        <v>Melting_Curves/meltCurve_Q6UX71_PLXDC2.pdf</v>
      </c>
    </row>
    <row r="3535" spans="1:28" x14ac:dyDescent="0.25">
      <c r="A3535" t="s">
        <v>3539</v>
      </c>
      <c r="B3535">
        <v>0.99299721793515405</v>
      </c>
      <c r="C3535">
        <v>0.93749420107342296</v>
      </c>
      <c r="D3535">
        <v>0.98119679460504405</v>
      </c>
      <c r="E3535">
        <v>0.89595919895842902</v>
      </c>
      <c r="F3535">
        <v>0.76842723500127896</v>
      </c>
      <c r="G3535">
        <v>0.67964623258401002</v>
      </c>
      <c r="H3535">
        <v>0.53991817937218101</v>
      </c>
      <c r="I3535">
        <v>0.53999777356991996</v>
      </c>
      <c r="J3535">
        <v>0.522579390439186</v>
      </c>
      <c r="K3535">
        <v>0.37159930791477003</v>
      </c>
      <c r="L3535">
        <v>509.00714837022502</v>
      </c>
      <c r="M3535">
        <v>9.4056720625759702</v>
      </c>
      <c r="N3535">
        <v>61.387862006689602</v>
      </c>
      <c r="O3535">
        <v>51.8398923654714</v>
      </c>
      <c r="P3535">
        <v>-3.0142469654633599E-2</v>
      </c>
      <c r="Q3535">
        <v>0.33588032567947901</v>
      </c>
      <c r="R3535">
        <v>0.970468515860193</v>
      </c>
      <c r="S3535" t="s">
        <v>9086</v>
      </c>
      <c r="T3535" t="s">
        <v>11100</v>
      </c>
      <c r="U3535" t="s">
        <v>11100</v>
      </c>
      <c r="V3535" t="s">
        <v>11100</v>
      </c>
      <c r="W3535" t="s">
        <v>14585</v>
      </c>
      <c r="X3535">
        <v>9</v>
      </c>
      <c r="Y3535" t="s">
        <v>20025</v>
      </c>
      <c r="Z3535" t="s">
        <v>25540</v>
      </c>
      <c r="AA3535">
        <v>0.72568785945600112</v>
      </c>
      <c r="AB3535" t="str">
        <f>HYPERLINK("Melting_Curves/meltCurve_Q6UXD5_6_SEZ6L2.pdf", "Melting_Curves/meltCurve_Q6UXD5_6_SEZ6L2.pdf")</f>
        <v>Melting_Curves/meltCurve_Q6UXD5_6_SEZ6L2.pdf</v>
      </c>
    </row>
    <row r="3536" spans="1:28" x14ac:dyDescent="0.25">
      <c r="A3536" t="s">
        <v>3540</v>
      </c>
      <c r="B3536">
        <v>0.99299721793515405</v>
      </c>
      <c r="C3536">
        <v>1.0029093234103299</v>
      </c>
      <c r="D3536">
        <v>0.96960497884789598</v>
      </c>
      <c r="E3536">
        <v>0.86075746994120095</v>
      </c>
      <c r="F3536">
        <v>0.77588367801492297</v>
      </c>
      <c r="G3536">
        <v>0.53801556628394198</v>
      </c>
      <c r="H3536">
        <v>0.62811846603652699</v>
      </c>
      <c r="I3536">
        <v>0.67880769476848102</v>
      </c>
      <c r="J3536">
        <v>0.82246590976748202</v>
      </c>
      <c r="K3536">
        <v>0.64826727916401605</v>
      </c>
      <c r="L3536">
        <v>1370.67998387529</v>
      </c>
      <c r="M3536">
        <v>28.9741684786866</v>
      </c>
      <c r="O3536">
        <v>47.083353214675</v>
      </c>
      <c r="P3536">
        <v>-5.0819123437441903E-2</v>
      </c>
      <c r="Q3536">
        <v>0.66967599035073999</v>
      </c>
      <c r="R3536">
        <v>0.80195057218934096</v>
      </c>
      <c r="S3536" t="s">
        <v>9087</v>
      </c>
      <c r="T3536" t="s">
        <v>11100</v>
      </c>
      <c r="U3536" t="s">
        <v>11100</v>
      </c>
      <c r="V3536" t="s">
        <v>11100</v>
      </c>
      <c r="W3536" t="s">
        <v>14586</v>
      </c>
      <c r="X3536">
        <v>7</v>
      </c>
      <c r="Y3536" t="s">
        <v>20026</v>
      </c>
      <c r="Z3536" t="s">
        <v>25541</v>
      </c>
      <c r="AA3536">
        <v>0.78523534822097552</v>
      </c>
      <c r="AB3536" t="str">
        <f>HYPERLINK("Melting_Curves/meltCurve_Q6UXH1_4_CRELD2.pdf", "Melting_Curves/meltCurve_Q6UXH1_4_CRELD2.pdf")</f>
        <v>Melting_Curves/meltCurve_Q6UXH1_4_CRELD2.pdf</v>
      </c>
    </row>
    <row r="3537" spans="1:28" x14ac:dyDescent="0.25">
      <c r="A3537" t="s">
        <v>3541</v>
      </c>
      <c r="B3537">
        <v>0.99299721793515405</v>
      </c>
      <c r="C3537">
        <v>0.97927180407041003</v>
      </c>
      <c r="D3537">
        <v>1.0260893961861</v>
      </c>
      <c r="E3537">
        <v>0.86189749071660404</v>
      </c>
      <c r="F3537">
        <v>0.75845451748409098</v>
      </c>
      <c r="G3537">
        <v>0.63335581385000195</v>
      </c>
      <c r="H3537">
        <v>0.53274927270320205</v>
      </c>
      <c r="I3537">
        <v>0.397538129980885</v>
      </c>
      <c r="J3537">
        <v>0.31445304534153101</v>
      </c>
      <c r="K3537">
        <v>0.23309861177665001</v>
      </c>
      <c r="L3537">
        <v>504.83493009243102</v>
      </c>
      <c r="M3537">
        <v>8.8431915835347308</v>
      </c>
      <c r="N3537">
        <v>57.694023204746003</v>
      </c>
      <c r="O3537">
        <v>54.394212508533101</v>
      </c>
      <c r="P3537">
        <v>-3.88697806009888E-2</v>
      </c>
      <c r="Q3537">
        <v>4.4394153673113501E-2</v>
      </c>
      <c r="R3537">
        <v>0.98996520949757005</v>
      </c>
      <c r="S3537" t="s">
        <v>9088</v>
      </c>
      <c r="T3537" t="s">
        <v>11100</v>
      </c>
      <c r="U3537" t="s">
        <v>11100</v>
      </c>
      <c r="V3537" t="s">
        <v>11100</v>
      </c>
      <c r="W3537" t="s">
        <v>14587</v>
      </c>
      <c r="X3537">
        <v>4</v>
      </c>
      <c r="Y3537" t="s">
        <v>20027</v>
      </c>
      <c r="Z3537" t="s">
        <v>25542</v>
      </c>
      <c r="AA3537">
        <v>0.67785334527482144</v>
      </c>
      <c r="AB3537" t="str">
        <f>HYPERLINK("Melting_Curves/meltCurve_Q6UXN9_WDR82.pdf", "Melting_Curves/meltCurve_Q6UXN9_WDR82.pdf")</f>
        <v>Melting_Curves/meltCurve_Q6UXN9_WDR82.pdf</v>
      </c>
    </row>
    <row r="3538" spans="1:28" x14ac:dyDescent="0.25">
      <c r="A3538" t="s">
        <v>3542</v>
      </c>
      <c r="B3538">
        <v>0.99299721793515405</v>
      </c>
      <c r="C3538">
        <v>0.82626488267493303</v>
      </c>
      <c r="D3538">
        <v>0.887691672449478</v>
      </c>
      <c r="E3538">
        <v>0.73284891267934105</v>
      </c>
      <c r="F3538">
        <v>0.68553552318446997</v>
      </c>
      <c r="G3538">
        <v>0.49852499651049698</v>
      </c>
      <c r="H3538">
        <v>0.48534422632993302</v>
      </c>
      <c r="I3538">
        <v>0.55848186734779104</v>
      </c>
      <c r="J3538">
        <v>0.68063210173215505</v>
      </c>
      <c r="K3538">
        <v>0.58815258479247401</v>
      </c>
      <c r="L3538">
        <v>590.17946264495902</v>
      </c>
      <c r="M3538">
        <v>13.236465831458901</v>
      </c>
      <c r="O3538">
        <v>43.606555871085597</v>
      </c>
      <c r="P3538">
        <v>-3.3581742830146803E-2</v>
      </c>
      <c r="Q3538">
        <v>0.55754269191468997</v>
      </c>
      <c r="R3538">
        <v>0.81248417128672701</v>
      </c>
      <c r="S3538" t="s">
        <v>9089</v>
      </c>
      <c r="T3538" t="s">
        <v>11100</v>
      </c>
      <c r="U3538" t="s">
        <v>11100</v>
      </c>
      <c r="V3538" t="s">
        <v>11100</v>
      </c>
      <c r="W3538" t="s">
        <v>14588</v>
      </c>
      <c r="X3538">
        <v>5</v>
      </c>
      <c r="Y3538" t="s">
        <v>20028</v>
      </c>
      <c r="Z3538" t="s">
        <v>25543</v>
      </c>
      <c r="AA3538">
        <v>0.68314852392239944</v>
      </c>
      <c r="AB3538" t="str">
        <f>HYPERLINK("Melting_Curves/meltCurve_Q6UXV4_APOOL.pdf", "Melting_Curves/meltCurve_Q6UXV4_APOOL.pdf")</f>
        <v>Melting_Curves/meltCurve_Q6UXV4_APOOL.pdf</v>
      </c>
    </row>
    <row r="3539" spans="1:28" x14ac:dyDescent="0.25">
      <c r="A3539" t="s">
        <v>3543</v>
      </c>
      <c r="B3539">
        <v>0.99299721793515405</v>
      </c>
      <c r="C3539">
        <v>0.99888079586666501</v>
      </c>
      <c r="D3539">
        <v>1.13832170914829</v>
      </c>
      <c r="E3539">
        <v>0.92927592797604297</v>
      </c>
      <c r="F3539">
        <v>0.71475304012704199</v>
      </c>
      <c r="G3539">
        <v>0.58214010111889003</v>
      </c>
      <c r="H3539">
        <v>0.357728731157612</v>
      </c>
      <c r="I3539">
        <v>0.28722421514525598</v>
      </c>
      <c r="J3539">
        <v>0.27126266207087202</v>
      </c>
      <c r="K3539">
        <v>0.20150520900667601</v>
      </c>
      <c r="L3539">
        <v>903.85912343244001</v>
      </c>
      <c r="M3539">
        <v>17.113484232360001</v>
      </c>
      <c r="N3539">
        <v>54.547578115721201</v>
      </c>
      <c r="O3539">
        <v>52.110263174749299</v>
      </c>
      <c r="P3539">
        <v>-6.4896831339595507E-2</v>
      </c>
      <c r="Q3539">
        <v>0.209608672264012</v>
      </c>
      <c r="R3539">
        <v>0.97343227660214104</v>
      </c>
      <c r="S3539" t="s">
        <v>9090</v>
      </c>
      <c r="T3539" t="s">
        <v>11100</v>
      </c>
      <c r="U3539" t="s">
        <v>11100</v>
      </c>
      <c r="V3539" t="s">
        <v>11100</v>
      </c>
      <c r="W3539" t="s">
        <v>14589</v>
      </c>
      <c r="X3539">
        <v>6</v>
      </c>
      <c r="Y3539" t="s">
        <v>20029</v>
      </c>
      <c r="Z3539" t="s">
        <v>25544</v>
      </c>
      <c r="AA3539">
        <v>0.63865053574897934</v>
      </c>
      <c r="AB3539" t="str">
        <f>HYPERLINK("Melting_Curves/meltCurve_Q6VY07_PACS1.pdf", "Melting_Curves/meltCurve_Q6VY07_PACS1.pdf")</f>
        <v>Melting_Curves/meltCurve_Q6VY07_PACS1.pdf</v>
      </c>
    </row>
    <row r="3540" spans="1:28" x14ac:dyDescent="0.25">
      <c r="A3540" t="s">
        <v>3544</v>
      </c>
      <c r="B3540">
        <v>0.99299721793515405</v>
      </c>
      <c r="C3540">
        <v>0.93696114420245902</v>
      </c>
      <c r="D3540">
        <v>1.0902513903726501</v>
      </c>
      <c r="E3540">
        <v>0.71231293366719906</v>
      </c>
      <c r="F3540">
        <v>0.73295673912543802</v>
      </c>
      <c r="G3540">
        <v>0.487514000605551</v>
      </c>
      <c r="H3540">
        <v>0.27618330539743102</v>
      </c>
      <c r="I3540">
        <v>0.24320965371456399</v>
      </c>
      <c r="J3540">
        <v>0.263191796156099</v>
      </c>
      <c r="K3540">
        <v>0.27729342786239403</v>
      </c>
      <c r="L3540">
        <v>779.33927469038304</v>
      </c>
      <c r="M3540">
        <v>15.2731354328607</v>
      </c>
      <c r="N3540">
        <v>52.998937041197202</v>
      </c>
      <c r="O3540">
        <v>50.176025454649199</v>
      </c>
      <c r="P3540">
        <v>-5.9608151907755598E-2</v>
      </c>
      <c r="Q3540">
        <v>0.216763650472796</v>
      </c>
      <c r="R3540">
        <v>0.9471686834277</v>
      </c>
      <c r="S3540" t="s">
        <v>9091</v>
      </c>
      <c r="T3540" t="s">
        <v>11100</v>
      </c>
      <c r="U3540" t="s">
        <v>11100</v>
      </c>
      <c r="V3540" t="s">
        <v>11100</v>
      </c>
      <c r="W3540" t="s">
        <v>14590</v>
      </c>
      <c r="X3540">
        <v>8</v>
      </c>
      <c r="Y3540" t="s">
        <v>20030</v>
      </c>
      <c r="Z3540" t="s">
        <v>25545</v>
      </c>
      <c r="AA3540">
        <v>0.59835305761447755</v>
      </c>
      <c r="AB3540" t="str">
        <f>HYPERLINK("Melting_Curves/meltCurve_Q6WCQ1_MPRIP.pdf", "Melting_Curves/meltCurve_Q6WCQ1_MPRIP.pdf")</f>
        <v>Melting_Curves/meltCurve_Q6WCQ1_MPRIP.pdf</v>
      </c>
    </row>
    <row r="3541" spans="1:28" x14ac:dyDescent="0.25">
      <c r="A3541" t="s">
        <v>3545</v>
      </c>
      <c r="B3541">
        <v>0.99299721793515405</v>
      </c>
      <c r="C3541">
        <v>0.99989068405726</v>
      </c>
      <c r="D3541">
        <v>0.98195025006411696</v>
      </c>
      <c r="E3541">
        <v>0.93889528292473901</v>
      </c>
      <c r="F3541">
        <v>0.73785993433310904</v>
      </c>
      <c r="G3541">
        <v>0.53577077560347397</v>
      </c>
      <c r="H3541">
        <v>0.24329580646330501</v>
      </c>
      <c r="I3541">
        <v>0.22952213263001001</v>
      </c>
      <c r="J3541">
        <v>0.20376362410406401</v>
      </c>
      <c r="K3541">
        <v>0.18450398865893999</v>
      </c>
      <c r="L3541">
        <v>1033.94733449765</v>
      </c>
      <c r="M3541">
        <v>19.6897103640019</v>
      </c>
      <c r="N3541">
        <v>53.635089771695803</v>
      </c>
      <c r="O3541">
        <v>51.979398409279099</v>
      </c>
      <c r="P3541">
        <v>-7.8705023934785096E-2</v>
      </c>
      <c r="Q3541">
        <v>0.16892669734007901</v>
      </c>
      <c r="R3541">
        <v>0.99467070375656996</v>
      </c>
      <c r="S3541" t="s">
        <v>9092</v>
      </c>
      <c r="T3541" t="s">
        <v>11100</v>
      </c>
      <c r="U3541" t="s">
        <v>11100</v>
      </c>
      <c r="V3541" t="s">
        <v>11100</v>
      </c>
      <c r="W3541" t="s">
        <v>14591</v>
      </c>
      <c r="X3541">
        <v>12</v>
      </c>
      <c r="Y3541" t="s">
        <v>20031</v>
      </c>
      <c r="Z3541" t="s">
        <v>25546</v>
      </c>
      <c r="AA3541">
        <v>0.60951395676244735</v>
      </c>
      <c r="AB3541" t="str">
        <f>HYPERLINK("Melting_Curves/meltCurve_Q6WKZ4_RAB11FIP1.pdf", "Melting_Curves/meltCurve_Q6WKZ4_RAB11FIP1.pdf")</f>
        <v>Melting_Curves/meltCurve_Q6WKZ4_RAB11FIP1.pdf</v>
      </c>
    </row>
    <row r="3542" spans="1:28" x14ac:dyDescent="0.25">
      <c r="A3542" t="s">
        <v>3546</v>
      </c>
      <c r="B3542">
        <v>0.99299721793515405</v>
      </c>
      <c r="C3542">
        <v>0.97929485913375203</v>
      </c>
      <c r="D3542">
        <v>0.90626093351317605</v>
      </c>
      <c r="E3542">
        <v>0.82196711450960502</v>
      </c>
      <c r="F3542">
        <v>0.78522651225057405</v>
      </c>
      <c r="G3542">
        <v>0.57966219522716</v>
      </c>
      <c r="H3542">
        <v>0.75294703895005499</v>
      </c>
      <c r="I3542">
        <v>0.84731083502416804</v>
      </c>
      <c r="J3542">
        <v>0.71730373886708299</v>
      </c>
      <c r="K3542">
        <v>0.279398446447085</v>
      </c>
      <c r="L3542">
        <v>261.33948159178601</v>
      </c>
      <c r="M3542">
        <v>3.7687289021394701</v>
      </c>
      <c r="O3542">
        <v>55.821974924571997</v>
      </c>
      <c r="P3542">
        <v>-1.71404788489656E-2</v>
      </c>
      <c r="Q3542">
        <v>0</v>
      </c>
      <c r="R3542">
        <v>0.57519201336093995</v>
      </c>
      <c r="S3542" t="s">
        <v>9093</v>
      </c>
      <c r="T3542" t="s">
        <v>11100</v>
      </c>
      <c r="U3542" t="s">
        <v>11100</v>
      </c>
      <c r="V3542" t="s">
        <v>11100</v>
      </c>
      <c r="W3542" t="s">
        <v>14592</v>
      </c>
      <c r="X3542">
        <v>12</v>
      </c>
      <c r="Y3542" t="s">
        <v>20032</v>
      </c>
      <c r="Z3542" t="s">
        <v>25547</v>
      </c>
      <c r="AA3542">
        <v>0.76859478243854307</v>
      </c>
      <c r="AB3542" t="str">
        <f>HYPERLINK("Melting_Curves/meltCurve_Q6XQN6_NAPRT1.pdf", "Melting_Curves/meltCurve_Q6XQN6_NAPRT1.pdf")</f>
        <v>Melting_Curves/meltCurve_Q6XQN6_NAPRT1.pdf</v>
      </c>
    </row>
    <row r="3543" spans="1:28" x14ac:dyDescent="0.25">
      <c r="A3543" t="s">
        <v>3547</v>
      </c>
      <c r="B3543">
        <v>0.99299721793515405</v>
      </c>
      <c r="C3543">
        <v>0.74886656747218505</v>
      </c>
      <c r="D3543">
        <v>0.85909705767728095</v>
      </c>
      <c r="E3543">
        <v>0.53889254665018005</v>
      </c>
      <c r="F3543">
        <v>0.59133985231519304</v>
      </c>
      <c r="G3543">
        <v>0.30915369499290701</v>
      </c>
      <c r="H3543">
        <v>0.241800429788425</v>
      </c>
      <c r="I3543">
        <v>0.21313618104148499</v>
      </c>
      <c r="J3543">
        <v>0.24069198081687701</v>
      </c>
      <c r="K3543">
        <v>0.17498656339770799</v>
      </c>
      <c r="L3543">
        <v>409.86527867899201</v>
      </c>
      <c r="M3543">
        <v>8.4879092298204508</v>
      </c>
      <c r="N3543">
        <v>49.549040899754402</v>
      </c>
      <c r="O3543">
        <v>45.8314563359381</v>
      </c>
      <c r="P3543">
        <v>-4.1840307258809502E-2</v>
      </c>
      <c r="Q3543">
        <v>9.7131425608996499E-2</v>
      </c>
      <c r="R3543">
        <v>0.93373636026556095</v>
      </c>
      <c r="S3543" t="s">
        <v>9094</v>
      </c>
      <c r="T3543" t="s">
        <v>11100</v>
      </c>
      <c r="U3543" t="s">
        <v>11100</v>
      </c>
      <c r="V3543" t="s">
        <v>11100</v>
      </c>
      <c r="W3543" t="s">
        <v>14593</v>
      </c>
      <c r="X3543">
        <v>3</v>
      </c>
      <c r="Y3543" t="s">
        <v>20033</v>
      </c>
      <c r="Z3543" t="s">
        <v>25548</v>
      </c>
      <c r="AA3543">
        <v>0.47962336473557821</v>
      </c>
      <c r="AB3543" t="str">
        <f>HYPERLINK("Melting_Curves/meltCurve_Q6XUX3_2_DSTYK.pdf", "Melting_Curves/meltCurve_Q6XUX3_2_DSTYK.pdf")</f>
        <v>Melting_Curves/meltCurve_Q6XUX3_2_DSTYK.pdf</v>
      </c>
    </row>
    <row r="3544" spans="1:28" x14ac:dyDescent="0.25">
      <c r="A3544" t="s">
        <v>3548</v>
      </c>
      <c r="B3544">
        <v>0.99299721793515405</v>
      </c>
      <c r="C3544">
        <v>1.0854310721104801</v>
      </c>
      <c r="D3544">
        <v>1.2496801513617699</v>
      </c>
      <c r="E3544">
        <v>0.99562838960411204</v>
      </c>
      <c r="F3544">
        <v>0.71137402056335897</v>
      </c>
      <c r="G3544">
        <v>0.48020356750533499</v>
      </c>
      <c r="H3544">
        <v>0.42009666327294598</v>
      </c>
      <c r="I3544">
        <v>0.31068926681669601</v>
      </c>
      <c r="J3544">
        <v>0.15167034734903001</v>
      </c>
      <c r="K3544">
        <v>0.18508556226336401</v>
      </c>
      <c r="L3544">
        <v>996.65720264029505</v>
      </c>
      <c r="M3544">
        <v>18.929265074373699</v>
      </c>
      <c r="N3544">
        <v>54.0758548939965</v>
      </c>
      <c r="O3544">
        <v>52.074586912582802</v>
      </c>
      <c r="P3544">
        <v>-7.3040527692686902E-2</v>
      </c>
      <c r="Q3544">
        <v>0.196291601382137</v>
      </c>
      <c r="R3544">
        <v>0.930634049108096</v>
      </c>
      <c r="S3544" t="s">
        <v>9095</v>
      </c>
      <c r="T3544" t="s">
        <v>11100</v>
      </c>
      <c r="U3544" t="s">
        <v>11100</v>
      </c>
      <c r="V3544" t="s">
        <v>11100</v>
      </c>
      <c r="W3544" t="s">
        <v>14594</v>
      </c>
      <c r="X3544">
        <v>4</v>
      </c>
      <c r="Y3544" t="s">
        <v>20034</v>
      </c>
      <c r="Z3544" t="s">
        <v>25549</v>
      </c>
      <c r="AA3544">
        <v>0.62668074498874227</v>
      </c>
      <c r="AB3544" t="str">
        <f>HYPERLINK("Melting_Curves/meltCurve_Q6Y288_B3GALTL.pdf", "Melting_Curves/meltCurve_Q6Y288_B3GALTL.pdf")</f>
        <v>Melting_Curves/meltCurve_Q6Y288_B3GALTL.pdf</v>
      </c>
    </row>
    <row r="3545" spans="1:28" x14ac:dyDescent="0.25">
      <c r="A3545" t="s">
        <v>3549</v>
      </c>
      <c r="B3545">
        <v>0.99299721793515405</v>
      </c>
      <c r="C3545">
        <v>0.96476467983540004</v>
      </c>
      <c r="D3545">
        <v>0.93137649118172605</v>
      </c>
      <c r="E3545">
        <v>0.85297212311970905</v>
      </c>
      <c r="F3545">
        <v>0.59018471003750395</v>
      </c>
      <c r="G3545">
        <v>0.25911217634131201</v>
      </c>
      <c r="H3545">
        <v>0.20183654553424801</v>
      </c>
      <c r="I3545">
        <v>0.15606127327380701</v>
      </c>
      <c r="J3545">
        <v>0.14727040315376799</v>
      </c>
      <c r="K3545">
        <v>0.11578246614572101</v>
      </c>
      <c r="L3545">
        <v>1045.8027863135901</v>
      </c>
      <c r="M3545">
        <v>20.8319397357748</v>
      </c>
      <c r="N3545">
        <v>50.910936036216697</v>
      </c>
      <c r="O3545">
        <v>49.746154422667701</v>
      </c>
      <c r="P3545">
        <v>-9.1511425161777002E-2</v>
      </c>
      <c r="Q3545">
        <v>0.12591618291033799</v>
      </c>
      <c r="R3545">
        <v>0.99547541036838805</v>
      </c>
      <c r="S3545" t="s">
        <v>9096</v>
      </c>
      <c r="T3545" t="s">
        <v>11100</v>
      </c>
      <c r="U3545" t="s">
        <v>11100</v>
      </c>
      <c r="V3545" t="s">
        <v>11100</v>
      </c>
      <c r="W3545" t="s">
        <v>14595</v>
      </c>
      <c r="X3545">
        <v>14</v>
      </c>
      <c r="Y3545" t="s">
        <v>20035</v>
      </c>
      <c r="Z3545" t="s">
        <v>25550</v>
      </c>
      <c r="AA3545">
        <v>0.52127854628313175</v>
      </c>
      <c r="AB3545" t="str">
        <f>HYPERLINK("Melting_Curves/meltCurve_Q6Y7W6_4_GIGYF2.pdf", "Melting_Curves/meltCurve_Q6Y7W6_4_GIGYF2.pdf")</f>
        <v>Melting_Curves/meltCurve_Q6Y7W6_4_GIGYF2.pdf</v>
      </c>
    </row>
    <row r="3546" spans="1:28" x14ac:dyDescent="0.25">
      <c r="A3546" t="s">
        <v>3550</v>
      </c>
      <c r="B3546">
        <v>0.99299721793515405</v>
      </c>
      <c r="C3546">
        <v>0.97714528013672997</v>
      </c>
      <c r="D3546">
        <v>0.84909450113319895</v>
      </c>
      <c r="E3546">
        <v>0.83622757162525796</v>
      </c>
      <c r="F3546">
        <v>0.71200202635093102</v>
      </c>
      <c r="G3546">
        <v>0.441639898844567</v>
      </c>
      <c r="H3546">
        <v>0.289189121258635</v>
      </c>
      <c r="I3546">
        <v>0.20817686421121501</v>
      </c>
      <c r="J3546">
        <v>0.18641138402726601</v>
      </c>
      <c r="K3546">
        <v>0.15179887816884</v>
      </c>
      <c r="L3546">
        <v>618.96608809738495</v>
      </c>
      <c r="M3546">
        <v>11.826351111030201</v>
      </c>
      <c r="N3546">
        <v>53.073385172898703</v>
      </c>
      <c r="O3546">
        <v>50.908684930548603</v>
      </c>
      <c r="P3546">
        <v>-5.3700352821065701E-2</v>
      </c>
      <c r="Q3546">
        <v>7.5583941635321103E-2</v>
      </c>
      <c r="R3546">
        <v>0.98795211503358604</v>
      </c>
      <c r="S3546" t="s">
        <v>9097</v>
      </c>
      <c r="T3546" t="s">
        <v>11100</v>
      </c>
      <c r="U3546" t="s">
        <v>11100</v>
      </c>
      <c r="V3546" t="s">
        <v>11100</v>
      </c>
      <c r="W3546" t="s">
        <v>14596</v>
      </c>
      <c r="X3546">
        <v>4</v>
      </c>
      <c r="Y3546" t="s">
        <v>20036</v>
      </c>
      <c r="Z3546" t="s">
        <v>25551</v>
      </c>
      <c r="AA3546">
        <v>0.56958667821303044</v>
      </c>
      <c r="AB3546" t="str">
        <f>HYPERLINK("Melting_Curves/meltCurve_Q6YHU6_3_THADA.pdf", "Melting_Curves/meltCurve_Q6YHU6_3_THADA.pdf")</f>
        <v>Melting_Curves/meltCurve_Q6YHU6_3_THADA.pdf</v>
      </c>
    </row>
    <row r="3547" spans="1:28" x14ac:dyDescent="0.25">
      <c r="A3547" t="s">
        <v>3551</v>
      </c>
      <c r="B3547">
        <v>0.99299721793515405</v>
      </c>
      <c r="C3547">
        <v>1.01709052540557</v>
      </c>
      <c r="D3547">
        <v>0.97647725705370703</v>
      </c>
      <c r="E3547">
        <v>0.90582987388209402</v>
      </c>
      <c r="F3547">
        <v>0.70211833056540995</v>
      </c>
      <c r="G3547">
        <v>0.47771606123516902</v>
      </c>
      <c r="H3547">
        <v>0.17068559082262599</v>
      </c>
      <c r="I3547">
        <v>0.12829935772790499</v>
      </c>
      <c r="J3547">
        <v>0.124824813427466</v>
      </c>
      <c r="K3547">
        <v>0.111041070933852</v>
      </c>
      <c r="L3547">
        <v>991.281654903402</v>
      </c>
      <c r="M3547">
        <v>18.930903494252899</v>
      </c>
      <c r="N3547">
        <v>52.852617041020203</v>
      </c>
      <c r="O3547">
        <v>51.789346205957898</v>
      </c>
      <c r="P3547">
        <v>-8.4039734939076405E-2</v>
      </c>
      <c r="Q3547">
        <v>8.04058828397409E-2</v>
      </c>
      <c r="R3547">
        <v>0.99486363168766401</v>
      </c>
      <c r="S3547" t="s">
        <v>9098</v>
      </c>
      <c r="T3547" t="s">
        <v>11100</v>
      </c>
      <c r="U3547" t="s">
        <v>11100</v>
      </c>
      <c r="V3547" t="s">
        <v>11100</v>
      </c>
      <c r="W3547" t="s">
        <v>14597</v>
      </c>
      <c r="X3547">
        <v>11</v>
      </c>
      <c r="Y3547" t="s">
        <v>20037</v>
      </c>
      <c r="Z3547" t="s">
        <v>25552</v>
      </c>
      <c r="AA3547">
        <v>0.56412413907945225</v>
      </c>
      <c r="AB3547" t="str">
        <f>HYPERLINK("Melting_Curves/meltCurve_Q6YN16_HSDL2.pdf", "Melting_Curves/meltCurve_Q6YN16_HSDL2.pdf")</f>
        <v>Melting_Curves/meltCurve_Q6YN16_HSDL2.pdf</v>
      </c>
    </row>
    <row r="3548" spans="1:28" x14ac:dyDescent="0.25">
      <c r="A3548" t="s">
        <v>3552</v>
      </c>
      <c r="B3548">
        <v>0.99299721793515405</v>
      </c>
      <c r="C3548">
        <v>0.97306620458498205</v>
      </c>
      <c r="D3548">
        <v>0.90953746784255496</v>
      </c>
      <c r="E3548">
        <v>0.79950193073179998</v>
      </c>
      <c r="F3548">
        <v>0.70745822840154005</v>
      </c>
      <c r="G3548">
        <v>0.60384665064076803</v>
      </c>
      <c r="H3548">
        <v>0.66161872062136895</v>
      </c>
      <c r="I3548">
        <v>0.81485538603434404</v>
      </c>
      <c r="J3548">
        <v>0.77288809537707104</v>
      </c>
      <c r="K3548">
        <v>0.62654507543787497</v>
      </c>
      <c r="L3548">
        <v>1088.9919800160301</v>
      </c>
      <c r="M3548">
        <v>24.345369528634301</v>
      </c>
      <c r="O3548">
        <v>44.4324425595508</v>
      </c>
      <c r="P3548">
        <v>-4.1678533191405999E-2</v>
      </c>
      <c r="Q3548">
        <v>0.695736589667445</v>
      </c>
      <c r="R3548">
        <v>0.792871453629997</v>
      </c>
      <c r="S3548" t="s">
        <v>9099</v>
      </c>
      <c r="T3548" t="s">
        <v>11100</v>
      </c>
      <c r="U3548" t="s">
        <v>11100</v>
      </c>
      <c r="V3548" t="s">
        <v>11100</v>
      </c>
      <c r="W3548" t="s">
        <v>14598</v>
      </c>
      <c r="X3548">
        <v>6</v>
      </c>
      <c r="Y3548" t="s">
        <v>20038</v>
      </c>
      <c r="Z3548" t="s">
        <v>25553</v>
      </c>
      <c r="AA3548">
        <v>0.77678415931150679</v>
      </c>
      <c r="AB3548" t="str">
        <f>HYPERLINK("Melting_Curves/meltCurve_Q6YP21_3_CCBL2.pdf", "Melting_Curves/meltCurve_Q6YP21_3_CCBL2.pdf")</f>
        <v>Melting_Curves/meltCurve_Q6YP21_3_CCBL2.pdf</v>
      </c>
    </row>
    <row r="3549" spans="1:28" x14ac:dyDescent="0.25">
      <c r="A3549" t="s">
        <v>3553</v>
      </c>
      <c r="B3549">
        <v>0.99299721793515405</v>
      </c>
      <c r="C3549">
        <v>1.0363294122681801</v>
      </c>
      <c r="D3549">
        <v>0.86168988149190495</v>
      </c>
      <c r="E3549">
        <v>0.81474639707201002</v>
      </c>
      <c r="F3549">
        <v>0.67351485727897298</v>
      </c>
      <c r="G3549">
        <v>0.50563117199182905</v>
      </c>
      <c r="H3549">
        <v>0.30670114392109399</v>
      </c>
      <c r="I3549">
        <v>0.209972384501804</v>
      </c>
      <c r="J3549">
        <v>0.127855355274341</v>
      </c>
      <c r="K3549">
        <v>7.4735290274294194E-2</v>
      </c>
      <c r="L3549">
        <v>577.56477401383597</v>
      </c>
      <c r="M3549">
        <v>10.8287995335048</v>
      </c>
      <c r="N3549">
        <v>53.335993953315601</v>
      </c>
      <c r="O3549">
        <v>51.613733159480702</v>
      </c>
      <c r="P3549">
        <v>-5.2469954077561901E-2</v>
      </c>
      <c r="Q3549">
        <v>0</v>
      </c>
      <c r="R3549">
        <v>0.99113013372857595</v>
      </c>
      <c r="S3549" t="s">
        <v>9100</v>
      </c>
      <c r="T3549" t="s">
        <v>11100</v>
      </c>
      <c r="U3549" t="s">
        <v>11100</v>
      </c>
      <c r="V3549" t="s">
        <v>11100</v>
      </c>
      <c r="W3549" t="s">
        <v>14599</v>
      </c>
      <c r="X3549">
        <v>2</v>
      </c>
      <c r="Y3549" t="s">
        <v>20039</v>
      </c>
      <c r="Z3549" t="s">
        <v>25554</v>
      </c>
      <c r="AA3549">
        <v>0.56523513157577254</v>
      </c>
      <c r="AB3549" t="str">
        <f>HYPERLINK("Melting_Curves/meltCurve_Q6ZMG9_CERS6.pdf", "Melting_Curves/meltCurve_Q6ZMG9_CERS6.pdf")</f>
        <v>Melting_Curves/meltCurve_Q6ZMG9_CERS6.pdf</v>
      </c>
    </row>
    <row r="3550" spans="1:28" x14ac:dyDescent="0.25">
      <c r="A3550" t="s">
        <v>3554</v>
      </c>
      <c r="B3550">
        <v>0.99299721793515405</v>
      </c>
      <c r="C3550">
        <v>0.92992860953414502</v>
      </c>
      <c r="D3550">
        <v>1.3587396766725099</v>
      </c>
      <c r="E3550">
        <v>0.78033714263654896</v>
      </c>
      <c r="F3550">
        <v>0.64531073257765903</v>
      </c>
      <c r="G3550">
        <v>0.80302522611652305</v>
      </c>
      <c r="H3550">
        <v>0.62165682653654697</v>
      </c>
      <c r="I3550">
        <v>0.63371038678600899</v>
      </c>
      <c r="J3550">
        <v>0.49306748138963102</v>
      </c>
      <c r="K3550">
        <v>0.56465071293361302</v>
      </c>
      <c r="L3550">
        <v>11533.380412235399</v>
      </c>
      <c r="M3550">
        <v>247.85626108088201</v>
      </c>
      <c r="O3550">
        <v>46.529511464099301</v>
      </c>
      <c r="P3550">
        <v>-0.496858314475289</v>
      </c>
      <c r="Q3550">
        <v>0.62690355952597998</v>
      </c>
      <c r="R3550">
        <v>0.68676155833112795</v>
      </c>
      <c r="S3550" t="s">
        <v>9101</v>
      </c>
      <c r="T3550" t="s">
        <v>11100</v>
      </c>
      <c r="U3550" t="s">
        <v>11100</v>
      </c>
      <c r="V3550" t="s">
        <v>11100</v>
      </c>
      <c r="W3550" t="s">
        <v>14600</v>
      </c>
      <c r="X3550">
        <v>6</v>
      </c>
      <c r="Y3550" t="s">
        <v>20040</v>
      </c>
      <c r="Z3550" t="s">
        <v>25555</v>
      </c>
      <c r="AA3550">
        <v>0.74548640019081513</v>
      </c>
      <c r="AB3550" t="str">
        <f>HYPERLINK("Melting_Curves/meltCurve_Q6ZMR3_LDHAL6A.pdf", "Melting_Curves/meltCurve_Q6ZMR3_LDHAL6A.pdf")</f>
        <v>Melting_Curves/meltCurve_Q6ZMR3_LDHAL6A.pdf</v>
      </c>
    </row>
    <row r="3551" spans="1:28" x14ac:dyDescent="0.25">
      <c r="A3551" t="s">
        <v>3555</v>
      </c>
      <c r="B3551">
        <v>0.99299721793515405</v>
      </c>
      <c r="C3551">
        <v>1.1062912743587301</v>
      </c>
      <c r="D3551">
        <v>1.14148169239159</v>
      </c>
      <c r="E3551">
        <v>0.94194397404899699</v>
      </c>
      <c r="F3551">
        <v>0.88819593741478597</v>
      </c>
      <c r="G3551">
        <v>0.53604345945436305</v>
      </c>
      <c r="H3551">
        <v>0.35484106233829499</v>
      </c>
      <c r="I3551">
        <v>0.31934459581861901</v>
      </c>
      <c r="J3551">
        <v>0.31085482224854599</v>
      </c>
      <c r="K3551">
        <v>0.27022532911744201</v>
      </c>
      <c r="L3551">
        <v>1610.3828659153401</v>
      </c>
      <c r="M3551">
        <v>30.5404712924331</v>
      </c>
      <c r="N3551">
        <v>54.319135060226301</v>
      </c>
      <c r="O3551">
        <v>52.504955306026403</v>
      </c>
      <c r="P3551">
        <v>-0.102454943010318</v>
      </c>
      <c r="Q3551">
        <v>0.29544530425670501</v>
      </c>
      <c r="R3551">
        <v>0.97003592126807403</v>
      </c>
      <c r="S3551" t="s">
        <v>9102</v>
      </c>
      <c r="T3551" t="s">
        <v>11100</v>
      </c>
      <c r="U3551" t="s">
        <v>11100</v>
      </c>
      <c r="V3551" t="s">
        <v>11100</v>
      </c>
      <c r="W3551" t="s">
        <v>14601</v>
      </c>
      <c r="X3551">
        <v>8</v>
      </c>
      <c r="Y3551" t="s">
        <v>20041</v>
      </c>
      <c r="Z3551" t="s">
        <v>25556</v>
      </c>
      <c r="AA3551">
        <v>0.66918209543239648</v>
      </c>
      <c r="AB3551" t="str">
        <f>HYPERLINK("Melting_Curves/meltCurve_Q6ZN17_LIN28B.pdf", "Melting_Curves/meltCurve_Q6ZN17_LIN28B.pdf")</f>
        <v>Melting_Curves/meltCurve_Q6ZN17_LIN28B.pdf</v>
      </c>
    </row>
    <row r="3552" spans="1:28" x14ac:dyDescent="0.25">
      <c r="A3552" t="s">
        <v>3556</v>
      </c>
      <c r="B3552">
        <v>0.99299721793515405</v>
      </c>
      <c r="C3552">
        <v>0.98451393251885999</v>
      </c>
      <c r="D3552">
        <v>0.69885245572049604</v>
      </c>
      <c r="E3552">
        <v>0.79512212194284704</v>
      </c>
      <c r="F3552">
        <v>0.62088526398083999</v>
      </c>
      <c r="G3552">
        <v>0.53615604573054498</v>
      </c>
      <c r="H3552">
        <v>0.436625848149994</v>
      </c>
      <c r="I3552">
        <v>0.41139396293564701</v>
      </c>
      <c r="J3552">
        <v>0.259012398574473</v>
      </c>
      <c r="K3552">
        <v>0.21449595191464799</v>
      </c>
      <c r="L3552">
        <v>335.96031573999102</v>
      </c>
      <c r="M3552">
        <v>6.1314582085927096</v>
      </c>
      <c r="N3552">
        <v>54.792890093787001</v>
      </c>
      <c r="O3552">
        <v>49.823300555607098</v>
      </c>
      <c r="P3552">
        <v>-3.08582297274652E-2</v>
      </c>
      <c r="Q3552">
        <v>0</v>
      </c>
      <c r="R3552">
        <v>0.94539543457618003</v>
      </c>
      <c r="S3552" t="s">
        <v>9103</v>
      </c>
      <c r="T3552" t="s">
        <v>11100</v>
      </c>
      <c r="U3552" t="s">
        <v>11100</v>
      </c>
      <c r="V3552" t="s">
        <v>11100</v>
      </c>
      <c r="W3552" t="s">
        <v>14602</v>
      </c>
      <c r="X3552">
        <v>2</v>
      </c>
      <c r="Y3552" t="s">
        <v>20042</v>
      </c>
      <c r="Z3552" t="s">
        <v>25557</v>
      </c>
      <c r="AA3552">
        <v>0.59189058900425251</v>
      </c>
      <c r="AB3552" t="str">
        <f>HYPERLINK("Melting_Curves/meltCurve_Q6ZN18_2_AEBP2.pdf", "Melting_Curves/meltCurve_Q6ZN18_2_AEBP2.pdf")</f>
        <v>Melting_Curves/meltCurve_Q6ZN18_2_AEBP2.pdf</v>
      </c>
    </row>
    <row r="3553" spans="1:28" x14ac:dyDescent="0.25">
      <c r="A3553" t="s">
        <v>3557</v>
      </c>
      <c r="B3553">
        <v>0.99299721793515405</v>
      </c>
      <c r="C3553">
        <v>0.91226989105082801</v>
      </c>
      <c r="D3553">
        <v>0.91155559863357205</v>
      </c>
      <c r="E3553">
        <v>0.71562101950665802</v>
      </c>
      <c r="F3553">
        <v>0.63717618758799899</v>
      </c>
      <c r="G3553">
        <v>0.32810742617583</v>
      </c>
      <c r="H3553">
        <v>0.20406156096268099</v>
      </c>
      <c r="I3553">
        <v>0.14434241058796299</v>
      </c>
      <c r="J3553">
        <v>0.13186044415489601</v>
      </c>
      <c r="K3553">
        <v>9.8846616354289304E-2</v>
      </c>
      <c r="L3553">
        <v>603.88020556475101</v>
      </c>
      <c r="M3553">
        <v>11.8785688920846</v>
      </c>
      <c r="N3553">
        <v>51.160455915568697</v>
      </c>
      <c r="O3553">
        <v>49.4612000934099</v>
      </c>
      <c r="P3553">
        <v>-5.78875505294075E-2</v>
      </c>
      <c r="Q3553">
        <v>3.6089288077752697E-2</v>
      </c>
      <c r="R3553">
        <v>0.98807224538883098</v>
      </c>
      <c r="S3553" t="s">
        <v>9104</v>
      </c>
      <c r="T3553" t="s">
        <v>11100</v>
      </c>
      <c r="U3553" t="s">
        <v>11100</v>
      </c>
      <c r="V3553" t="s">
        <v>11100</v>
      </c>
      <c r="W3553" t="s">
        <v>14603</v>
      </c>
      <c r="X3553">
        <v>15</v>
      </c>
      <c r="Y3553" t="s">
        <v>20043</v>
      </c>
      <c r="Z3553" t="s">
        <v>25558</v>
      </c>
      <c r="AA3553">
        <v>0.50638503570767213</v>
      </c>
      <c r="AB3553" t="str">
        <f>HYPERLINK("Melting_Curves/meltCurve_Q6ZNB6_NFXL1.pdf", "Melting_Curves/meltCurve_Q6ZNB6_NFXL1.pdf")</f>
        <v>Melting_Curves/meltCurve_Q6ZNB6_NFXL1.pdf</v>
      </c>
    </row>
    <row r="3554" spans="1:28" x14ac:dyDescent="0.25">
      <c r="A3554" t="s">
        <v>3558</v>
      </c>
      <c r="B3554">
        <v>0.99299721793515405</v>
      </c>
      <c r="C3554">
        <v>1.0419759328476801</v>
      </c>
      <c r="D3554">
        <v>0.91145206586024496</v>
      </c>
      <c r="E3554">
        <v>0.91319191226603302</v>
      </c>
      <c r="F3554">
        <v>0.75156424559524904</v>
      </c>
      <c r="G3554">
        <v>0.44931062078543899</v>
      </c>
      <c r="H3554">
        <v>0.17992617864707</v>
      </c>
      <c r="I3554">
        <v>0.157806529182765</v>
      </c>
      <c r="J3554">
        <v>0.128241165893934</v>
      </c>
      <c r="K3554">
        <v>0.133599874374938</v>
      </c>
      <c r="L3554">
        <v>1104.65239016176</v>
      </c>
      <c r="M3554">
        <v>21.114485221731499</v>
      </c>
      <c r="N3554">
        <v>52.927260271536497</v>
      </c>
      <c r="O3554">
        <v>51.8547715738327</v>
      </c>
      <c r="P3554">
        <v>-9.0804851744923906E-2</v>
      </c>
      <c r="Q3554">
        <v>0.107997825788875</v>
      </c>
      <c r="R3554">
        <v>0.99137193317122096</v>
      </c>
      <c r="S3554" t="s">
        <v>9105</v>
      </c>
      <c r="T3554" t="s">
        <v>11100</v>
      </c>
      <c r="U3554" t="s">
        <v>11100</v>
      </c>
      <c r="V3554" t="s">
        <v>11100</v>
      </c>
      <c r="W3554" t="s">
        <v>14604</v>
      </c>
      <c r="X3554">
        <v>5</v>
      </c>
      <c r="Y3554" t="s">
        <v>20044</v>
      </c>
      <c r="Z3554" t="s">
        <v>25559</v>
      </c>
      <c r="AA3554">
        <v>0.57394712944397097</v>
      </c>
      <c r="AB3554" t="str">
        <f>HYPERLINK("Melting_Curves/meltCurve_Q6ZNW5_GDPGP1.pdf", "Melting_Curves/meltCurve_Q6ZNW5_GDPGP1.pdf")</f>
        <v>Melting_Curves/meltCurve_Q6ZNW5_GDPGP1.pdf</v>
      </c>
    </row>
    <row r="3555" spans="1:28" x14ac:dyDescent="0.25">
      <c r="A3555" t="s">
        <v>3559</v>
      </c>
      <c r="B3555">
        <v>0.99299721793515405</v>
      </c>
      <c r="C3555">
        <v>1.0731563191559901</v>
      </c>
      <c r="D3555">
        <v>1.83314073749027</v>
      </c>
      <c r="E3555">
        <v>1.0540437399437199</v>
      </c>
      <c r="F3555">
        <v>0.94561120894390205</v>
      </c>
      <c r="G3555">
        <v>1.2925323957647299</v>
      </c>
      <c r="H3555">
        <v>0.27805128943135199</v>
      </c>
      <c r="I3555">
        <v>0.12114713203064099</v>
      </c>
      <c r="J3555">
        <v>0.13783756868760699</v>
      </c>
      <c r="K3555">
        <v>0.103071740868394</v>
      </c>
      <c r="L3555">
        <v>14262.5582480103</v>
      </c>
      <c r="M3555">
        <v>250</v>
      </c>
      <c r="N3555">
        <v>57.113364508740403</v>
      </c>
      <c r="O3555">
        <v>57.046582378265903</v>
      </c>
      <c r="P3555">
        <v>-0.96337353285718397</v>
      </c>
      <c r="Q3555">
        <v>0.12068532281279599</v>
      </c>
      <c r="R3555">
        <v>0.74967124582802502</v>
      </c>
      <c r="S3555" t="s">
        <v>9106</v>
      </c>
      <c r="T3555" t="s">
        <v>11100</v>
      </c>
      <c r="U3555" t="s">
        <v>11100</v>
      </c>
      <c r="V3555" t="s">
        <v>11100</v>
      </c>
      <c r="W3555" t="s">
        <v>14605</v>
      </c>
      <c r="X3555">
        <v>2</v>
      </c>
      <c r="Y3555" t="s">
        <v>20045</v>
      </c>
      <c r="Z3555" t="s">
        <v>25560</v>
      </c>
      <c r="AA3555">
        <v>0.70845550015936709</v>
      </c>
      <c r="AB3555" t="str">
        <f>HYPERLINK("Melting_Curves/meltCurve_Q6ZPD9_DPY19L3.pdf", "Melting_Curves/meltCurve_Q6ZPD9_DPY19L3.pdf")</f>
        <v>Melting_Curves/meltCurve_Q6ZPD9_DPY19L3.pdf</v>
      </c>
    </row>
    <row r="3556" spans="1:28" x14ac:dyDescent="0.25">
      <c r="A3556" t="s">
        <v>3560</v>
      </c>
      <c r="B3556">
        <v>0.99299721793515405</v>
      </c>
      <c r="C3556">
        <v>0.95331841761525404</v>
      </c>
      <c r="D3556">
        <v>0.87421735114741395</v>
      </c>
      <c r="E3556">
        <v>0.81071494691044199</v>
      </c>
      <c r="F3556">
        <v>0.64018129408263202</v>
      </c>
      <c r="G3556">
        <v>0.59808561373126501</v>
      </c>
      <c r="H3556">
        <v>0.48698945436949198</v>
      </c>
      <c r="I3556">
        <v>0.35151729748274202</v>
      </c>
      <c r="J3556">
        <v>0.19318609750726601</v>
      </c>
      <c r="K3556">
        <v>0.14793741632572299</v>
      </c>
      <c r="L3556">
        <v>441.45304457551703</v>
      </c>
      <c r="M3556">
        <v>7.9889680737591604</v>
      </c>
      <c r="N3556">
        <v>55.257830840526701</v>
      </c>
      <c r="O3556">
        <v>52.117826749461699</v>
      </c>
      <c r="P3556">
        <v>-3.8365232377383797E-2</v>
      </c>
      <c r="Q3556">
        <v>0</v>
      </c>
      <c r="R3556">
        <v>0.98092450267894604</v>
      </c>
      <c r="S3556" t="s">
        <v>9107</v>
      </c>
      <c r="T3556" t="s">
        <v>11100</v>
      </c>
      <c r="U3556" t="s">
        <v>11100</v>
      </c>
      <c r="V3556" t="s">
        <v>11100</v>
      </c>
      <c r="W3556" t="s">
        <v>14606</v>
      </c>
      <c r="X3556">
        <v>5</v>
      </c>
      <c r="Y3556" t="s">
        <v>20046</v>
      </c>
      <c r="Z3556" t="s">
        <v>25561</v>
      </c>
      <c r="AA3556">
        <v>0.61319551354302926</v>
      </c>
      <c r="AB3556" t="str">
        <f>HYPERLINK("Melting_Curves/meltCurve_Q6ZRP7_QSOX2.pdf", "Melting_Curves/meltCurve_Q6ZRP7_QSOX2.pdf")</f>
        <v>Melting_Curves/meltCurve_Q6ZRP7_QSOX2.pdf</v>
      </c>
    </row>
    <row r="3557" spans="1:28" x14ac:dyDescent="0.25">
      <c r="A3557" t="s">
        <v>3561</v>
      </c>
      <c r="B3557">
        <v>0.99299721793515405</v>
      </c>
      <c r="C3557">
        <v>1.0053256612889001</v>
      </c>
      <c r="D3557">
        <v>0.856347677076709</v>
      </c>
      <c r="E3557">
        <v>0.83908739283718203</v>
      </c>
      <c r="F3557">
        <v>0.67650431312544801</v>
      </c>
      <c r="G3557">
        <v>0.160780392967313</v>
      </c>
      <c r="H3557">
        <v>0.15756895029560899</v>
      </c>
      <c r="I3557">
        <v>9.2460221041340093E-2</v>
      </c>
      <c r="J3557">
        <v>0.123021159206472</v>
      </c>
      <c r="K3557">
        <v>5.3681912364637999E-2</v>
      </c>
      <c r="L3557">
        <v>1262.97044302891</v>
      </c>
      <c r="M3557">
        <v>24.916724278332602</v>
      </c>
      <c r="N3557">
        <v>51.031774710313101</v>
      </c>
      <c r="O3557">
        <v>50.364562209261599</v>
      </c>
      <c r="P3557">
        <v>-0.11411904261375</v>
      </c>
      <c r="Q3557">
        <v>7.7330402276855503E-2</v>
      </c>
      <c r="R3557">
        <v>0.97273407080216001</v>
      </c>
      <c r="S3557" t="s">
        <v>9108</v>
      </c>
      <c r="T3557" t="s">
        <v>11100</v>
      </c>
      <c r="U3557" t="s">
        <v>11100</v>
      </c>
      <c r="V3557" t="s">
        <v>11100</v>
      </c>
      <c r="W3557" t="s">
        <v>14607</v>
      </c>
      <c r="X3557">
        <v>5</v>
      </c>
      <c r="Y3557" t="s">
        <v>20047</v>
      </c>
      <c r="Z3557" t="s">
        <v>25562</v>
      </c>
      <c r="AA3557">
        <v>0.50647567971642427</v>
      </c>
      <c r="AB3557" t="str">
        <f>HYPERLINK("Melting_Curves/meltCurve_Q6ZS17_2_FAM65A.pdf", "Melting_Curves/meltCurve_Q6ZS17_2_FAM65A.pdf")</f>
        <v>Melting_Curves/meltCurve_Q6ZS17_2_FAM65A.pdf</v>
      </c>
    </row>
    <row r="3558" spans="1:28" x14ac:dyDescent="0.25">
      <c r="A3558" t="s">
        <v>3562</v>
      </c>
      <c r="B3558">
        <v>0.99299721793515405</v>
      </c>
      <c r="C3558">
        <v>0.96942117338572498</v>
      </c>
      <c r="D3558">
        <v>0.91775291413895899</v>
      </c>
      <c r="E3558">
        <v>0.93514200636399003</v>
      </c>
      <c r="F3558">
        <v>0.73711606327103796</v>
      </c>
      <c r="G3558">
        <v>0.52400974455446603</v>
      </c>
      <c r="H3558">
        <v>0.604131668599583</v>
      </c>
      <c r="I3558">
        <v>0.66904961898651105</v>
      </c>
      <c r="J3558">
        <v>0.74441179768910903</v>
      </c>
      <c r="K3558">
        <v>0.61142184225125495</v>
      </c>
      <c r="L3558">
        <v>1937.3379149689899</v>
      </c>
      <c r="M3558">
        <v>39.855501112454299</v>
      </c>
      <c r="O3558">
        <v>48.4871524071661</v>
      </c>
      <c r="P3558">
        <v>-7.5484943146609196E-2</v>
      </c>
      <c r="Q3558">
        <v>0.63266879973644097</v>
      </c>
      <c r="R3558">
        <v>0.86084062181951104</v>
      </c>
      <c r="S3558" t="s">
        <v>9109</v>
      </c>
      <c r="T3558" t="s">
        <v>11100</v>
      </c>
      <c r="U3558" t="s">
        <v>11100</v>
      </c>
      <c r="V3558" t="s">
        <v>11100</v>
      </c>
      <c r="W3558" t="s">
        <v>14608</v>
      </c>
      <c r="X3558">
        <v>6</v>
      </c>
      <c r="Y3558" t="s">
        <v>20048</v>
      </c>
      <c r="Z3558" t="s">
        <v>25563</v>
      </c>
      <c r="AA3558">
        <v>0.77605742690365453</v>
      </c>
      <c r="AB3558" t="str">
        <f>HYPERLINK("Melting_Curves/meltCurve_Q6ZSJ8_C1orf122.pdf", "Melting_Curves/meltCurve_Q6ZSJ8_C1orf122.pdf")</f>
        <v>Melting_Curves/meltCurve_Q6ZSJ8_C1orf122.pdf</v>
      </c>
    </row>
    <row r="3559" spans="1:28" x14ac:dyDescent="0.25">
      <c r="A3559" t="s">
        <v>3563</v>
      </c>
      <c r="B3559">
        <v>0.99299721793515405</v>
      </c>
      <c r="C3559">
        <v>1.06011843235596</v>
      </c>
      <c r="D3559">
        <v>0.94943378108188403</v>
      </c>
      <c r="E3559">
        <v>0.80647461746631499</v>
      </c>
      <c r="F3559">
        <v>0.69743573434488804</v>
      </c>
      <c r="G3559">
        <v>0.48925056818032198</v>
      </c>
      <c r="H3559">
        <v>0.51145455156962205</v>
      </c>
      <c r="I3559">
        <v>0.52087614898898604</v>
      </c>
      <c r="J3559">
        <v>0.71867534433823599</v>
      </c>
      <c r="K3559">
        <v>0.39893932797960302</v>
      </c>
      <c r="L3559">
        <v>1067.0834007107701</v>
      </c>
      <c r="M3559">
        <v>22.344834943391799</v>
      </c>
      <c r="O3559">
        <v>47.377713241162901</v>
      </c>
      <c r="P3559">
        <v>-5.60292455265161E-2</v>
      </c>
      <c r="Q3559">
        <v>0.52481520470422904</v>
      </c>
      <c r="R3559">
        <v>0.86429193297321205</v>
      </c>
      <c r="S3559" t="s">
        <v>9110</v>
      </c>
      <c r="T3559" t="s">
        <v>11100</v>
      </c>
      <c r="U3559" t="s">
        <v>11100</v>
      </c>
      <c r="V3559" t="s">
        <v>11100</v>
      </c>
      <c r="W3559" t="s">
        <v>14609</v>
      </c>
      <c r="X3559">
        <v>2</v>
      </c>
      <c r="Y3559" t="s">
        <v>20049</v>
      </c>
      <c r="Z3559" t="s">
        <v>25564</v>
      </c>
      <c r="AA3559">
        <v>0.70020785235831107</v>
      </c>
      <c r="AB3559" t="str">
        <f>HYPERLINK("Melting_Curves/meltCurve_Q6ZT21_2_TMPPE.pdf", "Melting_Curves/meltCurve_Q6ZT21_2_TMPPE.pdf")</f>
        <v>Melting_Curves/meltCurve_Q6ZT21_2_TMPPE.pdf</v>
      </c>
    </row>
    <row r="3560" spans="1:28" x14ac:dyDescent="0.25">
      <c r="A3560" t="s">
        <v>3564</v>
      </c>
      <c r="B3560">
        <v>0.99299721793515405</v>
      </c>
      <c r="C3560">
        <v>0.82165494204743905</v>
      </c>
      <c r="D3560">
        <v>0.69710692197635005</v>
      </c>
      <c r="E3560">
        <v>0.67104642003955595</v>
      </c>
      <c r="F3560">
        <v>0.62173267752091599</v>
      </c>
      <c r="G3560">
        <v>0.328612250436352</v>
      </c>
      <c r="H3560">
        <v>0.40981512977433299</v>
      </c>
      <c r="I3560">
        <v>0.33419322690194803</v>
      </c>
      <c r="J3560">
        <v>0.46765063316307698</v>
      </c>
      <c r="K3560">
        <v>0.377317951271818</v>
      </c>
      <c r="L3560">
        <v>451.77391482100302</v>
      </c>
      <c r="M3560">
        <v>10.023973699307099</v>
      </c>
      <c r="N3560">
        <v>51.180232018054902</v>
      </c>
      <c r="O3560">
        <v>43.385809254711504</v>
      </c>
      <c r="P3560">
        <v>-3.7624438313278399E-2</v>
      </c>
      <c r="Q3560">
        <v>0.34892871982971002</v>
      </c>
      <c r="R3560">
        <v>0.89552274753456296</v>
      </c>
      <c r="S3560" t="s">
        <v>9111</v>
      </c>
      <c r="T3560" t="s">
        <v>11100</v>
      </c>
      <c r="U3560" t="s">
        <v>11100</v>
      </c>
      <c r="V3560" t="s">
        <v>11100</v>
      </c>
      <c r="W3560" t="s">
        <v>14610</v>
      </c>
      <c r="X3560">
        <v>7</v>
      </c>
      <c r="Y3560" t="s">
        <v>20050</v>
      </c>
      <c r="Z3560" t="s">
        <v>25565</v>
      </c>
      <c r="AA3560">
        <v>0.55605217087570646</v>
      </c>
      <c r="AB3560" t="str">
        <f>HYPERLINK("Melting_Curves/meltCurve_Q6ZT62_SH3BP1.pdf", "Melting_Curves/meltCurve_Q6ZT62_SH3BP1.pdf")</f>
        <v>Melting_Curves/meltCurve_Q6ZT62_SH3BP1.pdf</v>
      </c>
    </row>
    <row r="3561" spans="1:28" x14ac:dyDescent="0.25">
      <c r="A3561" t="s">
        <v>3565</v>
      </c>
      <c r="B3561">
        <v>0.99299721793515405</v>
      </c>
      <c r="C3561">
        <v>0.97713698849869302</v>
      </c>
      <c r="D3561">
        <v>0.82408274804112203</v>
      </c>
      <c r="E3561">
        <v>0.81537640968766201</v>
      </c>
      <c r="F3561">
        <v>0.40769368734212202</v>
      </c>
      <c r="G3561">
        <v>0.26137141040008399</v>
      </c>
      <c r="H3561">
        <v>0.232080028279638</v>
      </c>
      <c r="I3561">
        <v>0.183308419129114</v>
      </c>
      <c r="J3561">
        <v>0.15922963502930501</v>
      </c>
      <c r="K3561">
        <v>0.122622908814587</v>
      </c>
      <c r="L3561">
        <v>837.32969111619104</v>
      </c>
      <c r="M3561">
        <v>17.218136899313201</v>
      </c>
      <c r="N3561">
        <v>49.585650765399102</v>
      </c>
      <c r="O3561">
        <v>47.9889196317732</v>
      </c>
      <c r="P3561">
        <v>-7.7045272791533503E-2</v>
      </c>
      <c r="Q3561">
        <v>0.14111447891860601</v>
      </c>
      <c r="R3561">
        <v>0.98114317402081097</v>
      </c>
      <c r="S3561" t="s">
        <v>9112</v>
      </c>
      <c r="T3561" t="s">
        <v>11100</v>
      </c>
      <c r="U3561" t="s">
        <v>11100</v>
      </c>
      <c r="V3561" t="s">
        <v>11100</v>
      </c>
      <c r="W3561" t="s">
        <v>14611</v>
      </c>
      <c r="X3561">
        <v>1</v>
      </c>
      <c r="Y3561" t="s">
        <v>20051</v>
      </c>
      <c r="Z3561" t="s">
        <v>25566</v>
      </c>
      <c r="AA3561">
        <v>0.48889185197251472</v>
      </c>
      <c r="AB3561" t="str">
        <f>HYPERLINK("Melting_Curves/meltCurve_Q6ZTW0_TPGS1.pdf", "Melting_Curves/meltCurve_Q6ZTW0_TPGS1.pdf")</f>
        <v>Melting_Curves/meltCurve_Q6ZTW0_TPGS1.pdf</v>
      </c>
    </row>
    <row r="3562" spans="1:28" x14ac:dyDescent="0.25">
      <c r="A3562" t="s">
        <v>3566</v>
      </c>
      <c r="B3562">
        <v>0.99299721793515405</v>
      </c>
      <c r="C3562">
        <v>0.99620711773902404</v>
      </c>
      <c r="D3562">
        <v>0.99641531121987803</v>
      </c>
      <c r="E3562">
        <v>0.81000720451791097</v>
      </c>
      <c r="F3562">
        <v>0.59748640856347801</v>
      </c>
      <c r="G3562">
        <v>0.51479356691459099</v>
      </c>
      <c r="H3562">
        <v>0.33612846685551101</v>
      </c>
      <c r="I3562">
        <v>0.31323174762185801</v>
      </c>
      <c r="J3562">
        <v>0.216204653967386</v>
      </c>
      <c r="K3562">
        <v>0.25735514309157598</v>
      </c>
      <c r="L3562">
        <v>704.18304987015995</v>
      </c>
      <c r="M3562">
        <v>13.862999736064699</v>
      </c>
      <c r="N3562">
        <v>52.977650784740298</v>
      </c>
      <c r="O3562">
        <v>49.773895065307499</v>
      </c>
      <c r="P3562">
        <v>-5.4492984817547697E-2</v>
      </c>
      <c r="Q3562">
        <v>0.21749835090216799</v>
      </c>
      <c r="R3562">
        <v>0.98852904458709301</v>
      </c>
      <c r="S3562" t="s">
        <v>9113</v>
      </c>
      <c r="T3562" t="s">
        <v>11100</v>
      </c>
      <c r="U3562" t="s">
        <v>11100</v>
      </c>
      <c r="V3562" t="s">
        <v>11100</v>
      </c>
      <c r="W3562" t="s">
        <v>14612</v>
      </c>
      <c r="X3562">
        <v>1</v>
      </c>
      <c r="Y3562" t="s">
        <v>20052</v>
      </c>
      <c r="Z3562" t="s">
        <v>25567</v>
      </c>
      <c r="AA3562">
        <v>0.59492453435745718</v>
      </c>
      <c r="AB3562" t="str">
        <f>HYPERLINK("Melting_Curves/meltCurve_Q6ZU65_UBN2.pdf", "Melting_Curves/meltCurve_Q6ZU65_UBN2.pdf")</f>
        <v>Melting_Curves/meltCurve_Q6ZU65_UBN2.pdf</v>
      </c>
    </row>
    <row r="3563" spans="1:28" x14ac:dyDescent="0.25">
      <c r="A3563" t="s">
        <v>3567</v>
      </c>
      <c r="B3563">
        <v>0.99299721793515405</v>
      </c>
      <c r="C3563">
        <v>1.02710741004581</v>
      </c>
      <c r="D3563">
        <v>0.91053451201295599</v>
      </c>
      <c r="E3563">
        <v>0.97558615486553302</v>
      </c>
      <c r="F3563">
        <v>0.75570049608680001</v>
      </c>
      <c r="G3563">
        <v>0.442898143072536</v>
      </c>
      <c r="H3563">
        <v>0.25214742823010899</v>
      </c>
      <c r="I3563">
        <v>0.19092434913700701</v>
      </c>
      <c r="J3563">
        <v>0.172604399129936</v>
      </c>
      <c r="K3563">
        <v>0.13927744593021901</v>
      </c>
      <c r="L3563">
        <v>1167.1064585072299</v>
      </c>
      <c r="M3563">
        <v>22.318789424561398</v>
      </c>
      <c r="N3563">
        <v>53.135427479020699</v>
      </c>
      <c r="O3563">
        <v>51.8781626017525</v>
      </c>
      <c r="P3563">
        <v>-9.1522099840086399E-2</v>
      </c>
      <c r="Q3563">
        <v>0.14907582994402399</v>
      </c>
      <c r="R3563">
        <v>0.99319226522196502</v>
      </c>
      <c r="S3563" t="s">
        <v>9114</v>
      </c>
      <c r="T3563" t="s">
        <v>11100</v>
      </c>
      <c r="U3563" t="s">
        <v>11100</v>
      </c>
      <c r="V3563" t="s">
        <v>11100</v>
      </c>
      <c r="W3563" t="s">
        <v>14613</v>
      </c>
      <c r="X3563">
        <v>8</v>
      </c>
      <c r="Y3563" t="s">
        <v>20053</v>
      </c>
      <c r="Z3563" t="s">
        <v>25568</v>
      </c>
      <c r="AA3563">
        <v>0.59200154466931565</v>
      </c>
      <c r="AB3563" t="str">
        <f>HYPERLINK("Melting_Curves/meltCurve_Q6ZVM7_2_TOM1L2.pdf", "Melting_Curves/meltCurve_Q6ZVM7_2_TOM1L2.pdf")</f>
        <v>Melting_Curves/meltCurve_Q6ZVM7_2_TOM1L2.pdf</v>
      </c>
    </row>
    <row r="3564" spans="1:28" x14ac:dyDescent="0.25">
      <c r="A3564" t="s">
        <v>3568</v>
      </c>
      <c r="B3564">
        <v>0.99299721793515405</v>
      </c>
      <c r="C3564">
        <v>0.94355188974090798</v>
      </c>
      <c r="D3564">
        <v>1.37930439358607</v>
      </c>
      <c r="E3564">
        <v>0.81689451191746798</v>
      </c>
      <c r="F3564">
        <v>0.49822594107193102</v>
      </c>
      <c r="G3564">
        <v>0.51204459797531499</v>
      </c>
      <c r="H3564">
        <v>0.19088225892230101</v>
      </c>
      <c r="I3564">
        <v>0.19041431671960801</v>
      </c>
      <c r="J3564">
        <v>0</v>
      </c>
      <c r="K3564">
        <v>4.8860791679076199E-2</v>
      </c>
      <c r="L3564">
        <v>820.64529880527698</v>
      </c>
      <c r="M3564">
        <v>15.768276890248</v>
      </c>
      <c r="N3564">
        <v>52.238749476266598</v>
      </c>
      <c r="O3564">
        <v>51.228582922988302</v>
      </c>
      <c r="P3564">
        <v>-7.4760970792014006E-2</v>
      </c>
      <c r="Q3564">
        <v>2.85354463121354E-2</v>
      </c>
      <c r="R3564">
        <v>0.88299116360933605</v>
      </c>
      <c r="S3564" t="s">
        <v>9115</v>
      </c>
      <c r="T3564" t="s">
        <v>11100</v>
      </c>
      <c r="U3564" t="s">
        <v>11100</v>
      </c>
      <c r="V3564" t="s">
        <v>11100</v>
      </c>
      <c r="W3564" t="s">
        <v>14614</v>
      </c>
      <c r="X3564">
        <v>3</v>
      </c>
      <c r="Y3564" t="s">
        <v>20054</v>
      </c>
      <c r="Z3564" t="s">
        <v>25569</v>
      </c>
      <c r="AA3564">
        <v>0.53317126055997888</v>
      </c>
      <c r="AB3564" t="str">
        <f>HYPERLINK("Melting_Curves/meltCurve_Q6ZW49_4_PAXIP1.pdf", "Melting_Curves/meltCurve_Q6ZW49_4_PAXIP1.pdf")</f>
        <v>Melting_Curves/meltCurve_Q6ZW49_4_PAXIP1.pdf</v>
      </c>
    </row>
    <row r="3565" spans="1:28" x14ac:dyDescent="0.25">
      <c r="A3565" t="s">
        <v>3569</v>
      </c>
      <c r="B3565">
        <v>0.99299721793515405</v>
      </c>
      <c r="C3565">
        <v>0.99008229410420201</v>
      </c>
      <c r="D3565">
        <v>0.97966840511797804</v>
      </c>
      <c r="E3565">
        <v>0.81950106063416694</v>
      </c>
      <c r="F3565">
        <v>0.39641940722670799</v>
      </c>
      <c r="G3565">
        <v>0.16804675780853401</v>
      </c>
      <c r="H3565">
        <v>0.12506717965849301</v>
      </c>
      <c r="I3565">
        <v>0.108731633151359</v>
      </c>
      <c r="J3565">
        <v>9.2464251750859497E-2</v>
      </c>
      <c r="K3565">
        <v>3.77256681335673E-2</v>
      </c>
      <c r="L3565">
        <v>1285.1740217562899</v>
      </c>
      <c r="M3565">
        <v>26.2183019843316</v>
      </c>
      <c r="N3565">
        <v>49.363091527842499</v>
      </c>
      <c r="O3565">
        <v>48.735699230102398</v>
      </c>
      <c r="P3565">
        <v>-0.123238493033224</v>
      </c>
      <c r="Q3565">
        <v>8.3686308188570993E-2</v>
      </c>
      <c r="R3565">
        <v>0.99791619768950501</v>
      </c>
      <c r="S3565" t="s">
        <v>9116</v>
      </c>
      <c r="T3565" t="s">
        <v>11100</v>
      </c>
      <c r="U3565" t="s">
        <v>11100</v>
      </c>
      <c r="V3565" t="s">
        <v>11100</v>
      </c>
      <c r="W3565" t="s">
        <v>14615</v>
      </c>
      <c r="X3565">
        <v>11</v>
      </c>
      <c r="Y3565" t="s">
        <v>20055</v>
      </c>
      <c r="Z3565" t="s">
        <v>25570</v>
      </c>
      <c r="AA3565">
        <v>0.45798516709670689</v>
      </c>
      <c r="AB3565" t="str">
        <f>HYPERLINK("Melting_Curves/meltCurve_Q6ZWJ1_STXBP4.pdf", "Melting_Curves/meltCurve_Q6ZWJ1_STXBP4.pdf")</f>
        <v>Melting_Curves/meltCurve_Q6ZWJ1_STXBP4.pdf</v>
      </c>
    </row>
    <row r="3566" spans="1:28" x14ac:dyDescent="0.25">
      <c r="A3566" t="s">
        <v>3570</v>
      </c>
      <c r="B3566">
        <v>0.99299721793515405</v>
      </c>
      <c r="C3566">
        <v>0.49008131007267303</v>
      </c>
      <c r="D3566">
        <v>0.67631257861620198</v>
      </c>
      <c r="E3566">
        <v>0.65235051265120503</v>
      </c>
      <c r="F3566">
        <v>0.51647731153384402</v>
      </c>
      <c r="G3566">
        <v>0.42869188081125398</v>
      </c>
      <c r="H3566">
        <v>0.34244293708173001</v>
      </c>
      <c r="I3566">
        <v>0.16231505932871401</v>
      </c>
      <c r="J3566">
        <v>0</v>
      </c>
      <c r="K3566">
        <v>0</v>
      </c>
      <c r="L3566">
        <v>313.15613732301102</v>
      </c>
      <c r="M3566">
        <v>6.5141953277575801</v>
      </c>
      <c r="N3566">
        <v>48.072877643936003</v>
      </c>
      <c r="O3566">
        <v>44.145253263522797</v>
      </c>
      <c r="P3566">
        <v>-3.6979579644670101E-2</v>
      </c>
      <c r="Q3566">
        <v>0</v>
      </c>
      <c r="R3566">
        <v>0.79069804117741904</v>
      </c>
      <c r="S3566" t="s">
        <v>9117</v>
      </c>
      <c r="T3566" t="s">
        <v>11100</v>
      </c>
      <c r="U3566" t="s">
        <v>11100</v>
      </c>
      <c r="V3566" t="s">
        <v>11100</v>
      </c>
      <c r="W3566" t="s">
        <v>14616</v>
      </c>
      <c r="X3566">
        <v>1</v>
      </c>
      <c r="Y3566" t="s">
        <v>20056</v>
      </c>
      <c r="Z3566" t="s">
        <v>25571</v>
      </c>
      <c r="AA3566">
        <v>0.43136404553705687</v>
      </c>
      <c r="AB3566" t="str">
        <f>HYPERLINK("Melting_Curves/meltCurve_Q6ZWT7_MBOAT2.pdf", "Melting_Curves/meltCurve_Q6ZWT7_MBOAT2.pdf")</f>
        <v>Melting_Curves/meltCurve_Q6ZWT7_MBOAT2.pdf</v>
      </c>
    </row>
    <row r="3567" spans="1:28" x14ac:dyDescent="0.25">
      <c r="A3567" t="s">
        <v>3571</v>
      </c>
      <c r="B3567">
        <v>0.99299721793515405</v>
      </c>
      <c r="C3567">
        <v>1.0706165535677901</v>
      </c>
      <c r="D3567">
        <v>1.2153706276935401</v>
      </c>
      <c r="E3567">
        <v>0.89643697899138797</v>
      </c>
      <c r="F3567">
        <v>0.84593732924488796</v>
      </c>
      <c r="G3567">
        <v>0.74008663770313998</v>
      </c>
      <c r="H3567">
        <v>0.22446375507079699</v>
      </c>
      <c r="I3567">
        <v>0.185751317014724</v>
      </c>
      <c r="J3567">
        <v>0.15654291721094199</v>
      </c>
      <c r="K3567">
        <v>0.145216279808598</v>
      </c>
      <c r="L3567">
        <v>1938.8263142502401</v>
      </c>
      <c r="M3567">
        <v>35.461788515940903</v>
      </c>
      <c r="N3567">
        <v>55.196714284243797</v>
      </c>
      <c r="O3567">
        <v>54.500695604469101</v>
      </c>
      <c r="P3567">
        <v>-0.1394540340139</v>
      </c>
      <c r="Q3567">
        <v>0.14270371254122199</v>
      </c>
      <c r="R3567">
        <v>0.949467592863114</v>
      </c>
      <c r="S3567" t="s">
        <v>9118</v>
      </c>
      <c r="T3567" t="s">
        <v>11100</v>
      </c>
      <c r="U3567" t="s">
        <v>11100</v>
      </c>
      <c r="V3567" t="s">
        <v>11100</v>
      </c>
      <c r="W3567" t="s">
        <v>14617</v>
      </c>
      <c r="X3567">
        <v>5</v>
      </c>
      <c r="Y3567" t="s">
        <v>20057</v>
      </c>
      <c r="Z3567" t="s">
        <v>25572</v>
      </c>
      <c r="AA3567">
        <v>0.65178516131912489</v>
      </c>
      <c r="AB3567" t="str">
        <f>HYPERLINK("Melting_Curves/meltCurve_Q6ZXV5_2_TMTC3.pdf", "Melting_Curves/meltCurve_Q6ZXV5_2_TMTC3.pdf")</f>
        <v>Melting_Curves/meltCurve_Q6ZXV5_2_TMTC3.pdf</v>
      </c>
    </row>
    <row r="3568" spans="1:28" x14ac:dyDescent="0.25">
      <c r="A3568" t="s">
        <v>3572</v>
      </c>
      <c r="B3568">
        <v>0.99299721793515405</v>
      </c>
      <c r="C3568">
        <v>1.0140328167180199</v>
      </c>
      <c r="D3568">
        <v>0.75116612148598405</v>
      </c>
      <c r="E3568">
        <v>0.96822476865975504</v>
      </c>
      <c r="F3568">
        <v>1.0752210054626199</v>
      </c>
      <c r="G3568">
        <v>0.77118597201891304</v>
      </c>
      <c r="H3568">
        <v>0.47443993380163901</v>
      </c>
      <c r="I3568">
        <v>0.19883670976411599</v>
      </c>
      <c r="J3568">
        <v>0.17503731750704599</v>
      </c>
      <c r="K3568">
        <v>0.135213278169002</v>
      </c>
      <c r="L3568">
        <v>1591.26329425366</v>
      </c>
      <c r="M3568">
        <v>28.2737505995464</v>
      </c>
      <c r="N3568">
        <v>56.899034417119303</v>
      </c>
      <c r="O3568">
        <v>56.001302254502399</v>
      </c>
      <c r="P3568">
        <v>-0.10952264667044</v>
      </c>
      <c r="Q3568">
        <v>0.13228913418775501</v>
      </c>
      <c r="R3568">
        <v>0.94013688722604405</v>
      </c>
      <c r="S3568" t="s">
        <v>9119</v>
      </c>
      <c r="T3568" t="s">
        <v>11100</v>
      </c>
      <c r="U3568" t="s">
        <v>11100</v>
      </c>
      <c r="V3568" t="s">
        <v>11100</v>
      </c>
      <c r="W3568" t="s">
        <v>14618</v>
      </c>
      <c r="X3568">
        <v>2</v>
      </c>
      <c r="Y3568" t="s">
        <v>20058</v>
      </c>
      <c r="Z3568" t="s">
        <v>25573</v>
      </c>
      <c r="AA3568">
        <v>0.69580851756341089</v>
      </c>
      <c r="AB3568" t="str">
        <f>HYPERLINK("Melting_Curves/meltCurve_Q709F0_ACAD11.pdf", "Melting_Curves/meltCurve_Q709F0_ACAD11.pdf")</f>
        <v>Melting_Curves/meltCurve_Q709F0_ACAD11.pdf</v>
      </c>
    </row>
    <row r="3569" spans="1:28" x14ac:dyDescent="0.25">
      <c r="A3569" t="s">
        <v>3573</v>
      </c>
      <c r="B3569">
        <v>0.99299721793515405</v>
      </c>
      <c r="C3569">
        <v>0.99831972128697499</v>
      </c>
      <c r="D3569">
        <v>0.76724921536677204</v>
      </c>
      <c r="E3569">
        <v>0.70244151692161605</v>
      </c>
      <c r="F3569">
        <v>0.77179144886944095</v>
      </c>
      <c r="G3569">
        <v>0.45703399096963399</v>
      </c>
      <c r="H3569">
        <v>0.49680409935343001</v>
      </c>
      <c r="I3569">
        <v>0.49235805862889198</v>
      </c>
      <c r="J3569">
        <v>0.55765082369213903</v>
      </c>
      <c r="K3569">
        <v>0.46757456840768202</v>
      </c>
      <c r="L3569">
        <v>537.666933293802</v>
      </c>
      <c r="M3569">
        <v>11.590432194259099</v>
      </c>
      <c r="N3569">
        <v>61.690308556189102</v>
      </c>
      <c r="O3569">
        <v>45.072459675383001</v>
      </c>
      <c r="P3569">
        <v>-3.39669635825521E-2</v>
      </c>
      <c r="Q3569">
        <v>0.471787627330431</v>
      </c>
      <c r="R3569">
        <v>0.873971265119312</v>
      </c>
      <c r="S3569" t="s">
        <v>9120</v>
      </c>
      <c r="T3569" t="s">
        <v>11100</v>
      </c>
      <c r="U3569" t="s">
        <v>11100</v>
      </c>
      <c r="V3569" t="s">
        <v>11100</v>
      </c>
      <c r="W3569" t="s">
        <v>14619</v>
      </c>
      <c r="X3569">
        <v>1</v>
      </c>
      <c r="Y3569" t="s">
        <v>20059</v>
      </c>
      <c r="Z3569" t="s">
        <v>25574</v>
      </c>
      <c r="AA3569">
        <v>0.65602323109884964</v>
      </c>
      <c r="AB3569" t="str">
        <f>HYPERLINK("Melting_Curves/meltCurve_Q70CQ2_3_USP34.pdf", "Melting_Curves/meltCurve_Q70CQ2_3_USP34.pdf")</f>
        <v>Melting_Curves/meltCurve_Q70CQ2_3_USP34.pdf</v>
      </c>
    </row>
    <row r="3570" spans="1:28" x14ac:dyDescent="0.25">
      <c r="A3570" t="s">
        <v>3574</v>
      </c>
      <c r="B3570">
        <v>0.99299721793515405</v>
      </c>
      <c r="C3570">
        <v>1.16308265693158</v>
      </c>
      <c r="D3570">
        <v>1.01746958805884</v>
      </c>
      <c r="E3570">
        <v>1.0199744331970799</v>
      </c>
      <c r="F3570">
        <v>0.83247295141366995</v>
      </c>
      <c r="G3570">
        <v>0.38915318703013801</v>
      </c>
      <c r="H3570">
        <v>0.411789346999692</v>
      </c>
      <c r="I3570">
        <v>0.31151010449816602</v>
      </c>
      <c r="J3570">
        <v>0.33233463358987098</v>
      </c>
      <c r="K3570">
        <v>0.23659584087589899</v>
      </c>
      <c r="L3570">
        <v>2339.42101945791</v>
      </c>
      <c r="M3570">
        <v>45.4879249101689</v>
      </c>
      <c r="N3570">
        <v>52.604387122542597</v>
      </c>
      <c r="O3570">
        <v>51.330399973355597</v>
      </c>
      <c r="P3570">
        <v>-0.15087867803713501</v>
      </c>
      <c r="Q3570">
        <v>0.318970715795513</v>
      </c>
      <c r="R3570">
        <v>0.96452501451815398</v>
      </c>
      <c r="S3570" t="s">
        <v>9121</v>
      </c>
      <c r="T3570" t="s">
        <v>11100</v>
      </c>
      <c r="U3570" t="s">
        <v>11100</v>
      </c>
      <c r="V3570" t="s">
        <v>11100</v>
      </c>
      <c r="W3570" t="s">
        <v>14620</v>
      </c>
      <c r="X3570">
        <v>4</v>
      </c>
      <c r="Y3570" t="s">
        <v>16903</v>
      </c>
      <c r="Z3570" t="s">
        <v>25575</v>
      </c>
      <c r="AA3570">
        <v>0.64840202322632967</v>
      </c>
      <c r="AB3570" t="str">
        <f>HYPERLINK("Melting_Curves/meltCurve_Q70E73_7_RAPH1.pdf", "Melting_Curves/meltCurve_Q70E73_7_RAPH1.pdf")</f>
        <v>Melting_Curves/meltCurve_Q70E73_7_RAPH1.pdf</v>
      </c>
    </row>
    <row r="3571" spans="1:28" x14ac:dyDescent="0.25">
      <c r="A3571" t="s">
        <v>3575</v>
      </c>
      <c r="B3571">
        <v>0.99299721793515405</v>
      </c>
      <c r="C3571">
        <v>1.0283805885297901</v>
      </c>
      <c r="D3571">
        <v>0.98385608892326204</v>
      </c>
      <c r="E3571">
        <v>0.95681647132072201</v>
      </c>
      <c r="F3571">
        <v>0.71538820111874701</v>
      </c>
      <c r="G3571">
        <v>0.47284525290275398</v>
      </c>
      <c r="H3571">
        <v>0.230132523094293</v>
      </c>
      <c r="I3571">
        <v>0.226784238976767</v>
      </c>
      <c r="J3571">
        <v>0.17402709593552301</v>
      </c>
      <c r="K3571">
        <v>0.120612766065039</v>
      </c>
      <c r="L3571">
        <v>1046.7317614615499</v>
      </c>
      <c r="M3571">
        <v>20.026822292151699</v>
      </c>
      <c r="N3571">
        <v>53.144113792167303</v>
      </c>
      <c r="O3571">
        <v>51.753732579417203</v>
      </c>
      <c r="P3571">
        <v>-8.3122740108536194E-2</v>
      </c>
      <c r="Q3571">
        <v>0.140797796306148</v>
      </c>
      <c r="R3571">
        <v>0.99515576919599102</v>
      </c>
      <c r="S3571" t="s">
        <v>9122</v>
      </c>
      <c r="T3571" t="s">
        <v>11100</v>
      </c>
      <c r="U3571" t="s">
        <v>11100</v>
      </c>
      <c r="V3571" t="s">
        <v>11100</v>
      </c>
      <c r="W3571" t="s">
        <v>14621</v>
      </c>
      <c r="X3571">
        <v>7</v>
      </c>
      <c r="Y3571" t="s">
        <v>20060</v>
      </c>
      <c r="Z3571" t="s">
        <v>25576</v>
      </c>
      <c r="AA3571">
        <v>0.58904494536690943</v>
      </c>
      <c r="AB3571" t="str">
        <f>HYPERLINK("Melting_Curves/meltCurve_Q70IA6_MOB2.pdf", "Melting_Curves/meltCurve_Q70IA6_MOB2.pdf")</f>
        <v>Melting_Curves/meltCurve_Q70IA6_MOB2.pdf</v>
      </c>
    </row>
    <row r="3572" spans="1:28" x14ac:dyDescent="0.25">
      <c r="A3572" t="s">
        <v>3576</v>
      </c>
      <c r="B3572">
        <v>0.99299721793515405</v>
      </c>
      <c r="C3572">
        <v>1.0646563525575301</v>
      </c>
      <c r="D3572">
        <v>0.924093461957471</v>
      </c>
      <c r="E3572">
        <v>0.85416763757168201</v>
      </c>
      <c r="F3572">
        <v>0.75761046988726499</v>
      </c>
      <c r="G3572">
        <v>0.62260010298977597</v>
      </c>
      <c r="H3572">
        <v>0.52633962593261996</v>
      </c>
      <c r="I3572">
        <v>0.44400641592977702</v>
      </c>
      <c r="J3572">
        <v>0.255788974965038</v>
      </c>
      <c r="K3572">
        <v>0.14654690975003101</v>
      </c>
      <c r="L3572">
        <v>508.68967989871902</v>
      </c>
      <c r="M3572">
        <v>8.8852055143279909</v>
      </c>
      <c r="N3572">
        <v>57.2513050233296</v>
      </c>
      <c r="O3572">
        <v>54.573923145028097</v>
      </c>
      <c r="P3572">
        <v>-4.0733645000995598E-2</v>
      </c>
      <c r="Q3572">
        <v>0</v>
      </c>
      <c r="R3572">
        <v>0.97543434024544695</v>
      </c>
      <c r="S3572" t="s">
        <v>9123</v>
      </c>
      <c r="T3572" t="s">
        <v>11100</v>
      </c>
      <c r="U3572" t="s">
        <v>11100</v>
      </c>
      <c r="V3572" t="s">
        <v>11100</v>
      </c>
      <c r="W3572" t="s">
        <v>14622</v>
      </c>
      <c r="X3572">
        <v>11</v>
      </c>
      <c r="Y3572" t="s">
        <v>20061</v>
      </c>
      <c r="Z3572" t="s">
        <v>25577</v>
      </c>
      <c r="AA3572">
        <v>0.66715731814206214</v>
      </c>
      <c r="AB3572" t="str">
        <f>HYPERLINK("Melting_Curves/meltCurve_Q70UQ0_IKBIP.pdf", "Melting_Curves/meltCurve_Q70UQ0_IKBIP.pdf")</f>
        <v>Melting_Curves/meltCurve_Q70UQ0_IKBIP.pdf</v>
      </c>
    </row>
    <row r="3573" spans="1:28" x14ac:dyDescent="0.25">
      <c r="A3573" t="s">
        <v>3577</v>
      </c>
      <c r="B3573">
        <v>0.99299721793515405</v>
      </c>
      <c r="C3573">
        <v>0.95511840334782405</v>
      </c>
      <c r="D3573">
        <v>0.94729983156413999</v>
      </c>
      <c r="E3573">
        <v>0.88628129511340803</v>
      </c>
      <c r="F3573">
        <v>0.79448983832442499</v>
      </c>
      <c r="G3573">
        <v>0.61112157403376199</v>
      </c>
      <c r="H3573">
        <v>0.54742855642961996</v>
      </c>
      <c r="I3573">
        <v>0.44704185400420798</v>
      </c>
      <c r="J3573">
        <v>0.32486485397790799</v>
      </c>
      <c r="K3573">
        <v>0.21839020727449299</v>
      </c>
      <c r="L3573">
        <v>468.464446949533</v>
      </c>
      <c r="M3573">
        <v>8.0544688992110096</v>
      </c>
      <c r="N3573">
        <v>58.162050372953303</v>
      </c>
      <c r="O3573">
        <v>54.905710258285403</v>
      </c>
      <c r="P3573">
        <v>-3.6714541472181103E-2</v>
      </c>
      <c r="Q3573">
        <v>0</v>
      </c>
      <c r="R3573">
        <v>0.99123160158087298</v>
      </c>
      <c r="S3573" t="s">
        <v>9124</v>
      </c>
      <c r="T3573" t="s">
        <v>11100</v>
      </c>
      <c r="U3573" t="s">
        <v>11100</v>
      </c>
      <c r="V3573" t="s">
        <v>11100</v>
      </c>
      <c r="W3573" t="s">
        <v>14623</v>
      </c>
      <c r="X3573">
        <v>14</v>
      </c>
      <c r="Y3573" t="s">
        <v>20061</v>
      </c>
      <c r="Z3573" t="s">
        <v>25578</v>
      </c>
      <c r="AA3573">
        <v>0.68324229967210459</v>
      </c>
      <c r="AB3573" t="str">
        <f>HYPERLINK("Melting_Curves/meltCurve_Q70UQ0_4_IKBIP.pdf", "Melting_Curves/meltCurve_Q70UQ0_4_IKBIP.pdf")</f>
        <v>Melting_Curves/meltCurve_Q70UQ0_4_IKBIP.pdf</v>
      </c>
    </row>
    <row r="3574" spans="1:28" x14ac:dyDescent="0.25">
      <c r="A3574" t="s">
        <v>3578</v>
      </c>
      <c r="B3574">
        <v>0.99299721793515405</v>
      </c>
      <c r="C3574">
        <v>1.0145976387681701</v>
      </c>
      <c r="D3574">
        <v>1.07644910554477</v>
      </c>
      <c r="E3574">
        <v>0.80761474115515297</v>
      </c>
      <c r="F3574">
        <v>0.70550704655603103</v>
      </c>
      <c r="G3574">
        <v>0.36854897447873503</v>
      </c>
      <c r="H3574">
        <v>0.282197580373302</v>
      </c>
      <c r="I3574">
        <v>0.215919698344431</v>
      </c>
      <c r="J3574">
        <v>0.17945746755112699</v>
      </c>
      <c r="K3574">
        <v>0.131176372702282</v>
      </c>
      <c r="L3574">
        <v>914.72861809120297</v>
      </c>
      <c r="M3574">
        <v>17.813889782201802</v>
      </c>
      <c r="N3574">
        <v>52.376392811460804</v>
      </c>
      <c r="O3574">
        <v>50.715199156385303</v>
      </c>
      <c r="P3574">
        <v>-7.4870589021237E-2</v>
      </c>
      <c r="Q3574">
        <v>0.14743342660154299</v>
      </c>
      <c r="R3574">
        <v>0.98318129736701299</v>
      </c>
      <c r="S3574" t="s">
        <v>9125</v>
      </c>
      <c r="T3574" t="s">
        <v>11100</v>
      </c>
      <c r="U3574" t="s">
        <v>11100</v>
      </c>
      <c r="V3574" t="s">
        <v>11100</v>
      </c>
      <c r="W3574" t="s">
        <v>14624</v>
      </c>
      <c r="X3574">
        <v>5</v>
      </c>
      <c r="Y3574" t="s">
        <v>20062</v>
      </c>
      <c r="Z3574" t="s">
        <v>25579</v>
      </c>
      <c r="AA3574">
        <v>0.56855005044532603</v>
      </c>
      <c r="AB3574" t="str">
        <f>HYPERLINK("Melting_Curves/meltCurve_Q70Z53_3_FRA10AC1.pdf", "Melting_Curves/meltCurve_Q70Z53_3_FRA10AC1.pdf")</f>
        <v>Melting_Curves/meltCurve_Q70Z53_3_FRA10AC1.pdf</v>
      </c>
    </row>
    <row r="3575" spans="1:28" x14ac:dyDescent="0.25">
      <c r="A3575" t="s">
        <v>3579</v>
      </c>
      <c r="B3575">
        <v>0.99299721793515405</v>
      </c>
      <c r="C3575">
        <v>1.10644262002493</v>
      </c>
      <c r="D3575">
        <v>1.23484378108518</v>
      </c>
      <c r="E3575">
        <v>0.99885304595174695</v>
      </c>
      <c r="F3575">
        <v>0.87386245206322999</v>
      </c>
      <c r="G3575">
        <v>0.67229314473000701</v>
      </c>
      <c r="H3575">
        <v>0.52273977206114197</v>
      </c>
      <c r="I3575">
        <v>0.499880102799861</v>
      </c>
      <c r="J3575">
        <v>0.32006786834843798</v>
      </c>
      <c r="K3575">
        <v>0.19550028576584999</v>
      </c>
      <c r="L3575">
        <v>766.92794396225099</v>
      </c>
      <c r="M3575">
        <v>13.472481284028399</v>
      </c>
      <c r="N3575">
        <v>58.528516067016803</v>
      </c>
      <c r="O3575">
        <v>55.715236057084603</v>
      </c>
      <c r="P3575">
        <v>-5.1133468109978597E-2</v>
      </c>
      <c r="Q3575">
        <v>0.15428355627569501</v>
      </c>
      <c r="R3575">
        <v>0.91684252672616595</v>
      </c>
      <c r="S3575" t="s">
        <v>9126</v>
      </c>
      <c r="T3575" t="s">
        <v>11100</v>
      </c>
      <c r="U3575" t="s">
        <v>11100</v>
      </c>
      <c r="V3575" t="s">
        <v>11100</v>
      </c>
      <c r="W3575" t="s">
        <v>14625</v>
      </c>
      <c r="X3575">
        <v>2</v>
      </c>
      <c r="Y3575" t="s">
        <v>20063</v>
      </c>
      <c r="Z3575" t="s">
        <v>25580</v>
      </c>
      <c r="AA3575">
        <v>0.72210362719926857</v>
      </c>
      <c r="AB3575" t="str">
        <f>HYPERLINK("Melting_Curves/meltCurve_Q712K3_UBE2R2.pdf", "Melting_Curves/meltCurve_Q712K3_UBE2R2.pdf")</f>
        <v>Melting_Curves/meltCurve_Q712K3_UBE2R2.pdf</v>
      </c>
    </row>
    <row r="3576" spans="1:28" x14ac:dyDescent="0.25">
      <c r="A3576" t="s">
        <v>3580</v>
      </c>
      <c r="B3576">
        <v>0.99299721793515405</v>
      </c>
      <c r="C3576">
        <v>0.88712354577423203</v>
      </c>
      <c r="D3576">
        <v>1.0743642455937701</v>
      </c>
      <c r="E3576">
        <v>0.99050927517893095</v>
      </c>
      <c r="F3576">
        <v>0.54338759687296401</v>
      </c>
      <c r="G3576">
        <v>0.46257677659258301</v>
      </c>
      <c r="H3576">
        <v>0.30094311372092603</v>
      </c>
      <c r="I3576">
        <v>0.35765344252824599</v>
      </c>
      <c r="J3576">
        <v>0.312076219524489</v>
      </c>
      <c r="K3576">
        <v>0.27453607760760201</v>
      </c>
      <c r="L3576">
        <v>2027.0639577583199</v>
      </c>
      <c r="M3576">
        <v>40.964799168508598</v>
      </c>
      <c r="N3576">
        <v>50.840271358025603</v>
      </c>
      <c r="O3576">
        <v>49.365592389542599</v>
      </c>
      <c r="P3576">
        <v>-0.138479158624496</v>
      </c>
      <c r="Q3576">
        <v>0.33249111164928902</v>
      </c>
      <c r="R3576">
        <v>0.96116506090471099</v>
      </c>
      <c r="S3576" t="s">
        <v>9127</v>
      </c>
      <c r="T3576" t="s">
        <v>11100</v>
      </c>
      <c r="U3576" t="s">
        <v>11100</v>
      </c>
      <c r="V3576" t="s">
        <v>11100</v>
      </c>
      <c r="W3576" t="s">
        <v>14626</v>
      </c>
      <c r="X3576">
        <v>3</v>
      </c>
      <c r="Y3576" t="s">
        <v>20064</v>
      </c>
      <c r="Z3576" t="s">
        <v>25581</v>
      </c>
      <c r="AA3576">
        <v>0.61241851619798804</v>
      </c>
      <c r="AB3576" t="str">
        <f>HYPERLINK("Melting_Curves/meltCurve_Q71UI9_H2AFV.pdf", "Melting_Curves/meltCurve_Q71UI9_H2AFV.pdf")</f>
        <v>Melting_Curves/meltCurve_Q71UI9_H2AFV.pdf</v>
      </c>
    </row>
    <row r="3577" spans="1:28" x14ac:dyDescent="0.25">
      <c r="A3577" t="s">
        <v>3581</v>
      </c>
      <c r="B3577">
        <v>0.99299721793515405</v>
      </c>
      <c r="C3577">
        <v>0.80075650656216202</v>
      </c>
      <c r="D3577">
        <v>0.90014608169292798</v>
      </c>
      <c r="E3577">
        <v>0.94352899644714805</v>
      </c>
      <c r="F3577">
        <v>0.675396273827085</v>
      </c>
      <c r="G3577">
        <v>0.39075189363308999</v>
      </c>
      <c r="H3577">
        <v>0.345738706143085</v>
      </c>
      <c r="I3577">
        <v>0.380774598196994</v>
      </c>
      <c r="J3577">
        <v>0.43983698012443101</v>
      </c>
      <c r="K3577">
        <v>0.30859532337122803</v>
      </c>
      <c r="L3577">
        <v>1785.7983395573999</v>
      </c>
      <c r="M3577">
        <v>35.684510783180698</v>
      </c>
      <c r="N3577">
        <v>51.929605561934601</v>
      </c>
      <c r="O3577">
        <v>49.887716097992801</v>
      </c>
      <c r="P3577">
        <v>-0.113885628990745</v>
      </c>
      <c r="Q3577">
        <v>0.36314410648213902</v>
      </c>
      <c r="R3577">
        <v>0.91111135119174202</v>
      </c>
      <c r="S3577" t="s">
        <v>9128</v>
      </c>
      <c r="T3577" t="s">
        <v>11100</v>
      </c>
      <c r="U3577" t="s">
        <v>11100</v>
      </c>
      <c r="V3577" t="s">
        <v>11100</v>
      </c>
      <c r="W3577" t="s">
        <v>14627</v>
      </c>
      <c r="X3577">
        <v>1</v>
      </c>
      <c r="Y3577" t="s">
        <v>20065</v>
      </c>
      <c r="Z3577" t="s">
        <v>25582</v>
      </c>
      <c r="AA3577">
        <v>0.64281899652671415</v>
      </c>
      <c r="AB3577" t="str">
        <f>HYPERLINK("Melting_Curves/meltCurve_Q765P7_MTSS1L.pdf", "Melting_Curves/meltCurve_Q765P7_MTSS1L.pdf")</f>
        <v>Melting_Curves/meltCurve_Q765P7_MTSS1L.pdf</v>
      </c>
    </row>
    <row r="3578" spans="1:28" x14ac:dyDescent="0.25">
      <c r="A3578" t="s">
        <v>3582</v>
      </c>
      <c r="B3578">
        <v>0.99299721793515405</v>
      </c>
      <c r="C3578">
        <v>0.96251444844634604</v>
      </c>
      <c r="D3578">
        <v>0.99764453337935499</v>
      </c>
      <c r="E3578">
        <v>0.92958698151095898</v>
      </c>
      <c r="F3578">
        <v>0.740271192083514</v>
      </c>
      <c r="G3578">
        <v>0.79398268263337701</v>
      </c>
      <c r="H3578">
        <v>0.43544703196369799</v>
      </c>
      <c r="I3578">
        <v>0.28301939530371101</v>
      </c>
      <c r="J3578">
        <v>0.17477113718636</v>
      </c>
      <c r="K3578">
        <v>0.18148892641454001</v>
      </c>
      <c r="L3578">
        <v>702.39217810791195</v>
      </c>
      <c r="M3578">
        <v>12.3715977778071</v>
      </c>
      <c r="N3578">
        <v>56.883120902307702</v>
      </c>
      <c r="O3578">
        <v>55.352367784224597</v>
      </c>
      <c r="P3578">
        <v>-5.5236531009348798E-2</v>
      </c>
      <c r="Q3578">
        <v>1.1665886569510101E-2</v>
      </c>
      <c r="R3578">
        <v>0.97113668899597405</v>
      </c>
      <c r="S3578" t="s">
        <v>9129</v>
      </c>
      <c r="T3578" t="s">
        <v>11100</v>
      </c>
      <c r="U3578" t="s">
        <v>11100</v>
      </c>
      <c r="V3578" t="s">
        <v>11100</v>
      </c>
      <c r="W3578" t="s">
        <v>14628</v>
      </c>
      <c r="X3578">
        <v>4</v>
      </c>
      <c r="Y3578" t="s">
        <v>20066</v>
      </c>
      <c r="Z3578" t="s">
        <v>25583</v>
      </c>
      <c r="AA3578">
        <v>0.66954900617251156</v>
      </c>
      <c r="AB3578" t="str">
        <f>HYPERLINK("Melting_Curves/meltCurve_Q7KYR7_BTN2A1.pdf", "Melting_Curves/meltCurve_Q7KYR7_BTN2A1.pdf")</f>
        <v>Melting_Curves/meltCurve_Q7KYR7_BTN2A1.pdf</v>
      </c>
    </row>
    <row r="3579" spans="1:28" x14ac:dyDescent="0.25">
      <c r="A3579" t="s">
        <v>3583</v>
      </c>
      <c r="B3579">
        <v>0.99299721793515405</v>
      </c>
      <c r="C3579">
        <v>0.96175020236688002</v>
      </c>
      <c r="D3579">
        <v>0.89723338476064396</v>
      </c>
      <c r="E3579">
        <v>0.87542748525811398</v>
      </c>
      <c r="F3579">
        <v>0.79065446582002297</v>
      </c>
      <c r="G3579">
        <v>0.34057377383302601</v>
      </c>
      <c r="H3579">
        <v>0.21696785273581901</v>
      </c>
      <c r="I3579">
        <v>0.18138676086276001</v>
      </c>
      <c r="J3579">
        <v>0.16975245220513699</v>
      </c>
      <c r="K3579">
        <v>0.13115276676971199</v>
      </c>
      <c r="L3579">
        <v>1351.05215544509</v>
      </c>
      <c r="M3579">
        <v>26.105940970704001</v>
      </c>
      <c r="N3579">
        <v>52.4659921941306</v>
      </c>
      <c r="O3579">
        <v>51.451860448576198</v>
      </c>
      <c r="P3579">
        <v>-0.107898069480913</v>
      </c>
      <c r="Q3579">
        <v>0.149390015615355</v>
      </c>
      <c r="R3579">
        <v>0.98191142245736196</v>
      </c>
      <c r="S3579" t="s">
        <v>9130</v>
      </c>
      <c r="T3579" t="s">
        <v>11100</v>
      </c>
      <c r="U3579" t="s">
        <v>11100</v>
      </c>
      <c r="V3579" t="s">
        <v>11100</v>
      </c>
      <c r="W3579" t="s">
        <v>14629</v>
      </c>
      <c r="X3579">
        <v>26</v>
      </c>
      <c r="Y3579" t="s">
        <v>20067</v>
      </c>
      <c r="Z3579" t="s">
        <v>25584</v>
      </c>
      <c r="AA3579">
        <v>0.57464076922433904</v>
      </c>
      <c r="AB3579" t="str">
        <f>HYPERLINK("Melting_Curves/meltCurve_Q7KZ85_SUPT6H.pdf", "Melting_Curves/meltCurve_Q7KZ85_SUPT6H.pdf")</f>
        <v>Melting_Curves/meltCurve_Q7KZ85_SUPT6H.pdf</v>
      </c>
    </row>
    <row r="3580" spans="1:28" x14ac:dyDescent="0.25">
      <c r="A3580" t="s">
        <v>3584</v>
      </c>
      <c r="B3580">
        <v>0.99299721793515405</v>
      </c>
      <c r="C3580">
        <v>0.98808474993436701</v>
      </c>
      <c r="D3580">
        <v>1.0646253417377201</v>
      </c>
      <c r="E3580">
        <v>0.91435344099673199</v>
      </c>
      <c r="F3580">
        <v>0.43099208082981699</v>
      </c>
      <c r="G3580">
        <v>0.25191098215329899</v>
      </c>
      <c r="H3580">
        <v>0.197642131369408</v>
      </c>
      <c r="I3580">
        <v>0.17511680371602201</v>
      </c>
      <c r="J3580">
        <v>0.157606741337983</v>
      </c>
      <c r="K3580">
        <v>0.13122566073122599</v>
      </c>
      <c r="L3580">
        <v>1784.3188662871401</v>
      </c>
      <c r="M3580">
        <v>36.250356275954601</v>
      </c>
      <c r="N3580">
        <v>49.802275284049401</v>
      </c>
      <c r="O3580">
        <v>49.073032523097098</v>
      </c>
      <c r="P3580">
        <v>-0.152869280951241</v>
      </c>
      <c r="Q3580">
        <v>0.17223035003137299</v>
      </c>
      <c r="R3580">
        <v>0.99358891700887997</v>
      </c>
      <c r="S3580" t="s">
        <v>9131</v>
      </c>
      <c r="T3580" t="s">
        <v>11100</v>
      </c>
      <c r="U3580" t="s">
        <v>11100</v>
      </c>
      <c r="V3580" t="s">
        <v>11100</v>
      </c>
      <c r="W3580" t="s">
        <v>14630</v>
      </c>
      <c r="X3580">
        <v>53</v>
      </c>
      <c r="Y3580" t="s">
        <v>20068</v>
      </c>
      <c r="Z3580" t="s">
        <v>25585</v>
      </c>
      <c r="AA3580">
        <v>0.51289856646738508</v>
      </c>
      <c r="AB3580" t="str">
        <f>HYPERLINK("Melting_Curves/meltCurve_Q7KZF4_SND1.pdf", "Melting_Curves/meltCurve_Q7KZF4_SND1.pdf")</f>
        <v>Melting_Curves/meltCurve_Q7KZF4_SND1.pdf</v>
      </c>
    </row>
    <row r="3581" spans="1:28" x14ac:dyDescent="0.25">
      <c r="A3581" t="s">
        <v>3585</v>
      </c>
      <c r="B3581">
        <v>0.99299721793515405</v>
      </c>
      <c r="C3581">
        <v>1.0817301001177999</v>
      </c>
      <c r="D3581">
        <v>1.00458529447357</v>
      </c>
      <c r="E3581">
        <v>0.87443635489425597</v>
      </c>
      <c r="F3581">
        <v>0.852759818367265</v>
      </c>
      <c r="G3581">
        <v>0.64564552993630497</v>
      </c>
      <c r="H3581">
        <v>0.76973917874763098</v>
      </c>
      <c r="I3581">
        <v>0.71821278806276101</v>
      </c>
      <c r="J3581">
        <v>0.80953943307940102</v>
      </c>
      <c r="K3581">
        <v>0.34678717071323201</v>
      </c>
      <c r="L3581">
        <v>343.00568425500899</v>
      </c>
      <c r="M3581">
        <v>4.9657189816887497</v>
      </c>
      <c r="O3581">
        <v>60.189338639193799</v>
      </c>
      <c r="P3581">
        <v>-2.0754810355958098E-2</v>
      </c>
      <c r="Q3581">
        <v>0</v>
      </c>
      <c r="R3581">
        <v>0.68036480223922902</v>
      </c>
      <c r="S3581" t="s">
        <v>9132</v>
      </c>
      <c r="T3581" t="s">
        <v>11100</v>
      </c>
      <c r="U3581" t="s">
        <v>11100</v>
      </c>
      <c r="V3581" t="s">
        <v>11100</v>
      </c>
      <c r="W3581" t="s">
        <v>14631</v>
      </c>
      <c r="X3581">
        <v>4</v>
      </c>
      <c r="Y3581" t="s">
        <v>20069</v>
      </c>
      <c r="Z3581" t="s">
        <v>25586</v>
      </c>
      <c r="AA3581">
        <v>0.80947409037249507</v>
      </c>
      <c r="AB3581" t="str">
        <f>HYPERLINK("Melting_Curves/meltCurve_Q7KZN9_2_COX15.pdf", "Melting_Curves/meltCurve_Q7KZN9_2_COX15.pdf")</f>
        <v>Melting_Curves/meltCurve_Q7KZN9_2_COX15.pdf</v>
      </c>
    </row>
    <row r="3582" spans="1:28" x14ac:dyDescent="0.25">
      <c r="A3582" t="s">
        <v>3586</v>
      </c>
      <c r="B3582">
        <v>0.99299721793515405</v>
      </c>
      <c r="C3582">
        <v>1.0273849151326599</v>
      </c>
      <c r="D3582">
        <v>0.941654214431632</v>
      </c>
      <c r="E3582">
        <v>0.831220448272183</v>
      </c>
      <c r="F3582">
        <v>0.62662468019830098</v>
      </c>
      <c r="G3582">
        <v>0.186374335460393</v>
      </c>
      <c r="H3582">
        <v>0.14527675085088901</v>
      </c>
      <c r="I3582">
        <v>0.117787889167924</v>
      </c>
      <c r="J3582">
        <v>0.115092781587219</v>
      </c>
      <c r="K3582">
        <v>9.5368497071621205E-2</v>
      </c>
      <c r="L3582">
        <v>1210.45327062908</v>
      </c>
      <c r="M3582">
        <v>24.040442947285399</v>
      </c>
      <c r="N3582">
        <v>50.789115950307703</v>
      </c>
      <c r="O3582">
        <v>50.006193268114998</v>
      </c>
      <c r="P3582">
        <v>-0.10892748701358999</v>
      </c>
      <c r="Q3582">
        <v>9.3700036539626497E-2</v>
      </c>
      <c r="R3582">
        <v>0.99034262416228103</v>
      </c>
      <c r="S3582" t="s">
        <v>9133</v>
      </c>
      <c r="T3582" t="s">
        <v>11100</v>
      </c>
      <c r="U3582" t="s">
        <v>11100</v>
      </c>
      <c r="V3582" t="s">
        <v>11100</v>
      </c>
      <c r="W3582" t="s">
        <v>14632</v>
      </c>
      <c r="X3582">
        <v>40</v>
      </c>
      <c r="Y3582" t="s">
        <v>20070</v>
      </c>
      <c r="Z3582" t="s">
        <v>25587</v>
      </c>
      <c r="AA3582">
        <v>0.50558541032682536</v>
      </c>
      <c r="AB3582" t="str">
        <f>HYPERLINK("Melting_Curves/meltCurve_Q7L014_DDX46.pdf", "Melting_Curves/meltCurve_Q7L014_DDX46.pdf")</f>
        <v>Melting_Curves/meltCurve_Q7L014_DDX46.pdf</v>
      </c>
    </row>
    <row r="3583" spans="1:28" x14ac:dyDescent="0.25">
      <c r="A3583" t="s">
        <v>3587</v>
      </c>
      <c r="B3583">
        <v>0.99299721793515405</v>
      </c>
      <c r="C3583">
        <v>0.97632067808004896</v>
      </c>
      <c r="D3583">
        <v>0.95903115856551102</v>
      </c>
      <c r="E3583">
        <v>0.85146017556929998</v>
      </c>
      <c r="F3583">
        <v>0.77735698137060905</v>
      </c>
      <c r="G3583">
        <v>0.38802166492033202</v>
      </c>
      <c r="H3583">
        <v>0.24301321385973301</v>
      </c>
      <c r="I3583">
        <v>0.226248520357968</v>
      </c>
      <c r="J3583">
        <v>0.19962970482910899</v>
      </c>
      <c r="K3583">
        <v>0.164229810145264</v>
      </c>
      <c r="L3583">
        <v>1089.8755567671799</v>
      </c>
      <c r="M3583">
        <v>21.079268171176899</v>
      </c>
      <c r="N3583">
        <v>52.7454109191142</v>
      </c>
      <c r="O3583">
        <v>51.245089404909002</v>
      </c>
      <c r="P3583">
        <v>-8.5328385748592306E-2</v>
      </c>
      <c r="Q3583">
        <v>0.17026623564627699</v>
      </c>
      <c r="R3583">
        <v>0.98837949163805605</v>
      </c>
      <c r="S3583" t="s">
        <v>9134</v>
      </c>
      <c r="T3583" t="s">
        <v>11100</v>
      </c>
      <c r="U3583" t="s">
        <v>11100</v>
      </c>
      <c r="V3583" t="s">
        <v>11100</v>
      </c>
      <c r="W3583" t="s">
        <v>14633</v>
      </c>
      <c r="X3583">
        <v>14</v>
      </c>
      <c r="Y3583" t="s">
        <v>20071</v>
      </c>
      <c r="Z3583" t="s">
        <v>25588</v>
      </c>
      <c r="AA3583">
        <v>0.58682425503881364</v>
      </c>
      <c r="AB3583" t="str">
        <f>HYPERLINK("Melting_Curves/meltCurve_Q7L099_4_RUFY3.pdf", "Melting_Curves/meltCurve_Q7L099_4_RUFY3.pdf")</f>
        <v>Melting_Curves/meltCurve_Q7L099_4_RUFY3.pdf</v>
      </c>
    </row>
    <row r="3584" spans="1:28" x14ac:dyDescent="0.25">
      <c r="A3584" t="s">
        <v>3588</v>
      </c>
      <c r="B3584">
        <v>0.99299721793515405</v>
      </c>
      <c r="C3584">
        <v>0.91459787050046404</v>
      </c>
      <c r="D3584">
        <v>0.98277139041814499</v>
      </c>
      <c r="E3584">
        <v>0.72740683194843103</v>
      </c>
      <c r="F3584">
        <v>0.75358776349706003</v>
      </c>
      <c r="G3584">
        <v>0.90463572684164595</v>
      </c>
      <c r="H3584">
        <v>1.0644178403489899</v>
      </c>
      <c r="I3584">
        <v>1.42681209998498</v>
      </c>
      <c r="J3584">
        <v>1.40583328077786</v>
      </c>
      <c r="K3584">
        <v>1.2531009267465301</v>
      </c>
      <c r="L3584">
        <v>14437.8221760589</v>
      </c>
      <c r="M3584">
        <v>250</v>
      </c>
      <c r="O3584">
        <v>57.747593019008399</v>
      </c>
      <c r="P3584">
        <v>0.39169983114926599</v>
      </c>
      <c r="Q3584">
        <v>1.3619155584439799</v>
      </c>
      <c r="R3584">
        <v>0.69063645128316598</v>
      </c>
      <c r="S3584" t="s">
        <v>9135</v>
      </c>
      <c r="T3584" t="s">
        <v>11100</v>
      </c>
      <c r="U3584" t="s">
        <v>11100</v>
      </c>
      <c r="V3584" t="s">
        <v>11100</v>
      </c>
      <c r="W3584" t="s">
        <v>14634</v>
      </c>
      <c r="X3584">
        <v>3</v>
      </c>
      <c r="Y3584" t="s">
        <v>20072</v>
      </c>
      <c r="Z3584" t="s">
        <v>25589</v>
      </c>
      <c r="AA3584">
        <v>1.111538402695639</v>
      </c>
      <c r="AB3584" t="str">
        <f>HYPERLINK("Melting_Curves/meltCurve_Q7L0J3_2_SV2A.pdf", "Melting_Curves/meltCurve_Q7L0J3_2_SV2A.pdf")</f>
        <v>Melting_Curves/meltCurve_Q7L0J3_2_SV2A.pdf</v>
      </c>
    </row>
    <row r="3585" spans="1:28" x14ac:dyDescent="0.25">
      <c r="A3585" t="s">
        <v>3589</v>
      </c>
      <c r="B3585">
        <v>0.99299721793515405</v>
      </c>
      <c r="C3585">
        <v>0.93599590035078695</v>
      </c>
      <c r="D3585">
        <v>0.88782281129326501</v>
      </c>
      <c r="E3585">
        <v>0.80563645491199598</v>
      </c>
      <c r="F3585">
        <v>0.71228060662279702</v>
      </c>
      <c r="G3585">
        <v>0.70795004991258004</v>
      </c>
      <c r="H3585">
        <v>0.38877346122741402</v>
      </c>
      <c r="I3585">
        <v>0.29838603430374999</v>
      </c>
      <c r="J3585">
        <v>0.28775599822756898</v>
      </c>
      <c r="K3585">
        <v>0.27142987121651402</v>
      </c>
      <c r="L3585">
        <v>432.37040802201</v>
      </c>
      <c r="M3585">
        <v>7.7224344254809099</v>
      </c>
      <c r="N3585">
        <v>56.221838335800498</v>
      </c>
      <c r="O3585">
        <v>52.605760297946098</v>
      </c>
      <c r="P3585">
        <v>-3.61683149118728E-2</v>
      </c>
      <c r="Q3585">
        <v>1.5745408933892001E-2</v>
      </c>
      <c r="R3585">
        <v>0.96362402175114703</v>
      </c>
      <c r="S3585" t="s">
        <v>9136</v>
      </c>
      <c r="T3585" t="s">
        <v>11100</v>
      </c>
      <c r="U3585" t="s">
        <v>11100</v>
      </c>
      <c r="V3585" t="s">
        <v>11100</v>
      </c>
      <c r="W3585" t="s">
        <v>14635</v>
      </c>
      <c r="X3585">
        <v>5</v>
      </c>
      <c r="Y3585" t="s">
        <v>20073</v>
      </c>
      <c r="Z3585" t="s">
        <v>25590</v>
      </c>
      <c r="AA3585">
        <v>0.63563601239944845</v>
      </c>
      <c r="AB3585" t="str">
        <f>HYPERLINK("Melting_Curves/meltCurve_Q7L0Y3_TRMT10C.pdf", "Melting_Curves/meltCurve_Q7L0Y3_TRMT10C.pdf")</f>
        <v>Melting_Curves/meltCurve_Q7L0Y3_TRMT10C.pdf</v>
      </c>
    </row>
    <row r="3586" spans="1:28" x14ac:dyDescent="0.25">
      <c r="A3586" t="s">
        <v>3590</v>
      </c>
      <c r="B3586">
        <v>0.99299721793515405</v>
      </c>
      <c r="C3586">
        <v>1.0870155095705001</v>
      </c>
      <c r="D3586">
        <v>1.1669966415905699</v>
      </c>
      <c r="E3586">
        <v>0.94799177047396099</v>
      </c>
      <c r="F3586">
        <v>0.75954866163582502</v>
      </c>
      <c r="G3586">
        <v>0.22608778561704601</v>
      </c>
      <c r="H3586">
        <v>0.12927223352776401</v>
      </c>
      <c r="I3586">
        <v>9.8081615690897295E-2</v>
      </c>
      <c r="J3586">
        <v>8.6396547929649806E-2</v>
      </c>
      <c r="K3586">
        <v>7.9977695229140597E-2</v>
      </c>
      <c r="L3586">
        <v>1994.4188965240101</v>
      </c>
      <c r="M3586">
        <v>38.7468475814863</v>
      </c>
      <c r="N3586">
        <v>51.744628945224498</v>
      </c>
      <c r="O3586">
        <v>51.336537415604099</v>
      </c>
      <c r="P3586">
        <v>-0.171329546364692</v>
      </c>
      <c r="Q3586">
        <v>9.2009412492744996E-2</v>
      </c>
      <c r="R3586">
        <v>0.98101823300476898</v>
      </c>
      <c r="S3586" t="s">
        <v>9137</v>
      </c>
      <c r="T3586" t="s">
        <v>11100</v>
      </c>
      <c r="U3586" t="s">
        <v>11100</v>
      </c>
      <c r="V3586" t="s">
        <v>11100</v>
      </c>
      <c r="W3586" t="s">
        <v>14636</v>
      </c>
      <c r="X3586">
        <v>13</v>
      </c>
      <c r="Y3586" t="s">
        <v>20074</v>
      </c>
      <c r="Z3586" t="s">
        <v>25591</v>
      </c>
      <c r="AA3586">
        <v>0.53349296144823</v>
      </c>
      <c r="AB3586" t="str">
        <f>HYPERLINK("Melting_Curves/meltCurve_Q7L1Q6_BZW1.pdf", "Melting_Curves/meltCurve_Q7L1Q6_BZW1.pdf")</f>
        <v>Melting_Curves/meltCurve_Q7L1Q6_BZW1.pdf</v>
      </c>
    </row>
    <row r="3587" spans="1:28" x14ac:dyDescent="0.25">
      <c r="A3587" t="s">
        <v>3591</v>
      </c>
      <c r="B3587">
        <v>0.99299721793515405</v>
      </c>
      <c r="C3587">
        <v>1.06182392492485</v>
      </c>
      <c r="D3587">
        <v>1.02289740560688</v>
      </c>
      <c r="E3587">
        <v>0.99612137465055595</v>
      </c>
      <c r="F3587">
        <v>0.73080792870190303</v>
      </c>
      <c r="G3587">
        <v>0.63700889727660903</v>
      </c>
      <c r="H3587">
        <v>0.63766740364199304</v>
      </c>
      <c r="I3587">
        <v>0.70783546385479401</v>
      </c>
      <c r="J3587">
        <v>0.56362503295166799</v>
      </c>
      <c r="K3587">
        <v>0.36530544388946801</v>
      </c>
      <c r="L3587">
        <v>742.28994879733</v>
      </c>
      <c r="M3587">
        <v>14.3324141543852</v>
      </c>
      <c r="O3587">
        <v>50.814046314608703</v>
      </c>
      <c r="P3587">
        <v>-3.5034013594914003E-2</v>
      </c>
      <c r="Q3587">
        <v>0.50322253885295498</v>
      </c>
      <c r="R3587">
        <v>0.85519648564227901</v>
      </c>
      <c r="S3587" t="s">
        <v>9138</v>
      </c>
      <c r="T3587" t="s">
        <v>11100</v>
      </c>
      <c r="U3587" t="s">
        <v>11100</v>
      </c>
      <c r="V3587" t="s">
        <v>11100</v>
      </c>
      <c r="W3587" t="s">
        <v>14637</v>
      </c>
      <c r="X3587">
        <v>4</v>
      </c>
      <c r="Y3587" t="s">
        <v>20075</v>
      </c>
      <c r="Z3587" t="s">
        <v>25592</v>
      </c>
      <c r="AA3587">
        <v>0.75828830427840366</v>
      </c>
      <c r="AB3587" t="str">
        <f>HYPERLINK("Melting_Curves/meltCurve_Q7L266_ASRGL1.pdf", "Melting_Curves/meltCurve_Q7L266_ASRGL1.pdf")</f>
        <v>Melting_Curves/meltCurve_Q7L266_ASRGL1.pdf</v>
      </c>
    </row>
    <row r="3588" spans="1:28" x14ac:dyDescent="0.25">
      <c r="A3588" t="s">
        <v>3592</v>
      </c>
      <c r="B3588">
        <v>0.99299721793515405</v>
      </c>
      <c r="C3588">
        <v>1.0334576406853999</v>
      </c>
      <c r="D3588">
        <v>0.95293074739487105</v>
      </c>
      <c r="E3588">
        <v>0.95008079566704995</v>
      </c>
      <c r="F3588">
        <v>0.75890852526562502</v>
      </c>
      <c r="G3588">
        <v>0.69335205116827103</v>
      </c>
      <c r="H3588">
        <v>0.63329408408139398</v>
      </c>
      <c r="I3588">
        <v>0.37116160725477298</v>
      </c>
      <c r="J3588">
        <v>0.108124889864607</v>
      </c>
      <c r="K3588">
        <v>5.8300972140995298E-2</v>
      </c>
      <c r="L3588">
        <v>760.83057161937995</v>
      </c>
      <c r="M3588">
        <v>13.2226415548639</v>
      </c>
      <c r="N3588">
        <v>57.5399832679689</v>
      </c>
      <c r="O3588">
        <v>56.271655908649798</v>
      </c>
      <c r="P3588">
        <v>-5.8754393429563199E-2</v>
      </c>
      <c r="Q3588">
        <v>0</v>
      </c>
      <c r="R3588">
        <v>0.957947575393572</v>
      </c>
      <c r="S3588" t="s">
        <v>9139</v>
      </c>
      <c r="T3588" t="s">
        <v>11100</v>
      </c>
      <c r="U3588" t="s">
        <v>11100</v>
      </c>
      <c r="V3588" t="s">
        <v>11100</v>
      </c>
      <c r="W3588" t="s">
        <v>14638</v>
      </c>
      <c r="X3588">
        <v>2</v>
      </c>
      <c r="Y3588" t="s">
        <v>20076</v>
      </c>
      <c r="Z3588" t="s">
        <v>25593</v>
      </c>
      <c r="AA3588">
        <v>0.68860310270049341</v>
      </c>
      <c r="AB3588" t="str">
        <f>HYPERLINK("Melting_Curves/meltCurve_Q7L273_KCTD9.pdf", "Melting_Curves/meltCurve_Q7L273_KCTD9.pdf")</f>
        <v>Melting_Curves/meltCurve_Q7L273_KCTD9.pdf</v>
      </c>
    </row>
    <row r="3589" spans="1:28" x14ac:dyDescent="0.25">
      <c r="A3589" t="s">
        <v>3593</v>
      </c>
      <c r="B3589">
        <v>0.99299721793515405</v>
      </c>
      <c r="C3589">
        <v>0.90191876516929503</v>
      </c>
      <c r="D3589">
        <v>0.89245969033361205</v>
      </c>
      <c r="E3589">
        <v>0.92407357121085298</v>
      </c>
      <c r="F3589">
        <v>1.0595896949536501</v>
      </c>
      <c r="G3589">
        <v>0.50773926049556095</v>
      </c>
      <c r="H3589">
        <v>0.34984910589995399</v>
      </c>
      <c r="I3589">
        <v>0.28989626500014998</v>
      </c>
      <c r="J3589">
        <v>0.36109034640325999</v>
      </c>
      <c r="K3589">
        <v>0.24107510269940199</v>
      </c>
      <c r="L3589">
        <v>13400.8010980405</v>
      </c>
      <c r="M3589">
        <v>250</v>
      </c>
      <c r="N3589">
        <v>53.812029209582903</v>
      </c>
      <c r="O3589">
        <v>53.599774130318998</v>
      </c>
      <c r="P3589">
        <v>-0.80401727751073004</v>
      </c>
      <c r="Q3589">
        <v>0.310477689106744</v>
      </c>
      <c r="R3589">
        <v>0.95900899440585097</v>
      </c>
      <c r="S3589" t="s">
        <v>9140</v>
      </c>
      <c r="T3589" t="s">
        <v>11100</v>
      </c>
      <c r="U3589" t="s">
        <v>11100</v>
      </c>
      <c r="V3589" t="s">
        <v>11100</v>
      </c>
      <c r="W3589" t="s">
        <v>14639</v>
      </c>
      <c r="X3589">
        <v>3</v>
      </c>
      <c r="Y3589" t="s">
        <v>20077</v>
      </c>
      <c r="Z3589" t="s">
        <v>25594</v>
      </c>
      <c r="AA3589">
        <v>0.69215188308447428</v>
      </c>
      <c r="AB3589" t="str">
        <f>HYPERLINK("Melting_Curves/meltCurve_Q7L2H7_EIF3M.pdf", "Melting_Curves/meltCurve_Q7L2H7_EIF3M.pdf")</f>
        <v>Melting_Curves/meltCurve_Q7L2H7_EIF3M.pdf</v>
      </c>
    </row>
    <row r="3590" spans="1:28" x14ac:dyDescent="0.25">
      <c r="A3590" t="s">
        <v>3594</v>
      </c>
      <c r="B3590">
        <v>0.99299721793515405</v>
      </c>
      <c r="C3590">
        <v>0.93666460950256802</v>
      </c>
      <c r="D3590">
        <v>1.11899831883659</v>
      </c>
      <c r="E3590">
        <v>0.76738331951331695</v>
      </c>
      <c r="F3590">
        <v>0.59239807899091601</v>
      </c>
      <c r="G3590">
        <v>0.48987461702031199</v>
      </c>
      <c r="H3590">
        <v>0.26857681815325601</v>
      </c>
      <c r="I3590">
        <v>0.232358819174557</v>
      </c>
      <c r="J3590">
        <v>0.20090612387905199</v>
      </c>
      <c r="K3590">
        <v>0.17936277400316999</v>
      </c>
      <c r="L3590">
        <v>766.73994935580504</v>
      </c>
      <c r="M3590">
        <v>15.0552402416953</v>
      </c>
      <c r="N3590">
        <v>52.318833000283497</v>
      </c>
      <c r="O3590">
        <v>50.055251188101501</v>
      </c>
      <c r="P3590">
        <v>-6.2802090739596195E-2</v>
      </c>
      <c r="Q3590">
        <v>0.16487246752142901</v>
      </c>
      <c r="R3590">
        <v>0.96382872288684496</v>
      </c>
      <c r="S3590" t="s">
        <v>9141</v>
      </c>
      <c r="T3590" t="s">
        <v>11100</v>
      </c>
      <c r="U3590" t="s">
        <v>11100</v>
      </c>
      <c r="V3590" t="s">
        <v>11100</v>
      </c>
      <c r="W3590" t="s">
        <v>14640</v>
      </c>
      <c r="X3590">
        <v>12</v>
      </c>
      <c r="Y3590" t="s">
        <v>20078</v>
      </c>
      <c r="Z3590" t="s">
        <v>25595</v>
      </c>
      <c r="AA3590">
        <v>0.56938915671042878</v>
      </c>
      <c r="AB3590" t="str">
        <f>HYPERLINK("Melting_Curves/meltCurve_Q7L2J0_MEPCE.pdf", "Melting_Curves/meltCurve_Q7L2J0_MEPCE.pdf")</f>
        <v>Melting_Curves/meltCurve_Q7L2J0_MEPCE.pdf</v>
      </c>
    </row>
    <row r="3591" spans="1:28" x14ac:dyDescent="0.25">
      <c r="A3591" t="s">
        <v>3595</v>
      </c>
      <c r="B3591">
        <v>0.99299721793515405</v>
      </c>
      <c r="C3591">
        <v>0.585708264722693</v>
      </c>
      <c r="D3591">
        <v>0.90160497413600005</v>
      </c>
      <c r="E3591">
        <v>0.61616699637295003</v>
      </c>
      <c r="F3591">
        <v>0.49492591578366102</v>
      </c>
      <c r="G3591">
        <v>0.32892945717807098</v>
      </c>
      <c r="H3591">
        <v>0.17388993847690301</v>
      </c>
      <c r="I3591">
        <v>0</v>
      </c>
      <c r="J3591">
        <v>0</v>
      </c>
      <c r="K3591">
        <v>0</v>
      </c>
      <c r="L3591">
        <v>490.389316332563</v>
      </c>
      <c r="M3591">
        <v>10.0795566914767</v>
      </c>
      <c r="N3591">
        <v>48.6518536072617</v>
      </c>
      <c r="O3591">
        <v>46.853295789235098</v>
      </c>
      <c r="P3591">
        <v>-5.3807916938562801E-2</v>
      </c>
      <c r="Q3591">
        <v>0</v>
      </c>
      <c r="R3591">
        <v>0.88241347290420802</v>
      </c>
      <c r="S3591" t="s">
        <v>9142</v>
      </c>
      <c r="T3591" t="s">
        <v>11100</v>
      </c>
      <c r="U3591" t="s">
        <v>11100</v>
      </c>
      <c r="V3591" t="s">
        <v>11100</v>
      </c>
      <c r="W3591" t="s">
        <v>14641</v>
      </c>
      <c r="X3591">
        <v>5</v>
      </c>
      <c r="Y3591" t="s">
        <v>20079</v>
      </c>
      <c r="Z3591" t="s">
        <v>25596</v>
      </c>
      <c r="AA3591">
        <v>0.4262382443332115</v>
      </c>
      <c r="AB3591" t="str">
        <f>HYPERLINK("Melting_Curves/meltCurve_Q7L3S4_ZNF771.pdf", "Melting_Curves/meltCurve_Q7L3S4_ZNF771.pdf")</f>
        <v>Melting_Curves/meltCurve_Q7L3S4_ZNF771.pdf</v>
      </c>
    </row>
    <row r="3592" spans="1:28" x14ac:dyDescent="0.25">
      <c r="A3592" t="s">
        <v>3596</v>
      </c>
      <c r="B3592">
        <v>0.99299721793515405</v>
      </c>
      <c r="C3592">
        <v>1.0096404932137799</v>
      </c>
      <c r="D3592">
        <v>1.01365328198155</v>
      </c>
      <c r="E3592">
        <v>0.83198366435813897</v>
      </c>
      <c r="F3592">
        <v>0.755238560098623</v>
      </c>
      <c r="G3592">
        <v>0.67162009013885704</v>
      </c>
      <c r="H3592">
        <v>0.60480962379013203</v>
      </c>
      <c r="I3592">
        <v>0.61637627369204095</v>
      </c>
      <c r="J3592">
        <v>0.58189665720906103</v>
      </c>
      <c r="K3592">
        <v>0.62525005761002095</v>
      </c>
      <c r="L3592">
        <v>911.685294116774</v>
      </c>
      <c r="M3592">
        <v>18.822143291084199</v>
      </c>
      <c r="O3592">
        <v>47.900032399571501</v>
      </c>
      <c r="P3592">
        <v>-3.9009312603353198E-2</v>
      </c>
      <c r="Q3592">
        <v>0.60292086301150605</v>
      </c>
      <c r="R3592">
        <v>0.97886996998199804</v>
      </c>
      <c r="S3592" t="s">
        <v>9143</v>
      </c>
      <c r="T3592" t="s">
        <v>11100</v>
      </c>
      <c r="U3592" t="s">
        <v>11100</v>
      </c>
      <c r="V3592" t="s">
        <v>11100</v>
      </c>
      <c r="W3592" t="s">
        <v>14642</v>
      </c>
      <c r="X3592">
        <v>2</v>
      </c>
      <c r="Y3592" t="s">
        <v>20080</v>
      </c>
      <c r="Z3592" t="s">
        <v>25597</v>
      </c>
      <c r="AA3592">
        <v>0.76014162013384545</v>
      </c>
      <c r="AB3592" t="str">
        <f>HYPERLINK("Melting_Curves/meltCurve_Q7L3T8_PARS2.pdf", "Melting_Curves/meltCurve_Q7L3T8_PARS2.pdf")</f>
        <v>Melting_Curves/meltCurve_Q7L3T8_PARS2.pdf</v>
      </c>
    </row>
    <row r="3593" spans="1:28" x14ac:dyDescent="0.25">
      <c r="A3593" t="s">
        <v>3597</v>
      </c>
      <c r="B3593">
        <v>0.99299721793515405</v>
      </c>
      <c r="C3593">
        <v>0.94623450744724003</v>
      </c>
      <c r="D3593">
        <v>0.93179137185949701</v>
      </c>
      <c r="E3593">
        <v>0.81543447866303398</v>
      </c>
      <c r="F3593">
        <v>0.67259710085019597</v>
      </c>
      <c r="G3593">
        <v>0.42573694447723498</v>
      </c>
      <c r="H3593">
        <v>0.29010243870659602</v>
      </c>
      <c r="I3593">
        <v>0.25268261376941398</v>
      </c>
      <c r="J3593">
        <v>0.25281049853987198</v>
      </c>
      <c r="K3593">
        <v>0.24787956928624799</v>
      </c>
      <c r="L3593">
        <v>768.37424744437203</v>
      </c>
      <c r="M3593">
        <v>15.1788441002385</v>
      </c>
      <c r="N3593">
        <v>52.491015195288902</v>
      </c>
      <c r="O3593">
        <v>49.767154001226501</v>
      </c>
      <c r="P3593">
        <v>-6.0333358408151898E-2</v>
      </c>
      <c r="Q3593">
        <v>0.208811996378821</v>
      </c>
      <c r="R3593">
        <v>0.99354642467198995</v>
      </c>
      <c r="S3593" t="s">
        <v>9144</v>
      </c>
      <c r="T3593" t="s">
        <v>11100</v>
      </c>
      <c r="U3593" t="s">
        <v>11100</v>
      </c>
      <c r="V3593" t="s">
        <v>11100</v>
      </c>
      <c r="W3593" t="s">
        <v>14643</v>
      </c>
      <c r="X3593">
        <v>10</v>
      </c>
      <c r="Y3593" t="s">
        <v>20081</v>
      </c>
      <c r="Z3593" t="s">
        <v>25598</v>
      </c>
      <c r="AA3593">
        <v>0.58396456742063818</v>
      </c>
      <c r="AB3593" t="str">
        <f>HYPERLINK("Melting_Curves/meltCurve_Q7L4I2_RSRC2.pdf", "Melting_Curves/meltCurve_Q7L4I2_RSRC2.pdf")</f>
        <v>Melting_Curves/meltCurve_Q7L4I2_RSRC2.pdf</v>
      </c>
    </row>
    <row r="3594" spans="1:28" x14ac:dyDescent="0.25">
      <c r="A3594" t="s">
        <v>3598</v>
      </c>
      <c r="B3594">
        <v>0.99299721793515405</v>
      </c>
      <c r="C3594">
        <v>0.92305646720722201</v>
      </c>
      <c r="D3594">
        <v>1.3384293432907799</v>
      </c>
      <c r="E3594">
        <v>0.74076766845577302</v>
      </c>
      <c r="F3594">
        <v>0.69045271330378599</v>
      </c>
      <c r="G3594">
        <v>0.77457780397640197</v>
      </c>
      <c r="H3594">
        <v>0.65276968937468405</v>
      </c>
      <c r="I3594">
        <v>0.60243832676930997</v>
      </c>
      <c r="J3594">
        <v>0.52668186664232697</v>
      </c>
      <c r="K3594">
        <v>0.55041520256569898</v>
      </c>
      <c r="L3594">
        <v>11609.144850997</v>
      </c>
      <c r="M3594">
        <v>250</v>
      </c>
      <c r="O3594">
        <v>46.4336099364197</v>
      </c>
      <c r="P3594">
        <v>-0.494133924992952</v>
      </c>
      <c r="Q3594">
        <v>0.63288926666713796</v>
      </c>
      <c r="R3594">
        <v>0.70409254327841697</v>
      </c>
      <c r="S3594" t="s">
        <v>9145</v>
      </c>
      <c r="T3594" t="s">
        <v>11100</v>
      </c>
      <c r="U3594" t="s">
        <v>11100</v>
      </c>
      <c r="V3594" t="s">
        <v>11100</v>
      </c>
      <c r="W3594" t="s">
        <v>14644</v>
      </c>
      <c r="X3594">
        <v>7</v>
      </c>
      <c r="Y3594" t="s">
        <v>20082</v>
      </c>
      <c r="Z3594" t="s">
        <v>25599</v>
      </c>
      <c r="AA3594">
        <v>0.74839483736880696</v>
      </c>
      <c r="AB3594" t="str">
        <f>HYPERLINK("Melting_Curves/meltCurve_Q7L523_RRAGA.pdf", "Melting_Curves/meltCurve_Q7L523_RRAGA.pdf")</f>
        <v>Melting_Curves/meltCurve_Q7L523_RRAGA.pdf</v>
      </c>
    </row>
    <row r="3595" spans="1:28" x14ac:dyDescent="0.25">
      <c r="A3595" t="s">
        <v>3599</v>
      </c>
      <c r="B3595">
        <v>0.99299721793515405</v>
      </c>
      <c r="C3595">
        <v>1.1768037460043601</v>
      </c>
      <c r="D3595">
        <v>1.74875421649254</v>
      </c>
      <c r="E3595">
        <v>1.1454945943422301</v>
      </c>
      <c r="F3595">
        <v>0.84761502012293199</v>
      </c>
      <c r="G3595">
        <v>0.51692469759931003</v>
      </c>
      <c r="H3595">
        <v>0.33107131184305</v>
      </c>
      <c r="I3595">
        <v>0.30969243690289999</v>
      </c>
      <c r="J3595">
        <v>0.36783987848676503</v>
      </c>
      <c r="K3595">
        <v>0.435127505033854</v>
      </c>
      <c r="L3595">
        <v>2097.8739465609501</v>
      </c>
      <c r="M3595">
        <v>40.353922151119697</v>
      </c>
      <c r="N3595">
        <v>53.692153933024201</v>
      </c>
      <c r="O3595">
        <v>51.859689313068898</v>
      </c>
      <c r="P3595">
        <v>-0.12426615062700599</v>
      </c>
      <c r="Q3595">
        <v>0.361212918673605</v>
      </c>
      <c r="R3595">
        <v>0.69565058448165995</v>
      </c>
      <c r="S3595" t="s">
        <v>9146</v>
      </c>
      <c r="T3595" t="s">
        <v>11100</v>
      </c>
      <c r="U3595" t="s">
        <v>11100</v>
      </c>
      <c r="V3595" t="s">
        <v>11100</v>
      </c>
      <c r="W3595" t="s">
        <v>14645</v>
      </c>
      <c r="X3595">
        <v>5</v>
      </c>
      <c r="Y3595" t="s">
        <v>20083</v>
      </c>
      <c r="Z3595" t="s">
        <v>25600</v>
      </c>
      <c r="AA3595">
        <v>0.68257671014902521</v>
      </c>
      <c r="AB3595" t="str">
        <f>HYPERLINK("Melting_Curves/meltCurve_Q7L592_NDUFAF7.pdf", "Melting_Curves/meltCurve_Q7L592_NDUFAF7.pdf")</f>
        <v>Melting_Curves/meltCurve_Q7L592_NDUFAF7.pdf</v>
      </c>
    </row>
    <row r="3596" spans="1:28" x14ac:dyDescent="0.25">
      <c r="A3596" t="s">
        <v>3600</v>
      </c>
      <c r="B3596">
        <v>0.99299721793515405</v>
      </c>
      <c r="C3596">
        <v>1.03246335063172</v>
      </c>
      <c r="D3596">
        <v>0.92330028481670301</v>
      </c>
      <c r="E3596">
        <v>0.95366476091762797</v>
      </c>
      <c r="F3596">
        <v>0.86793065363059396</v>
      </c>
      <c r="G3596">
        <v>0.49988117011039901</v>
      </c>
      <c r="H3596">
        <v>0.217855855245326</v>
      </c>
      <c r="I3596">
        <v>0.15734243637790599</v>
      </c>
      <c r="J3596">
        <v>0.177159866675005</v>
      </c>
      <c r="K3596">
        <v>9.0104023375847497E-2</v>
      </c>
      <c r="L3596">
        <v>1458.16630003365</v>
      </c>
      <c r="M3596">
        <v>27.400250159448799</v>
      </c>
      <c r="N3596">
        <v>53.786533083777599</v>
      </c>
      <c r="O3596">
        <v>52.936221675316602</v>
      </c>
      <c r="P3596">
        <v>-0.113115562154737</v>
      </c>
      <c r="Q3596">
        <v>0.125868633822805</v>
      </c>
      <c r="R3596">
        <v>0.99213967423792504</v>
      </c>
      <c r="S3596" t="s">
        <v>9147</v>
      </c>
      <c r="T3596" t="s">
        <v>11100</v>
      </c>
      <c r="U3596" t="s">
        <v>11100</v>
      </c>
      <c r="V3596" t="s">
        <v>11100</v>
      </c>
      <c r="W3596" t="s">
        <v>14646</v>
      </c>
      <c r="X3596">
        <v>2</v>
      </c>
      <c r="Y3596" t="s">
        <v>20084</v>
      </c>
      <c r="Z3596" t="s">
        <v>25601</v>
      </c>
      <c r="AA3596">
        <v>0.60497461046262591</v>
      </c>
      <c r="AB3596" t="str">
        <f>HYPERLINK("Melting_Curves/meltCurve_Q7L5N7_LPCAT2.pdf", "Melting_Curves/meltCurve_Q7L5N7_LPCAT2.pdf")</f>
        <v>Melting_Curves/meltCurve_Q7L5N7_LPCAT2.pdf</v>
      </c>
    </row>
    <row r="3597" spans="1:28" x14ac:dyDescent="0.25">
      <c r="A3597" t="s">
        <v>3601</v>
      </c>
      <c r="B3597">
        <v>0.99299721793515405</v>
      </c>
      <c r="C3597">
        <v>0.90279418601843298</v>
      </c>
      <c r="D3597">
        <v>0.92005534526759603</v>
      </c>
      <c r="E3597">
        <v>0.77692400083948099</v>
      </c>
      <c r="F3597">
        <v>0.718164579737539</v>
      </c>
      <c r="G3597">
        <v>0.53091299323490504</v>
      </c>
      <c r="H3597">
        <v>0.38783302848683698</v>
      </c>
      <c r="I3597">
        <v>0.33779558470435</v>
      </c>
      <c r="J3597">
        <v>0.28682064438061899</v>
      </c>
      <c r="K3597">
        <v>0.17937369192955899</v>
      </c>
      <c r="L3597">
        <v>420.219675181811</v>
      </c>
      <c r="M3597">
        <v>7.6335566191649997</v>
      </c>
      <c r="N3597">
        <v>55.0490063584136</v>
      </c>
      <c r="O3597">
        <v>51.652555520822503</v>
      </c>
      <c r="P3597">
        <v>-3.6996423488727399E-2</v>
      </c>
      <c r="Q3597">
        <v>0</v>
      </c>
      <c r="R3597">
        <v>0.98918279305789603</v>
      </c>
      <c r="S3597" t="s">
        <v>9148</v>
      </c>
      <c r="T3597" t="s">
        <v>11100</v>
      </c>
      <c r="U3597" t="s">
        <v>11100</v>
      </c>
      <c r="V3597" t="s">
        <v>11100</v>
      </c>
      <c r="W3597" t="s">
        <v>14647</v>
      </c>
      <c r="X3597">
        <v>7</v>
      </c>
      <c r="Y3597" t="s">
        <v>20085</v>
      </c>
      <c r="Z3597" t="s">
        <v>25602</v>
      </c>
      <c r="AA3597">
        <v>0.6064416542389286</v>
      </c>
      <c r="AB3597" t="str">
        <f>HYPERLINK("Melting_Curves/meltCurve_Q7L5Y1_ENOSF1.pdf", "Melting_Curves/meltCurve_Q7L5Y1_ENOSF1.pdf")</f>
        <v>Melting_Curves/meltCurve_Q7L5Y1_ENOSF1.pdf</v>
      </c>
    </row>
    <row r="3598" spans="1:28" x14ac:dyDescent="0.25">
      <c r="A3598" t="s">
        <v>3602</v>
      </c>
      <c r="B3598">
        <v>0.99299721793515405</v>
      </c>
      <c r="C3598">
        <v>0.95644993498710196</v>
      </c>
      <c r="D3598">
        <v>0.86020487163356696</v>
      </c>
      <c r="E3598">
        <v>0.74350285150932105</v>
      </c>
      <c r="F3598">
        <v>0.62974951693935699</v>
      </c>
      <c r="G3598">
        <v>0.37610999497211201</v>
      </c>
      <c r="H3598">
        <v>0.242294039153894</v>
      </c>
      <c r="I3598">
        <v>0.24447063177627801</v>
      </c>
      <c r="J3598">
        <v>0.204750146778264</v>
      </c>
      <c r="K3598">
        <v>0.16932852303853499</v>
      </c>
      <c r="L3598">
        <v>585.20414366570299</v>
      </c>
      <c r="M3598">
        <v>11.628775770797199</v>
      </c>
      <c r="N3598">
        <v>51.567685834524902</v>
      </c>
      <c r="O3598">
        <v>48.904694854163303</v>
      </c>
      <c r="P3598">
        <v>-5.2190159969215798E-2</v>
      </c>
      <c r="Q3598">
        <v>0.12229826470598899</v>
      </c>
      <c r="R3598">
        <v>0.99089767734033696</v>
      </c>
      <c r="S3598" t="s">
        <v>9149</v>
      </c>
      <c r="T3598" t="s">
        <v>11100</v>
      </c>
      <c r="U3598" t="s">
        <v>11100</v>
      </c>
      <c r="V3598" t="s">
        <v>11100</v>
      </c>
      <c r="W3598" t="s">
        <v>14648</v>
      </c>
      <c r="X3598">
        <v>9</v>
      </c>
      <c r="Y3598" t="s">
        <v>20086</v>
      </c>
      <c r="Z3598" t="s">
        <v>25603</v>
      </c>
      <c r="AA3598">
        <v>0.53698793474530215</v>
      </c>
      <c r="AB3598" t="str">
        <f>HYPERLINK("Melting_Curves/meltCurve_Q7L7X3_TAOK1.pdf", "Melting_Curves/meltCurve_Q7L7X3_TAOK1.pdf")</f>
        <v>Melting_Curves/meltCurve_Q7L7X3_TAOK1.pdf</v>
      </c>
    </row>
    <row r="3599" spans="1:28" x14ac:dyDescent="0.25">
      <c r="A3599" t="s">
        <v>3603</v>
      </c>
      <c r="B3599">
        <v>0.99299721793515405</v>
      </c>
      <c r="C3599">
        <v>0.81896948185282503</v>
      </c>
      <c r="D3599">
        <v>0.94421284390176796</v>
      </c>
      <c r="E3599">
        <v>0.84170096059927302</v>
      </c>
      <c r="F3599">
        <v>0.76537594698408995</v>
      </c>
      <c r="G3599">
        <v>0.48384628044403499</v>
      </c>
      <c r="H3599">
        <v>0.27292728636230701</v>
      </c>
      <c r="I3599">
        <v>0.199983867982894</v>
      </c>
      <c r="J3599">
        <v>0.17839258525107801</v>
      </c>
      <c r="K3599">
        <v>0.165586039689709</v>
      </c>
      <c r="L3599">
        <v>726.43442120647603</v>
      </c>
      <c r="M3599">
        <v>13.7801866440231</v>
      </c>
      <c r="N3599">
        <v>53.540474094234597</v>
      </c>
      <c r="O3599">
        <v>51.642905320094897</v>
      </c>
      <c r="P3599">
        <v>-6.0339195960352802E-2</v>
      </c>
      <c r="Q3599">
        <v>9.5613757139842298E-2</v>
      </c>
      <c r="R3599">
        <v>0.963750787736248</v>
      </c>
      <c r="S3599" t="s">
        <v>9150</v>
      </c>
      <c r="T3599" t="s">
        <v>11100</v>
      </c>
      <c r="U3599" t="s">
        <v>11100</v>
      </c>
      <c r="V3599" t="s">
        <v>11100</v>
      </c>
      <c r="W3599" t="s">
        <v>14649</v>
      </c>
      <c r="X3599">
        <v>2</v>
      </c>
      <c r="Y3599" t="s">
        <v>20087</v>
      </c>
      <c r="Z3599" t="s">
        <v>25604</v>
      </c>
      <c r="AA3599">
        <v>0.58726432612445767</v>
      </c>
      <c r="AB3599" t="str">
        <f>HYPERLINK("Melting_Curves/meltCurve_Q7L804_RAB11FIP2.pdf", "Melting_Curves/meltCurve_Q7L804_RAB11FIP2.pdf")</f>
        <v>Melting_Curves/meltCurve_Q7L804_RAB11FIP2.pdf</v>
      </c>
    </row>
    <row r="3600" spans="1:28" x14ac:dyDescent="0.25">
      <c r="A3600" t="s">
        <v>3604</v>
      </c>
      <c r="B3600">
        <v>0.99299721793515405</v>
      </c>
      <c r="C3600">
        <v>0.99876938042399299</v>
      </c>
      <c r="D3600">
        <v>0.90894947311510899</v>
      </c>
      <c r="E3600">
        <v>0.81539531729755299</v>
      </c>
      <c r="F3600">
        <v>0.68659082902007895</v>
      </c>
      <c r="G3600">
        <v>0.47436179392580602</v>
      </c>
      <c r="H3600">
        <v>0.30561367765412201</v>
      </c>
      <c r="I3600">
        <v>0.207139409127124</v>
      </c>
      <c r="J3600">
        <v>0.174259455530206</v>
      </c>
      <c r="K3600">
        <v>7.3732705595584896E-2</v>
      </c>
      <c r="L3600">
        <v>574.56530846821704</v>
      </c>
      <c r="M3600">
        <v>10.7645335573423</v>
      </c>
      <c r="N3600">
        <v>53.375774785442502</v>
      </c>
      <c r="O3600">
        <v>51.6326935033754</v>
      </c>
      <c r="P3600">
        <v>-5.2139838248323099E-2</v>
      </c>
      <c r="Q3600">
        <v>0</v>
      </c>
      <c r="R3600">
        <v>0.99679621986568001</v>
      </c>
      <c r="S3600" t="s">
        <v>9151</v>
      </c>
      <c r="T3600" t="s">
        <v>11100</v>
      </c>
      <c r="U3600" t="s">
        <v>11100</v>
      </c>
      <c r="V3600" t="s">
        <v>11100</v>
      </c>
      <c r="W3600" t="s">
        <v>14650</v>
      </c>
      <c r="X3600">
        <v>2</v>
      </c>
      <c r="Y3600" t="s">
        <v>20088</v>
      </c>
      <c r="Z3600" t="s">
        <v>25605</v>
      </c>
      <c r="AA3600">
        <v>0.56642287839958738</v>
      </c>
      <c r="AB3600" t="str">
        <f>HYPERLINK("Melting_Curves/meltCurve_Q7L8J4_SH3BP5L.pdf", "Melting_Curves/meltCurve_Q7L8J4_SH3BP5L.pdf")</f>
        <v>Melting_Curves/meltCurve_Q7L8J4_SH3BP5L.pdf</v>
      </c>
    </row>
    <row r="3601" spans="1:28" x14ac:dyDescent="0.25">
      <c r="A3601" t="s">
        <v>3605</v>
      </c>
      <c r="B3601">
        <v>0.99299721793515405</v>
      </c>
      <c r="C3601">
        <v>0.98682642924039299</v>
      </c>
      <c r="D3601">
        <v>1.0823439346921699</v>
      </c>
      <c r="E3601">
        <v>0.97665224196394596</v>
      </c>
      <c r="F3601">
        <v>0.68267925709995003</v>
      </c>
      <c r="G3601">
        <v>0.44622607171668099</v>
      </c>
      <c r="H3601">
        <v>0.21973232506978899</v>
      </c>
      <c r="I3601">
        <v>0.18512785352966599</v>
      </c>
      <c r="J3601">
        <v>0.14881546195202999</v>
      </c>
      <c r="K3601">
        <v>9.9600851842680596E-2</v>
      </c>
      <c r="L3601">
        <v>1105.4321929447301</v>
      </c>
      <c r="M3601">
        <v>21.220188985660702</v>
      </c>
      <c r="N3601">
        <v>52.795718661613797</v>
      </c>
      <c r="O3601">
        <v>51.637407544572199</v>
      </c>
      <c r="P3601">
        <v>-9.0105344750228203E-2</v>
      </c>
      <c r="Q3601">
        <v>0.122969815212731</v>
      </c>
      <c r="R3601">
        <v>0.98977064516186197</v>
      </c>
      <c r="S3601" t="s">
        <v>9152</v>
      </c>
      <c r="T3601" t="s">
        <v>11100</v>
      </c>
      <c r="U3601" t="s">
        <v>11100</v>
      </c>
      <c r="V3601" t="s">
        <v>11100</v>
      </c>
      <c r="W3601" t="s">
        <v>14651</v>
      </c>
      <c r="X3601">
        <v>4</v>
      </c>
      <c r="Y3601" t="s">
        <v>20089</v>
      </c>
      <c r="Z3601" t="s">
        <v>25606</v>
      </c>
      <c r="AA3601">
        <v>0.57450514590929891</v>
      </c>
      <c r="AB3601" t="str">
        <f>HYPERLINK("Melting_Curves/meltCurve_Q7L8W6_ATPBD4.pdf", "Melting_Curves/meltCurve_Q7L8W6_ATPBD4.pdf")</f>
        <v>Melting_Curves/meltCurve_Q7L8W6_ATPBD4.pdf</v>
      </c>
    </row>
    <row r="3602" spans="1:28" x14ac:dyDescent="0.25">
      <c r="A3602" t="s">
        <v>3606</v>
      </c>
      <c r="B3602">
        <v>0.99299721793515405</v>
      </c>
      <c r="C3602">
        <v>0.95829308718216999</v>
      </c>
      <c r="D3602">
        <v>0.97872608291844299</v>
      </c>
      <c r="E3602">
        <v>0.81546739273647295</v>
      </c>
      <c r="F3602">
        <v>0.66321294503244099</v>
      </c>
      <c r="G3602">
        <v>0.36597772685753699</v>
      </c>
      <c r="H3602">
        <v>0.210634116808463</v>
      </c>
      <c r="I3602">
        <v>0.189747409853911</v>
      </c>
      <c r="J3602">
        <v>0.17604988831872401</v>
      </c>
      <c r="K3602">
        <v>0.15812622786701799</v>
      </c>
      <c r="L3602">
        <v>893.88065928850995</v>
      </c>
      <c r="M3602">
        <v>17.573193596884099</v>
      </c>
      <c r="N3602">
        <v>51.835140331605899</v>
      </c>
      <c r="O3602">
        <v>50.221174950208898</v>
      </c>
      <c r="P3602">
        <v>-7.52358838088871E-2</v>
      </c>
      <c r="Q3602">
        <v>0.14000160783562901</v>
      </c>
      <c r="R3602">
        <v>0.99468890126174203</v>
      </c>
      <c r="S3602" t="s">
        <v>9153</v>
      </c>
      <c r="T3602" t="s">
        <v>11100</v>
      </c>
      <c r="U3602" t="s">
        <v>11100</v>
      </c>
      <c r="V3602" t="s">
        <v>11100</v>
      </c>
      <c r="W3602" t="s">
        <v>14652</v>
      </c>
      <c r="X3602">
        <v>23</v>
      </c>
      <c r="Y3602" t="s">
        <v>20090</v>
      </c>
      <c r="Z3602" t="s">
        <v>25607</v>
      </c>
      <c r="AA3602">
        <v>0.55137531338808665</v>
      </c>
      <c r="AB3602" t="str">
        <f>HYPERLINK("Melting_Curves/meltCurve_Q7LBC6_KDM3B.pdf", "Melting_Curves/meltCurve_Q7LBC6_KDM3B.pdf")</f>
        <v>Melting_Curves/meltCurve_Q7LBC6_KDM3B.pdf</v>
      </c>
    </row>
    <row r="3603" spans="1:28" x14ac:dyDescent="0.25">
      <c r="A3603" t="s">
        <v>3607</v>
      </c>
      <c r="B3603">
        <v>0.99299721793515405</v>
      </c>
      <c r="C3603">
        <v>0.97124863119730398</v>
      </c>
      <c r="D3603">
        <v>1.2083976642884999</v>
      </c>
      <c r="E3603">
        <v>0.976606326894078</v>
      </c>
      <c r="F3603">
        <v>0.88109768591403803</v>
      </c>
      <c r="G3603">
        <v>0.62873878771074498</v>
      </c>
      <c r="H3603">
        <v>0.33608754897028797</v>
      </c>
      <c r="I3603">
        <v>0.231127357684833</v>
      </c>
      <c r="J3603">
        <v>0.205664581584347</v>
      </c>
      <c r="K3603">
        <v>0.176332700312852</v>
      </c>
      <c r="L3603">
        <v>1316.96453148249</v>
      </c>
      <c r="M3603">
        <v>24.324273325501501</v>
      </c>
      <c r="N3603">
        <v>55.1382614197301</v>
      </c>
      <c r="O3603">
        <v>53.780032103452299</v>
      </c>
      <c r="P3603">
        <v>-9.2967709744653904E-2</v>
      </c>
      <c r="Q3603">
        <v>0.177820214950341</v>
      </c>
      <c r="R3603">
        <v>0.96725260769091903</v>
      </c>
      <c r="S3603" t="s">
        <v>9154</v>
      </c>
      <c r="T3603" t="s">
        <v>11100</v>
      </c>
      <c r="U3603" t="s">
        <v>11100</v>
      </c>
      <c r="V3603" t="s">
        <v>11100</v>
      </c>
      <c r="W3603" t="s">
        <v>14653</v>
      </c>
      <c r="X3603">
        <v>9</v>
      </c>
      <c r="Y3603" t="s">
        <v>20091</v>
      </c>
      <c r="Z3603" t="s">
        <v>25608</v>
      </c>
      <c r="AA3603">
        <v>0.65508867292606154</v>
      </c>
      <c r="AB3603" t="str">
        <f>HYPERLINK("Melting_Curves/meltCurve_Q7LBR1_CHMP1B.pdf", "Melting_Curves/meltCurve_Q7LBR1_CHMP1B.pdf")</f>
        <v>Melting_Curves/meltCurve_Q7LBR1_CHMP1B.pdf</v>
      </c>
    </row>
    <row r="3604" spans="1:28" x14ac:dyDescent="0.25">
      <c r="A3604" t="s">
        <v>3608</v>
      </c>
      <c r="B3604">
        <v>0.99299721793515405</v>
      </c>
      <c r="C3604">
        <v>0.98145683146927298</v>
      </c>
      <c r="D3604">
        <v>0.99308434977905102</v>
      </c>
      <c r="E3604">
        <v>0.95538592998933003</v>
      </c>
      <c r="F3604">
        <v>0.86195279748572995</v>
      </c>
      <c r="G3604">
        <v>0.71204990767110299</v>
      </c>
      <c r="H3604">
        <v>0.75353278091382303</v>
      </c>
      <c r="I3604">
        <v>0.88726128044198005</v>
      </c>
      <c r="J3604">
        <v>0.97995624534641002</v>
      </c>
      <c r="K3604">
        <v>0.69278424176267595</v>
      </c>
      <c r="L3604">
        <v>1952.6585878047299</v>
      </c>
      <c r="M3604">
        <v>40.4349247721062</v>
      </c>
      <c r="O3604">
        <v>48.173724921399902</v>
      </c>
      <c r="P3604">
        <v>-4.0340540047695397E-2</v>
      </c>
      <c r="Q3604">
        <v>0.80775529340749896</v>
      </c>
      <c r="R3604">
        <v>0.52107731056792495</v>
      </c>
      <c r="S3604" t="s">
        <v>9155</v>
      </c>
      <c r="T3604" t="s">
        <v>11100</v>
      </c>
      <c r="U3604" t="s">
        <v>11100</v>
      </c>
      <c r="V3604" t="s">
        <v>11100</v>
      </c>
      <c r="W3604" t="s">
        <v>14654</v>
      </c>
      <c r="X3604">
        <v>9</v>
      </c>
      <c r="Y3604" t="s">
        <v>20092</v>
      </c>
      <c r="Z3604" t="s">
        <v>25609</v>
      </c>
      <c r="AA3604">
        <v>0.88074014261508959</v>
      </c>
      <c r="AB3604" t="str">
        <f>HYPERLINK("Melting_Curves/meltCurve_Q7LG56_RRM2B.pdf", "Melting_Curves/meltCurve_Q7LG56_RRM2B.pdf")</f>
        <v>Melting_Curves/meltCurve_Q7LG56_RRM2B.pdf</v>
      </c>
    </row>
    <row r="3605" spans="1:28" x14ac:dyDescent="0.25">
      <c r="A3605" t="s">
        <v>3609</v>
      </c>
      <c r="B3605">
        <v>0.99299721793515405</v>
      </c>
      <c r="C3605">
        <v>1.0114498021509399</v>
      </c>
      <c r="D3605">
        <v>0.90253879978672302</v>
      </c>
      <c r="E3605">
        <v>0.79386639167329898</v>
      </c>
      <c r="F3605">
        <v>0.80322196661574796</v>
      </c>
      <c r="G3605">
        <v>0.507168990353977</v>
      </c>
      <c r="H3605">
        <v>0.57350518766249603</v>
      </c>
      <c r="I3605">
        <v>0.49131031867867903</v>
      </c>
      <c r="J3605">
        <v>0.62519657701482501</v>
      </c>
      <c r="K3605">
        <v>0.26347108502065197</v>
      </c>
      <c r="L3605">
        <v>449.61703066054099</v>
      </c>
      <c r="M3605">
        <v>8.5663094577843406</v>
      </c>
      <c r="N3605">
        <v>59.866524560985098</v>
      </c>
      <c r="O3605">
        <v>49.861079232402403</v>
      </c>
      <c r="P3605">
        <v>-2.8971010104369799E-2</v>
      </c>
      <c r="Q3605">
        <v>0.326074712248418</v>
      </c>
      <c r="R3605">
        <v>0.84699481415052003</v>
      </c>
      <c r="S3605" t="s">
        <v>9156</v>
      </c>
      <c r="T3605" t="s">
        <v>11100</v>
      </c>
      <c r="U3605" t="s">
        <v>11100</v>
      </c>
      <c r="V3605" t="s">
        <v>11100</v>
      </c>
      <c r="W3605" t="s">
        <v>14655</v>
      </c>
      <c r="X3605">
        <v>1</v>
      </c>
      <c r="Y3605" t="s">
        <v>20093</v>
      </c>
      <c r="Z3605" t="s">
        <v>25610</v>
      </c>
      <c r="AA3605">
        <v>0.6910684081668006</v>
      </c>
      <c r="AB3605" t="str">
        <f>HYPERLINK("Melting_Curves/meltCurve_Q7RTP0_NIPA1.pdf", "Melting_Curves/meltCurve_Q7RTP0_NIPA1.pdf")</f>
        <v>Melting_Curves/meltCurve_Q7RTP0_NIPA1.pdf</v>
      </c>
    </row>
    <row r="3606" spans="1:28" x14ac:dyDescent="0.25">
      <c r="A3606" t="s">
        <v>3610</v>
      </c>
      <c r="B3606">
        <v>0.99299721793515405</v>
      </c>
      <c r="C3606">
        <v>0.92129803494079698</v>
      </c>
      <c r="D3606">
        <v>0.91523698682956001</v>
      </c>
      <c r="E3606">
        <v>0.82919768562719098</v>
      </c>
      <c r="F3606">
        <v>0.74843563558113602</v>
      </c>
      <c r="G3606">
        <v>0.440539068245065</v>
      </c>
      <c r="H3606">
        <v>0.38666317321714599</v>
      </c>
      <c r="I3606">
        <v>0.36690208702770599</v>
      </c>
      <c r="J3606">
        <v>0.34162522217459201</v>
      </c>
      <c r="K3606">
        <v>0.34227348072331998</v>
      </c>
      <c r="L3606">
        <v>750.09932201113497</v>
      </c>
      <c r="M3606">
        <v>14.8665783972995</v>
      </c>
      <c r="N3606">
        <v>53.929420170557698</v>
      </c>
      <c r="O3606">
        <v>49.568874900553197</v>
      </c>
      <c r="P3606">
        <v>-5.1883142978749103E-2</v>
      </c>
      <c r="Q3606">
        <v>0.30810711029638399</v>
      </c>
      <c r="R3606">
        <v>0.97461409054428805</v>
      </c>
      <c r="S3606" t="s">
        <v>9157</v>
      </c>
      <c r="T3606" t="s">
        <v>11100</v>
      </c>
      <c r="U3606" t="s">
        <v>11100</v>
      </c>
      <c r="V3606" t="s">
        <v>11100</v>
      </c>
      <c r="W3606" t="s">
        <v>14656</v>
      </c>
      <c r="X3606">
        <v>7</v>
      </c>
      <c r="Y3606" t="s">
        <v>20094</v>
      </c>
      <c r="Z3606" t="s">
        <v>25611</v>
      </c>
      <c r="AA3606">
        <v>0.63284328502102982</v>
      </c>
      <c r="AB3606" t="str">
        <f>HYPERLINK("Melting_Curves/meltCurve_Q7RTP6_MICAL3.pdf", "Melting_Curves/meltCurve_Q7RTP6_MICAL3.pdf")</f>
        <v>Melting_Curves/meltCurve_Q7RTP6_MICAL3.pdf</v>
      </c>
    </row>
    <row r="3607" spans="1:28" x14ac:dyDescent="0.25">
      <c r="A3607" t="s">
        <v>3611</v>
      </c>
      <c r="B3607">
        <v>0.99299721793515405</v>
      </c>
      <c r="C3607">
        <v>1.2509113658394899</v>
      </c>
      <c r="D3607">
        <v>1.05878329425436</v>
      </c>
      <c r="E3607">
        <v>1.17719800911534</v>
      </c>
      <c r="F3607">
        <v>0.96822038815035105</v>
      </c>
      <c r="G3607">
        <v>0.77440784929241302</v>
      </c>
      <c r="H3607">
        <v>0.33513194187415901</v>
      </c>
      <c r="I3607">
        <v>0.33074236584113798</v>
      </c>
      <c r="J3607">
        <v>0.41127202836973198</v>
      </c>
      <c r="K3607">
        <v>0.35538277463655199</v>
      </c>
      <c r="L3607">
        <v>13482.9588837061</v>
      </c>
      <c r="M3607">
        <v>250</v>
      </c>
      <c r="N3607">
        <v>54.204954959407203</v>
      </c>
      <c r="O3607">
        <v>53.928380164104396</v>
      </c>
      <c r="P3607">
        <v>-0.74388906225357398</v>
      </c>
      <c r="Q3607">
        <v>0.35813223761664398</v>
      </c>
      <c r="R3607">
        <v>0.91774497681967704</v>
      </c>
      <c r="S3607" t="s">
        <v>9158</v>
      </c>
      <c r="T3607" t="s">
        <v>11100</v>
      </c>
      <c r="U3607" t="s">
        <v>11100</v>
      </c>
      <c r="V3607" t="s">
        <v>11100</v>
      </c>
      <c r="W3607" t="s">
        <v>14657</v>
      </c>
      <c r="X3607">
        <v>1</v>
      </c>
      <c r="Y3607" t="s">
        <v>20095</v>
      </c>
      <c r="Z3607" t="s">
        <v>25612</v>
      </c>
      <c r="AA3607">
        <v>0.72045963635931642</v>
      </c>
      <c r="AB3607" t="str">
        <f>HYPERLINK("Melting_Curves/meltCurve_Q7RTS9_DYM.pdf", "Melting_Curves/meltCurve_Q7RTS9_DYM.pdf")</f>
        <v>Melting_Curves/meltCurve_Q7RTS9_DYM.pdf</v>
      </c>
    </row>
    <row r="3608" spans="1:28" x14ac:dyDescent="0.25">
      <c r="A3608" t="s">
        <v>3612</v>
      </c>
      <c r="B3608">
        <v>0.99299721793515405</v>
      </c>
      <c r="C3608">
        <v>0.94143974733968805</v>
      </c>
      <c r="D3608">
        <v>0.93858660725804699</v>
      </c>
      <c r="E3608">
        <v>0.92317618569130999</v>
      </c>
      <c r="F3608">
        <v>0.71248509622417799</v>
      </c>
      <c r="G3608">
        <v>0.78165294926268303</v>
      </c>
      <c r="H3608">
        <v>1.1396816845609801</v>
      </c>
      <c r="I3608">
        <v>1.1923904280353399</v>
      </c>
      <c r="J3608">
        <v>1.0611831726373699</v>
      </c>
      <c r="K3608">
        <v>0.76902461600759398</v>
      </c>
      <c r="L3608">
        <v>15000</v>
      </c>
      <c r="M3608">
        <v>222.67776192555999</v>
      </c>
      <c r="Q3608">
        <v>0</v>
      </c>
      <c r="R3608">
        <v>0.102952624973685</v>
      </c>
      <c r="S3608" t="s">
        <v>9159</v>
      </c>
      <c r="T3608" t="s">
        <v>11100</v>
      </c>
      <c r="U3608" t="s">
        <v>11100</v>
      </c>
      <c r="V3608" t="s">
        <v>11100</v>
      </c>
      <c r="W3608" t="s">
        <v>14658</v>
      </c>
      <c r="X3608">
        <v>10</v>
      </c>
      <c r="Y3608" t="s">
        <v>20096</v>
      </c>
      <c r="Z3608" t="s">
        <v>25613</v>
      </c>
      <c r="AA3608">
        <v>0.99740479581156916</v>
      </c>
      <c r="AB3608" t="str">
        <f>HYPERLINK("Melting_Curves/meltCurve_Q7RTV0_PHF5A.pdf", "Melting_Curves/meltCurve_Q7RTV0_PHF5A.pdf")</f>
        <v>Melting_Curves/meltCurve_Q7RTV0_PHF5A.pdf</v>
      </c>
    </row>
    <row r="3609" spans="1:28" x14ac:dyDescent="0.25">
      <c r="A3609" t="s">
        <v>3613</v>
      </c>
      <c r="B3609">
        <v>0.99299721793515405</v>
      </c>
      <c r="C3609">
        <v>0.90767263983439705</v>
      </c>
      <c r="D3609">
        <v>0.95070756991550998</v>
      </c>
      <c r="E3609">
        <v>0.86635775315331498</v>
      </c>
      <c r="F3609">
        <v>0.72761327016289201</v>
      </c>
      <c r="G3609">
        <v>0.50894403821273404</v>
      </c>
      <c r="H3609">
        <v>0.45910154269125097</v>
      </c>
      <c r="I3609">
        <v>0.50278515967718895</v>
      </c>
      <c r="J3609">
        <v>0.58698959888786095</v>
      </c>
      <c r="K3609">
        <v>0.51496729948560105</v>
      </c>
      <c r="L3609">
        <v>1124.76187048415</v>
      </c>
      <c r="M3609">
        <v>23.002340378276099</v>
      </c>
      <c r="O3609">
        <v>48.532643720296498</v>
      </c>
      <c r="P3609">
        <v>-5.8606648799154899E-2</v>
      </c>
      <c r="Q3609">
        <v>0.50539252214502195</v>
      </c>
      <c r="R3609">
        <v>0.93976043144808097</v>
      </c>
      <c r="S3609" t="s">
        <v>9160</v>
      </c>
      <c r="T3609" t="s">
        <v>11100</v>
      </c>
      <c r="U3609" t="s">
        <v>11100</v>
      </c>
      <c r="V3609" t="s">
        <v>11100</v>
      </c>
      <c r="W3609" t="s">
        <v>14659</v>
      </c>
      <c r="X3609">
        <v>15</v>
      </c>
      <c r="Y3609" t="s">
        <v>20097</v>
      </c>
      <c r="Z3609" t="s">
        <v>25614</v>
      </c>
      <c r="AA3609">
        <v>0.70656204187883132</v>
      </c>
      <c r="AB3609" t="str">
        <f>HYPERLINK("Melting_Curves/meltCurve_Q7Z2K8_GPRIN1.pdf", "Melting_Curves/meltCurve_Q7Z2K8_GPRIN1.pdf")</f>
        <v>Melting_Curves/meltCurve_Q7Z2K8_GPRIN1.pdf</v>
      </c>
    </row>
    <row r="3610" spans="1:28" x14ac:dyDescent="0.25">
      <c r="A3610" t="s">
        <v>3614</v>
      </c>
      <c r="B3610">
        <v>0.99299721793515405</v>
      </c>
      <c r="C3610">
        <v>0.94354733859429796</v>
      </c>
      <c r="D3610">
        <v>1.06631102616888</v>
      </c>
      <c r="E3610">
        <v>0.80494837991133905</v>
      </c>
      <c r="F3610">
        <v>0.54421896704359995</v>
      </c>
      <c r="G3610">
        <v>0.248115873427701</v>
      </c>
      <c r="H3610">
        <v>0.17456273401869701</v>
      </c>
      <c r="I3610">
        <v>0.14969225998712499</v>
      </c>
      <c r="J3610">
        <v>0.14125419975162201</v>
      </c>
      <c r="K3610">
        <v>0.145495848415018</v>
      </c>
      <c r="L3610">
        <v>1145.82708292453</v>
      </c>
      <c r="M3610">
        <v>23.052983506382301</v>
      </c>
      <c r="N3610">
        <v>50.4056494653165</v>
      </c>
      <c r="O3610">
        <v>49.334586687993301</v>
      </c>
      <c r="P3610">
        <v>-0.100789107006391</v>
      </c>
      <c r="Q3610">
        <v>0.137240226707941</v>
      </c>
      <c r="R3610">
        <v>0.99028362195361497</v>
      </c>
      <c r="S3610" t="s">
        <v>9161</v>
      </c>
      <c r="T3610" t="s">
        <v>11100</v>
      </c>
      <c r="U3610" t="s">
        <v>11100</v>
      </c>
      <c r="V3610" t="s">
        <v>11100</v>
      </c>
      <c r="W3610" t="s">
        <v>14660</v>
      </c>
      <c r="X3610">
        <v>14</v>
      </c>
      <c r="Y3610" t="s">
        <v>20098</v>
      </c>
      <c r="Z3610" t="s">
        <v>25615</v>
      </c>
      <c r="AA3610">
        <v>0.51136292439573605</v>
      </c>
      <c r="AB3610" t="str">
        <f>HYPERLINK("Melting_Curves/meltCurve_Q7Z2W4_ZC3HAV1.pdf", "Melting_Curves/meltCurve_Q7Z2W4_ZC3HAV1.pdf")</f>
        <v>Melting_Curves/meltCurve_Q7Z2W4_ZC3HAV1.pdf</v>
      </c>
    </row>
    <row r="3611" spans="1:28" x14ac:dyDescent="0.25">
      <c r="A3611" t="s">
        <v>3615</v>
      </c>
      <c r="B3611">
        <v>0.99299721793515405</v>
      </c>
      <c r="C3611">
        <v>0.96844542406272704</v>
      </c>
      <c r="D3611">
        <v>0.97514265827490398</v>
      </c>
      <c r="E3611">
        <v>0.87857366318782004</v>
      </c>
      <c r="F3611">
        <v>0.79772958347339096</v>
      </c>
      <c r="G3611">
        <v>0.33447943260230101</v>
      </c>
      <c r="H3611">
        <v>0.18003546771384299</v>
      </c>
      <c r="I3611">
        <v>0.14746179260809</v>
      </c>
      <c r="J3611">
        <v>0.110305687091608</v>
      </c>
      <c r="K3611">
        <v>8.3661295003232702E-2</v>
      </c>
      <c r="L3611">
        <v>1388.3398921579601</v>
      </c>
      <c r="M3611">
        <v>26.688362850227399</v>
      </c>
      <c r="N3611">
        <v>52.475848542625599</v>
      </c>
      <c r="O3611">
        <v>51.730987658292698</v>
      </c>
      <c r="P3611">
        <v>-0.11564480893404799</v>
      </c>
      <c r="Q3611">
        <v>0.10337577961910301</v>
      </c>
      <c r="R3611">
        <v>0.99146264942435003</v>
      </c>
      <c r="S3611" t="s">
        <v>9162</v>
      </c>
      <c r="T3611" t="s">
        <v>11100</v>
      </c>
      <c r="U3611" t="s">
        <v>11100</v>
      </c>
      <c r="V3611" t="s">
        <v>11100</v>
      </c>
      <c r="W3611" t="s">
        <v>14661</v>
      </c>
      <c r="X3611">
        <v>10</v>
      </c>
      <c r="Y3611" t="s">
        <v>20099</v>
      </c>
      <c r="Z3611" t="s">
        <v>25616</v>
      </c>
      <c r="AA3611">
        <v>0.55935045169973541</v>
      </c>
      <c r="AB3611" t="str">
        <f>HYPERLINK("Melting_Curves/meltCurve_Q7Z2Z2_EFTUD1.pdf", "Melting_Curves/meltCurve_Q7Z2Z2_EFTUD1.pdf")</f>
        <v>Melting_Curves/meltCurve_Q7Z2Z2_EFTUD1.pdf</v>
      </c>
    </row>
    <row r="3612" spans="1:28" x14ac:dyDescent="0.25">
      <c r="A3612" t="s">
        <v>3616</v>
      </c>
      <c r="B3612">
        <v>0.99299721793515405</v>
      </c>
      <c r="C3612">
        <v>0.98448754261430704</v>
      </c>
      <c r="D3612">
        <v>1.1036062541049101</v>
      </c>
      <c r="E3612">
        <v>0.70175837775088201</v>
      </c>
      <c r="F3612">
        <v>0.72339076761055698</v>
      </c>
      <c r="G3612">
        <v>0.80752631111697804</v>
      </c>
      <c r="H3612">
        <v>0.53044497500179399</v>
      </c>
      <c r="I3612">
        <v>0.38067954929946601</v>
      </c>
      <c r="J3612">
        <v>0.228424196309365</v>
      </c>
      <c r="K3612">
        <v>0.203342107929538</v>
      </c>
      <c r="L3612">
        <v>525.76383453740095</v>
      </c>
      <c r="M3612">
        <v>9.1136728969997094</v>
      </c>
      <c r="N3612">
        <v>57.689550416430301</v>
      </c>
      <c r="O3612">
        <v>55.115549299795099</v>
      </c>
      <c r="P3612">
        <v>-4.1367567593854598E-2</v>
      </c>
      <c r="Q3612">
        <v>0</v>
      </c>
      <c r="R3612">
        <v>0.90216091101543405</v>
      </c>
      <c r="S3612" t="s">
        <v>9163</v>
      </c>
      <c r="T3612" t="s">
        <v>11100</v>
      </c>
      <c r="U3612" t="s">
        <v>11100</v>
      </c>
      <c r="V3612" t="s">
        <v>11100</v>
      </c>
      <c r="W3612" t="s">
        <v>14662</v>
      </c>
      <c r="X3612">
        <v>2</v>
      </c>
      <c r="Y3612" t="s">
        <v>20100</v>
      </c>
      <c r="Z3612" t="s">
        <v>25617</v>
      </c>
      <c r="AA3612">
        <v>0.67918487014455409</v>
      </c>
      <c r="AB3612" t="str">
        <f>HYPERLINK("Melting_Curves/meltCurve_Q7Z3C6_2_ATG9A.pdf", "Melting_Curves/meltCurve_Q7Z3C6_2_ATG9A.pdf")</f>
        <v>Melting_Curves/meltCurve_Q7Z3C6_2_ATG9A.pdf</v>
      </c>
    </row>
    <row r="3613" spans="1:28" x14ac:dyDescent="0.25">
      <c r="A3613" t="s">
        <v>3617</v>
      </c>
      <c r="B3613">
        <v>0.99299721793515405</v>
      </c>
      <c r="C3613">
        <v>1.05758278001774</v>
      </c>
      <c r="D3613">
        <v>0.643431330257492</v>
      </c>
      <c r="E3613">
        <v>0.82896604169417798</v>
      </c>
      <c r="F3613">
        <v>0.78947938998746803</v>
      </c>
      <c r="G3613">
        <v>0.53044721399805095</v>
      </c>
      <c r="H3613">
        <v>0.629154768788452</v>
      </c>
      <c r="I3613">
        <v>0.49525225398753903</v>
      </c>
      <c r="J3613">
        <v>0.37292291299844699</v>
      </c>
      <c r="K3613">
        <v>0.20143292236068699</v>
      </c>
      <c r="L3613">
        <v>335.40378519800203</v>
      </c>
      <c r="M3613">
        <v>5.7640096841490296</v>
      </c>
      <c r="N3613">
        <v>58.189317390181699</v>
      </c>
      <c r="O3613">
        <v>52.328352780971798</v>
      </c>
      <c r="P3613">
        <v>-2.7640540528347399E-2</v>
      </c>
      <c r="Q3613">
        <v>0</v>
      </c>
      <c r="R3613">
        <v>0.82017766012157001</v>
      </c>
      <c r="S3613" t="s">
        <v>9164</v>
      </c>
      <c r="T3613" t="s">
        <v>11100</v>
      </c>
      <c r="U3613" t="s">
        <v>11100</v>
      </c>
      <c r="V3613" t="s">
        <v>11100</v>
      </c>
      <c r="W3613" t="s">
        <v>14663</v>
      </c>
      <c r="X3613">
        <v>1</v>
      </c>
      <c r="Y3613" t="s">
        <v>20101</v>
      </c>
      <c r="Z3613" t="s">
        <v>25618</v>
      </c>
      <c r="AA3613">
        <v>0.65874247506934636</v>
      </c>
      <c r="AB3613" t="str">
        <f>HYPERLINK("Melting_Curves/meltCurve_Q7Z3D4_LYSMD3.pdf", "Melting_Curves/meltCurve_Q7Z3D4_LYSMD3.pdf")</f>
        <v>Melting_Curves/meltCurve_Q7Z3D4_LYSMD3.pdf</v>
      </c>
    </row>
    <row r="3614" spans="1:28" x14ac:dyDescent="0.25">
      <c r="A3614" t="s">
        <v>3618</v>
      </c>
      <c r="B3614">
        <v>0.99299721793515405</v>
      </c>
      <c r="C3614">
        <v>0.96019264998775</v>
      </c>
      <c r="D3614">
        <v>0.92585020293628295</v>
      </c>
      <c r="E3614">
        <v>0.82991039102836395</v>
      </c>
      <c r="F3614">
        <v>0.72533609143349898</v>
      </c>
      <c r="G3614">
        <v>0.31581890703041199</v>
      </c>
      <c r="H3614">
        <v>0.24186539285206099</v>
      </c>
      <c r="I3614">
        <v>0.24440909973789399</v>
      </c>
      <c r="J3614">
        <v>0.230529090651649</v>
      </c>
      <c r="K3614">
        <v>0.18133092547928401</v>
      </c>
      <c r="L3614">
        <v>1043.10782619571</v>
      </c>
      <c r="M3614">
        <v>20.554923749403699</v>
      </c>
      <c r="N3614">
        <v>51.966879440410899</v>
      </c>
      <c r="O3614">
        <v>50.274349309405601</v>
      </c>
      <c r="P3614">
        <v>-8.2658440185015405E-2</v>
      </c>
      <c r="Q3614">
        <v>0.19134161248794801</v>
      </c>
      <c r="R3614">
        <v>0.98020513093516404</v>
      </c>
      <c r="S3614" t="s">
        <v>9165</v>
      </c>
      <c r="T3614" t="s">
        <v>11100</v>
      </c>
      <c r="U3614" t="s">
        <v>11100</v>
      </c>
      <c r="V3614" t="s">
        <v>11100</v>
      </c>
      <c r="W3614" t="s">
        <v>14664</v>
      </c>
      <c r="X3614">
        <v>10</v>
      </c>
      <c r="Y3614" t="s">
        <v>20102</v>
      </c>
      <c r="Z3614" t="s">
        <v>25619</v>
      </c>
      <c r="AA3614">
        <v>0.57203214308924122</v>
      </c>
      <c r="AB3614" t="str">
        <f>HYPERLINK("Melting_Curves/meltCurve_Q7Z3E2_C10orf118.pdf", "Melting_Curves/meltCurve_Q7Z3E2_C10orf118.pdf")</f>
        <v>Melting_Curves/meltCurve_Q7Z3E2_C10orf118.pdf</v>
      </c>
    </row>
    <row r="3615" spans="1:28" x14ac:dyDescent="0.25">
      <c r="A3615" t="s">
        <v>3619</v>
      </c>
      <c r="B3615">
        <v>0.99299721793515405</v>
      </c>
      <c r="C3615">
        <v>1.01659105535515</v>
      </c>
      <c r="D3615">
        <v>0.85146631921236404</v>
      </c>
      <c r="E3615">
        <v>0.76738377402657998</v>
      </c>
      <c r="F3615">
        <v>0.555227156512904</v>
      </c>
      <c r="G3615">
        <v>0.46276953846482799</v>
      </c>
      <c r="H3615">
        <v>0.23956114137976001</v>
      </c>
      <c r="I3615">
        <v>0.271080812034241</v>
      </c>
      <c r="J3615">
        <v>0.19260722877201999</v>
      </c>
      <c r="K3615">
        <v>0.18360942427737001</v>
      </c>
      <c r="L3615">
        <v>588.48632406981403</v>
      </c>
      <c r="M3615">
        <v>11.7008563087072</v>
      </c>
      <c r="N3615">
        <v>51.718359849051502</v>
      </c>
      <c r="O3615">
        <v>48.892648199868901</v>
      </c>
      <c r="P3615">
        <v>-5.1603517537160297E-2</v>
      </c>
      <c r="Q3615">
        <v>0.13771707942693001</v>
      </c>
      <c r="R3615">
        <v>0.98658873105880895</v>
      </c>
      <c r="S3615" t="s">
        <v>9166</v>
      </c>
      <c r="T3615" t="s">
        <v>11100</v>
      </c>
      <c r="U3615" t="s">
        <v>11100</v>
      </c>
      <c r="V3615" t="s">
        <v>11100</v>
      </c>
      <c r="W3615" t="s">
        <v>14665</v>
      </c>
      <c r="X3615">
        <v>1</v>
      </c>
      <c r="Y3615" t="s">
        <v>20103</v>
      </c>
      <c r="Z3615" t="s">
        <v>25620</v>
      </c>
      <c r="AA3615">
        <v>0.5441645371932099</v>
      </c>
      <c r="AB3615" t="str">
        <f>HYPERLINK("Melting_Curves/meltCurve_Q7Z3K3_5_POGZ.pdf", "Melting_Curves/meltCurve_Q7Z3K3_5_POGZ.pdf")</f>
        <v>Melting_Curves/meltCurve_Q7Z3K3_5_POGZ.pdf</v>
      </c>
    </row>
    <row r="3616" spans="1:28" x14ac:dyDescent="0.25">
      <c r="A3616" t="s">
        <v>3620</v>
      </c>
      <c r="B3616">
        <v>0.99299721793515405</v>
      </c>
      <c r="C3616">
        <v>1.0209492207419</v>
      </c>
      <c r="D3616">
        <v>1.0636922983724</v>
      </c>
      <c r="E3616">
        <v>0.99841727542315395</v>
      </c>
      <c r="F3616">
        <v>0.77011504341310899</v>
      </c>
      <c r="G3616">
        <v>0.67048004776030601</v>
      </c>
      <c r="H3616">
        <v>0.479831880492612</v>
      </c>
      <c r="I3616">
        <v>0.26229795631349401</v>
      </c>
      <c r="J3616">
        <v>0.180110958588929</v>
      </c>
      <c r="K3616">
        <v>0.13563897720984899</v>
      </c>
      <c r="L3616">
        <v>766.60505110086501</v>
      </c>
      <c r="M3616">
        <v>13.631472688893799</v>
      </c>
      <c r="N3616">
        <v>56.515278844640797</v>
      </c>
      <c r="O3616">
        <v>55.068979648408799</v>
      </c>
      <c r="P3616">
        <v>-5.9889852527372701E-2</v>
      </c>
      <c r="Q3616">
        <v>3.23601890161207E-2</v>
      </c>
      <c r="R3616">
        <v>0.98680393975436598</v>
      </c>
      <c r="S3616" t="s">
        <v>9167</v>
      </c>
      <c r="T3616" t="s">
        <v>11100</v>
      </c>
      <c r="U3616" t="s">
        <v>11100</v>
      </c>
      <c r="V3616" t="s">
        <v>11100</v>
      </c>
      <c r="W3616" t="s">
        <v>14666</v>
      </c>
      <c r="X3616">
        <v>11</v>
      </c>
      <c r="Y3616" t="s">
        <v>20104</v>
      </c>
      <c r="Z3616" t="s">
        <v>25621</v>
      </c>
      <c r="AA3616">
        <v>0.66274847271173931</v>
      </c>
      <c r="AB3616" t="str">
        <f>HYPERLINK("Melting_Curves/meltCurve_Q7Z3T8_ZFYVE16.pdf", "Melting_Curves/meltCurve_Q7Z3T8_ZFYVE16.pdf")</f>
        <v>Melting_Curves/meltCurve_Q7Z3T8_ZFYVE16.pdf</v>
      </c>
    </row>
    <row r="3617" spans="1:28" x14ac:dyDescent="0.25">
      <c r="A3617" t="s">
        <v>3621</v>
      </c>
      <c r="B3617">
        <v>0.99299721793515405</v>
      </c>
      <c r="C3617">
        <v>1.0134152322496599</v>
      </c>
      <c r="D3617">
        <v>1.2233825811947201</v>
      </c>
      <c r="E3617">
        <v>0.89674054724974195</v>
      </c>
      <c r="F3617">
        <v>0.79523441385543403</v>
      </c>
      <c r="G3617">
        <v>0.65100517641959399</v>
      </c>
      <c r="H3617">
        <v>0.61403601148165399</v>
      </c>
      <c r="I3617">
        <v>0.60149782759952997</v>
      </c>
      <c r="J3617">
        <v>0.56929856225953201</v>
      </c>
      <c r="K3617">
        <v>0.44637170365759699</v>
      </c>
      <c r="L3617">
        <v>1031.5247287749301</v>
      </c>
      <c r="M3617">
        <v>20.1993299498208</v>
      </c>
      <c r="O3617">
        <v>50.574663449889997</v>
      </c>
      <c r="P3617">
        <v>-4.6369624831833101E-2</v>
      </c>
      <c r="Q3617">
        <v>0.53561734503685499</v>
      </c>
      <c r="R3617">
        <v>0.87097082589506003</v>
      </c>
      <c r="S3617" t="s">
        <v>9168</v>
      </c>
      <c r="T3617" t="s">
        <v>11100</v>
      </c>
      <c r="U3617" t="s">
        <v>11100</v>
      </c>
      <c r="V3617" t="s">
        <v>11100</v>
      </c>
      <c r="W3617" t="s">
        <v>14667</v>
      </c>
      <c r="X3617">
        <v>7</v>
      </c>
      <c r="Y3617" t="s">
        <v>20105</v>
      </c>
      <c r="Z3617" t="s">
        <v>25622</v>
      </c>
      <c r="AA3617">
        <v>0.75934722719535186</v>
      </c>
      <c r="AB3617" t="str">
        <f>HYPERLINK("Melting_Curves/meltCurve_Q7Z417_NUFIP2.pdf", "Melting_Curves/meltCurve_Q7Z417_NUFIP2.pdf")</f>
        <v>Melting_Curves/meltCurve_Q7Z417_NUFIP2.pdf</v>
      </c>
    </row>
    <row r="3618" spans="1:28" x14ac:dyDescent="0.25">
      <c r="A3618" t="s">
        <v>3622</v>
      </c>
      <c r="B3618">
        <v>0.99299721793515405</v>
      </c>
      <c r="C3618">
        <v>0.901927117259678</v>
      </c>
      <c r="D3618">
        <v>1.0603337891315701</v>
      </c>
      <c r="E3618">
        <v>0.91132082053662999</v>
      </c>
      <c r="F3618">
        <v>0.80682263347571404</v>
      </c>
      <c r="G3618">
        <v>0.57455656837172397</v>
      </c>
      <c r="H3618">
        <v>0.61509040378937296</v>
      </c>
      <c r="I3618">
        <v>0.82154075921594105</v>
      </c>
      <c r="J3618">
        <v>0.91581799326458901</v>
      </c>
      <c r="K3618">
        <v>0.770563343235248</v>
      </c>
      <c r="L3618">
        <v>2020.80228839251</v>
      </c>
      <c r="M3618">
        <v>42.518505432163799</v>
      </c>
      <c r="O3618">
        <v>47.422821192656002</v>
      </c>
      <c r="P3618">
        <v>-5.7037324254187602E-2</v>
      </c>
      <c r="Q3618">
        <v>0.74553513625624201</v>
      </c>
      <c r="R3618">
        <v>0.54411975994183204</v>
      </c>
      <c r="S3618" t="s">
        <v>9169</v>
      </c>
      <c r="T3618" t="s">
        <v>11100</v>
      </c>
      <c r="U3618" t="s">
        <v>11100</v>
      </c>
      <c r="V3618" t="s">
        <v>11100</v>
      </c>
      <c r="W3618" t="s">
        <v>14668</v>
      </c>
      <c r="X3618">
        <v>7</v>
      </c>
      <c r="Y3618" t="s">
        <v>20106</v>
      </c>
      <c r="Z3618" t="s">
        <v>25623</v>
      </c>
      <c r="AA3618">
        <v>0.83557117778045809</v>
      </c>
      <c r="AB3618" t="str">
        <f>HYPERLINK("Melting_Curves/meltCurve_Q7Z422_2_SZRD1.pdf", "Melting_Curves/meltCurve_Q7Z422_2_SZRD1.pdf")</f>
        <v>Melting_Curves/meltCurve_Q7Z422_2_SZRD1.pdf</v>
      </c>
    </row>
    <row r="3619" spans="1:28" x14ac:dyDescent="0.25">
      <c r="A3619" t="s">
        <v>3623</v>
      </c>
      <c r="B3619">
        <v>0.99299721793515405</v>
      </c>
      <c r="C3619">
        <v>1.0621275832405901</v>
      </c>
      <c r="D3619">
        <v>1.2572360600511101</v>
      </c>
      <c r="E3619">
        <v>0.84624855364628304</v>
      </c>
      <c r="F3619">
        <v>0.89772704224062005</v>
      </c>
      <c r="G3619">
        <v>0.71829554532626705</v>
      </c>
      <c r="H3619">
        <v>0.512844377373048</v>
      </c>
      <c r="I3619">
        <v>0.53299712037362101</v>
      </c>
      <c r="J3619">
        <v>0.370003915958382</v>
      </c>
      <c r="K3619">
        <v>0.39350002930175099</v>
      </c>
      <c r="L3619">
        <v>916.99496557687701</v>
      </c>
      <c r="M3619">
        <v>16.870657283391299</v>
      </c>
      <c r="N3619">
        <v>59.054337933826297</v>
      </c>
      <c r="O3619">
        <v>53.6079634860791</v>
      </c>
      <c r="P3619">
        <v>-4.9614224593251002E-2</v>
      </c>
      <c r="Q3619">
        <v>0.36942630636562801</v>
      </c>
      <c r="R3619">
        <v>0.88054821227580804</v>
      </c>
      <c r="S3619" t="s">
        <v>9170</v>
      </c>
      <c r="T3619" t="s">
        <v>11100</v>
      </c>
      <c r="U3619" t="s">
        <v>11100</v>
      </c>
      <c r="V3619" t="s">
        <v>11100</v>
      </c>
      <c r="W3619" t="s">
        <v>14669</v>
      </c>
      <c r="X3619">
        <v>4</v>
      </c>
      <c r="Y3619" t="s">
        <v>20107</v>
      </c>
      <c r="Z3619" t="s">
        <v>25624</v>
      </c>
      <c r="AA3619">
        <v>0.74315429462260985</v>
      </c>
      <c r="AB3619" t="str">
        <f>HYPERLINK("Melting_Curves/meltCurve_Q7Z434_MAVS.pdf", "Melting_Curves/meltCurve_Q7Z434_MAVS.pdf")</f>
        <v>Melting_Curves/meltCurve_Q7Z434_MAVS.pdf</v>
      </c>
    </row>
    <row r="3620" spans="1:28" x14ac:dyDescent="0.25">
      <c r="A3620" t="s">
        <v>3624</v>
      </c>
      <c r="B3620">
        <v>0.99299721793515405</v>
      </c>
      <c r="C3620">
        <v>0.93785892032985696</v>
      </c>
      <c r="D3620">
        <v>0.957074976474942</v>
      </c>
      <c r="E3620">
        <v>0.85514255016353202</v>
      </c>
      <c r="F3620">
        <v>0.79690647431608996</v>
      </c>
      <c r="G3620">
        <v>0.72160065200396495</v>
      </c>
      <c r="H3620">
        <v>0.51343496100981401</v>
      </c>
      <c r="I3620">
        <v>0.34484497614376203</v>
      </c>
      <c r="J3620">
        <v>0.237872278509484</v>
      </c>
      <c r="K3620">
        <v>0.21060841983583201</v>
      </c>
      <c r="L3620">
        <v>560.22834445025399</v>
      </c>
      <c r="M3620">
        <v>9.7413988273640708</v>
      </c>
      <c r="N3620">
        <v>57.510065975812999</v>
      </c>
      <c r="O3620">
        <v>55.243489929474499</v>
      </c>
      <c r="P3620">
        <v>-4.41076052661084E-2</v>
      </c>
      <c r="Q3620">
        <v>0</v>
      </c>
      <c r="R3620">
        <v>0.98774520142048705</v>
      </c>
      <c r="S3620" t="s">
        <v>9171</v>
      </c>
      <c r="T3620" t="s">
        <v>11100</v>
      </c>
      <c r="U3620" t="s">
        <v>11100</v>
      </c>
      <c r="V3620" t="s">
        <v>11100</v>
      </c>
      <c r="W3620" t="s">
        <v>14670</v>
      </c>
      <c r="X3620">
        <v>8</v>
      </c>
      <c r="Y3620" t="s">
        <v>20108</v>
      </c>
      <c r="Z3620" t="s">
        <v>25625</v>
      </c>
      <c r="AA3620">
        <v>0.67786933173276043</v>
      </c>
      <c r="AB3620" t="str">
        <f>HYPERLINK("Melting_Curves/meltCurve_Q7Z4G4_2_TRMT11.pdf", "Melting_Curves/meltCurve_Q7Z4G4_2_TRMT11.pdf")</f>
        <v>Melting_Curves/meltCurve_Q7Z4G4_2_TRMT11.pdf</v>
      </c>
    </row>
    <row r="3621" spans="1:28" x14ac:dyDescent="0.25">
      <c r="A3621" t="s">
        <v>3625</v>
      </c>
      <c r="B3621">
        <v>0.99299721793515405</v>
      </c>
      <c r="C3621">
        <v>0.97481814463968497</v>
      </c>
      <c r="D3621">
        <v>0.90802315629923902</v>
      </c>
      <c r="E3621">
        <v>0.86153257838978703</v>
      </c>
      <c r="F3621">
        <v>0.78977549543049197</v>
      </c>
      <c r="G3621">
        <v>0.55934545282298997</v>
      </c>
      <c r="H3621">
        <v>0.53600532415436697</v>
      </c>
      <c r="I3621">
        <v>0.51782895855666</v>
      </c>
      <c r="J3621">
        <v>0.41356031384123199</v>
      </c>
      <c r="K3621">
        <v>0.26027032890332902</v>
      </c>
      <c r="L3621">
        <v>379.92721708763497</v>
      </c>
      <c r="M3621">
        <v>6.4396183283058299</v>
      </c>
      <c r="N3621">
        <v>58.998406066278598</v>
      </c>
      <c r="O3621">
        <v>54.080806673497797</v>
      </c>
      <c r="P3621">
        <v>-2.9843279137160599E-2</v>
      </c>
      <c r="Q3621">
        <v>0</v>
      </c>
      <c r="R3621">
        <v>0.96599094227961002</v>
      </c>
      <c r="S3621" t="s">
        <v>9172</v>
      </c>
      <c r="T3621" t="s">
        <v>11100</v>
      </c>
      <c r="U3621" t="s">
        <v>11100</v>
      </c>
      <c r="V3621" t="s">
        <v>11100</v>
      </c>
      <c r="W3621" t="s">
        <v>14671</v>
      </c>
      <c r="X3621">
        <v>9</v>
      </c>
      <c r="Y3621" t="s">
        <v>20109</v>
      </c>
      <c r="Z3621" t="s">
        <v>25626</v>
      </c>
      <c r="AA3621">
        <v>0.6842043493975507</v>
      </c>
      <c r="AB3621" t="str">
        <f>HYPERLINK("Melting_Curves/meltCurve_Q7Z4H3_HDDC2.pdf", "Melting_Curves/meltCurve_Q7Z4H3_HDDC2.pdf")</f>
        <v>Melting_Curves/meltCurve_Q7Z4H3_HDDC2.pdf</v>
      </c>
    </row>
    <row r="3622" spans="1:28" x14ac:dyDescent="0.25">
      <c r="A3622" t="s">
        <v>3626</v>
      </c>
      <c r="B3622">
        <v>0.99299721793515405</v>
      </c>
      <c r="C3622">
        <v>0.96980066432899303</v>
      </c>
      <c r="D3622">
        <v>0.94264632339937704</v>
      </c>
      <c r="E3622">
        <v>0.81072062223954999</v>
      </c>
      <c r="F3622">
        <v>0.74606063833907499</v>
      </c>
      <c r="G3622">
        <v>0.49045094401337402</v>
      </c>
      <c r="H3622">
        <v>0.291697195210042</v>
      </c>
      <c r="I3622">
        <v>0.21369894811770601</v>
      </c>
      <c r="J3622">
        <v>0.17577041007667199</v>
      </c>
      <c r="K3622">
        <v>0.14681831498109801</v>
      </c>
      <c r="L3622">
        <v>669.73339493938101</v>
      </c>
      <c r="M3622">
        <v>12.6602223173964</v>
      </c>
      <c r="N3622">
        <v>53.592950111847102</v>
      </c>
      <c r="O3622">
        <v>51.632809946050997</v>
      </c>
      <c r="P3622">
        <v>-5.66860358029041E-2</v>
      </c>
      <c r="Q3622">
        <v>7.5439097968987595E-2</v>
      </c>
      <c r="R3622">
        <v>0.993471494017232</v>
      </c>
      <c r="S3622" t="s">
        <v>9173</v>
      </c>
      <c r="T3622" t="s">
        <v>11100</v>
      </c>
      <c r="U3622" t="s">
        <v>11100</v>
      </c>
      <c r="V3622" t="s">
        <v>11100</v>
      </c>
      <c r="W3622" t="s">
        <v>14672</v>
      </c>
      <c r="X3622">
        <v>16</v>
      </c>
      <c r="Y3622" t="s">
        <v>20110</v>
      </c>
      <c r="Z3622" t="s">
        <v>25627</v>
      </c>
      <c r="AA3622">
        <v>0.5845976546253191</v>
      </c>
      <c r="AB3622" t="str">
        <f>HYPERLINK("Melting_Curves/meltCurve_Q7Z4H8_KDELC2.pdf", "Melting_Curves/meltCurve_Q7Z4H8_KDELC2.pdf")</f>
        <v>Melting_Curves/meltCurve_Q7Z4H8_KDELC2.pdf</v>
      </c>
    </row>
    <row r="3623" spans="1:28" x14ac:dyDescent="0.25">
      <c r="A3623" t="s">
        <v>3627</v>
      </c>
      <c r="B3623">
        <v>0.99299721793515405</v>
      </c>
      <c r="C3623">
        <v>0.88673308371131698</v>
      </c>
      <c r="D3623">
        <v>0.97438974807281697</v>
      </c>
      <c r="E3623">
        <v>0.90959792262326</v>
      </c>
      <c r="F3623">
        <v>0.72717787649857801</v>
      </c>
      <c r="G3623">
        <v>0.34136185326226298</v>
      </c>
      <c r="H3623">
        <v>0.19114630366907101</v>
      </c>
      <c r="I3623">
        <v>0.176500813021365</v>
      </c>
      <c r="J3623">
        <v>0.17097793336324299</v>
      </c>
      <c r="K3623">
        <v>0.144121789421878</v>
      </c>
      <c r="L3623">
        <v>1339.01634122065</v>
      </c>
      <c r="M3623">
        <v>26.047575187901199</v>
      </c>
      <c r="N3623">
        <v>52.128731350326099</v>
      </c>
      <c r="O3623">
        <v>51.106438174803102</v>
      </c>
      <c r="P3623">
        <v>-0.108120911027636</v>
      </c>
      <c r="Q3623">
        <v>0.15145859600429001</v>
      </c>
      <c r="R3623">
        <v>0.98757969849199501</v>
      </c>
      <c r="S3623" t="s">
        <v>9174</v>
      </c>
      <c r="T3623" t="s">
        <v>11100</v>
      </c>
      <c r="U3623" t="s">
        <v>11100</v>
      </c>
      <c r="V3623" t="s">
        <v>11100</v>
      </c>
      <c r="W3623" t="s">
        <v>14673</v>
      </c>
      <c r="X3623">
        <v>4</v>
      </c>
      <c r="Y3623" t="s">
        <v>20111</v>
      </c>
      <c r="Z3623" t="s">
        <v>25628</v>
      </c>
      <c r="AA3623">
        <v>0.56589953923240255</v>
      </c>
      <c r="AB3623" t="str">
        <f>HYPERLINK("Melting_Curves/meltCurve_Q7Z4I7_4_LIMS2.pdf", "Melting_Curves/meltCurve_Q7Z4I7_4_LIMS2.pdf")</f>
        <v>Melting_Curves/meltCurve_Q7Z4I7_4_LIMS2.pdf</v>
      </c>
    </row>
    <row r="3624" spans="1:28" x14ac:dyDescent="0.25">
      <c r="A3624" t="s">
        <v>3628</v>
      </c>
      <c r="B3624">
        <v>0.99299721793515405</v>
      </c>
      <c r="C3624">
        <v>0.96479112977625003</v>
      </c>
      <c r="D3624">
        <v>1.02070133742721</v>
      </c>
      <c r="E3624">
        <v>0.98925248600863303</v>
      </c>
      <c r="F3624">
        <v>0.71232207391072</v>
      </c>
      <c r="G3624">
        <v>0.50967881828337602</v>
      </c>
      <c r="H3624">
        <v>0.64326543486296595</v>
      </c>
      <c r="I3624">
        <v>0.59559570017705599</v>
      </c>
      <c r="J3624">
        <v>0.48298076906370802</v>
      </c>
      <c r="K3624">
        <v>0.48406856624091898</v>
      </c>
      <c r="L3624">
        <v>12523.357092508901</v>
      </c>
      <c r="M3624">
        <v>250</v>
      </c>
      <c r="O3624">
        <v>50.090229740711401</v>
      </c>
      <c r="P3624">
        <v>-0.57007400847212297</v>
      </c>
      <c r="Q3624">
        <v>0.54311785554945202</v>
      </c>
      <c r="R3624">
        <v>0.95151654855566403</v>
      </c>
      <c r="S3624" t="s">
        <v>9175</v>
      </c>
      <c r="T3624" t="s">
        <v>11100</v>
      </c>
      <c r="U3624" t="s">
        <v>11100</v>
      </c>
      <c r="V3624" t="s">
        <v>11100</v>
      </c>
      <c r="W3624" t="s">
        <v>14674</v>
      </c>
      <c r="X3624">
        <v>1</v>
      </c>
      <c r="Y3624" t="s">
        <v>20112</v>
      </c>
      <c r="Z3624" t="s">
        <v>25629</v>
      </c>
      <c r="AA3624">
        <v>0.74256314257864553</v>
      </c>
      <c r="AB3624" t="str">
        <f>HYPERLINK("Melting_Curves/meltCurve_Q7Z4K8_4_TRIM46.pdf", "Melting_Curves/meltCurve_Q7Z4K8_4_TRIM46.pdf")</f>
        <v>Melting_Curves/meltCurve_Q7Z4K8_4_TRIM46.pdf</v>
      </c>
    </row>
    <row r="3625" spans="1:28" x14ac:dyDescent="0.25">
      <c r="A3625" t="s">
        <v>3629</v>
      </c>
      <c r="B3625">
        <v>0.99299721793515405</v>
      </c>
      <c r="C3625">
        <v>0.97816274909367995</v>
      </c>
      <c r="D3625">
        <v>0.91879913369764099</v>
      </c>
      <c r="E3625">
        <v>0.89803298102585805</v>
      </c>
      <c r="F3625">
        <v>0.74768963303671898</v>
      </c>
      <c r="G3625">
        <v>0.36463642355843101</v>
      </c>
      <c r="H3625">
        <v>0.20879358488119101</v>
      </c>
      <c r="I3625">
        <v>0.187488127768692</v>
      </c>
      <c r="J3625">
        <v>0.166388017725593</v>
      </c>
      <c r="K3625">
        <v>0.14013388798281001</v>
      </c>
      <c r="L3625">
        <v>1206.94316073301</v>
      </c>
      <c r="M3625">
        <v>23.3725882398241</v>
      </c>
      <c r="N3625">
        <v>52.4166559125769</v>
      </c>
      <c r="O3625">
        <v>51.265678929644302</v>
      </c>
      <c r="P3625">
        <v>-9.7285070404877605E-2</v>
      </c>
      <c r="Q3625">
        <v>0.146470395617918</v>
      </c>
      <c r="R3625">
        <v>0.99220860220560303</v>
      </c>
      <c r="S3625" t="s">
        <v>9176</v>
      </c>
      <c r="T3625" t="s">
        <v>11100</v>
      </c>
      <c r="U3625" t="s">
        <v>11100</v>
      </c>
      <c r="V3625" t="s">
        <v>11100</v>
      </c>
      <c r="W3625" t="s">
        <v>14675</v>
      </c>
      <c r="X3625">
        <v>14</v>
      </c>
      <c r="Y3625" t="s">
        <v>20113</v>
      </c>
      <c r="Z3625" t="s">
        <v>25630</v>
      </c>
      <c r="AA3625">
        <v>0.57149646872567661</v>
      </c>
      <c r="AB3625" t="str">
        <f>HYPERLINK("Melting_Curves/meltCurve_Q7Z4Q2_HEATR3.pdf", "Melting_Curves/meltCurve_Q7Z4Q2_HEATR3.pdf")</f>
        <v>Melting_Curves/meltCurve_Q7Z4Q2_HEATR3.pdf</v>
      </c>
    </row>
    <row r="3626" spans="1:28" x14ac:dyDescent="0.25">
      <c r="A3626" t="s">
        <v>3630</v>
      </c>
      <c r="B3626">
        <v>0.99299721793515405</v>
      </c>
      <c r="C3626">
        <v>0.88850958769754396</v>
      </c>
      <c r="D3626">
        <v>1.0807561860080499</v>
      </c>
      <c r="E3626">
        <v>0.81913715139533305</v>
      </c>
      <c r="F3626">
        <v>0.79506079393161899</v>
      </c>
      <c r="G3626">
        <v>0.53959009605046204</v>
      </c>
      <c r="H3626">
        <v>0.23358008854485701</v>
      </c>
      <c r="I3626">
        <v>0.18607813136290299</v>
      </c>
      <c r="J3626">
        <v>0.191128389057898</v>
      </c>
      <c r="K3626">
        <v>0.24802558298817401</v>
      </c>
      <c r="L3626">
        <v>1048.9091705373301</v>
      </c>
      <c r="M3626">
        <v>19.964801850535601</v>
      </c>
      <c r="N3626">
        <v>53.676073487862404</v>
      </c>
      <c r="O3626">
        <v>52.019337081296797</v>
      </c>
      <c r="P3626">
        <v>-7.9393574871780503E-2</v>
      </c>
      <c r="Q3626">
        <v>0.17257062066120099</v>
      </c>
      <c r="R3626">
        <v>0.95836557953095503</v>
      </c>
      <c r="S3626" t="s">
        <v>9177</v>
      </c>
      <c r="T3626" t="s">
        <v>11100</v>
      </c>
      <c r="U3626" t="s">
        <v>11100</v>
      </c>
      <c r="V3626" t="s">
        <v>11100</v>
      </c>
      <c r="W3626" t="s">
        <v>14676</v>
      </c>
      <c r="X3626">
        <v>13</v>
      </c>
      <c r="Y3626" t="s">
        <v>20114</v>
      </c>
      <c r="Z3626" t="s">
        <v>25631</v>
      </c>
      <c r="AA3626">
        <v>0.61171040678709665</v>
      </c>
      <c r="AB3626" t="str">
        <f>HYPERLINK("Melting_Curves/meltCurve_Q7Z4V5_HDGFRP2.pdf", "Melting_Curves/meltCurve_Q7Z4V5_HDGFRP2.pdf")</f>
        <v>Melting_Curves/meltCurve_Q7Z4V5_HDGFRP2.pdf</v>
      </c>
    </row>
    <row r="3627" spans="1:28" x14ac:dyDescent="0.25">
      <c r="A3627" t="s">
        <v>3631</v>
      </c>
      <c r="B3627">
        <v>0.99299721793515405</v>
      </c>
      <c r="C3627">
        <v>0.94316465075053202</v>
      </c>
      <c r="D3627">
        <v>0.88253983225104804</v>
      </c>
      <c r="E3627">
        <v>0.84237633982865801</v>
      </c>
      <c r="F3627">
        <v>0.71699502181960995</v>
      </c>
      <c r="G3627">
        <v>0.61754207890992796</v>
      </c>
      <c r="H3627">
        <v>0.58190505725243402</v>
      </c>
      <c r="I3627">
        <v>0.45432743732025999</v>
      </c>
      <c r="J3627">
        <v>0.153731960141196</v>
      </c>
      <c r="K3627">
        <v>0.12456481030123701</v>
      </c>
      <c r="L3627">
        <v>490.51452442459203</v>
      </c>
      <c r="M3627">
        <v>8.6489231789585599</v>
      </c>
      <c r="N3627">
        <v>56.713939262638597</v>
      </c>
      <c r="O3627">
        <v>53.926520045753698</v>
      </c>
      <c r="P3627">
        <v>-4.0129704249942999E-2</v>
      </c>
      <c r="Q3627">
        <v>0</v>
      </c>
      <c r="R3627">
        <v>0.94318648538896399</v>
      </c>
      <c r="S3627" t="s">
        <v>9178</v>
      </c>
      <c r="T3627" t="s">
        <v>11100</v>
      </c>
      <c r="U3627" t="s">
        <v>11100</v>
      </c>
      <c r="V3627" t="s">
        <v>11100</v>
      </c>
      <c r="W3627" t="s">
        <v>14677</v>
      </c>
      <c r="X3627">
        <v>16</v>
      </c>
      <c r="Y3627" t="s">
        <v>20115</v>
      </c>
      <c r="Z3627" t="s">
        <v>25632</v>
      </c>
      <c r="AA3627">
        <v>0.65262329004409214</v>
      </c>
      <c r="AB3627" t="str">
        <f>HYPERLINK("Melting_Curves/meltCurve_Q7Z4W1_DCXR.pdf", "Melting_Curves/meltCurve_Q7Z4W1_DCXR.pdf")</f>
        <v>Melting_Curves/meltCurve_Q7Z4W1_DCXR.pdf</v>
      </c>
    </row>
    <row r="3628" spans="1:28" x14ac:dyDescent="0.25">
      <c r="A3628" t="s">
        <v>3632</v>
      </c>
      <c r="B3628">
        <v>0.99299721793515405</v>
      </c>
      <c r="C3628">
        <v>1.01976602945327</v>
      </c>
      <c r="D3628">
        <v>0.77358829846733201</v>
      </c>
      <c r="E3628">
        <v>0.72417898429835403</v>
      </c>
      <c r="F3628">
        <v>0.838003771528403</v>
      </c>
      <c r="G3628">
        <v>0.565048122942025</v>
      </c>
      <c r="H3628">
        <v>0.68181153427619401</v>
      </c>
      <c r="I3628">
        <v>0.60048705969684202</v>
      </c>
      <c r="J3628">
        <v>0.43696120166473301</v>
      </c>
      <c r="K3628">
        <v>0.30831144808142102</v>
      </c>
      <c r="L3628">
        <v>289.71563239051198</v>
      </c>
      <c r="M3628">
        <v>4.7153079999158196</v>
      </c>
      <c r="N3628">
        <v>61.441507694376902</v>
      </c>
      <c r="O3628">
        <v>52.863567147987801</v>
      </c>
      <c r="P3628">
        <v>-2.24661945624865E-2</v>
      </c>
      <c r="Q3628">
        <v>0</v>
      </c>
      <c r="R3628">
        <v>0.83458485221998402</v>
      </c>
      <c r="S3628" t="s">
        <v>9179</v>
      </c>
      <c r="T3628" t="s">
        <v>11100</v>
      </c>
      <c r="U3628" t="s">
        <v>11100</v>
      </c>
      <c r="V3628" t="s">
        <v>11100</v>
      </c>
      <c r="W3628" t="s">
        <v>14678</v>
      </c>
      <c r="X3628">
        <v>3</v>
      </c>
      <c r="Y3628" t="s">
        <v>20116</v>
      </c>
      <c r="Z3628" t="s">
        <v>25633</v>
      </c>
      <c r="AA3628">
        <v>0.69565624239418244</v>
      </c>
      <c r="AB3628" t="str">
        <f>HYPERLINK("Melting_Curves/meltCurve_Q7Z5G4_3_GOLGA7.pdf", "Melting_Curves/meltCurve_Q7Z5G4_3_GOLGA7.pdf")</f>
        <v>Melting_Curves/meltCurve_Q7Z5G4_3_GOLGA7.pdf</v>
      </c>
    </row>
    <row r="3629" spans="1:28" x14ac:dyDescent="0.25">
      <c r="A3629" t="s">
        <v>3633</v>
      </c>
      <c r="B3629">
        <v>0.99299721793515405</v>
      </c>
      <c r="C3629">
        <v>1.0854019231476899</v>
      </c>
      <c r="D3629">
        <v>1.0958274333820199</v>
      </c>
      <c r="E3629">
        <v>1.01775428263263</v>
      </c>
      <c r="F3629">
        <v>0.70695498099822995</v>
      </c>
      <c r="G3629">
        <v>0.26673561226551301</v>
      </c>
      <c r="H3629">
        <v>0.20436460126942499</v>
      </c>
      <c r="I3629">
        <v>0.15449072737290001</v>
      </c>
      <c r="J3629">
        <v>0.15871833218738199</v>
      </c>
      <c r="K3629">
        <v>0.12013368121866699</v>
      </c>
      <c r="L3629">
        <v>1945.1280456301699</v>
      </c>
      <c r="M3629">
        <v>38.072216333323503</v>
      </c>
      <c r="N3629">
        <v>51.596305342376702</v>
      </c>
      <c r="O3629">
        <v>50.950142696300198</v>
      </c>
      <c r="P3629">
        <v>-0.157715880985315</v>
      </c>
      <c r="Q3629">
        <v>0.15574902993169301</v>
      </c>
      <c r="R3629">
        <v>0.98781978824007199</v>
      </c>
      <c r="S3629" t="s">
        <v>9180</v>
      </c>
      <c r="T3629" t="s">
        <v>11100</v>
      </c>
      <c r="U3629" t="s">
        <v>11100</v>
      </c>
      <c r="V3629" t="s">
        <v>11100</v>
      </c>
      <c r="W3629" t="s">
        <v>14679</v>
      </c>
      <c r="X3629">
        <v>9</v>
      </c>
      <c r="Y3629" t="s">
        <v>20117</v>
      </c>
      <c r="Z3629" t="s">
        <v>25634</v>
      </c>
      <c r="AA3629">
        <v>0.5555660435756512</v>
      </c>
      <c r="AB3629" t="str">
        <f>HYPERLINK("Melting_Curves/meltCurve_Q7Z5K2_WAPAL.pdf", "Melting_Curves/meltCurve_Q7Z5K2_WAPAL.pdf")</f>
        <v>Melting_Curves/meltCurve_Q7Z5K2_WAPAL.pdf</v>
      </c>
    </row>
    <row r="3630" spans="1:28" x14ac:dyDescent="0.25">
      <c r="A3630" t="s">
        <v>3634</v>
      </c>
      <c r="B3630">
        <v>0.99299721793515405</v>
      </c>
      <c r="C3630">
        <v>0.79397166554570497</v>
      </c>
      <c r="D3630">
        <v>0.86971772254027202</v>
      </c>
      <c r="E3630">
        <v>0.742691333670495</v>
      </c>
      <c r="F3630">
        <v>0.64342609425488695</v>
      </c>
      <c r="G3630">
        <v>0.33996987535937301</v>
      </c>
      <c r="H3630">
        <v>0.37150101252801498</v>
      </c>
      <c r="I3630">
        <v>0.37457096411496499</v>
      </c>
      <c r="J3630">
        <v>0.40170562983111102</v>
      </c>
      <c r="K3630">
        <v>0.29803954797023802</v>
      </c>
      <c r="L3630">
        <v>485.043129404453</v>
      </c>
      <c r="M3630">
        <v>10.058878785313</v>
      </c>
      <c r="N3630">
        <v>52.462916386159101</v>
      </c>
      <c r="O3630">
        <v>46.430886669395697</v>
      </c>
      <c r="P3630">
        <v>-3.9104440135372003E-2</v>
      </c>
      <c r="Q3630">
        <v>0.27833291787187597</v>
      </c>
      <c r="R3630">
        <v>0.91901191956414496</v>
      </c>
      <c r="S3630" t="s">
        <v>9181</v>
      </c>
      <c r="T3630" t="s">
        <v>11100</v>
      </c>
      <c r="U3630" t="s">
        <v>11100</v>
      </c>
      <c r="V3630" t="s">
        <v>11100</v>
      </c>
      <c r="W3630" t="s">
        <v>14680</v>
      </c>
      <c r="X3630">
        <v>7</v>
      </c>
      <c r="Y3630" t="s">
        <v>20118</v>
      </c>
      <c r="Z3630" t="s">
        <v>25635</v>
      </c>
      <c r="AA3630">
        <v>0.57654617701194699</v>
      </c>
      <c r="AB3630" t="str">
        <f>HYPERLINK("Melting_Curves/meltCurve_Q7Z5L2_2_R3HCC1L.pdf", "Melting_Curves/meltCurve_Q7Z5L2_2_R3HCC1L.pdf")</f>
        <v>Melting_Curves/meltCurve_Q7Z5L2_2_R3HCC1L.pdf</v>
      </c>
    </row>
    <row r="3631" spans="1:28" x14ac:dyDescent="0.25">
      <c r="A3631" t="s">
        <v>3635</v>
      </c>
      <c r="B3631">
        <v>0.99299721793515405</v>
      </c>
      <c r="C3631">
        <v>1.00353760597341</v>
      </c>
      <c r="D3631">
        <v>1.0941120890146501</v>
      </c>
      <c r="E3631">
        <v>0.88033588498495896</v>
      </c>
      <c r="F3631">
        <v>0.78807079458686802</v>
      </c>
      <c r="G3631">
        <v>0.58681061132721501</v>
      </c>
      <c r="H3631">
        <v>0.55377011922179498</v>
      </c>
      <c r="I3631">
        <v>0.53820083866220103</v>
      </c>
      <c r="J3631">
        <v>0.498881776713898</v>
      </c>
      <c r="K3631">
        <v>0.42087513914846802</v>
      </c>
      <c r="L3631">
        <v>965.46164759116198</v>
      </c>
      <c r="M3631">
        <v>18.9642974610477</v>
      </c>
      <c r="N3631">
        <v>60.418518603194201</v>
      </c>
      <c r="O3631">
        <v>50.353491260985201</v>
      </c>
      <c r="P3631">
        <v>-4.9459824265960899E-2</v>
      </c>
      <c r="Q3631">
        <v>0.47472352822151198</v>
      </c>
      <c r="R3631">
        <v>0.96127267613564904</v>
      </c>
      <c r="S3631" t="s">
        <v>9182</v>
      </c>
      <c r="T3631" t="s">
        <v>11100</v>
      </c>
      <c r="U3631" t="s">
        <v>11100</v>
      </c>
      <c r="V3631" t="s">
        <v>11100</v>
      </c>
      <c r="W3631" t="s">
        <v>14681</v>
      </c>
      <c r="X3631">
        <v>12</v>
      </c>
      <c r="Y3631" t="s">
        <v>20119</v>
      </c>
      <c r="Z3631" t="s">
        <v>25636</v>
      </c>
      <c r="AA3631">
        <v>0.72577912141361034</v>
      </c>
      <c r="AB3631" t="str">
        <f>HYPERLINK("Melting_Curves/meltCurve_Q7Z5L9_IRF2BP2.pdf", "Melting_Curves/meltCurve_Q7Z5L9_IRF2BP2.pdf")</f>
        <v>Melting_Curves/meltCurve_Q7Z5L9_IRF2BP2.pdf</v>
      </c>
    </row>
    <row r="3632" spans="1:28" x14ac:dyDescent="0.25">
      <c r="A3632" t="s">
        <v>3636</v>
      </c>
      <c r="B3632">
        <v>0.99299721793515405</v>
      </c>
      <c r="C3632">
        <v>0.81418311081216699</v>
      </c>
      <c r="D3632">
        <v>0.96651852914840597</v>
      </c>
      <c r="E3632">
        <v>0.834517740321157</v>
      </c>
      <c r="F3632">
        <v>0.75782923089656995</v>
      </c>
      <c r="G3632">
        <v>0.58929602229988598</v>
      </c>
      <c r="H3632">
        <v>0.41655524205640398</v>
      </c>
      <c r="I3632">
        <v>0.42309058533104599</v>
      </c>
      <c r="J3632">
        <v>0.306695824759046</v>
      </c>
      <c r="K3632">
        <v>0.150115530170323</v>
      </c>
      <c r="L3632">
        <v>442.60079436362201</v>
      </c>
      <c r="M3632">
        <v>7.8521096836451303</v>
      </c>
      <c r="N3632">
        <v>56.367118139750801</v>
      </c>
      <c r="O3632">
        <v>53.062139954873203</v>
      </c>
      <c r="P3632">
        <v>-3.7039735176159598E-2</v>
      </c>
      <c r="Q3632">
        <v>0</v>
      </c>
      <c r="R3632">
        <v>0.94956673152472704</v>
      </c>
      <c r="S3632" t="s">
        <v>9183</v>
      </c>
      <c r="T3632" t="s">
        <v>11100</v>
      </c>
      <c r="U3632" t="s">
        <v>11100</v>
      </c>
      <c r="V3632" t="s">
        <v>11100</v>
      </c>
      <c r="W3632" t="s">
        <v>14682</v>
      </c>
      <c r="X3632">
        <v>2</v>
      </c>
      <c r="Y3632" t="s">
        <v>20120</v>
      </c>
      <c r="Z3632" t="s">
        <v>25637</v>
      </c>
      <c r="AA3632">
        <v>0.63968126782233103</v>
      </c>
      <c r="AB3632" t="str">
        <f>HYPERLINK("Melting_Curves/meltCurve_Q7Z5U6_WDR53.pdf", "Melting_Curves/meltCurve_Q7Z5U6_WDR53.pdf")</f>
        <v>Melting_Curves/meltCurve_Q7Z5U6_WDR53.pdf</v>
      </c>
    </row>
    <row r="3633" spans="1:28" x14ac:dyDescent="0.25">
      <c r="A3633" t="s">
        <v>3637</v>
      </c>
      <c r="B3633">
        <v>0.99299721793515405</v>
      </c>
      <c r="C3633">
        <v>0.94090722996473297</v>
      </c>
      <c r="D3633">
        <v>0.92631857859820199</v>
      </c>
      <c r="E3633">
        <v>0.93915987642007503</v>
      </c>
      <c r="F3633">
        <v>0.90760172609235701</v>
      </c>
      <c r="G3633">
        <v>0.567750865197441</v>
      </c>
      <c r="H3633">
        <v>0.56819001838601102</v>
      </c>
      <c r="I3633">
        <v>0.36594309715642098</v>
      </c>
      <c r="J3633">
        <v>0.16559277772386799</v>
      </c>
      <c r="K3633">
        <v>0.15837720716189299</v>
      </c>
      <c r="L3633">
        <v>661.32642591090496</v>
      </c>
      <c r="M3633">
        <v>11.5442092158401</v>
      </c>
      <c r="N3633">
        <v>57.286420787742699</v>
      </c>
      <c r="O3633">
        <v>55.648339008233201</v>
      </c>
      <c r="P3633">
        <v>-5.1876849679649402E-2</v>
      </c>
      <c r="Q3633">
        <v>0</v>
      </c>
      <c r="R3633">
        <v>0.96654672324948698</v>
      </c>
      <c r="S3633" t="s">
        <v>9184</v>
      </c>
      <c r="T3633" t="s">
        <v>11100</v>
      </c>
      <c r="U3633" t="s">
        <v>11100</v>
      </c>
      <c r="V3633" t="s">
        <v>11100</v>
      </c>
      <c r="W3633" t="s">
        <v>14683</v>
      </c>
      <c r="X3633">
        <v>1</v>
      </c>
      <c r="Y3633" t="s">
        <v>20121</v>
      </c>
      <c r="Z3633" t="s">
        <v>25638</v>
      </c>
      <c r="AA3633">
        <v>0.67817454588923787</v>
      </c>
      <c r="AB3633" t="str">
        <f>HYPERLINK("Melting_Curves/meltCurve_Q7Z5W3_BCDIN3D.pdf", "Melting_Curves/meltCurve_Q7Z5W3_BCDIN3D.pdf")</f>
        <v>Melting_Curves/meltCurve_Q7Z5W3_BCDIN3D.pdf</v>
      </c>
    </row>
    <row r="3634" spans="1:28" x14ac:dyDescent="0.25">
      <c r="A3634" t="s">
        <v>3638</v>
      </c>
      <c r="B3634">
        <v>0.99299721793515405</v>
      </c>
      <c r="C3634">
        <v>1.2301939237480599</v>
      </c>
      <c r="D3634">
        <v>1.0065991162760899</v>
      </c>
      <c r="E3634">
        <v>1.09503913971487</v>
      </c>
      <c r="F3634">
        <v>1.0271435748334501</v>
      </c>
      <c r="G3634">
        <v>0.72861649817316998</v>
      </c>
      <c r="H3634">
        <v>0.86979725067378999</v>
      </c>
      <c r="I3634">
        <v>0.93141231569421901</v>
      </c>
      <c r="J3634">
        <v>1.24435299845355</v>
      </c>
      <c r="K3634">
        <v>0.81457766641102403</v>
      </c>
      <c r="L3634">
        <v>15000</v>
      </c>
      <c r="M3634">
        <v>222.40046602539499</v>
      </c>
      <c r="Q3634">
        <v>0</v>
      </c>
      <c r="R3634">
        <v>0.135078596366346</v>
      </c>
      <c r="S3634" t="s">
        <v>9185</v>
      </c>
      <c r="T3634" t="s">
        <v>11100</v>
      </c>
      <c r="U3634" t="s">
        <v>11100</v>
      </c>
      <c r="V3634" t="s">
        <v>11100</v>
      </c>
      <c r="W3634" t="s">
        <v>14684</v>
      </c>
      <c r="X3634">
        <v>1</v>
      </c>
      <c r="Y3634" t="s">
        <v>20122</v>
      </c>
      <c r="Z3634" t="s">
        <v>25639</v>
      </c>
      <c r="AA3634">
        <v>0.99797331113874188</v>
      </c>
      <c r="AB3634" t="str">
        <f>HYPERLINK("Melting_Curves/meltCurve_Q7Z5Y7_KCTD20.pdf", "Melting_Curves/meltCurve_Q7Z5Y7_KCTD20.pdf")</f>
        <v>Melting_Curves/meltCurve_Q7Z5Y7_KCTD20.pdf</v>
      </c>
    </row>
    <row r="3635" spans="1:28" x14ac:dyDescent="0.25">
      <c r="A3635" t="s">
        <v>3639</v>
      </c>
      <c r="B3635">
        <v>0.99299721793515405</v>
      </c>
      <c r="C3635">
        <v>0.83144431139540098</v>
      </c>
      <c r="D3635">
        <v>0.82318112298243995</v>
      </c>
      <c r="E3635">
        <v>0.60550747929087401</v>
      </c>
      <c r="F3635">
        <v>0.52906235527966505</v>
      </c>
      <c r="G3635">
        <v>0.16306412571536499</v>
      </c>
      <c r="H3635">
        <v>0.14906267232951001</v>
      </c>
      <c r="I3635">
        <v>8.42913131405576E-2</v>
      </c>
      <c r="J3635">
        <v>0.19027240002578699</v>
      </c>
      <c r="K3635">
        <v>8.7249199727834403E-2</v>
      </c>
      <c r="L3635">
        <v>551.92194056809103</v>
      </c>
      <c r="M3635">
        <v>11.462565671127299</v>
      </c>
      <c r="N3635">
        <v>48.594202813319399</v>
      </c>
      <c r="O3635">
        <v>46.7543767613952</v>
      </c>
      <c r="P3635">
        <v>-5.8259279414415402E-2</v>
      </c>
      <c r="Q3635">
        <v>4.9744208481425398E-2</v>
      </c>
      <c r="R3635">
        <v>0.96129045705058203</v>
      </c>
      <c r="S3635" t="s">
        <v>9186</v>
      </c>
      <c r="T3635" t="s">
        <v>11100</v>
      </c>
      <c r="U3635" t="s">
        <v>11100</v>
      </c>
      <c r="V3635" t="s">
        <v>11100</v>
      </c>
      <c r="W3635" t="s">
        <v>14685</v>
      </c>
      <c r="X3635">
        <v>2</v>
      </c>
      <c r="Y3635" t="s">
        <v>20123</v>
      </c>
      <c r="Z3635" t="s">
        <v>25640</v>
      </c>
      <c r="AA3635">
        <v>0.43443312139836288</v>
      </c>
      <c r="AB3635" t="str">
        <f>HYPERLINK("Melting_Curves/meltCurve_Q7Z624_CAMKMT.pdf", "Melting_Curves/meltCurve_Q7Z624_CAMKMT.pdf")</f>
        <v>Melting_Curves/meltCurve_Q7Z624_CAMKMT.pdf</v>
      </c>
    </row>
    <row r="3636" spans="1:28" x14ac:dyDescent="0.25">
      <c r="A3636" t="s">
        <v>3640</v>
      </c>
      <c r="B3636">
        <v>0.99299721793515405</v>
      </c>
      <c r="C3636">
        <v>0.97723581514704805</v>
      </c>
      <c r="D3636">
        <v>0.89057941659001905</v>
      </c>
      <c r="E3636">
        <v>0.79536491532094</v>
      </c>
      <c r="F3636">
        <v>0.59716033637128196</v>
      </c>
      <c r="G3636">
        <v>0.360961022204842</v>
      </c>
      <c r="H3636">
        <v>0.24654228888535501</v>
      </c>
      <c r="I3636">
        <v>0.138324404392101</v>
      </c>
      <c r="J3636">
        <v>0.120543128160554</v>
      </c>
      <c r="K3636">
        <v>9.3504658920533598E-2</v>
      </c>
      <c r="L3636">
        <v>644.67832031218904</v>
      </c>
      <c r="M3636">
        <v>12.5925922259904</v>
      </c>
      <c r="N3636">
        <v>51.5565926430167</v>
      </c>
      <c r="O3636">
        <v>49.955450813743496</v>
      </c>
      <c r="P3636">
        <v>-6.0367997504221602E-2</v>
      </c>
      <c r="Q3636">
        <v>4.2259991669567801E-2</v>
      </c>
      <c r="R3636">
        <v>0.99836418627317303</v>
      </c>
      <c r="S3636" t="s">
        <v>9187</v>
      </c>
      <c r="T3636" t="s">
        <v>11100</v>
      </c>
      <c r="U3636" t="s">
        <v>11100</v>
      </c>
      <c r="V3636" t="s">
        <v>11100</v>
      </c>
      <c r="W3636" t="s">
        <v>14686</v>
      </c>
      <c r="X3636">
        <v>1</v>
      </c>
      <c r="Y3636" t="s">
        <v>20124</v>
      </c>
      <c r="Z3636" t="s">
        <v>25641</v>
      </c>
      <c r="AA3636">
        <v>0.51882201061914124</v>
      </c>
      <c r="AB3636" t="str">
        <f>HYPERLINK("Melting_Curves/meltCurve_Q7Z674_DKFZp779C2259.pdf", "Melting_Curves/meltCurve_Q7Z674_DKFZp779C2259.pdf")</f>
        <v>Melting_Curves/meltCurve_Q7Z674_DKFZp779C2259.pdf</v>
      </c>
    </row>
    <row r="3637" spans="1:28" x14ac:dyDescent="0.25">
      <c r="A3637" t="s">
        <v>3641</v>
      </c>
      <c r="B3637">
        <v>0.99299721793515405</v>
      </c>
      <c r="C3637">
        <v>0.88383185097393102</v>
      </c>
      <c r="D3637">
        <v>1.15107802307469</v>
      </c>
      <c r="E3637">
        <v>0.860745441764319</v>
      </c>
      <c r="F3637">
        <v>0.77267476074558095</v>
      </c>
      <c r="G3637">
        <v>0.64977306620877995</v>
      </c>
      <c r="H3637">
        <v>0.25117910939833599</v>
      </c>
      <c r="I3637">
        <v>0.284011300197619</v>
      </c>
      <c r="J3637">
        <v>0.18847406786169299</v>
      </c>
      <c r="K3637">
        <v>0.26051837753292301</v>
      </c>
      <c r="L3637">
        <v>1002.82460247443</v>
      </c>
      <c r="M3637">
        <v>18.855621673398002</v>
      </c>
      <c r="N3637">
        <v>54.592415824459103</v>
      </c>
      <c r="O3637">
        <v>52.597005862382701</v>
      </c>
      <c r="P3637">
        <v>-7.2368446040714296E-2</v>
      </c>
      <c r="Q3637">
        <v>0.19255757274654101</v>
      </c>
      <c r="R3637">
        <v>0.93682410868247201</v>
      </c>
      <c r="S3637" t="s">
        <v>9188</v>
      </c>
      <c r="T3637" t="s">
        <v>11100</v>
      </c>
      <c r="U3637" t="s">
        <v>11100</v>
      </c>
      <c r="V3637" t="s">
        <v>11100</v>
      </c>
      <c r="W3637" t="s">
        <v>14687</v>
      </c>
      <c r="X3637">
        <v>3</v>
      </c>
      <c r="Y3637" t="s">
        <v>20125</v>
      </c>
      <c r="Z3637" t="s">
        <v>25642</v>
      </c>
      <c r="AA3637">
        <v>0.63911532435577978</v>
      </c>
      <c r="AB3637" t="str">
        <f>HYPERLINK("Melting_Curves/meltCurve_Q7Z6B0_2_CCDC91.pdf", "Melting_Curves/meltCurve_Q7Z6B0_2_CCDC91.pdf")</f>
        <v>Melting_Curves/meltCurve_Q7Z6B0_2_CCDC91.pdf</v>
      </c>
    </row>
    <row r="3638" spans="1:28" x14ac:dyDescent="0.25">
      <c r="A3638" t="s">
        <v>3642</v>
      </c>
      <c r="B3638">
        <v>0.99299721793515405</v>
      </c>
      <c r="C3638">
        <v>0.923008919589968</v>
      </c>
      <c r="D3638">
        <v>0.89107110268802003</v>
      </c>
      <c r="E3638">
        <v>0.79968900005361698</v>
      </c>
      <c r="F3638">
        <v>0.57882017395917995</v>
      </c>
      <c r="G3638">
        <v>0.32924315791446901</v>
      </c>
      <c r="H3638">
        <v>0.24911605625920799</v>
      </c>
      <c r="I3638">
        <v>0.22864715640581301</v>
      </c>
      <c r="J3638">
        <v>0.19486892939059899</v>
      </c>
      <c r="K3638">
        <v>0.142222056806248</v>
      </c>
      <c r="L3638">
        <v>698.60472911370198</v>
      </c>
      <c r="M3638">
        <v>13.9749784268552</v>
      </c>
      <c r="N3638">
        <v>51.168185465949001</v>
      </c>
      <c r="O3638">
        <v>48.999458903415899</v>
      </c>
      <c r="P3638">
        <v>-6.1498506065402497E-2</v>
      </c>
      <c r="Q3638">
        <v>0.137603819302382</v>
      </c>
      <c r="R3638">
        <v>0.99211315755333895</v>
      </c>
      <c r="S3638" t="s">
        <v>9189</v>
      </c>
      <c r="T3638" t="s">
        <v>11100</v>
      </c>
      <c r="U3638" t="s">
        <v>11100</v>
      </c>
      <c r="V3638" t="s">
        <v>11100</v>
      </c>
      <c r="W3638" t="s">
        <v>14688</v>
      </c>
      <c r="X3638">
        <v>5</v>
      </c>
      <c r="Y3638" t="s">
        <v>20126</v>
      </c>
      <c r="Z3638" t="s">
        <v>25643</v>
      </c>
      <c r="AA3638">
        <v>0.53092997802159203</v>
      </c>
      <c r="AB3638" t="str">
        <f>HYPERLINK("Melting_Curves/meltCurve_Q7Z6E9_2_RBBP6.pdf", "Melting_Curves/meltCurve_Q7Z6E9_2_RBBP6.pdf")</f>
        <v>Melting_Curves/meltCurve_Q7Z6E9_2_RBBP6.pdf</v>
      </c>
    </row>
    <row r="3639" spans="1:28" x14ac:dyDescent="0.25">
      <c r="A3639" t="s">
        <v>3643</v>
      </c>
      <c r="B3639">
        <v>0.99299721793515405</v>
      </c>
      <c r="C3639">
        <v>0.988113485597098</v>
      </c>
      <c r="D3639">
        <v>0.94141069505998998</v>
      </c>
      <c r="E3639">
        <v>0.81143577895282604</v>
      </c>
      <c r="F3639">
        <v>0.86695975518856205</v>
      </c>
      <c r="G3639">
        <v>0.51341925769524899</v>
      </c>
      <c r="H3639">
        <v>0.64777846340227896</v>
      </c>
      <c r="I3639">
        <v>0.60376380760028803</v>
      </c>
      <c r="J3639">
        <v>0.53013053571310997</v>
      </c>
      <c r="K3639">
        <v>0.18389614106011701</v>
      </c>
      <c r="L3639">
        <v>377.55113667374297</v>
      </c>
      <c r="M3639">
        <v>6.2171006555083199</v>
      </c>
      <c r="N3639">
        <v>60.727846857908197</v>
      </c>
      <c r="O3639">
        <v>55.349400611134001</v>
      </c>
      <c r="P3639">
        <v>-2.8161228116580301E-2</v>
      </c>
      <c r="Q3639">
        <v>0</v>
      </c>
      <c r="R3639">
        <v>0.83510760518856697</v>
      </c>
      <c r="S3639" t="s">
        <v>9190</v>
      </c>
      <c r="T3639" t="s">
        <v>11100</v>
      </c>
      <c r="U3639" t="s">
        <v>11100</v>
      </c>
      <c r="V3639" t="s">
        <v>11100</v>
      </c>
      <c r="W3639" t="s">
        <v>14689</v>
      </c>
      <c r="X3639">
        <v>2</v>
      </c>
      <c r="Y3639" t="s">
        <v>20127</v>
      </c>
      <c r="Z3639" t="s">
        <v>25644</v>
      </c>
      <c r="AA3639">
        <v>0.71422190160294885</v>
      </c>
      <c r="AB3639" t="str">
        <f>HYPERLINK("Melting_Curves/meltCurve_Q7Z6I8_C5orf24.pdf", "Melting_Curves/meltCurve_Q7Z6I8_C5orf24.pdf")</f>
        <v>Melting_Curves/meltCurve_Q7Z6I8_C5orf24.pdf</v>
      </c>
    </row>
    <row r="3640" spans="1:28" x14ac:dyDescent="0.25">
      <c r="A3640" t="s">
        <v>3644</v>
      </c>
      <c r="B3640">
        <v>0.99299721793515405</v>
      </c>
      <c r="C3640">
        <v>0.805532973946262</v>
      </c>
      <c r="D3640">
        <v>0.84453434758018897</v>
      </c>
      <c r="E3640">
        <v>0.90962770875083998</v>
      </c>
      <c r="F3640">
        <v>0.59816233631984195</v>
      </c>
      <c r="G3640">
        <v>0.34224860329539403</v>
      </c>
      <c r="H3640">
        <v>0.15662500395430301</v>
      </c>
      <c r="I3640">
        <v>6.5678730765437607E-2</v>
      </c>
      <c r="J3640">
        <v>5.54655355387964E-2</v>
      </c>
      <c r="K3640">
        <v>0</v>
      </c>
      <c r="L3640">
        <v>796.06780869149804</v>
      </c>
      <c r="M3640">
        <v>15.456013052567499</v>
      </c>
      <c r="N3640">
        <v>51.505378956456497</v>
      </c>
      <c r="O3640">
        <v>50.666280544483399</v>
      </c>
      <c r="P3640">
        <v>-7.6270654576349406E-2</v>
      </c>
      <c r="Q3640">
        <v>0</v>
      </c>
      <c r="R3640">
        <v>0.96255985754908202</v>
      </c>
      <c r="S3640" t="s">
        <v>9191</v>
      </c>
      <c r="T3640" t="s">
        <v>11100</v>
      </c>
      <c r="U3640" t="s">
        <v>11100</v>
      </c>
      <c r="V3640" t="s">
        <v>11100</v>
      </c>
      <c r="W3640" t="s">
        <v>14690</v>
      </c>
      <c r="X3640">
        <v>1</v>
      </c>
      <c r="Y3640" t="s">
        <v>20128</v>
      </c>
      <c r="Z3640" t="s">
        <v>25645</v>
      </c>
      <c r="AA3640">
        <v>0.50244785430195271</v>
      </c>
      <c r="AB3640" t="str">
        <f>HYPERLINK("Melting_Curves/meltCurve_Q7Z6J0_SH3RF1.pdf", "Melting_Curves/meltCurve_Q7Z6J0_SH3RF1.pdf")</f>
        <v>Melting_Curves/meltCurve_Q7Z6J0_SH3RF1.pdf</v>
      </c>
    </row>
    <row r="3641" spans="1:28" x14ac:dyDescent="0.25">
      <c r="A3641" t="s">
        <v>3645</v>
      </c>
      <c r="B3641">
        <v>0.99299721793515405</v>
      </c>
      <c r="C3641">
        <v>0.91954603992366302</v>
      </c>
      <c r="D3641">
        <v>0.89152198126976201</v>
      </c>
      <c r="E3641">
        <v>0.76445918732209095</v>
      </c>
      <c r="F3641">
        <v>0.68079214481689998</v>
      </c>
      <c r="G3641">
        <v>0.44441762368790899</v>
      </c>
      <c r="H3641">
        <v>0.45816862744235098</v>
      </c>
      <c r="I3641">
        <v>0.38981108836459999</v>
      </c>
      <c r="J3641">
        <v>0.31465182910854</v>
      </c>
      <c r="K3641">
        <v>0.274894862123223</v>
      </c>
      <c r="L3641">
        <v>462.41901899422402</v>
      </c>
      <c r="M3641">
        <v>9.0262042634095394</v>
      </c>
      <c r="N3641">
        <v>54.476760807339403</v>
      </c>
      <c r="O3641">
        <v>48.903668633962297</v>
      </c>
      <c r="P3641">
        <v>-3.6571633552941699E-2</v>
      </c>
      <c r="Q3641">
        <v>0.207993397085764</v>
      </c>
      <c r="R3641">
        <v>0.98356694229742403</v>
      </c>
      <c r="S3641" t="s">
        <v>9192</v>
      </c>
      <c r="T3641" t="s">
        <v>11100</v>
      </c>
      <c r="U3641" t="s">
        <v>11100</v>
      </c>
      <c r="V3641" t="s">
        <v>11100</v>
      </c>
      <c r="W3641" t="s">
        <v>14691</v>
      </c>
      <c r="X3641">
        <v>3</v>
      </c>
      <c r="Y3641" t="s">
        <v>20129</v>
      </c>
      <c r="Z3641" t="s">
        <v>25646</v>
      </c>
      <c r="AA3641">
        <v>0.60868676390888665</v>
      </c>
      <c r="AB3641" t="str">
        <f>HYPERLINK("Melting_Curves/meltCurve_Q7Z6J8_UBE3D.pdf", "Melting_Curves/meltCurve_Q7Z6J8_UBE3D.pdf")</f>
        <v>Melting_Curves/meltCurve_Q7Z6J8_UBE3D.pdf</v>
      </c>
    </row>
    <row r="3642" spans="1:28" x14ac:dyDescent="0.25">
      <c r="A3642" t="s">
        <v>3646</v>
      </c>
      <c r="B3642">
        <v>0.99299721793515405</v>
      </c>
      <c r="C3642">
        <v>0.86725110639627501</v>
      </c>
      <c r="D3642">
        <v>0.93316592722563096</v>
      </c>
      <c r="E3642">
        <v>0.79316158701355199</v>
      </c>
      <c r="F3642">
        <v>0.73631274820066495</v>
      </c>
      <c r="G3642">
        <v>0.38251017288553801</v>
      </c>
      <c r="H3642">
        <v>0.22537750900512199</v>
      </c>
      <c r="I3642">
        <v>0.191572080619969</v>
      </c>
      <c r="J3642">
        <v>0.193343493080775</v>
      </c>
      <c r="K3642">
        <v>0.18230120508365799</v>
      </c>
      <c r="L3642">
        <v>775.81072976797896</v>
      </c>
      <c r="M3642">
        <v>15.1260714586736</v>
      </c>
      <c r="N3642">
        <v>52.343415300333398</v>
      </c>
      <c r="O3642">
        <v>50.418238859849602</v>
      </c>
      <c r="P3642">
        <v>-6.5164409034813797E-2</v>
      </c>
      <c r="Q3642">
        <v>0.131260600837981</v>
      </c>
      <c r="R3642">
        <v>0.96890171536396996</v>
      </c>
      <c r="S3642" t="s">
        <v>9193</v>
      </c>
      <c r="T3642" t="s">
        <v>11100</v>
      </c>
      <c r="U3642" t="s">
        <v>11100</v>
      </c>
      <c r="V3642" t="s">
        <v>11100</v>
      </c>
      <c r="W3642" t="s">
        <v>14692</v>
      </c>
      <c r="X3642">
        <v>3</v>
      </c>
      <c r="Y3642" t="s">
        <v>20130</v>
      </c>
      <c r="Z3642" t="s">
        <v>25647</v>
      </c>
      <c r="AA3642">
        <v>0.56213794028931474</v>
      </c>
      <c r="AB3642" t="str">
        <f>HYPERLINK("Melting_Curves/meltCurve_Q7Z6J9_TSEN54.pdf", "Melting_Curves/meltCurve_Q7Z6J9_TSEN54.pdf")</f>
        <v>Melting_Curves/meltCurve_Q7Z6J9_TSEN54.pdf</v>
      </c>
    </row>
    <row r="3643" spans="1:28" x14ac:dyDescent="0.25">
      <c r="A3643" t="s">
        <v>3647</v>
      </c>
      <c r="B3643">
        <v>0.99299721793515405</v>
      </c>
      <c r="C3643">
        <v>1.2619840544112899</v>
      </c>
      <c r="D3643">
        <v>2.0509757638404</v>
      </c>
      <c r="E3643">
        <v>1.49287856580016</v>
      </c>
      <c r="F3643">
        <v>1.60465697595032</v>
      </c>
      <c r="G3643">
        <v>0</v>
      </c>
      <c r="H3643">
        <v>0</v>
      </c>
      <c r="I3643">
        <v>0.80481119359070596</v>
      </c>
      <c r="J3643">
        <v>0</v>
      </c>
      <c r="K3643">
        <v>0</v>
      </c>
      <c r="L3643">
        <v>5542.3063736245103</v>
      </c>
      <c r="M3643">
        <v>106.091354204352</v>
      </c>
      <c r="N3643">
        <v>52.426806080919597</v>
      </c>
      <c r="O3643">
        <v>52.2223316404096</v>
      </c>
      <c r="P3643">
        <v>-0.42825453721198797</v>
      </c>
      <c r="Q3643">
        <v>0.156785218054488</v>
      </c>
      <c r="R3643">
        <v>0.57687110657309904</v>
      </c>
      <c r="S3643" t="s">
        <v>9194</v>
      </c>
      <c r="T3643" t="s">
        <v>11100</v>
      </c>
      <c r="U3643" t="s">
        <v>11100</v>
      </c>
      <c r="V3643" t="s">
        <v>11100</v>
      </c>
      <c r="W3643" t="s">
        <v>14693</v>
      </c>
      <c r="X3643">
        <v>3</v>
      </c>
      <c r="Y3643" t="s">
        <v>20131</v>
      </c>
      <c r="Z3643" t="s">
        <v>25648</v>
      </c>
      <c r="AA3643">
        <v>0.58559295377723986</v>
      </c>
      <c r="AB3643" t="str">
        <f>HYPERLINK("Melting_Curves/meltCurve_Q7Z6L1_TECPR1.pdf", "Melting_Curves/meltCurve_Q7Z6L1_TECPR1.pdf")</f>
        <v>Melting_Curves/meltCurve_Q7Z6L1_TECPR1.pdf</v>
      </c>
    </row>
    <row r="3644" spans="1:28" x14ac:dyDescent="0.25">
      <c r="A3644" t="s">
        <v>3648</v>
      </c>
      <c r="B3644">
        <v>0.99299721793515405</v>
      </c>
      <c r="C3644">
        <v>0.95445614174561599</v>
      </c>
      <c r="D3644">
        <v>0.89115306682974704</v>
      </c>
      <c r="E3644">
        <v>0.88261061060220203</v>
      </c>
      <c r="F3644">
        <v>0.75871625005118004</v>
      </c>
      <c r="G3644">
        <v>0.56613916357573202</v>
      </c>
      <c r="H3644">
        <v>0.48162638995941798</v>
      </c>
      <c r="I3644">
        <v>0.49897018845003099</v>
      </c>
      <c r="J3644">
        <v>0.430470140095634</v>
      </c>
      <c r="K3644">
        <v>0.29227898258759499</v>
      </c>
      <c r="L3644">
        <v>458.99182124198802</v>
      </c>
      <c r="M3644">
        <v>8.4861155255013703</v>
      </c>
      <c r="N3644">
        <v>58.084969029278199</v>
      </c>
      <c r="O3644">
        <v>51.334608309030202</v>
      </c>
      <c r="P3644">
        <v>-3.22158547472697E-2</v>
      </c>
      <c r="Q3644">
        <v>0.221179488743731</v>
      </c>
      <c r="R3644">
        <v>0.97050400997863795</v>
      </c>
      <c r="S3644" t="s">
        <v>9195</v>
      </c>
      <c r="T3644" t="s">
        <v>11100</v>
      </c>
      <c r="U3644" t="s">
        <v>11100</v>
      </c>
      <c r="V3644" t="s">
        <v>11100</v>
      </c>
      <c r="W3644" t="s">
        <v>14694</v>
      </c>
      <c r="X3644">
        <v>13</v>
      </c>
      <c r="Y3644" t="s">
        <v>20132</v>
      </c>
      <c r="Z3644" t="s">
        <v>25649</v>
      </c>
      <c r="AA3644">
        <v>0.67651908678235351</v>
      </c>
      <c r="AB3644" t="str">
        <f>HYPERLINK("Melting_Curves/meltCurve_Q7Z6M1_RABEPK.pdf", "Melting_Curves/meltCurve_Q7Z6M1_RABEPK.pdf")</f>
        <v>Melting_Curves/meltCurve_Q7Z6M1_RABEPK.pdf</v>
      </c>
    </row>
    <row r="3645" spans="1:28" x14ac:dyDescent="0.25">
      <c r="A3645" t="s">
        <v>3649</v>
      </c>
      <c r="B3645">
        <v>0.99299721793515405</v>
      </c>
      <c r="C3645">
        <v>0.99751228935778302</v>
      </c>
      <c r="D3645">
        <v>0.94813632475737797</v>
      </c>
      <c r="E3645">
        <v>0.85069648403208398</v>
      </c>
      <c r="F3645">
        <v>0.68005825966463096</v>
      </c>
      <c r="G3645">
        <v>0.46761508419896702</v>
      </c>
      <c r="H3645">
        <v>0.28464133913241002</v>
      </c>
      <c r="I3645">
        <v>0.26195532815962802</v>
      </c>
      <c r="J3645">
        <v>0.24655207540753099</v>
      </c>
      <c r="K3645">
        <v>0.193593631974984</v>
      </c>
      <c r="L3645">
        <v>790.82380132777905</v>
      </c>
      <c r="M3645">
        <v>15.3869648863515</v>
      </c>
      <c r="N3645">
        <v>52.986597915776102</v>
      </c>
      <c r="O3645">
        <v>50.551059645495698</v>
      </c>
      <c r="P3645">
        <v>-6.2025222004921797E-2</v>
      </c>
      <c r="Q3645">
        <v>0.18498441288547299</v>
      </c>
      <c r="R3645">
        <v>0.99720499904232496</v>
      </c>
      <c r="S3645" t="s">
        <v>9196</v>
      </c>
      <c r="T3645" t="s">
        <v>11100</v>
      </c>
      <c r="U3645" t="s">
        <v>11100</v>
      </c>
      <c r="V3645" t="s">
        <v>11100</v>
      </c>
      <c r="W3645" t="s">
        <v>14695</v>
      </c>
      <c r="X3645">
        <v>5</v>
      </c>
      <c r="Y3645" t="s">
        <v>20133</v>
      </c>
      <c r="Z3645" t="s">
        <v>25650</v>
      </c>
      <c r="AA3645">
        <v>0.59167401767135319</v>
      </c>
      <c r="AB3645" t="str">
        <f>HYPERLINK("Melting_Curves/meltCurve_Q7Z6M4_MTERFD2.pdf", "Melting_Curves/meltCurve_Q7Z6M4_MTERFD2.pdf")</f>
        <v>Melting_Curves/meltCurve_Q7Z6M4_MTERFD2.pdf</v>
      </c>
    </row>
    <row r="3646" spans="1:28" x14ac:dyDescent="0.25">
      <c r="A3646" t="s">
        <v>3650</v>
      </c>
      <c r="B3646">
        <v>0.99299721793515405</v>
      </c>
      <c r="C3646">
        <v>0.98344295919974201</v>
      </c>
      <c r="D3646">
        <v>0.92947050704126499</v>
      </c>
      <c r="E3646">
        <v>0.81313603241375598</v>
      </c>
      <c r="F3646">
        <v>0.65723112730371303</v>
      </c>
      <c r="G3646">
        <v>0.52199897135176199</v>
      </c>
      <c r="H3646">
        <v>0.414696825574353</v>
      </c>
      <c r="I3646">
        <v>0.415224848274245</v>
      </c>
      <c r="J3646">
        <v>0.33347315161387803</v>
      </c>
      <c r="K3646">
        <v>0.178800328139918</v>
      </c>
      <c r="L3646">
        <v>479.40478730883001</v>
      </c>
      <c r="M3646">
        <v>9.0199398202805305</v>
      </c>
      <c r="N3646">
        <v>55.113175460472398</v>
      </c>
      <c r="O3646">
        <v>50.732129194935297</v>
      </c>
      <c r="P3646">
        <v>-3.8367895447166199E-2</v>
      </c>
      <c r="Q3646">
        <v>0.13742925452426999</v>
      </c>
      <c r="R3646">
        <v>0.98054223230561899</v>
      </c>
      <c r="S3646" t="s">
        <v>9197</v>
      </c>
      <c r="T3646" t="s">
        <v>11100</v>
      </c>
      <c r="U3646" t="s">
        <v>11100</v>
      </c>
      <c r="V3646" t="s">
        <v>11100</v>
      </c>
      <c r="W3646" t="s">
        <v>14696</v>
      </c>
      <c r="X3646">
        <v>3</v>
      </c>
      <c r="Y3646" t="s">
        <v>20134</v>
      </c>
      <c r="Z3646" t="s">
        <v>25651</v>
      </c>
      <c r="AA3646">
        <v>0.62039988503293153</v>
      </c>
      <c r="AB3646" t="str">
        <f>HYPERLINK("Melting_Curves/meltCurve_Q7Z6V5_2_ADAT2.pdf", "Melting_Curves/meltCurve_Q7Z6V5_2_ADAT2.pdf")</f>
        <v>Melting_Curves/meltCurve_Q7Z6V5_2_ADAT2.pdf</v>
      </c>
    </row>
    <row r="3647" spans="1:28" x14ac:dyDescent="0.25">
      <c r="A3647" t="s">
        <v>3651</v>
      </c>
      <c r="B3647">
        <v>0.99299721793515405</v>
      </c>
      <c r="C3647">
        <v>0.93098641353247602</v>
      </c>
      <c r="D3647">
        <v>0.75686015893777303</v>
      </c>
      <c r="E3647">
        <v>0.77585009906258395</v>
      </c>
      <c r="F3647">
        <v>0.77667795035717901</v>
      </c>
      <c r="G3647">
        <v>1.1024654043838999</v>
      </c>
      <c r="H3647">
        <v>0.63920309876150705</v>
      </c>
      <c r="I3647">
        <v>0.396938850598199</v>
      </c>
      <c r="J3647">
        <v>0.246682017126098</v>
      </c>
      <c r="K3647">
        <v>0.18052289599329899</v>
      </c>
      <c r="L3647">
        <v>1925.7608313452799</v>
      </c>
      <c r="M3647">
        <v>33.037455205398402</v>
      </c>
      <c r="N3647">
        <v>59.2091116243651</v>
      </c>
      <c r="O3647">
        <v>58.077928977878898</v>
      </c>
      <c r="P3647">
        <v>-0.11368928583858499</v>
      </c>
      <c r="Q3647">
        <v>0.20056721907679401</v>
      </c>
      <c r="R3647">
        <v>0.782841083287241</v>
      </c>
      <c r="S3647" t="s">
        <v>9198</v>
      </c>
      <c r="T3647" t="s">
        <v>11100</v>
      </c>
      <c r="U3647" t="s">
        <v>11100</v>
      </c>
      <c r="V3647" t="s">
        <v>11100</v>
      </c>
      <c r="W3647" t="s">
        <v>14697</v>
      </c>
      <c r="X3647">
        <v>12</v>
      </c>
      <c r="Y3647" t="s">
        <v>20135</v>
      </c>
      <c r="Z3647" t="s">
        <v>25652</v>
      </c>
      <c r="AA3647">
        <v>0.77173959501510836</v>
      </c>
      <c r="AB3647" t="str">
        <f>HYPERLINK("Melting_Curves/meltCurve_Q7Z6Z7_2_HUWE1.pdf", "Melting_Curves/meltCurve_Q7Z6Z7_2_HUWE1.pdf")</f>
        <v>Melting_Curves/meltCurve_Q7Z6Z7_2_HUWE1.pdf</v>
      </c>
    </row>
    <row r="3648" spans="1:28" x14ac:dyDescent="0.25">
      <c r="A3648" t="s">
        <v>3652</v>
      </c>
      <c r="B3648">
        <v>0.99299721793515405</v>
      </c>
      <c r="C3648">
        <v>0.91291974477004001</v>
      </c>
      <c r="D3648">
        <v>0.90306131151941504</v>
      </c>
      <c r="E3648">
        <v>0.82152846794765499</v>
      </c>
      <c r="F3648">
        <v>0.71304812985120603</v>
      </c>
      <c r="G3648">
        <v>0.530853637348635</v>
      </c>
      <c r="H3648">
        <v>0.23631877451365499</v>
      </c>
      <c r="I3648">
        <v>0.16375497635682201</v>
      </c>
      <c r="J3648">
        <v>0.156586918738921</v>
      </c>
      <c r="K3648">
        <v>0.13339549815417101</v>
      </c>
      <c r="L3648">
        <v>625.86892328239696</v>
      </c>
      <c r="M3648">
        <v>11.7818120105196</v>
      </c>
      <c r="N3648">
        <v>53.3420962212749</v>
      </c>
      <c r="O3648">
        <v>51.660535394932701</v>
      </c>
      <c r="P3648">
        <v>-5.5674979729974601E-2</v>
      </c>
      <c r="Q3648">
        <v>2.3764754631893401E-2</v>
      </c>
      <c r="R3648">
        <v>0.98292381454242705</v>
      </c>
      <c r="S3648" t="s">
        <v>9199</v>
      </c>
      <c r="T3648" t="s">
        <v>11100</v>
      </c>
      <c r="U3648" t="s">
        <v>11100</v>
      </c>
      <c r="V3648" t="s">
        <v>11100</v>
      </c>
      <c r="W3648" t="s">
        <v>14698</v>
      </c>
      <c r="X3648">
        <v>5</v>
      </c>
      <c r="Y3648" t="s">
        <v>20136</v>
      </c>
      <c r="Z3648" t="s">
        <v>25653</v>
      </c>
      <c r="AA3648">
        <v>0.56878381598325212</v>
      </c>
      <c r="AB3648" t="str">
        <f>HYPERLINK("Melting_Curves/meltCurve_Q7Z7A3_CTU1.pdf", "Melting_Curves/meltCurve_Q7Z7A3_CTU1.pdf")</f>
        <v>Melting_Curves/meltCurve_Q7Z7A3_CTU1.pdf</v>
      </c>
    </row>
    <row r="3649" spans="1:28" x14ac:dyDescent="0.25">
      <c r="A3649" t="s">
        <v>3653</v>
      </c>
      <c r="B3649">
        <v>0.99299721793515405</v>
      </c>
      <c r="C3649">
        <v>0.80441996482855904</v>
      </c>
      <c r="D3649">
        <v>0.97735160609567895</v>
      </c>
      <c r="E3649">
        <v>0.74524079763343798</v>
      </c>
      <c r="F3649">
        <v>0.683483000936145</v>
      </c>
      <c r="G3649">
        <v>0.65276616228802598</v>
      </c>
      <c r="H3649">
        <v>0.51334654178148398</v>
      </c>
      <c r="I3649">
        <v>0.405868584755468</v>
      </c>
      <c r="J3649">
        <v>0.26424831149735101</v>
      </c>
      <c r="K3649">
        <v>0.14740053030835101</v>
      </c>
      <c r="L3649">
        <v>403.88165346284399</v>
      </c>
      <c r="M3649">
        <v>7.1743313451414199</v>
      </c>
      <c r="N3649">
        <v>56.295372314486102</v>
      </c>
      <c r="O3649">
        <v>52.414135315805702</v>
      </c>
      <c r="P3649">
        <v>-3.42774133466167E-2</v>
      </c>
      <c r="Q3649">
        <v>0</v>
      </c>
      <c r="R3649">
        <v>0.92954673345766603</v>
      </c>
      <c r="S3649" t="s">
        <v>9200</v>
      </c>
      <c r="T3649" t="s">
        <v>11100</v>
      </c>
      <c r="U3649" t="s">
        <v>11100</v>
      </c>
      <c r="V3649" t="s">
        <v>11100</v>
      </c>
      <c r="W3649" t="s">
        <v>14699</v>
      </c>
      <c r="X3649">
        <v>2</v>
      </c>
      <c r="Y3649" t="s">
        <v>20137</v>
      </c>
      <c r="Z3649" t="s">
        <v>25654</v>
      </c>
      <c r="AA3649">
        <v>0.63346050417797284</v>
      </c>
      <c r="AB3649" t="str">
        <f>HYPERLINK("Melting_Curves/meltCurve_Q7Z7C8_TAF8.pdf", "Melting_Curves/meltCurve_Q7Z7C8_TAF8.pdf")</f>
        <v>Melting_Curves/meltCurve_Q7Z7C8_TAF8.pdf</v>
      </c>
    </row>
    <row r="3650" spans="1:28" x14ac:dyDescent="0.25">
      <c r="A3650" t="s">
        <v>3654</v>
      </c>
      <c r="B3650">
        <v>0.99299721793515405</v>
      </c>
      <c r="C3650">
        <v>1.02346139041284</v>
      </c>
      <c r="D3650">
        <v>1.1879598516661201</v>
      </c>
      <c r="E3650">
        <v>0.93515680633805698</v>
      </c>
      <c r="F3650">
        <v>0.80951323570046996</v>
      </c>
      <c r="G3650">
        <v>0.510145388712132</v>
      </c>
      <c r="H3650">
        <v>0.29144271441465203</v>
      </c>
      <c r="I3650">
        <v>0.23577904878580599</v>
      </c>
      <c r="J3650">
        <v>0.194743958703821</v>
      </c>
      <c r="K3650">
        <v>0.13373346042276199</v>
      </c>
      <c r="L3650">
        <v>1158.27182428879</v>
      </c>
      <c r="M3650">
        <v>21.848533607026202</v>
      </c>
      <c r="N3650">
        <v>53.978415432605701</v>
      </c>
      <c r="O3650">
        <v>52.575590321149598</v>
      </c>
      <c r="P3650">
        <v>-8.7101079581784896E-2</v>
      </c>
      <c r="Q3650">
        <v>0.16163058188860699</v>
      </c>
      <c r="R3650">
        <v>0.97162245969850303</v>
      </c>
      <c r="S3650" t="s">
        <v>9201</v>
      </c>
      <c r="T3650" t="s">
        <v>11100</v>
      </c>
      <c r="U3650" t="s">
        <v>11100</v>
      </c>
      <c r="V3650" t="s">
        <v>11100</v>
      </c>
      <c r="W3650" t="s">
        <v>14700</v>
      </c>
      <c r="X3650">
        <v>7</v>
      </c>
      <c r="Y3650" t="s">
        <v>20138</v>
      </c>
      <c r="Z3650" t="s">
        <v>25655</v>
      </c>
      <c r="AA3650">
        <v>0.61838725767155189</v>
      </c>
      <c r="AB3650" t="str">
        <f>HYPERLINK("Melting_Curves/meltCurve_Q7Z7E8_UBE2Q1.pdf", "Melting_Curves/meltCurve_Q7Z7E8_UBE2Q1.pdf")</f>
        <v>Melting_Curves/meltCurve_Q7Z7E8_UBE2Q1.pdf</v>
      </c>
    </row>
    <row r="3651" spans="1:28" x14ac:dyDescent="0.25">
      <c r="A3651" t="s">
        <v>3655</v>
      </c>
      <c r="B3651">
        <v>0.99299721793515405</v>
      </c>
      <c r="C3651">
        <v>0.88396148750227999</v>
      </c>
      <c r="D3651">
        <v>0.97958466460166804</v>
      </c>
      <c r="E3651">
        <v>0.81296794299570596</v>
      </c>
      <c r="F3651">
        <v>0.66184842017484402</v>
      </c>
      <c r="G3651">
        <v>0.46796022191494901</v>
      </c>
      <c r="H3651">
        <v>0.319622239953538</v>
      </c>
      <c r="I3651">
        <v>0.27147251616896401</v>
      </c>
      <c r="J3651">
        <v>0.24223035575131999</v>
      </c>
      <c r="K3651">
        <v>0.26650371310877802</v>
      </c>
      <c r="L3651">
        <v>714.42730760514803</v>
      </c>
      <c r="M3651">
        <v>14.0442764191774</v>
      </c>
      <c r="N3651">
        <v>52.938084616359902</v>
      </c>
      <c r="O3651">
        <v>49.871585710255701</v>
      </c>
      <c r="P3651">
        <v>-5.5542922551599802E-2</v>
      </c>
      <c r="Q3651">
        <v>0.21116573565352201</v>
      </c>
      <c r="R3651">
        <v>0.98441606769552603</v>
      </c>
      <c r="S3651" t="s">
        <v>9202</v>
      </c>
      <c r="T3651" t="s">
        <v>11100</v>
      </c>
      <c r="U3651" t="s">
        <v>11100</v>
      </c>
      <c r="V3651" t="s">
        <v>11100</v>
      </c>
      <c r="W3651" t="s">
        <v>14701</v>
      </c>
      <c r="X3651">
        <v>6</v>
      </c>
      <c r="Y3651" t="s">
        <v>20139</v>
      </c>
      <c r="Z3651" t="s">
        <v>25656</v>
      </c>
      <c r="AA3651">
        <v>0.59323735837682789</v>
      </c>
      <c r="AB3651" t="str">
        <f>HYPERLINK("Melting_Curves/meltCurve_Q7Z7F0_2_KIAA0907.pdf", "Melting_Curves/meltCurve_Q7Z7F0_2_KIAA0907.pdf")</f>
        <v>Melting_Curves/meltCurve_Q7Z7F0_2_KIAA0907.pdf</v>
      </c>
    </row>
    <row r="3652" spans="1:28" x14ac:dyDescent="0.25">
      <c r="A3652" t="s">
        <v>3656</v>
      </c>
      <c r="B3652">
        <v>0.99299721793515405</v>
      </c>
      <c r="C3652">
        <v>1.0292822878972601</v>
      </c>
      <c r="D3652">
        <v>0.89247344206977697</v>
      </c>
      <c r="E3652">
        <v>0.913054262356637</v>
      </c>
      <c r="F3652">
        <v>0.77490987158123104</v>
      </c>
      <c r="G3652">
        <v>0.65585317633847895</v>
      </c>
      <c r="H3652">
        <v>0.61927439529121997</v>
      </c>
      <c r="I3652">
        <v>0.461945998886923</v>
      </c>
      <c r="J3652">
        <v>0.18143314489081899</v>
      </c>
      <c r="K3652">
        <v>0.13920246321617799</v>
      </c>
      <c r="L3652">
        <v>586.19283781219201</v>
      </c>
      <c r="M3652">
        <v>10.1209743954179</v>
      </c>
      <c r="N3652">
        <v>57.918616833735101</v>
      </c>
      <c r="O3652">
        <v>55.793901666858602</v>
      </c>
      <c r="P3652">
        <v>-4.53708894331031E-2</v>
      </c>
      <c r="Q3652">
        <v>0</v>
      </c>
      <c r="R3652">
        <v>0.955842634855672</v>
      </c>
      <c r="S3652" t="s">
        <v>9203</v>
      </c>
      <c r="T3652" t="s">
        <v>11100</v>
      </c>
      <c r="U3652" t="s">
        <v>11100</v>
      </c>
      <c r="V3652" t="s">
        <v>11100</v>
      </c>
      <c r="W3652" t="s">
        <v>14702</v>
      </c>
      <c r="X3652">
        <v>6</v>
      </c>
      <c r="Y3652" t="s">
        <v>20140</v>
      </c>
      <c r="Z3652" t="s">
        <v>25657</v>
      </c>
      <c r="AA3652">
        <v>0.68992112377029535</v>
      </c>
      <c r="AB3652" t="str">
        <f>HYPERLINK("Melting_Curves/meltCurve_Q7Z7H5_3_TMED4.pdf", "Melting_Curves/meltCurve_Q7Z7H5_3_TMED4.pdf")</f>
        <v>Melting_Curves/meltCurve_Q7Z7H5_3_TMED4.pdf</v>
      </c>
    </row>
    <row r="3653" spans="1:28" x14ac:dyDescent="0.25">
      <c r="A3653" t="s">
        <v>3657</v>
      </c>
      <c r="B3653">
        <v>0.99299721793515405</v>
      </c>
      <c r="C3653">
        <v>1.09497338255765</v>
      </c>
      <c r="D3653">
        <v>1.04293973519285</v>
      </c>
      <c r="E3653">
        <v>0.95077279189856501</v>
      </c>
      <c r="F3653">
        <v>0.67724220951815295</v>
      </c>
      <c r="G3653">
        <v>0.33881001297029001</v>
      </c>
      <c r="H3653">
        <v>0.186179712001175</v>
      </c>
      <c r="I3653">
        <v>0.162866559251551</v>
      </c>
      <c r="J3653">
        <v>0.15093789419596401</v>
      </c>
      <c r="K3653">
        <v>0.125812039244145</v>
      </c>
      <c r="L3653">
        <v>1360.1653034774999</v>
      </c>
      <c r="M3653">
        <v>26.540401063025001</v>
      </c>
      <c r="N3653">
        <v>51.896652996997901</v>
      </c>
      <c r="O3653">
        <v>50.960560637227097</v>
      </c>
      <c r="P3653">
        <v>-0.111843524350067</v>
      </c>
      <c r="Q3653">
        <v>0.14100043244197999</v>
      </c>
      <c r="R3653">
        <v>0.99231385638528802</v>
      </c>
      <c r="S3653" t="s">
        <v>9204</v>
      </c>
      <c r="T3653" t="s">
        <v>11100</v>
      </c>
      <c r="U3653" t="s">
        <v>11100</v>
      </c>
      <c r="V3653" t="s">
        <v>11100</v>
      </c>
      <c r="W3653" t="s">
        <v>14703</v>
      </c>
      <c r="X3653">
        <v>21</v>
      </c>
      <c r="Y3653" t="s">
        <v>20141</v>
      </c>
      <c r="Z3653" t="s">
        <v>25658</v>
      </c>
      <c r="AA3653">
        <v>0.5557824082869518</v>
      </c>
      <c r="AB3653" t="str">
        <f>HYPERLINK("Melting_Curves/meltCurve_Q7Z7L1_SLFN11.pdf", "Melting_Curves/meltCurve_Q7Z7L1_SLFN11.pdf")</f>
        <v>Melting_Curves/meltCurve_Q7Z7L1_SLFN11.pdf</v>
      </c>
    </row>
    <row r="3654" spans="1:28" x14ac:dyDescent="0.25">
      <c r="A3654" t="s">
        <v>3658</v>
      </c>
      <c r="B3654">
        <v>0.99299721793515405</v>
      </c>
      <c r="C3654">
        <v>0.89088758950478397</v>
      </c>
      <c r="D3654">
        <v>0.74402278373110897</v>
      </c>
      <c r="E3654">
        <v>0.86915600188951203</v>
      </c>
      <c r="F3654">
        <v>0.73286807902168405</v>
      </c>
      <c r="G3654">
        <v>0.58378602894643705</v>
      </c>
      <c r="H3654">
        <v>0.39736620426229902</v>
      </c>
      <c r="I3654">
        <v>0.42355467128824698</v>
      </c>
      <c r="J3654">
        <v>0.51339578277809805</v>
      </c>
      <c r="K3654">
        <v>0.36742857915747901</v>
      </c>
      <c r="L3654">
        <v>359.88256566057697</v>
      </c>
      <c r="M3654">
        <v>6.9238824719727798</v>
      </c>
      <c r="N3654">
        <v>57.9984503147653</v>
      </c>
      <c r="O3654">
        <v>48.160687719029603</v>
      </c>
      <c r="P3654">
        <v>-2.6779789010073999E-2</v>
      </c>
      <c r="Q3654">
        <v>0.25634253549505898</v>
      </c>
      <c r="R3654">
        <v>0.88539821159976395</v>
      </c>
      <c r="S3654" t="s">
        <v>9205</v>
      </c>
      <c r="T3654" t="s">
        <v>11100</v>
      </c>
      <c r="U3654" t="s">
        <v>11100</v>
      </c>
      <c r="V3654" t="s">
        <v>11100</v>
      </c>
      <c r="W3654" t="s">
        <v>14704</v>
      </c>
      <c r="X3654">
        <v>1</v>
      </c>
      <c r="Y3654" t="s">
        <v>20142</v>
      </c>
      <c r="Z3654" t="s">
        <v>25659</v>
      </c>
      <c r="AA3654">
        <v>0.64909113440192034</v>
      </c>
      <c r="AB3654" t="str">
        <f>HYPERLINK("Melting_Curves/meltCurve_Q7Z7L8_C11orf96.pdf", "Melting_Curves/meltCurve_Q7Z7L8_C11orf96.pdf")</f>
        <v>Melting_Curves/meltCurve_Q7Z7L8_C11orf96.pdf</v>
      </c>
    </row>
    <row r="3655" spans="1:28" x14ac:dyDescent="0.25">
      <c r="A3655" t="s">
        <v>3659</v>
      </c>
      <c r="B3655">
        <v>0.99299721793515405</v>
      </c>
      <c r="C3655">
        <v>1.0277330353837999</v>
      </c>
      <c r="D3655">
        <v>0.86473576371821204</v>
      </c>
      <c r="E3655">
        <v>1.08475291632536</v>
      </c>
      <c r="F3655">
        <v>0.85562041789893195</v>
      </c>
      <c r="G3655">
        <v>0.639393697117844</v>
      </c>
      <c r="H3655">
        <v>0.57948824658738995</v>
      </c>
      <c r="I3655">
        <v>0.586782198794082</v>
      </c>
      <c r="J3655">
        <v>0.63216157316240396</v>
      </c>
      <c r="K3655">
        <v>0.49527571788911201</v>
      </c>
      <c r="L3655">
        <v>2124.4653026149499</v>
      </c>
      <c r="M3655">
        <v>41.502450413680201</v>
      </c>
      <c r="O3655">
        <v>51.070496151460603</v>
      </c>
      <c r="P3655">
        <v>-8.6423728488488893E-2</v>
      </c>
      <c r="Q3655">
        <v>0.57460875132742995</v>
      </c>
      <c r="R3655">
        <v>0.90875820700113796</v>
      </c>
      <c r="S3655" t="s">
        <v>9206</v>
      </c>
      <c r="T3655" t="s">
        <v>11100</v>
      </c>
      <c r="U3655" t="s">
        <v>11100</v>
      </c>
      <c r="V3655" t="s">
        <v>11100</v>
      </c>
      <c r="W3655" t="s">
        <v>14705</v>
      </c>
      <c r="X3655">
        <v>1</v>
      </c>
      <c r="Y3655" t="s">
        <v>20143</v>
      </c>
      <c r="Z3655" t="s">
        <v>25660</v>
      </c>
      <c r="AA3655">
        <v>0.77719928837123586</v>
      </c>
      <c r="AB3655" t="str">
        <f>HYPERLINK("Melting_Curves/meltCurve_Q7Z7N9_TMEM179B.pdf", "Melting_Curves/meltCurve_Q7Z7N9_TMEM179B.pdf")</f>
        <v>Melting_Curves/meltCurve_Q7Z7N9_TMEM179B.pdf</v>
      </c>
    </row>
    <row r="3656" spans="1:28" x14ac:dyDescent="0.25">
      <c r="A3656" t="s">
        <v>3660</v>
      </c>
      <c r="B3656">
        <v>0.99299721793515405</v>
      </c>
      <c r="C3656">
        <v>0.99980058108959602</v>
      </c>
      <c r="D3656">
        <v>0.92125095534380996</v>
      </c>
      <c r="E3656">
        <v>0.87167837130056702</v>
      </c>
      <c r="F3656">
        <v>0.76185626709079801</v>
      </c>
      <c r="G3656">
        <v>0.56151019369542798</v>
      </c>
      <c r="H3656">
        <v>0.37852132367866398</v>
      </c>
      <c r="I3656">
        <v>0.210786032348633</v>
      </c>
      <c r="J3656">
        <v>0.18897844283218199</v>
      </c>
      <c r="K3656">
        <v>0.13969769690584199</v>
      </c>
      <c r="L3656">
        <v>641.88393141342397</v>
      </c>
      <c r="M3656">
        <v>11.7777821861898</v>
      </c>
      <c r="N3656">
        <v>54.817908003551402</v>
      </c>
      <c r="O3656">
        <v>52.999596405681103</v>
      </c>
      <c r="P3656">
        <v>-5.3733440415844998E-2</v>
      </c>
      <c r="Q3656">
        <v>3.3056394880817103E-2</v>
      </c>
      <c r="R3656">
        <v>0.99637290974428006</v>
      </c>
      <c r="S3656" t="s">
        <v>9207</v>
      </c>
      <c r="T3656" t="s">
        <v>11100</v>
      </c>
      <c r="U3656" t="s">
        <v>11100</v>
      </c>
      <c r="V3656" t="s">
        <v>11100</v>
      </c>
      <c r="W3656" t="s">
        <v>14706</v>
      </c>
      <c r="X3656">
        <v>9</v>
      </c>
      <c r="Y3656" t="s">
        <v>20144</v>
      </c>
      <c r="Z3656" t="s">
        <v>25661</v>
      </c>
      <c r="AA3656">
        <v>0.61265752343775826</v>
      </c>
      <c r="AB3656" t="str">
        <f>HYPERLINK("Melting_Curves/meltCurve_Q86SF2_GALNT7.pdf", "Melting_Curves/meltCurve_Q86SF2_GALNT7.pdf")</f>
        <v>Melting_Curves/meltCurve_Q86SF2_GALNT7.pdf</v>
      </c>
    </row>
    <row r="3657" spans="1:28" x14ac:dyDescent="0.25">
      <c r="A3657" t="s">
        <v>3661</v>
      </c>
      <c r="B3657">
        <v>0.99299721793515405</v>
      </c>
      <c r="C3657">
        <v>1.17441965463043</v>
      </c>
      <c r="D3657">
        <v>1.0484002050347201</v>
      </c>
      <c r="E3657">
        <v>0.91938889292218695</v>
      </c>
      <c r="F3657">
        <v>0.72896395813180803</v>
      </c>
      <c r="G3657">
        <v>0.447585796935841</v>
      </c>
      <c r="H3657">
        <v>0.40652584054289698</v>
      </c>
      <c r="I3657">
        <v>0.39980978918086002</v>
      </c>
      <c r="J3657">
        <v>0.222784175146437</v>
      </c>
      <c r="K3657">
        <v>0.19097039465959001</v>
      </c>
      <c r="L3657">
        <v>937.71173382879897</v>
      </c>
      <c r="M3657">
        <v>18.0839802275663</v>
      </c>
      <c r="N3657">
        <v>53.856815818012699</v>
      </c>
      <c r="O3657">
        <v>51.231573584423202</v>
      </c>
      <c r="P3657">
        <v>-6.6641836654975098E-2</v>
      </c>
      <c r="Q3657">
        <v>0.24485633008979299</v>
      </c>
      <c r="R3657">
        <v>0.94966297211705697</v>
      </c>
      <c r="S3657" t="s">
        <v>9208</v>
      </c>
      <c r="T3657" t="s">
        <v>11100</v>
      </c>
      <c r="U3657" t="s">
        <v>11100</v>
      </c>
      <c r="V3657" t="s">
        <v>11100</v>
      </c>
      <c r="W3657" t="s">
        <v>14707</v>
      </c>
      <c r="X3657">
        <v>5</v>
      </c>
      <c r="Y3657" t="s">
        <v>20145</v>
      </c>
      <c r="Z3657" t="s">
        <v>25662</v>
      </c>
      <c r="AA3657">
        <v>0.63012462158114313</v>
      </c>
      <c r="AB3657" t="str">
        <f>HYPERLINK("Melting_Curves/meltCurve_Q86SQ7_SDCCAG8.pdf", "Melting_Curves/meltCurve_Q86SQ7_SDCCAG8.pdf")</f>
        <v>Melting_Curves/meltCurve_Q86SQ7_SDCCAG8.pdf</v>
      </c>
    </row>
    <row r="3658" spans="1:28" x14ac:dyDescent="0.25">
      <c r="A3658" t="s">
        <v>3662</v>
      </c>
      <c r="B3658">
        <v>0.99299721793515405</v>
      </c>
      <c r="C3658">
        <v>0.89436121029066096</v>
      </c>
      <c r="D3658">
        <v>1.0566092706871699</v>
      </c>
      <c r="E3658">
        <v>0.88558818327169297</v>
      </c>
      <c r="F3658">
        <v>0.76627418874627595</v>
      </c>
      <c r="G3658">
        <v>0.539480624174417</v>
      </c>
      <c r="H3658">
        <v>0.48385049136206598</v>
      </c>
      <c r="I3658">
        <v>0.46955897519323497</v>
      </c>
      <c r="J3658">
        <v>0.467003331026909</v>
      </c>
      <c r="K3658">
        <v>0.435400283925439</v>
      </c>
      <c r="L3658">
        <v>1106.6898687047701</v>
      </c>
      <c r="M3658">
        <v>21.928166595958601</v>
      </c>
      <c r="N3658">
        <v>56.258679534330703</v>
      </c>
      <c r="O3658">
        <v>50.054767984174497</v>
      </c>
      <c r="P3658">
        <v>-6.0494883848025302E-2</v>
      </c>
      <c r="Q3658">
        <v>0.44765306888762002</v>
      </c>
      <c r="R3658">
        <v>0.96549808433345796</v>
      </c>
      <c r="S3658" t="s">
        <v>9209</v>
      </c>
      <c r="T3658" t="s">
        <v>11100</v>
      </c>
      <c r="U3658" t="s">
        <v>11100</v>
      </c>
      <c r="V3658" t="s">
        <v>11100</v>
      </c>
      <c r="W3658" t="s">
        <v>14708</v>
      </c>
      <c r="X3658">
        <v>3</v>
      </c>
      <c r="Y3658" t="s">
        <v>20146</v>
      </c>
      <c r="Z3658" t="s">
        <v>25663</v>
      </c>
      <c r="AA3658">
        <v>0.7018137886112944</v>
      </c>
      <c r="AB3658" t="str">
        <f>HYPERLINK("Melting_Curves/meltCurve_Q86SQ9_3_DHDDS.pdf", "Melting_Curves/meltCurve_Q86SQ9_3_DHDDS.pdf")</f>
        <v>Melting_Curves/meltCurve_Q86SQ9_3_DHDDS.pdf</v>
      </c>
    </row>
    <row r="3659" spans="1:28" x14ac:dyDescent="0.25">
      <c r="A3659" t="s">
        <v>3663</v>
      </c>
      <c r="B3659">
        <v>0.99299721793515405</v>
      </c>
      <c r="C3659">
        <v>1.0842159763924799</v>
      </c>
      <c r="D3659">
        <v>0.81619204556890201</v>
      </c>
      <c r="E3659">
        <v>0.82757442681722404</v>
      </c>
      <c r="F3659">
        <v>0.69440387516610103</v>
      </c>
      <c r="G3659">
        <v>0.42552623747814899</v>
      </c>
      <c r="H3659">
        <v>0.35937679336286299</v>
      </c>
      <c r="I3659">
        <v>0.30048628436403002</v>
      </c>
      <c r="J3659">
        <v>0.25624437142886097</v>
      </c>
      <c r="K3659">
        <v>0.17939833872952601</v>
      </c>
      <c r="L3659">
        <v>590.71949554113303</v>
      </c>
      <c r="M3659">
        <v>11.4290230628497</v>
      </c>
      <c r="N3659">
        <v>53.352379141631999</v>
      </c>
      <c r="O3659">
        <v>50.179468580992904</v>
      </c>
      <c r="P3659">
        <v>-4.8407419094360998E-2</v>
      </c>
      <c r="Q3659">
        <v>0.150110503695224</v>
      </c>
      <c r="R3659">
        <v>0.96729721828829496</v>
      </c>
      <c r="S3659" t="s">
        <v>9210</v>
      </c>
      <c r="T3659" t="s">
        <v>11100</v>
      </c>
      <c r="U3659" t="s">
        <v>11100</v>
      </c>
      <c r="V3659" t="s">
        <v>11100</v>
      </c>
      <c r="W3659" t="s">
        <v>14709</v>
      </c>
      <c r="X3659">
        <v>5</v>
      </c>
      <c r="Y3659" t="s">
        <v>20147</v>
      </c>
      <c r="Z3659" t="s">
        <v>25664</v>
      </c>
      <c r="AA3659">
        <v>0.58783354875469152</v>
      </c>
      <c r="AB3659" t="str">
        <f>HYPERLINK("Melting_Curves/meltCurve_Q86SX6_GLRX5.pdf", "Melting_Curves/meltCurve_Q86SX6_GLRX5.pdf")</f>
        <v>Melting_Curves/meltCurve_Q86SX6_GLRX5.pdf</v>
      </c>
    </row>
    <row r="3660" spans="1:28" x14ac:dyDescent="0.25">
      <c r="A3660" t="s">
        <v>3664</v>
      </c>
      <c r="B3660">
        <v>0.99299721793515405</v>
      </c>
      <c r="C3660">
        <v>0.99376912076274004</v>
      </c>
      <c r="D3660">
        <v>0.88226334330845202</v>
      </c>
      <c r="E3660">
        <v>0.86356231516787096</v>
      </c>
      <c r="F3660">
        <v>0.70922153611763705</v>
      </c>
      <c r="G3660">
        <v>0.482334000110346</v>
      </c>
      <c r="H3660">
        <v>0.51250732306291902</v>
      </c>
      <c r="I3660">
        <v>0.46721177537910902</v>
      </c>
      <c r="J3660">
        <v>0.35727876210808501</v>
      </c>
      <c r="K3660">
        <v>0.30719413453459299</v>
      </c>
      <c r="L3660">
        <v>535.45749619857497</v>
      </c>
      <c r="M3660">
        <v>10.3609890080041</v>
      </c>
      <c r="N3660">
        <v>56.195658666261899</v>
      </c>
      <c r="O3660">
        <v>49.866122013782601</v>
      </c>
      <c r="P3660">
        <v>-3.7284167797386601E-2</v>
      </c>
      <c r="Q3660">
        <v>0.282528807611241</v>
      </c>
      <c r="R3660">
        <v>0.97027211991888496</v>
      </c>
      <c r="S3660" t="s">
        <v>9211</v>
      </c>
      <c r="T3660" t="s">
        <v>11100</v>
      </c>
      <c r="U3660" t="s">
        <v>11100</v>
      </c>
      <c r="V3660" t="s">
        <v>11100</v>
      </c>
      <c r="W3660" t="s">
        <v>14710</v>
      </c>
      <c r="X3660">
        <v>1</v>
      </c>
      <c r="Y3660" t="s">
        <v>20148</v>
      </c>
      <c r="Z3660" t="s">
        <v>25665</v>
      </c>
      <c r="AA3660">
        <v>0.65323064494858663</v>
      </c>
      <c r="AB3660" t="str">
        <f>HYPERLINK("Melting_Curves/meltCurve_Q86T03_TMEM55B.pdf", "Melting_Curves/meltCurve_Q86T03_TMEM55B.pdf")</f>
        <v>Melting_Curves/meltCurve_Q86T03_TMEM55B.pdf</v>
      </c>
    </row>
    <row r="3661" spans="1:28" x14ac:dyDescent="0.25">
      <c r="A3661" t="s">
        <v>3665</v>
      </c>
      <c r="B3661">
        <v>0.99299721793515405</v>
      </c>
      <c r="C3661">
        <v>1.07051940771198</v>
      </c>
      <c r="D3661">
        <v>1.0083723254331001</v>
      </c>
      <c r="E3661">
        <v>0.99293576510846004</v>
      </c>
      <c r="F3661">
        <v>0.83721988966328098</v>
      </c>
      <c r="G3661">
        <v>0.190833841902249</v>
      </c>
      <c r="H3661">
        <v>0.18030851199129899</v>
      </c>
      <c r="I3661">
        <v>0.16406291097290501</v>
      </c>
      <c r="J3661">
        <v>0.109405987927979</v>
      </c>
      <c r="K3661">
        <v>0.124949895511293</v>
      </c>
      <c r="L3661">
        <v>3186.29114121981</v>
      </c>
      <c r="M3661">
        <v>62.0261259628628</v>
      </c>
      <c r="N3661">
        <v>51.6527255608123</v>
      </c>
      <c r="O3661">
        <v>51.316828617634698</v>
      </c>
      <c r="P3661">
        <v>-0.25869780006982901</v>
      </c>
      <c r="Q3661">
        <v>0.143873931177119</v>
      </c>
      <c r="R3661">
        <v>0.99522702906504901</v>
      </c>
      <c r="S3661" t="s">
        <v>9212</v>
      </c>
      <c r="T3661" t="s">
        <v>11100</v>
      </c>
      <c r="U3661" t="s">
        <v>11100</v>
      </c>
      <c r="V3661" t="s">
        <v>11100</v>
      </c>
      <c r="W3661" t="s">
        <v>14711</v>
      </c>
      <c r="X3661">
        <v>1</v>
      </c>
      <c r="Y3661" t="s">
        <v>20149</v>
      </c>
      <c r="Z3661" t="s">
        <v>25666</v>
      </c>
      <c r="AA3661">
        <v>0.55522059239690014</v>
      </c>
      <c r="AB3661" t="str">
        <f>HYPERLINK("Melting_Curves/meltCurve_Q86TA1_MOB3B.pdf", "Melting_Curves/meltCurve_Q86TA1_MOB3B.pdf")</f>
        <v>Melting_Curves/meltCurve_Q86TA1_MOB3B.pdf</v>
      </c>
    </row>
    <row r="3662" spans="1:28" x14ac:dyDescent="0.25">
      <c r="A3662" t="s">
        <v>3666</v>
      </c>
      <c r="B3662">
        <v>0.99299721793515405</v>
      </c>
      <c r="C3662">
        <v>1.0064080243612701</v>
      </c>
      <c r="D3662">
        <v>0.98957801307591597</v>
      </c>
      <c r="E3662">
        <v>0.91800410927700304</v>
      </c>
      <c r="F3662">
        <v>0.71180101900686699</v>
      </c>
      <c r="G3662">
        <v>0.46919380200048699</v>
      </c>
      <c r="H3662">
        <v>0.38690916392476798</v>
      </c>
      <c r="I3662">
        <v>0.351131629501723</v>
      </c>
      <c r="J3662">
        <v>0.255879268204453</v>
      </c>
      <c r="K3662">
        <v>0.189204493787959</v>
      </c>
      <c r="L3662">
        <v>828.63819989729302</v>
      </c>
      <c r="M3662">
        <v>15.9404100785772</v>
      </c>
      <c r="N3662">
        <v>53.962162723893798</v>
      </c>
      <c r="O3662">
        <v>51.186008705869703</v>
      </c>
      <c r="P3662">
        <v>-6.06302463709118E-2</v>
      </c>
      <c r="Q3662">
        <v>0.22130652506948001</v>
      </c>
      <c r="R3662">
        <v>0.98992829948849004</v>
      </c>
      <c r="S3662" t="s">
        <v>9213</v>
      </c>
      <c r="T3662" t="s">
        <v>11100</v>
      </c>
      <c r="U3662" t="s">
        <v>11100</v>
      </c>
      <c r="V3662" t="s">
        <v>11100</v>
      </c>
      <c r="W3662" t="s">
        <v>14712</v>
      </c>
      <c r="X3662">
        <v>3</v>
      </c>
      <c r="Y3662" t="s">
        <v>20150</v>
      </c>
      <c r="Z3662" t="s">
        <v>25667</v>
      </c>
      <c r="AA3662">
        <v>0.62408864876378378</v>
      </c>
      <c r="AB3662" t="str">
        <f>HYPERLINK("Melting_Curves/meltCurve_Q86TB9_4_PATL1.pdf", "Melting_Curves/meltCurve_Q86TB9_4_PATL1.pdf")</f>
        <v>Melting_Curves/meltCurve_Q86TB9_4_PATL1.pdf</v>
      </c>
    </row>
    <row r="3663" spans="1:28" x14ac:dyDescent="0.25">
      <c r="A3663" t="s">
        <v>3667</v>
      </c>
      <c r="B3663">
        <v>0.99299721793515405</v>
      </c>
      <c r="C3663">
        <v>0.953890536654454</v>
      </c>
      <c r="D3663">
        <v>1.04346198410882</v>
      </c>
      <c r="E3663">
        <v>0.72874967175440097</v>
      </c>
      <c r="F3663">
        <v>0.38037006764339798</v>
      </c>
      <c r="G3663">
        <v>0.27320504388203698</v>
      </c>
      <c r="H3663">
        <v>0.23135043812387901</v>
      </c>
      <c r="I3663">
        <v>0.22927153756313701</v>
      </c>
      <c r="J3663">
        <v>0.23477105649423799</v>
      </c>
      <c r="K3663">
        <v>0.252432144403196</v>
      </c>
      <c r="L3663">
        <v>1500.56593517286</v>
      </c>
      <c r="M3663">
        <v>31.504203671817301</v>
      </c>
      <c r="N3663">
        <v>48.644296381950703</v>
      </c>
      <c r="O3663">
        <v>47.439977486999403</v>
      </c>
      <c r="P3663">
        <v>-0.126066954071273</v>
      </c>
      <c r="Q3663">
        <v>0.24066242584099901</v>
      </c>
      <c r="R3663">
        <v>0.99305331541159403</v>
      </c>
      <c r="S3663" t="s">
        <v>9214</v>
      </c>
      <c r="T3663" t="s">
        <v>11100</v>
      </c>
      <c r="U3663" t="s">
        <v>11100</v>
      </c>
      <c r="V3663" t="s">
        <v>11100</v>
      </c>
      <c r="W3663" t="s">
        <v>14713</v>
      </c>
      <c r="X3663">
        <v>9</v>
      </c>
      <c r="Y3663" t="s">
        <v>20151</v>
      </c>
      <c r="Z3663" t="s">
        <v>25668</v>
      </c>
      <c r="AA3663">
        <v>0.51378464312112293</v>
      </c>
      <c r="AB3663" t="str">
        <f>HYPERLINK("Melting_Curves/meltCurve_Q86TG7_2_PEG10.pdf", "Melting_Curves/meltCurve_Q86TG7_2_PEG10.pdf")</f>
        <v>Melting_Curves/meltCurve_Q86TG7_2_PEG10.pdf</v>
      </c>
    </row>
    <row r="3664" spans="1:28" x14ac:dyDescent="0.25">
      <c r="A3664" t="s">
        <v>3668</v>
      </c>
      <c r="B3664">
        <v>0.99299721793515405</v>
      </c>
      <c r="C3664">
        <v>0.99088612381553998</v>
      </c>
      <c r="D3664">
        <v>0.93790173512568598</v>
      </c>
      <c r="E3664">
        <v>0.80023834537032301</v>
      </c>
      <c r="F3664">
        <v>0.63978525935172703</v>
      </c>
      <c r="G3664">
        <v>0.657384234795096</v>
      </c>
      <c r="H3664">
        <v>0.18057468149626199</v>
      </c>
      <c r="I3664">
        <v>0.15176320806509999</v>
      </c>
      <c r="J3664">
        <v>0.115493117916472</v>
      </c>
      <c r="K3664">
        <v>0.10042590303216301</v>
      </c>
      <c r="L3664">
        <v>646.34084214308996</v>
      </c>
      <c r="M3664">
        <v>12.104015814222601</v>
      </c>
      <c r="N3664">
        <v>53.3988761481396</v>
      </c>
      <c r="O3664">
        <v>52.004004540843397</v>
      </c>
      <c r="P3664">
        <v>-5.8201467221157301E-2</v>
      </c>
      <c r="Q3664">
        <v>0</v>
      </c>
      <c r="R3664">
        <v>0.95938599713345796</v>
      </c>
      <c r="S3664" t="s">
        <v>9215</v>
      </c>
      <c r="T3664" t="s">
        <v>11100</v>
      </c>
      <c r="U3664" t="s">
        <v>11100</v>
      </c>
      <c r="V3664" t="s">
        <v>11100</v>
      </c>
      <c r="W3664" t="s">
        <v>14714</v>
      </c>
      <c r="X3664">
        <v>5</v>
      </c>
      <c r="Y3664" t="s">
        <v>20152</v>
      </c>
      <c r="Z3664" t="s">
        <v>25669</v>
      </c>
      <c r="AA3664">
        <v>0.56643951196890285</v>
      </c>
      <c r="AB3664" t="str">
        <f>HYPERLINK("Melting_Curves/meltCurve_Q86TI2_DPP9.pdf", "Melting_Curves/meltCurve_Q86TI2_DPP9.pdf")</f>
        <v>Melting_Curves/meltCurve_Q86TI2_DPP9.pdf</v>
      </c>
    </row>
    <row r="3665" spans="1:28" x14ac:dyDescent="0.25">
      <c r="A3665" t="s">
        <v>3669</v>
      </c>
      <c r="B3665">
        <v>0.99299721793515405</v>
      </c>
      <c r="C3665">
        <v>0.99022828483372105</v>
      </c>
      <c r="D3665">
        <v>1.32997821809326</v>
      </c>
      <c r="E3665">
        <v>0.841939639042659</v>
      </c>
      <c r="F3665">
        <v>0.76735736450880498</v>
      </c>
      <c r="G3665">
        <v>0.55099400337846904</v>
      </c>
      <c r="H3665">
        <v>0.27694788681243798</v>
      </c>
      <c r="I3665">
        <v>0.17865082480839201</v>
      </c>
      <c r="J3665">
        <v>0.13614086685433999</v>
      </c>
      <c r="K3665">
        <v>0.134916095222089</v>
      </c>
      <c r="L3665">
        <v>988.80652904914598</v>
      </c>
      <c r="M3665">
        <v>18.539799945402699</v>
      </c>
      <c r="N3665">
        <v>54.011832997838901</v>
      </c>
      <c r="O3665">
        <v>52.725372705714001</v>
      </c>
      <c r="P3665">
        <v>-7.8789872574317202E-2</v>
      </c>
      <c r="Q3665">
        <v>0.103756674527632</v>
      </c>
      <c r="R3665">
        <v>0.92184160695087802</v>
      </c>
      <c r="S3665" t="s">
        <v>9216</v>
      </c>
      <c r="T3665" t="s">
        <v>11100</v>
      </c>
      <c r="U3665" t="s">
        <v>11100</v>
      </c>
      <c r="V3665" t="s">
        <v>11100</v>
      </c>
      <c r="W3665" t="s">
        <v>14715</v>
      </c>
      <c r="X3665">
        <v>2</v>
      </c>
      <c r="Y3665" t="s">
        <v>20153</v>
      </c>
      <c r="Z3665" t="s">
        <v>25670</v>
      </c>
      <c r="AA3665">
        <v>0.60408702776768008</v>
      </c>
      <c r="AB3665" t="str">
        <f>HYPERLINK("Melting_Curves/meltCurve_Q86TN4_TRPT1.pdf", "Melting_Curves/meltCurve_Q86TN4_TRPT1.pdf")</f>
        <v>Melting_Curves/meltCurve_Q86TN4_TRPT1.pdf</v>
      </c>
    </row>
    <row r="3666" spans="1:28" x14ac:dyDescent="0.25">
      <c r="A3666" t="s">
        <v>3670</v>
      </c>
      <c r="B3666">
        <v>0.99299721793515405</v>
      </c>
      <c r="C3666">
        <v>1.0031593780044501</v>
      </c>
      <c r="D3666">
        <v>0.90478037231577402</v>
      </c>
      <c r="E3666">
        <v>0.88620369170330704</v>
      </c>
      <c r="F3666">
        <v>0.72825736260459895</v>
      </c>
      <c r="G3666">
        <v>0.27139766083790201</v>
      </c>
      <c r="H3666">
        <v>0.160418708477052</v>
      </c>
      <c r="I3666">
        <v>0.142645012783428</v>
      </c>
      <c r="J3666">
        <v>0.12159186876514801</v>
      </c>
      <c r="K3666">
        <v>7.0867977903747104E-2</v>
      </c>
      <c r="L3666">
        <v>1348.9093837878399</v>
      </c>
      <c r="M3666">
        <v>26.2587440426739</v>
      </c>
      <c r="N3666">
        <v>51.812082395226298</v>
      </c>
      <c r="O3666">
        <v>51.074762799851797</v>
      </c>
      <c r="P3666">
        <v>-0.115630205786574</v>
      </c>
      <c r="Q3666">
        <v>0.100380501327706</v>
      </c>
      <c r="R3666">
        <v>0.98850723856721401</v>
      </c>
      <c r="S3666" t="s">
        <v>9217</v>
      </c>
      <c r="T3666" t="s">
        <v>11100</v>
      </c>
      <c r="U3666" t="s">
        <v>11100</v>
      </c>
      <c r="V3666" t="s">
        <v>11100</v>
      </c>
      <c r="W3666" t="s">
        <v>14716</v>
      </c>
      <c r="X3666">
        <v>7</v>
      </c>
      <c r="Y3666" t="s">
        <v>20154</v>
      </c>
      <c r="Z3666" t="s">
        <v>25671</v>
      </c>
      <c r="AA3666">
        <v>0.53855745449339121</v>
      </c>
      <c r="AB3666" t="str">
        <f>HYPERLINK("Melting_Curves/meltCurve_Q86TP1_PRUNE.pdf", "Melting_Curves/meltCurve_Q86TP1_PRUNE.pdf")</f>
        <v>Melting_Curves/meltCurve_Q86TP1_PRUNE.pdf</v>
      </c>
    </row>
    <row r="3667" spans="1:28" x14ac:dyDescent="0.25">
      <c r="A3667" t="s">
        <v>3671</v>
      </c>
      <c r="B3667">
        <v>0.99299721793515405</v>
      </c>
      <c r="C3667">
        <v>0.96817816973334803</v>
      </c>
      <c r="D3667">
        <v>1.00519970590108</v>
      </c>
      <c r="E3667">
        <v>0.95754407417207499</v>
      </c>
      <c r="F3667">
        <v>0.77036470787162004</v>
      </c>
      <c r="G3667">
        <v>0.547929459797315</v>
      </c>
      <c r="H3667">
        <v>0.323121848271537</v>
      </c>
      <c r="I3667">
        <v>0.21758486410963901</v>
      </c>
      <c r="J3667">
        <v>0.174886549868079</v>
      </c>
      <c r="K3667">
        <v>0.135959756951407</v>
      </c>
      <c r="L3667">
        <v>928.19085811422406</v>
      </c>
      <c r="M3667">
        <v>17.342861903776701</v>
      </c>
      <c r="N3667">
        <v>54.376296957202797</v>
      </c>
      <c r="O3667">
        <v>52.823672952641601</v>
      </c>
      <c r="P3667">
        <v>-7.2275625399090798E-2</v>
      </c>
      <c r="Q3667">
        <v>0.119488829122463</v>
      </c>
      <c r="R3667">
        <v>0.99823249751646204</v>
      </c>
      <c r="S3667" t="s">
        <v>9218</v>
      </c>
      <c r="T3667" t="s">
        <v>11100</v>
      </c>
      <c r="U3667" t="s">
        <v>11100</v>
      </c>
      <c r="V3667" t="s">
        <v>11100</v>
      </c>
      <c r="W3667" t="s">
        <v>14717</v>
      </c>
      <c r="X3667">
        <v>12</v>
      </c>
      <c r="Y3667" t="s">
        <v>20155</v>
      </c>
      <c r="Z3667" t="s">
        <v>25672</v>
      </c>
      <c r="AA3667">
        <v>0.61736172267306832</v>
      </c>
      <c r="AB3667" t="str">
        <f>HYPERLINK("Melting_Curves/meltCurve_Q86TU7_SETD3.pdf", "Melting_Curves/meltCurve_Q86TU7_SETD3.pdf")</f>
        <v>Melting_Curves/meltCurve_Q86TU7_SETD3.pdf</v>
      </c>
    </row>
    <row r="3668" spans="1:28" x14ac:dyDescent="0.25">
      <c r="A3668" t="s">
        <v>3672</v>
      </c>
      <c r="B3668">
        <v>0.99299721793515405</v>
      </c>
      <c r="C3668">
        <v>1.02805901281475</v>
      </c>
      <c r="D3668">
        <v>1.05157206112206</v>
      </c>
      <c r="E3668">
        <v>0.95779985689373004</v>
      </c>
      <c r="F3668">
        <v>0.66675449449573598</v>
      </c>
      <c r="G3668">
        <v>0.52995900015641195</v>
      </c>
      <c r="H3668">
        <v>0.30539345362444797</v>
      </c>
      <c r="I3668">
        <v>0.23851904940756999</v>
      </c>
      <c r="J3668">
        <v>0.19186182673136201</v>
      </c>
      <c r="K3668">
        <v>0.17336311478404401</v>
      </c>
      <c r="L3668">
        <v>919.25453086111702</v>
      </c>
      <c r="M3668">
        <v>17.545896368185499</v>
      </c>
      <c r="N3668">
        <v>53.606831627924102</v>
      </c>
      <c r="O3668">
        <v>51.725087823216001</v>
      </c>
      <c r="P3668">
        <v>-7.0890740644133907E-2</v>
      </c>
      <c r="Q3668">
        <v>0.16410546787191399</v>
      </c>
      <c r="R3668">
        <v>0.98849572975029198</v>
      </c>
      <c r="S3668" t="s">
        <v>9219</v>
      </c>
      <c r="T3668" t="s">
        <v>11100</v>
      </c>
      <c r="U3668" t="s">
        <v>11100</v>
      </c>
      <c r="V3668" t="s">
        <v>11100</v>
      </c>
      <c r="W3668" t="s">
        <v>14718</v>
      </c>
      <c r="X3668">
        <v>4</v>
      </c>
      <c r="Y3668" t="s">
        <v>20156</v>
      </c>
      <c r="Z3668" t="s">
        <v>25673</v>
      </c>
      <c r="AA3668">
        <v>0.60586886197990353</v>
      </c>
      <c r="AB3668" t="str">
        <f>HYPERLINK("Melting_Curves/meltCurve_Q86TV3_LGMN.pdf", "Melting_Curves/meltCurve_Q86TV3_LGMN.pdf")</f>
        <v>Melting_Curves/meltCurve_Q86TV3_LGMN.pdf</v>
      </c>
    </row>
    <row r="3669" spans="1:28" x14ac:dyDescent="0.25">
      <c r="A3669" t="s">
        <v>3673</v>
      </c>
      <c r="B3669">
        <v>0.99299721793515405</v>
      </c>
      <c r="C3669">
        <v>1.7711009139340901</v>
      </c>
      <c r="D3669">
        <v>1.39279191982202</v>
      </c>
      <c r="E3669">
        <v>1.2901747006567801</v>
      </c>
      <c r="F3669">
        <v>1.0991738865037901</v>
      </c>
      <c r="G3669">
        <v>1.20695877205461</v>
      </c>
      <c r="H3669">
        <v>0.79646523664426805</v>
      </c>
      <c r="I3669">
        <v>0.339794666414173</v>
      </c>
      <c r="J3669">
        <v>0.19607081304197299</v>
      </c>
      <c r="K3669">
        <v>0</v>
      </c>
      <c r="L3669">
        <v>2218.6926599908302</v>
      </c>
      <c r="M3669">
        <v>37.113997859787403</v>
      </c>
      <c r="N3669">
        <v>59.9330035156393</v>
      </c>
      <c r="O3669">
        <v>59.607723608032103</v>
      </c>
      <c r="P3669">
        <v>-0.148645200393033</v>
      </c>
      <c r="Q3669">
        <v>4.5063624984464798E-2</v>
      </c>
      <c r="R3669">
        <v>0.69104289859757895</v>
      </c>
      <c r="S3669" t="s">
        <v>9220</v>
      </c>
      <c r="T3669" t="s">
        <v>11100</v>
      </c>
      <c r="U3669" t="s">
        <v>11100</v>
      </c>
      <c r="V3669" t="s">
        <v>11100</v>
      </c>
      <c r="W3669" t="s">
        <v>14719</v>
      </c>
      <c r="X3669">
        <v>1</v>
      </c>
      <c r="Y3669" t="s">
        <v>20157</v>
      </c>
      <c r="Z3669" t="s">
        <v>25674</v>
      </c>
      <c r="AA3669">
        <v>0.7735372460925557</v>
      </c>
      <c r="AB3669" t="str">
        <f>HYPERLINK("Melting_Curves/meltCurve_Q86TW2_3_ADCK1.pdf", "Melting_Curves/meltCurve_Q86TW2_3_ADCK1.pdf")</f>
        <v>Melting_Curves/meltCurve_Q86TW2_3_ADCK1.pdf</v>
      </c>
    </row>
    <row r="3670" spans="1:28" x14ac:dyDescent="0.25">
      <c r="A3670" t="s">
        <v>3674</v>
      </c>
      <c r="B3670">
        <v>0.99299721793515405</v>
      </c>
      <c r="C3670">
        <v>1.1229065529672599</v>
      </c>
      <c r="D3670">
        <v>1.2025984225014901</v>
      </c>
      <c r="E3670">
        <v>1.1123600789999899</v>
      </c>
      <c r="F3670">
        <v>0.82484680526639498</v>
      </c>
      <c r="G3670">
        <v>0.53222285558332705</v>
      </c>
      <c r="H3670">
        <v>0.29543534898586699</v>
      </c>
      <c r="I3670">
        <v>0.271631856383449</v>
      </c>
      <c r="J3670">
        <v>0.231752486421893</v>
      </c>
      <c r="K3670">
        <v>0.23213431696439699</v>
      </c>
      <c r="L3670">
        <v>1571.09472708419</v>
      </c>
      <c r="M3670">
        <v>29.7552779187955</v>
      </c>
      <c r="N3670">
        <v>53.975099011590302</v>
      </c>
      <c r="O3670">
        <v>52.563784159091597</v>
      </c>
      <c r="P3670">
        <v>-0.107792815437045</v>
      </c>
      <c r="Q3670">
        <v>0.23832548924837799</v>
      </c>
      <c r="R3670">
        <v>0.95035653021254296</v>
      </c>
      <c r="S3670" t="s">
        <v>9221</v>
      </c>
      <c r="T3670" t="s">
        <v>11100</v>
      </c>
      <c r="U3670" t="s">
        <v>11100</v>
      </c>
      <c r="V3670" t="s">
        <v>11100</v>
      </c>
      <c r="W3670" t="s">
        <v>14720</v>
      </c>
      <c r="X3670">
        <v>10</v>
      </c>
      <c r="Y3670" t="s">
        <v>20158</v>
      </c>
      <c r="Z3670" t="s">
        <v>25675</v>
      </c>
      <c r="AA3670">
        <v>0.64440440703230872</v>
      </c>
      <c r="AB3670" t="str">
        <f>HYPERLINK("Melting_Curves/meltCurve_Q86U28_ISCA2.pdf", "Melting_Curves/meltCurve_Q86U28_ISCA2.pdf")</f>
        <v>Melting_Curves/meltCurve_Q86U28_ISCA2.pdf</v>
      </c>
    </row>
    <row r="3671" spans="1:28" x14ac:dyDescent="0.25">
      <c r="A3671" t="s">
        <v>3675</v>
      </c>
      <c r="B3671">
        <v>0.99299721793515405</v>
      </c>
      <c r="C3671">
        <v>0.98649791343382098</v>
      </c>
      <c r="D3671">
        <v>0.93287947499868495</v>
      </c>
      <c r="E3671">
        <v>0.82411120659059101</v>
      </c>
      <c r="F3671">
        <v>0.68685814202141504</v>
      </c>
      <c r="G3671">
        <v>0.52939352692387398</v>
      </c>
      <c r="H3671">
        <v>0.30079518492649399</v>
      </c>
      <c r="I3671">
        <v>0.144215696664828</v>
      </c>
      <c r="J3671">
        <v>0.11795734920065</v>
      </c>
      <c r="K3671">
        <v>8.7107657952836398E-2</v>
      </c>
      <c r="L3671">
        <v>641.80412207806</v>
      </c>
      <c r="M3671">
        <v>12.0000897201855</v>
      </c>
      <c r="N3671">
        <v>53.483276834028999</v>
      </c>
      <c r="O3671">
        <v>52.062956785156103</v>
      </c>
      <c r="P3671">
        <v>-5.7636861799967E-2</v>
      </c>
      <c r="Q3671">
        <v>0</v>
      </c>
      <c r="R3671">
        <v>0.99584660895606103</v>
      </c>
      <c r="S3671" t="s">
        <v>9222</v>
      </c>
      <c r="T3671" t="s">
        <v>11100</v>
      </c>
      <c r="U3671" t="s">
        <v>11100</v>
      </c>
      <c r="V3671" t="s">
        <v>11100</v>
      </c>
      <c r="W3671" t="s">
        <v>14721</v>
      </c>
      <c r="X3671">
        <v>10</v>
      </c>
      <c r="Y3671" t="s">
        <v>20159</v>
      </c>
      <c r="Z3671" t="s">
        <v>25676</v>
      </c>
      <c r="AA3671">
        <v>0.56905829892341697</v>
      </c>
      <c r="AB3671" t="str">
        <f>HYPERLINK("Melting_Curves/meltCurve_Q86U44_METTL3.pdf", "Melting_Curves/meltCurve_Q86U44_METTL3.pdf")</f>
        <v>Melting_Curves/meltCurve_Q86U44_METTL3.pdf</v>
      </c>
    </row>
    <row r="3672" spans="1:28" x14ac:dyDescent="0.25">
      <c r="A3672" t="s">
        <v>3676</v>
      </c>
      <c r="B3672">
        <v>0.99299721793515405</v>
      </c>
      <c r="C3672">
        <v>1.1920161404910199</v>
      </c>
      <c r="D3672">
        <v>0.85361420750497097</v>
      </c>
      <c r="E3672">
        <v>1.1353144979676599</v>
      </c>
      <c r="F3672">
        <v>0.60535415309158103</v>
      </c>
      <c r="G3672">
        <v>0.77649949368148596</v>
      </c>
      <c r="H3672">
        <v>0.49498467908896099</v>
      </c>
      <c r="I3672">
        <v>0.38736196077275198</v>
      </c>
      <c r="J3672">
        <v>0.36770313630815599</v>
      </c>
      <c r="K3672">
        <v>0.28814378170565402</v>
      </c>
      <c r="L3672">
        <v>701.61765456682099</v>
      </c>
      <c r="M3672">
        <v>12.802475035430399</v>
      </c>
      <c r="N3672">
        <v>57.731659210463199</v>
      </c>
      <c r="O3672">
        <v>53.517801327005898</v>
      </c>
      <c r="P3672">
        <v>-4.5530815359419302E-2</v>
      </c>
      <c r="Q3672">
        <v>0.238818336176125</v>
      </c>
      <c r="R3672">
        <v>0.83773889833048598</v>
      </c>
      <c r="S3672" t="s">
        <v>9223</v>
      </c>
      <c r="T3672" t="s">
        <v>11100</v>
      </c>
      <c r="U3672" t="s">
        <v>11100</v>
      </c>
      <c r="V3672" t="s">
        <v>11100</v>
      </c>
      <c r="W3672" t="s">
        <v>14722</v>
      </c>
      <c r="X3672">
        <v>1</v>
      </c>
      <c r="Y3672" t="s">
        <v>20160</v>
      </c>
      <c r="Z3672" t="s">
        <v>25677</v>
      </c>
      <c r="AA3672">
        <v>0.70202699398549062</v>
      </c>
      <c r="AB3672" t="str">
        <f>HYPERLINK("Melting_Curves/meltCurve_Q86U70_3_LDB1.pdf", "Melting_Curves/meltCurve_Q86U70_3_LDB1.pdf")</f>
        <v>Melting_Curves/meltCurve_Q86U70_3_LDB1.pdf</v>
      </c>
    </row>
    <row r="3673" spans="1:28" x14ac:dyDescent="0.25">
      <c r="A3673" t="s">
        <v>3677</v>
      </c>
      <c r="B3673">
        <v>0.99299721793515405</v>
      </c>
      <c r="C3673">
        <v>1.0267195368589099</v>
      </c>
      <c r="D3673">
        <v>0.95915942490848305</v>
      </c>
      <c r="E3673">
        <v>0.94480779833495399</v>
      </c>
      <c r="F3673">
        <v>0.86192465353896497</v>
      </c>
      <c r="G3673">
        <v>0.56677975036616901</v>
      </c>
      <c r="H3673">
        <v>0.30003641967576999</v>
      </c>
      <c r="I3673">
        <v>0.16228154528859601</v>
      </c>
      <c r="J3673">
        <v>0.12738271180883301</v>
      </c>
      <c r="K3673">
        <v>9.4520406398153997E-2</v>
      </c>
      <c r="L3673">
        <v>1106.1655366735299</v>
      </c>
      <c r="M3673">
        <v>20.4290369205502</v>
      </c>
      <c r="N3673">
        <v>54.621933724736401</v>
      </c>
      <c r="O3673">
        <v>53.6359105602588</v>
      </c>
      <c r="P3673">
        <v>-8.7471016519554398E-2</v>
      </c>
      <c r="Q3673">
        <v>8.1415949819138494E-2</v>
      </c>
      <c r="R3673">
        <v>0.99787885743013605</v>
      </c>
      <c r="S3673" t="s">
        <v>9224</v>
      </c>
      <c r="T3673" t="s">
        <v>11100</v>
      </c>
      <c r="U3673" t="s">
        <v>11100</v>
      </c>
      <c r="V3673" t="s">
        <v>11100</v>
      </c>
      <c r="W3673" t="s">
        <v>14723</v>
      </c>
      <c r="X3673">
        <v>14</v>
      </c>
      <c r="Y3673" t="s">
        <v>20161</v>
      </c>
      <c r="Z3673" t="s">
        <v>25678</v>
      </c>
      <c r="AA3673">
        <v>0.61716767201493283</v>
      </c>
      <c r="AB3673" t="str">
        <f>HYPERLINK("Melting_Curves/meltCurve_Q86U90_YRDC.pdf", "Melting_Curves/meltCurve_Q86U90_YRDC.pdf")</f>
        <v>Melting_Curves/meltCurve_Q86U90_YRDC.pdf</v>
      </c>
    </row>
    <row r="3674" spans="1:28" x14ac:dyDescent="0.25">
      <c r="A3674" t="s">
        <v>3678</v>
      </c>
      <c r="B3674">
        <v>0.99299721793515405</v>
      </c>
      <c r="C3674">
        <v>1.0180158615636501</v>
      </c>
      <c r="D3674">
        <v>0.93790250047271095</v>
      </c>
      <c r="E3674">
        <v>0.87060016168745802</v>
      </c>
      <c r="F3674">
        <v>0.57555755323232505</v>
      </c>
      <c r="G3674">
        <v>0.25991805089033698</v>
      </c>
      <c r="H3674">
        <v>0.216795225014214</v>
      </c>
      <c r="I3674">
        <v>0.17001406972428601</v>
      </c>
      <c r="J3674">
        <v>0.14975711543852799</v>
      </c>
      <c r="K3674">
        <v>0.129971406656605</v>
      </c>
      <c r="L3674">
        <v>1137.4918529095401</v>
      </c>
      <c r="M3674">
        <v>22.710651510736302</v>
      </c>
      <c r="N3674">
        <v>50.848839905063301</v>
      </c>
      <c r="O3674">
        <v>49.702801887960803</v>
      </c>
      <c r="P3674">
        <v>-9.7747543710652696E-2</v>
      </c>
      <c r="Q3674">
        <v>0.14432586347864701</v>
      </c>
      <c r="R3674">
        <v>0.99651227661115704</v>
      </c>
      <c r="S3674" t="s">
        <v>9225</v>
      </c>
      <c r="T3674" t="s">
        <v>11100</v>
      </c>
      <c r="U3674" t="s">
        <v>11100</v>
      </c>
      <c r="V3674" t="s">
        <v>11100</v>
      </c>
      <c r="W3674" t="s">
        <v>14724</v>
      </c>
      <c r="X3674">
        <v>9</v>
      </c>
      <c r="Y3674" t="s">
        <v>20162</v>
      </c>
      <c r="Z3674" t="s">
        <v>25679</v>
      </c>
      <c r="AA3674">
        <v>0.52654541976812164</v>
      </c>
      <c r="AB3674" t="str">
        <f>HYPERLINK("Melting_Curves/meltCurve_Q86UA1_PRPF39.pdf", "Melting_Curves/meltCurve_Q86UA1_PRPF39.pdf")</f>
        <v>Melting_Curves/meltCurve_Q86UA1_PRPF39.pdf</v>
      </c>
    </row>
    <row r="3675" spans="1:28" x14ac:dyDescent="0.25">
      <c r="A3675" t="s">
        <v>3679</v>
      </c>
      <c r="B3675">
        <v>0.99299721793515405</v>
      </c>
      <c r="C3675">
        <v>0.38245840075648602</v>
      </c>
      <c r="D3675">
        <v>0.33344094547955899</v>
      </c>
      <c r="E3675">
        <v>0.62835694837841805</v>
      </c>
      <c r="F3675">
        <v>0.522124608893342</v>
      </c>
      <c r="G3675">
        <v>0</v>
      </c>
      <c r="H3675">
        <v>0.15100587940628801</v>
      </c>
      <c r="I3675">
        <v>0.114766149177272</v>
      </c>
      <c r="J3675">
        <v>0</v>
      </c>
      <c r="K3675">
        <v>0</v>
      </c>
      <c r="L3675">
        <v>311.07525765755298</v>
      </c>
      <c r="M3675">
        <v>7.1847693862647999</v>
      </c>
      <c r="N3675">
        <v>43.296485722706798</v>
      </c>
      <c r="O3675">
        <v>40.3191479580059</v>
      </c>
      <c r="P3675">
        <v>-4.4624416619654897E-2</v>
      </c>
      <c r="Q3675">
        <v>0</v>
      </c>
      <c r="R3675">
        <v>0.65948262339300101</v>
      </c>
      <c r="S3675" t="s">
        <v>9226</v>
      </c>
      <c r="T3675" t="s">
        <v>11100</v>
      </c>
      <c r="U3675" t="s">
        <v>11100</v>
      </c>
      <c r="V3675" t="s">
        <v>11100</v>
      </c>
      <c r="W3675" t="s">
        <v>14725</v>
      </c>
      <c r="X3675">
        <v>2</v>
      </c>
      <c r="Y3675" t="s">
        <v>20163</v>
      </c>
      <c r="Z3675" t="s">
        <v>25680</v>
      </c>
      <c r="AA3675">
        <v>0.30165679296842818</v>
      </c>
      <c r="AB3675" t="str">
        <f>HYPERLINK("Melting_Curves/meltCurve_Q86UD0_SAPCD2.pdf", "Melting_Curves/meltCurve_Q86UD0_SAPCD2.pdf")</f>
        <v>Melting_Curves/meltCurve_Q86UD0_SAPCD2.pdf</v>
      </c>
    </row>
    <row r="3676" spans="1:28" x14ac:dyDescent="0.25">
      <c r="A3676" t="s">
        <v>3680</v>
      </c>
      <c r="B3676">
        <v>0.99299721793515405</v>
      </c>
      <c r="C3676">
        <v>0.92050511756681197</v>
      </c>
      <c r="D3676">
        <v>0.84088231728848795</v>
      </c>
      <c r="E3676">
        <v>0.78124139195994102</v>
      </c>
      <c r="F3676">
        <v>0.65958095947978501</v>
      </c>
      <c r="G3676">
        <v>0.663565804629485</v>
      </c>
      <c r="H3676">
        <v>0.75179815028421504</v>
      </c>
      <c r="I3676">
        <v>0.75926956350166297</v>
      </c>
      <c r="J3676">
        <v>0.674424502733459</v>
      </c>
      <c r="K3676">
        <v>0.38593681501859201</v>
      </c>
      <c r="L3676">
        <v>191.40073837186</v>
      </c>
      <c r="M3676">
        <v>2.6350295035393301</v>
      </c>
      <c r="O3676">
        <v>50.319767944693602</v>
      </c>
      <c r="P3676">
        <v>-1.3672950566785301E-2</v>
      </c>
      <c r="Q3676">
        <v>0</v>
      </c>
      <c r="R3676">
        <v>0.67332293505912599</v>
      </c>
      <c r="S3676" t="s">
        <v>9227</v>
      </c>
      <c r="T3676" t="s">
        <v>11100</v>
      </c>
      <c r="U3676" t="s">
        <v>11100</v>
      </c>
      <c r="V3676" t="s">
        <v>11100</v>
      </c>
      <c r="W3676" t="s">
        <v>14726</v>
      </c>
      <c r="X3676">
        <v>10</v>
      </c>
      <c r="Y3676" t="s">
        <v>20164</v>
      </c>
      <c r="Z3676" t="s">
        <v>25681</v>
      </c>
      <c r="AA3676">
        <v>0.74102600320671441</v>
      </c>
      <c r="AB3676" t="str">
        <f>HYPERLINK("Melting_Curves/meltCurve_Q86UE4_MTDH.pdf", "Melting_Curves/meltCurve_Q86UE4_MTDH.pdf")</f>
        <v>Melting_Curves/meltCurve_Q86UE4_MTDH.pdf</v>
      </c>
    </row>
    <row r="3677" spans="1:28" x14ac:dyDescent="0.25">
      <c r="A3677" t="s">
        <v>3681</v>
      </c>
      <c r="B3677">
        <v>0.99299721793515405</v>
      </c>
      <c r="C3677">
        <v>0.83586192816174498</v>
      </c>
      <c r="D3677">
        <v>0.93230709420645796</v>
      </c>
      <c r="E3677">
        <v>0.80929570337865997</v>
      </c>
      <c r="F3677">
        <v>0.74670820705512797</v>
      </c>
      <c r="G3677">
        <v>0.55258673663705704</v>
      </c>
      <c r="H3677">
        <v>0.26809429604965301</v>
      </c>
      <c r="I3677">
        <v>0.24439676992161</v>
      </c>
      <c r="J3677">
        <v>0.20161512880997401</v>
      </c>
      <c r="K3677">
        <v>0.19269724703205601</v>
      </c>
      <c r="L3677">
        <v>568.82186382228497</v>
      </c>
      <c r="M3677">
        <v>10.6690589461597</v>
      </c>
      <c r="N3677">
        <v>53.991827560238796</v>
      </c>
      <c r="O3677">
        <v>51.544394859845198</v>
      </c>
      <c r="P3677">
        <v>-4.8526751630266401E-2</v>
      </c>
      <c r="Q3677">
        <v>6.2585261339090106E-2</v>
      </c>
      <c r="R3677">
        <v>0.961613630425597</v>
      </c>
      <c r="S3677" t="s">
        <v>9228</v>
      </c>
      <c r="T3677" t="s">
        <v>11100</v>
      </c>
      <c r="U3677" t="s">
        <v>11100</v>
      </c>
      <c r="V3677" t="s">
        <v>11100</v>
      </c>
      <c r="W3677" t="s">
        <v>14727</v>
      </c>
      <c r="X3677">
        <v>13</v>
      </c>
      <c r="Y3677" t="s">
        <v>20165</v>
      </c>
      <c r="Z3677" t="s">
        <v>25682</v>
      </c>
      <c r="AA3677">
        <v>0.59191897756923195</v>
      </c>
      <c r="AB3677" t="str">
        <f>HYPERLINK("Melting_Curves/meltCurve_Q86UE8_2_TLK2.pdf", "Melting_Curves/meltCurve_Q86UE8_2_TLK2.pdf")</f>
        <v>Melting_Curves/meltCurve_Q86UE8_2_TLK2.pdf</v>
      </c>
    </row>
    <row r="3678" spans="1:28" x14ac:dyDescent="0.25">
      <c r="A3678" t="s">
        <v>3682</v>
      </c>
      <c r="B3678">
        <v>0.99299721793515405</v>
      </c>
      <c r="C3678">
        <v>0.96318405197586598</v>
      </c>
      <c r="D3678">
        <v>0.94041417258337201</v>
      </c>
      <c r="E3678">
        <v>0.82708261828404595</v>
      </c>
      <c r="F3678">
        <v>0.57920095100856805</v>
      </c>
      <c r="G3678">
        <v>0.31849637940840603</v>
      </c>
      <c r="H3678">
        <v>0.22927077417503999</v>
      </c>
      <c r="I3678">
        <v>0.20130596000530801</v>
      </c>
      <c r="J3678">
        <v>0.19176388396799601</v>
      </c>
      <c r="K3678">
        <v>0.14497616318621001</v>
      </c>
      <c r="L3678">
        <v>906.65264081656505</v>
      </c>
      <c r="M3678">
        <v>18.129902242431399</v>
      </c>
      <c r="N3678">
        <v>51.069991512319802</v>
      </c>
      <c r="O3678">
        <v>49.412173793852702</v>
      </c>
      <c r="P3678">
        <v>-7.7333738056859405E-2</v>
      </c>
      <c r="Q3678">
        <v>0.15696292190278899</v>
      </c>
      <c r="R3678">
        <v>0.99753591988594903</v>
      </c>
      <c r="S3678" t="s">
        <v>9229</v>
      </c>
      <c r="T3678" t="s">
        <v>11100</v>
      </c>
      <c r="U3678" t="s">
        <v>11100</v>
      </c>
      <c r="V3678" t="s">
        <v>11100</v>
      </c>
      <c r="W3678" t="s">
        <v>14728</v>
      </c>
      <c r="X3678">
        <v>22</v>
      </c>
      <c r="Y3678" t="s">
        <v>20166</v>
      </c>
      <c r="Z3678" t="s">
        <v>25683</v>
      </c>
      <c r="AA3678">
        <v>0.53564653661288775</v>
      </c>
      <c r="AB3678" t="str">
        <f>HYPERLINK("Melting_Curves/meltCurve_Q86UK7_3_ZNF598.pdf", "Melting_Curves/meltCurve_Q86UK7_3_ZNF598.pdf")</f>
        <v>Melting_Curves/meltCurve_Q86UK7_3_ZNF598.pdf</v>
      </c>
    </row>
    <row r="3679" spans="1:28" x14ac:dyDescent="0.25">
      <c r="A3679" t="s">
        <v>3683</v>
      </c>
      <c r="B3679">
        <v>0.99299721793515405</v>
      </c>
      <c r="C3679">
        <v>0.923783026051746</v>
      </c>
      <c r="D3679">
        <v>0.94135996502545305</v>
      </c>
      <c r="E3679">
        <v>0.89199172433677598</v>
      </c>
      <c r="F3679">
        <v>0.71126031818846303</v>
      </c>
      <c r="G3679">
        <v>0.66913015249168994</v>
      </c>
      <c r="H3679">
        <v>0.42494392539167303</v>
      </c>
      <c r="I3679">
        <v>0.36202739796535</v>
      </c>
      <c r="J3679">
        <v>0.39338159979430298</v>
      </c>
      <c r="K3679">
        <v>0.41087258075911498</v>
      </c>
      <c r="L3679">
        <v>678.41591586684603</v>
      </c>
      <c r="M3679">
        <v>13.079049546658601</v>
      </c>
      <c r="N3679">
        <v>56.6202818860382</v>
      </c>
      <c r="O3679">
        <v>50.7027683013659</v>
      </c>
      <c r="P3679">
        <v>-4.3015209478974997E-2</v>
      </c>
      <c r="Q3679">
        <v>0.333097139063319</v>
      </c>
      <c r="R3679">
        <v>0.96688231904414901</v>
      </c>
      <c r="S3679" t="s">
        <v>9230</v>
      </c>
      <c r="T3679" t="s">
        <v>11100</v>
      </c>
      <c r="U3679" t="s">
        <v>11100</v>
      </c>
      <c r="V3679" t="s">
        <v>11100</v>
      </c>
      <c r="W3679" t="s">
        <v>14729</v>
      </c>
      <c r="X3679">
        <v>2</v>
      </c>
      <c r="Y3679" t="s">
        <v>20167</v>
      </c>
      <c r="Z3679" t="s">
        <v>25684</v>
      </c>
      <c r="AA3679">
        <v>0.67854524986248788</v>
      </c>
      <c r="AB3679" t="str">
        <f>HYPERLINK("Melting_Curves/meltCurve_Q86UL3_AGPAT6.pdf", "Melting_Curves/meltCurve_Q86UL3_AGPAT6.pdf")</f>
        <v>Melting_Curves/meltCurve_Q86UL3_AGPAT6.pdf</v>
      </c>
    </row>
    <row r="3680" spans="1:28" x14ac:dyDescent="0.25">
      <c r="A3680" t="s">
        <v>3684</v>
      </c>
      <c r="B3680">
        <v>0.99299721793515405</v>
      </c>
      <c r="C3680">
        <v>0.87943744754446496</v>
      </c>
      <c r="D3680">
        <v>1.3947909590104699</v>
      </c>
      <c r="E3680">
        <v>1.110892130846</v>
      </c>
      <c r="F3680">
        <v>0.61456314870683504</v>
      </c>
      <c r="G3680">
        <v>0.79903361744803103</v>
      </c>
      <c r="H3680">
        <v>0.52549289216470496</v>
      </c>
      <c r="I3680">
        <v>0.52858116710136505</v>
      </c>
      <c r="J3680">
        <v>0.15966323320376899</v>
      </c>
      <c r="K3680">
        <v>0.107137271167148</v>
      </c>
      <c r="L3680">
        <v>734.70343237275802</v>
      </c>
      <c r="M3680">
        <v>12.588604083300501</v>
      </c>
      <c r="N3680">
        <v>58.362581634983201</v>
      </c>
      <c r="O3680">
        <v>56.948575892269297</v>
      </c>
      <c r="P3680">
        <v>-5.5274098781876703E-2</v>
      </c>
      <c r="Q3680">
        <v>0</v>
      </c>
      <c r="R3680">
        <v>0.78829927800935495</v>
      </c>
      <c r="S3680" t="s">
        <v>9231</v>
      </c>
      <c r="T3680" t="s">
        <v>11100</v>
      </c>
      <c r="U3680" t="s">
        <v>11100</v>
      </c>
      <c r="V3680" t="s">
        <v>11100</v>
      </c>
      <c r="W3680" t="s">
        <v>14730</v>
      </c>
      <c r="X3680">
        <v>2</v>
      </c>
      <c r="Y3680" t="s">
        <v>20168</v>
      </c>
      <c r="Z3680" t="s">
        <v>25685</v>
      </c>
      <c r="AA3680">
        <v>0.70997873760787966</v>
      </c>
      <c r="AB3680" t="str">
        <f>HYPERLINK("Melting_Curves/meltCurve_Q86UN3_RTN4RL2.pdf", "Melting_Curves/meltCurve_Q86UN3_RTN4RL2.pdf")</f>
        <v>Melting_Curves/meltCurve_Q86UN3_RTN4RL2.pdf</v>
      </c>
    </row>
    <row r="3681" spans="1:28" x14ac:dyDescent="0.25">
      <c r="A3681" t="s">
        <v>3685</v>
      </c>
      <c r="B3681">
        <v>0.99299721793515405</v>
      </c>
      <c r="C3681">
        <v>0.93906918971773201</v>
      </c>
      <c r="D3681">
        <v>0.97188633554611903</v>
      </c>
      <c r="E3681">
        <v>0.804603931363983</v>
      </c>
      <c r="F3681">
        <v>0.70942607599549801</v>
      </c>
      <c r="G3681">
        <v>0.40680112860720902</v>
      </c>
      <c r="H3681">
        <v>0.264027292674479</v>
      </c>
      <c r="I3681">
        <v>0.21753275913686901</v>
      </c>
      <c r="J3681">
        <v>0.191354674105428</v>
      </c>
      <c r="K3681">
        <v>0.16306574001134699</v>
      </c>
      <c r="L3681">
        <v>774.21693374991696</v>
      </c>
      <c r="M3681">
        <v>15.0421495244045</v>
      </c>
      <c r="N3681">
        <v>52.580779483643703</v>
      </c>
      <c r="O3681">
        <v>50.585841359199101</v>
      </c>
      <c r="P3681">
        <v>-6.4226118225021694E-2</v>
      </c>
      <c r="Q3681">
        <v>0.13613165567987201</v>
      </c>
      <c r="R3681">
        <v>0.99102189066976498</v>
      </c>
      <c r="S3681" t="s">
        <v>9232</v>
      </c>
      <c r="T3681" t="s">
        <v>11100</v>
      </c>
      <c r="U3681" t="s">
        <v>11100</v>
      </c>
      <c r="V3681" t="s">
        <v>11100</v>
      </c>
      <c r="W3681" t="s">
        <v>14731</v>
      </c>
      <c r="X3681">
        <v>30</v>
      </c>
      <c r="Y3681" t="s">
        <v>20169</v>
      </c>
      <c r="Z3681" t="s">
        <v>25686</v>
      </c>
      <c r="AA3681">
        <v>0.56975465099191824</v>
      </c>
      <c r="AB3681" t="str">
        <f>HYPERLINK("Melting_Curves/meltCurve_Q86UP2_KTN1.pdf", "Melting_Curves/meltCurve_Q86UP2_KTN1.pdf")</f>
        <v>Melting_Curves/meltCurve_Q86UP2_KTN1.pdf</v>
      </c>
    </row>
    <row r="3682" spans="1:28" x14ac:dyDescent="0.25">
      <c r="A3682" t="s">
        <v>3686</v>
      </c>
      <c r="B3682">
        <v>0.99299721793515405</v>
      </c>
      <c r="C3682">
        <v>1.1030512166224899</v>
      </c>
      <c r="D3682">
        <v>0.89434125792611296</v>
      </c>
      <c r="E3682">
        <v>0.77108487717168595</v>
      </c>
      <c r="F3682">
        <v>0.70134668623335905</v>
      </c>
      <c r="G3682">
        <v>0.72652955047906997</v>
      </c>
      <c r="H3682">
        <v>0.544196926683435</v>
      </c>
      <c r="I3682">
        <v>0.33618818203235001</v>
      </c>
      <c r="J3682">
        <v>0.13976690501219699</v>
      </c>
      <c r="K3682">
        <v>6.8563076044397098E-2</v>
      </c>
      <c r="L3682">
        <v>580.29471129263504</v>
      </c>
      <c r="M3682">
        <v>10.300510823401501</v>
      </c>
      <c r="N3682">
        <v>56.336513055554803</v>
      </c>
      <c r="O3682">
        <v>54.337090926964102</v>
      </c>
      <c r="P3682">
        <v>-4.7412291897813097E-2</v>
      </c>
      <c r="Q3682">
        <v>0</v>
      </c>
      <c r="R3682">
        <v>0.93144562911766704</v>
      </c>
      <c r="S3682" t="s">
        <v>9233</v>
      </c>
      <c r="T3682" t="s">
        <v>11100</v>
      </c>
      <c r="U3682" t="s">
        <v>11100</v>
      </c>
      <c r="V3682" t="s">
        <v>11100</v>
      </c>
      <c r="W3682" t="s">
        <v>14732</v>
      </c>
      <c r="X3682">
        <v>1</v>
      </c>
      <c r="Y3682" t="s">
        <v>20170</v>
      </c>
      <c r="Z3682" t="s">
        <v>25687</v>
      </c>
      <c r="AA3682">
        <v>0.64924063668375098</v>
      </c>
      <c r="AB3682" t="str">
        <f>HYPERLINK("Melting_Curves/meltCurve_Q86UT6_2_NLRX1.pdf", "Melting_Curves/meltCurve_Q86UT6_2_NLRX1.pdf")</f>
        <v>Melting_Curves/meltCurve_Q86UT6_2_NLRX1.pdf</v>
      </c>
    </row>
    <row r="3683" spans="1:28" x14ac:dyDescent="0.25">
      <c r="A3683" t="s">
        <v>3687</v>
      </c>
      <c r="B3683">
        <v>0.99299721793515405</v>
      </c>
      <c r="C3683">
        <v>0.99014223451743799</v>
      </c>
      <c r="D3683">
        <v>1.3909869884350401</v>
      </c>
      <c r="E3683">
        <v>1.0442971874940401</v>
      </c>
      <c r="F3683">
        <v>0.76589506853135403</v>
      </c>
      <c r="G3683">
        <v>1.00210363377941</v>
      </c>
      <c r="H3683">
        <v>0.63523046959530505</v>
      </c>
      <c r="I3683">
        <v>0.85515121177278997</v>
      </c>
      <c r="J3683">
        <v>1.03204460842509</v>
      </c>
      <c r="K3683">
        <v>0.77314393880741805</v>
      </c>
      <c r="L3683">
        <v>12070.9166955082</v>
      </c>
      <c r="M3683">
        <v>250</v>
      </c>
      <c r="O3683">
        <v>48.280556193450103</v>
      </c>
      <c r="P3683">
        <v>-0.202037639277276</v>
      </c>
      <c r="Q3683">
        <v>0.84392809910079203</v>
      </c>
      <c r="R3683">
        <v>0.30633840057003597</v>
      </c>
      <c r="S3683" t="s">
        <v>9234</v>
      </c>
      <c r="T3683" t="s">
        <v>11100</v>
      </c>
      <c r="U3683" t="s">
        <v>11100</v>
      </c>
      <c r="V3683" t="s">
        <v>11100</v>
      </c>
      <c r="W3683" t="s">
        <v>14733</v>
      </c>
      <c r="X3683">
        <v>9</v>
      </c>
      <c r="Y3683" t="s">
        <v>20171</v>
      </c>
      <c r="Z3683" t="s">
        <v>25688</v>
      </c>
      <c r="AA3683">
        <v>0.90264343497136534</v>
      </c>
      <c r="AB3683" t="str">
        <f>HYPERLINK("Melting_Curves/meltCurve_Q86UU0_4_BCL9L.pdf", "Melting_Curves/meltCurve_Q86UU0_4_BCL9L.pdf")</f>
        <v>Melting_Curves/meltCurve_Q86UU0_4_BCL9L.pdf</v>
      </c>
    </row>
    <row r="3684" spans="1:28" x14ac:dyDescent="0.25">
      <c r="A3684" t="s">
        <v>3688</v>
      </c>
      <c r="B3684">
        <v>0.99299721793515405</v>
      </c>
      <c r="C3684">
        <v>0.985664146629467</v>
      </c>
      <c r="D3684">
        <v>1.0226174516586199</v>
      </c>
      <c r="E3684">
        <v>0.894292548914564</v>
      </c>
      <c r="F3684">
        <v>0.71024261656548604</v>
      </c>
      <c r="G3684">
        <v>0.439284500152539</v>
      </c>
      <c r="H3684">
        <v>0.29594893767505098</v>
      </c>
      <c r="I3684">
        <v>0.22301083819151199</v>
      </c>
      <c r="J3684">
        <v>0.213998076358133</v>
      </c>
      <c r="K3684">
        <v>0.13034255519291299</v>
      </c>
      <c r="L3684">
        <v>924.10586031637399</v>
      </c>
      <c r="M3684">
        <v>17.783763586546598</v>
      </c>
      <c r="N3684">
        <v>53.073582469297897</v>
      </c>
      <c r="O3684">
        <v>51.319775320387699</v>
      </c>
      <c r="P3684">
        <v>-7.3180641975776395E-2</v>
      </c>
      <c r="Q3684">
        <v>0.15531513616193399</v>
      </c>
      <c r="R3684">
        <v>0.995835160659852</v>
      </c>
      <c r="S3684" t="s">
        <v>9235</v>
      </c>
      <c r="T3684" t="s">
        <v>11100</v>
      </c>
      <c r="U3684" t="s">
        <v>11100</v>
      </c>
      <c r="V3684" t="s">
        <v>11100</v>
      </c>
      <c r="W3684" t="s">
        <v>14734</v>
      </c>
      <c r="X3684">
        <v>5</v>
      </c>
      <c r="Y3684" t="s">
        <v>20172</v>
      </c>
      <c r="Z3684" t="s">
        <v>25689</v>
      </c>
      <c r="AA3684">
        <v>0.58963708266372417</v>
      </c>
      <c r="AB3684" t="str">
        <f>HYPERLINK("Melting_Curves/meltCurve_Q86UU1_2_PHLDB1.pdf", "Melting_Curves/meltCurve_Q86UU1_2_PHLDB1.pdf")</f>
        <v>Melting_Curves/meltCurve_Q86UU1_2_PHLDB1.pdf</v>
      </c>
    </row>
    <row r="3685" spans="1:28" x14ac:dyDescent="0.25">
      <c r="A3685" t="s">
        <v>3689</v>
      </c>
      <c r="B3685">
        <v>0.99299721793515405</v>
      </c>
      <c r="C3685">
        <v>0.95431548911473996</v>
      </c>
      <c r="D3685">
        <v>0.99675555013910899</v>
      </c>
      <c r="E3685">
        <v>0.76447773628055704</v>
      </c>
      <c r="F3685">
        <v>0.55493514697326196</v>
      </c>
      <c r="G3685">
        <v>0.25132225399257302</v>
      </c>
      <c r="H3685">
        <v>0.17675109335063099</v>
      </c>
      <c r="I3685">
        <v>0.171184146536077</v>
      </c>
      <c r="J3685">
        <v>0.184138213573284</v>
      </c>
      <c r="K3685">
        <v>0.17279154959809701</v>
      </c>
      <c r="L3685">
        <v>1016.68800890799</v>
      </c>
      <c r="M3685">
        <v>20.5986316141259</v>
      </c>
      <c r="N3685">
        <v>50.270895126166501</v>
      </c>
      <c r="O3685">
        <v>48.898944193162897</v>
      </c>
      <c r="P3685">
        <v>-8.8868808506562605E-2</v>
      </c>
      <c r="Q3685">
        <v>0.156164282275918</v>
      </c>
      <c r="R3685">
        <v>0.99239333090124604</v>
      </c>
      <c r="S3685" t="s">
        <v>9236</v>
      </c>
      <c r="T3685" t="s">
        <v>11100</v>
      </c>
      <c r="U3685" t="s">
        <v>11100</v>
      </c>
      <c r="V3685" t="s">
        <v>11100</v>
      </c>
      <c r="W3685" t="s">
        <v>14735</v>
      </c>
      <c r="X3685">
        <v>7</v>
      </c>
      <c r="Y3685" t="s">
        <v>20173</v>
      </c>
      <c r="Z3685" t="s">
        <v>25690</v>
      </c>
      <c r="AA3685">
        <v>0.51428500436070512</v>
      </c>
      <c r="AB3685" t="str">
        <f>HYPERLINK("Melting_Curves/meltCurve_Q86UV5_USP48.pdf", "Melting_Curves/meltCurve_Q86UV5_USP48.pdf")</f>
        <v>Melting_Curves/meltCurve_Q86UV5_USP48.pdf</v>
      </c>
    </row>
    <row r="3686" spans="1:28" x14ac:dyDescent="0.25">
      <c r="A3686" t="s">
        <v>3690</v>
      </c>
      <c r="B3686">
        <v>0.99299721793515405</v>
      </c>
      <c r="C3686">
        <v>1.1274318686734199</v>
      </c>
      <c r="D3686">
        <v>0.90683382896495601</v>
      </c>
      <c r="E3686">
        <v>0.93066458142026398</v>
      </c>
      <c r="F3686">
        <v>0.73719114253184703</v>
      </c>
      <c r="G3686">
        <v>0.77305723393832904</v>
      </c>
      <c r="H3686">
        <v>0.48738964921290101</v>
      </c>
      <c r="I3686">
        <v>0.21785585732683199</v>
      </c>
      <c r="J3686">
        <v>0.18357503238273001</v>
      </c>
      <c r="K3686">
        <v>9.2902042255311096E-2</v>
      </c>
      <c r="L3686">
        <v>757.22210988678501</v>
      </c>
      <c r="M3686">
        <v>13.357067416426201</v>
      </c>
      <c r="N3686">
        <v>56.6907457799431</v>
      </c>
      <c r="O3686">
        <v>55.465262472962799</v>
      </c>
      <c r="P3686">
        <v>-6.0214213295127099E-2</v>
      </c>
      <c r="Q3686">
        <v>0</v>
      </c>
      <c r="R3686">
        <v>0.95881795269904702</v>
      </c>
      <c r="S3686" t="s">
        <v>9237</v>
      </c>
      <c r="T3686" t="s">
        <v>11100</v>
      </c>
      <c r="U3686" t="s">
        <v>11100</v>
      </c>
      <c r="V3686" t="s">
        <v>11100</v>
      </c>
      <c r="W3686" t="s">
        <v>14736</v>
      </c>
      <c r="X3686">
        <v>3</v>
      </c>
      <c r="Y3686" t="s">
        <v>20174</v>
      </c>
      <c r="Z3686" t="s">
        <v>25691</v>
      </c>
      <c r="AA3686">
        <v>0.66449383308556176</v>
      </c>
      <c r="AB3686" t="str">
        <f>HYPERLINK("Melting_Curves/meltCurve_Q86UX3_ABCC5.pdf", "Melting_Curves/meltCurve_Q86UX3_ABCC5.pdf")</f>
        <v>Melting_Curves/meltCurve_Q86UX3_ABCC5.pdf</v>
      </c>
    </row>
    <row r="3687" spans="1:28" x14ac:dyDescent="0.25">
      <c r="A3687" t="s">
        <v>3691</v>
      </c>
      <c r="B3687">
        <v>0.99299721793515405</v>
      </c>
      <c r="C3687">
        <v>0.97118822453327502</v>
      </c>
      <c r="D3687">
        <v>0.79159610020300897</v>
      </c>
      <c r="E3687">
        <v>0.64330290706203896</v>
      </c>
      <c r="F3687">
        <v>0.43786129735518198</v>
      </c>
      <c r="G3687">
        <v>0.37218001764816599</v>
      </c>
      <c r="H3687">
        <v>0.84246792750588595</v>
      </c>
      <c r="I3687">
        <v>0.94682496589777598</v>
      </c>
      <c r="J3687">
        <v>0.74777652882991197</v>
      </c>
      <c r="K3687">
        <v>0.20567985901063399</v>
      </c>
      <c r="L3687">
        <v>1585.1663620654299</v>
      </c>
      <c r="M3687">
        <v>36.923129126658701</v>
      </c>
      <c r="O3687">
        <v>42.806178828014602</v>
      </c>
      <c r="P3687">
        <v>-8.7123317375086898E-2</v>
      </c>
      <c r="Q3687">
        <v>0.59598162273989597</v>
      </c>
      <c r="R3687">
        <v>0.35422648116612099</v>
      </c>
      <c r="S3687" t="s">
        <v>9238</v>
      </c>
      <c r="T3687" t="s">
        <v>11100</v>
      </c>
      <c r="U3687" t="s">
        <v>11100</v>
      </c>
      <c r="V3687" t="s">
        <v>11100</v>
      </c>
      <c r="W3687" t="s">
        <v>14737</v>
      </c>
      <c r="X3687">
        <v>1</v>
      </c>
      <c r="Y3687" t="s">
        <v>20175</v>
      </c>
      <c r="Z3687" t="s">
        <v>25692</v>
      </c>
      <c r="AA3687">
        <v>0.67730262984277656</v>
      </c>
      <c r="AB3687" t="str">
        <f>HYPERLINK("Melting_Curves/meltCurve_Q86UX7_2_FERMT3.pdf", "Melting_Curves/meltCurve_Q86UX7_2_FERMT3.pdf")</f>
        <v>Melting_Curves/meltCurve_Q86UX7_2_FERMT3.pdf</v>
      </c>
    </row>
    <row r="3688" spans="1:28" x14ac:dyDescent="0.25">
      <c r="A3688" t="s">
        <v>3692</v>
      </c>
      <c r="B3688">
        <v>0.99299721793515405</v>
      </c>
      <c r="C3688">
        <v>1.01811150365071</v>
      </c>
      <c r="D3688">
        <v>0.95913842175032804</v>
      </c>
      <c r="E3688">
        <v>0.91101552337331904</v>
      </c>
      <c r="F3688">
        <v>0.77171588622448595</v>
      </c>
      <c r="G3688">
        <v>0.59576698153681096</v>
      </c>
      <c r="H3688">
        <v>0.52123886980109002</v>
      </c>
      <c r="I3688">
        <v>0.44001824233334702</v>
      </c>
      <c r="J3688">
        <v>0.33885600546601502</v>
      </c>
      <c r="K3688">
        <v>0.27619877719316199</v>
      </c>
      <c r="L3688">
        <v>572.954367630251</v>
      </c>
      <c r="M3688">
        <v>10.449563505925999</v>
      </c>
      <c r="N3688">
        <v>57.544448883104302</v>
      </c>
      <c r="O3688">
        <v>52.936493425526599</v>
      </c>
      <c r="P3688">
        <v>-3.9764686458779702E-2</v>
      </c>
      <c r="Q3688">
        <v>0.194554432605137</v>
      </c>
      <c r="R3688">
        <v>0.99222458687472204</v>
      </c>
      <c r="S3688" t="s">
        <v>9239</v>
      </c>
      <c r="T3688" t="s">
        <v>11100</v>
      </c>
      <c r="U3688" t="s">
        <v>11100</v>
      </c>
      <c r="V3688" t="s">
        <v>11100</v>
      </c>
      <c r="W3688" t="s">
        <v>14738</v>
      </c>
      <c r="X3688">
        <v>20</v>
      </c>
      <c r="Y3688" t="s">
        <v>20176</v>
      </c>
      <c r="Z3688" t="s">
        <v>25693</v>
      </c>
      <c r="AA3688">
        <v>0.68433743421658277</v>
      </c>
      <c r="AB3688" t="str">
        <f>HYPERLINK("Melting_Curves/meltCurve_Q86UY0_TXNDC5.pdf", "Melting_Curves/meltCurve_Q86UY0_TXNDC5.pdf")</f>
        <v>Melting_Curves/meltCurve_Q86UY0_TXNDC5.pdf</v>
      </c>
    </row>
    <row r="3689" spans="1:28" x14ac:dyDescent="0.25">
      <c r="A3689" t="s">
        <v>3693</v>
      </c>
      <c r="B3689">
        <v>0.99299721793515405</v>
      </c>
      <c r="C3689">
        <v>1.0049557171633501</v>
      </c>
      <c r="D3689">
        <v>0.97376319429700597</v>
      </c>
      <c r="E3689">
        <v>0.89596840336908501</v>
      </c>
      <c r="F3689">
        <v>0.72245949628814499</v>
      </c>
      <c r="G3689">
        <v>0.75007918105280802</v>
      </c>
      <c r="H3689">
        <v>0.73168683689751102</v>
      </c>
      <c r="I3689">
        <v>0.54936020808156105</v>
      </c>
      <c r="J3689">
        <v>0.22700728117090899</v>
      </c>
      <c r="K3689">
        <v>0.124674643316974</v>
      </c>
      <c r="L3689">
        <v>641.61327309914304</v>
      </c>
      <c r="M3689">
        <v>10.7753962307503</v>
      </c>
      <c r="N3689">
        <v>59.544285855125302</v>
      </c>
      <c r="O3689">
        <v>57.603467878129003</v>
      </c>
      <c r="P3689">
        <v>-4.6782478197488202E-2</v>
      </c>
      <c r="Q3689">
        <v>0</v>
      </c>
      <c r="R3689">
        <v>0.90986671393134</v>
      </c>
      <c r="S3689" t="s">
        <v>9240</v>
      </c>
      <c r="T3689" t="s">
        <v>11100</v>
      </c>
      <c r="U3689" t="s">
        <v>11100</v>
      </c>
      <c r="V3689" t="s">
        <v>11100</v>
      </c>
      <c r="W3689" t="s">
        <v>14739</v>
      </c>
      <c r="X3689">
        <v>5</v>
      </c>
      <c r="Y3689" t="s">
        <v>20177</v>
      </c>
      <c r="Z3689" t="s">
        <v>25694</v>
      </c>
      <c r="AA3689">
        <v>0.73346593050594688</v>
      </c>
      <c r="AB3689" t="str">
        <f>HYPERLINK("Melting_Curves/meltCurve_Q86UY8_2_NT5DC3.pdf", "Melting_Curves/meltCurve_Q86UY8_2_NT5DC3.pdf")</f>
        <v>Melting_Curves/meltCurve_Q86UY8_2_NT5DC3.pdf</v>
      </c>
    </row>
    <row r="3690" spans="1:28" x14ac:dyDescent="0.25">
      <c r="A3690" t="s">
        <v>3694</v>
      </c>
      <c r="B3690">
        <v>0.99299721793515405</v>
      </c>
      <c r="C3690">
        <v>0.96451261775196795</v>
      </c>
      <c r="D3690">
        <v>0.901160536792593</v>
      </c>
      <c r="E3690">
        <v>0.76303973104390499</v>
      </c>
      <c r="F3690">
        <v>0.33661953833070002</v>
      </c>
      <c r="G3690">
        <v>0.214364352822217</v>
      </c>
      <c r="H3690">
        <v>0.16630889776919799</v>
      </c>
      <c r="I3690">
        <v>0.14520640131859699</v>
      </c>
      <c r="J3690">
        <v>0.119921505028866</v>
      </c>
      <c r="K3690">
        <v>0.14697865787923201</v>
      </c>
      <c r="L3690">
        <v>1164.43800248153</v>
      </c>
      <c r="M3690">
        <v>24.214948926140401</v>
      </c>
      <c r="N3690">
        <v>48.739320076266203</v>
      </c>
      <c r="O3690">
        <v>47.7632103179212</v>
      </c>
      <c r="P3690">
        <v>-0.10921672002885</v>
      </c>
      <c r="Q3690">
        <v>0.13830723845440601</v>
      </c>
      <c r="R3690">
        <v>0.99488158880245003</v>
      </c>
      <c r="S3690" t="s">
        <v>9241</v>
      </c>
      <c r="T3690" t="s">
        <v>11100</v>
      </c>
      <c r="U3690" t="s">
        <v>11100</v>
      </c>
      <c r="V3690" t="s">
        <v>11100</v>
      </c>
      <c r="W3690" t="s">
        <v>14740</v>
      </c>
      <c r="X3690">
        <v>8</v>
      </c>
      <c r="Y3690" t="s">
        <v>20178</v>
      </c>
      <c r="Z3690" t="s">
        <v>25695</v>
      </c>
      <c r="AA3690">
        <v>0.46460606141000821</v>
      </c>
      <c r="AB3690" t="str">
        <f>HYPERLINK("Melting_Curves/meltCurve_Q86V21_AACS.pdf", "Melting_Curves/meltCurve_Q86V21_AACS.pdf")</f>
        <v>Melting_Curves/meltCurve_Q86V21_AACS.pdf</v>
      </c>
    </row>
    <row r="3691" spans="1:28" x14ac:dyDescent="0.25">
      <c r="A3691" t="s">
        <v>3695</v>
      </c>
      <c r="B3691">
        <v>0.99299721793515405</v>
      </c>
      <c r="C3691">
        <v>0.93410061652943499</v>
      </c>
      <c r="D3691">
        <v>1.0372423225898899</v>
      </c>
      <c r="E3691">
        <v>0.85433591958148802</v>
      </c>
      <c r="F3691">
        <v>0.61343078249680505</v>
      </c>
      <c r="G3691">
        <v>0.33622402052530198</v>
      </c>
      <c r="H3691">
        <v>0.25363249083140499</v>
      </c>
      <c r="I3691">
        <v>0.224568041884908</v>
      </c>
      <c r="J3691">
        <v>0.25969534487002699</v>
      </c>
      <c r="K3691">
        <v>0.21980485166356101</v>
      </c>
      <c r="L3691">
        <v>1182.5304418261001</v>
      </c>
      <c r="M3691">
        <v>23.650046125126298</v>
      </c>
      <c r="N3691">
        <v>51.302707623163002</v>
      </c>
      <c r="O3691">
        <v>49.647829228738203</v>
      </c>
      <c r="P3691">
        <v>-9.2225237257121395E-2</v>
      </c>
      <c r="Q3691">
        <v>0.22559060885117699</v>
      </c>
      <c r="R3691">
        <v>0.99145776623183102</v>
      </c>
      <c r="S3691" t="s">
        <v>9242</v>
      </c>
      <c r="T3691" t="s">
        <v>11100</v>
      </c>
      <c r="U3691" t="s">
        <v>11100</v>
      </c>
      <c r="V3691" t="s">
        <v>11100</v>
      </c>
      <c r="W3691" t="s">
        <v>14741</v>
      </c>
      <c r="X3691">
        <v>11</v>
      </c>
      <c r="Y3691" t="s">
        <v>20179</v>
      </c>
      <c r="Z3691" t="s">
        <v>25696</v>
      </c>
      <c r="AA3691">
        <v>0.56872051811455504</v>
      </c>
      <c r="AB3691" t="str">
        <f>HYPERLINK("Melting_Curves/meltCurve_Q86V48_LUZP1.pdf", "Melting_Curves/meltCurve_Q86V48_LUZP1.pdf")</f>
        <v>Melting_Curves/meltCurve_Q86V48_LUZP1.pdf</v>
      </c>
    </row>
    <row r="3692" spans="1:28" x14ac:dyDescent="0.25">
      <c r="A3692" t="s">
        <v>3696</v>
      </c>
      <c r="B3692">
        <v>0.99299721793515405</v>
      </c>
      <c r="C3692">
        <v>0.79150455405501197</v>
      </c>
      <c r="D3692">
        <v>0.75668661555477701</v>
      </c>
      <c r="E3692">
        <v>0.62943363174739597</v>
      </c>
      <c r="F3692">
        <v>0.71945924892414803</v>
      </c>
      <c r="G3692">
        <v>0.43962717544811197</v>
      </c>
      <c r="H3692">
        <v>0.23352798086888901</v>
      </c>
      <c r="I3692">
        <v>8.1349685903147798E-2</v>
      </c>
      <c r="J3692">
        <v>4.0599648966943798E-2</v>
      </c>
      <c r="K3692">
        <v>4.6192796746451298E-2</v>
      </c>
      <c r="L3692">
        <v>466.81528739298199</v>
      </c>
      <c r="M3692">
        <v>9.2043158046121007</v>
      </c>
      <c r="N3692">
        <v>50.716999672839002</v>
      </c>
      <c r="O3692">
        <v>48.495268709782799</v>
      </c>
      <c r="P3692">
        <v>-4.7481204272039203E-2</v>
      </c>
      <c r="Q3692">
        <v>0</v>
      </c>
      <c r="R3692">
        <v>0.91839140236691696</v>
      </c>
      <c r="S3692" t="s">
        <v>9243</v>
      </c>
      <c r="T3692" t="s">
        <v>11100</v>
      </c>
      <c r="U3692" t="s">
        <v>11100</v>
      </c>
      <c r="V3692" t="s">
        <v>11100</v>
      </c>
      <c r="W3692" t="s">
        <v>14742</v>
      </c>
      <c r="X3692">
        <v>1</v>
      </c>
      <c r="Y3692" t="s">
        <v>20180</v>
      </c>
      <c r="Z3692" t="s">
        <v>25697</v>
      </c>
      <c r="AA3692">
        <v>0.49074250682893239</v>
      </c>
      <c r="AB3692" t="str">
        <f>HYPERLINK("Melting_Curves/meltCurve_Q86V85_GPR180.pdf", "Melting_Curves/meltCurve_Q86V85_GPR180.pdf")</f>
        <v>Melting_Curves/meltCurve_Q86V85_GPR180.pdf</v>
      </c>
    </row>
    <row r="3693" spans="1:28" x14ac:dyDescent="0.25">
      <c r="A3693" t="s">
        <v>3697</v>
      </c>
      <c r="B3693">
        <v>0.99299721793515405</v>
      </c>
      <c r="C3693">
        <v>0.943762958908414</v>
      </c>
      <c r="D3693">
        <v>0.84692216784830399</v>
      </c>
      <c r="E3693">
        <v>0.83310109189896897</v>
      </c>
      <c r="F3693">
        <v>0.66533441360832901</v>
      </c>
      <c r="G3693">
        <v>0.52196724305644704</v>
      </c>
      <c r="H3693">
        <v>0.52817417307379499</v>
      </c>
      <c r="I3693">
        <v>0.57559634314614705</v>
      </c>
      <c r="J3693">
        <v>0.649049967159672</v>
      </c>
      <c r="K3693">
        <v>0.50529904466648801</v>
      </c>
      <c r="L3693">
        <v>679.95197220380498</v>
      </c>
      <c r="M3693">
        <v>14.6220724287039</v>
      </c>
      <c r="O3693">
        <v>45.657957976503099</v>
      </c>
      <c r="P3693">
        <v>-3.6721517950499903E-2</v>
      </c>
      <c r="Q3693">
        <v>0.54139407592619504</v>
      </c>
      <c r="R3693">
        <v>0.91360728472740904</v>
      </c>
      <c r="S3693" t="s">
        <v>9244</v>
      </c>
      <c r="T3693" t="s">
        <v>11100</v>
      </c>
      <c r="U3693" t="s">
        <v>11100</v>
      </c>
      <c r="V3693" t="s">
        <v>11100</v>
      </c>
      <c r="W3693" t="s">
        <v>14743</v>
      </c>
      <c r="X3693">
        <v>3</v>
      </c>
      <c r="Y3693" t="s">
        <v>20181</v>
      </c>
      <c r="Z3693" t="s">
        <v>25698</v>
      </c>
      <c r="AA3693">
        <v>0.69758981095802697</v>
      </c>
      <c r="AB3693" t="str">
        <f>HYPERLINK("Melting_Curves/meltCurve_Q86VG3_C11orf74.pdf", "Melting_Curves/meltCurve_Q86VG3_C11orf74.pdf")</f>
        <v>Melting_Curves/meltCurve_Q86VG3_C11orf74.pdf</v>
      </c>
    </row>
    <row r="3694" spans="1:28" x14ac:dyDescent="0.25">
      <c r="A3694" t="s">
        <v>3698</v>
      </c>
      <c r="B3694">
        <v>0.99299721793515405</v>
      </c>
      <c r="C3694">
        <v>1.02268704560908</v>
      </c>
      <c r="D3694">
        <v>0.91002223949919403</v>
      </c>
      <c r="E3694">
        <v>0.89913919063294601</v>
      </c>
      <c r="F3694">
        <v>0.80553324522031899</v>
      </c>
      <c r="G3694">
        <v>0.50617571381518001</v>
      </c>
      <c r="H3694">
        <v>0.244331930792591</v>
      </c>
      <c r="I3694">
        <v>0.18558546454976699</v>
      </c>
      <c r="J3694">
        <v>0.16572278271170199</v>
      </c>
      <c r="K3694">
        <v>0.110283681019375</v>
      </c>
      <c r="L3694">
        <v>996.63953971244098</v>
      </c>
      <c r="M3694">
        <v>18.768248169048</v>
      </c>
      <c r="N3694">
        <v>53.776942500004601</v>
      </c>
      <c r="O3694">
        <v>52.510583263468099</v>
      </c>
      <c r="P3694">
        <v>-7.9986710585314105E-2</v>
      </c>
      <c r="Q3694">
        <v>0.104876896263907</v>
      </c>
      <c r="R3694">
        <v>0.99082670838263298</v>
      </c>
      <c r="S3694" t="s">
        <v>9245</v>
      </c>
      <c r="T3694" t="s">
        <v>11100</v>
      </c>
      <c r="U3694" t="s">
        <v>11100</v>
      </c>
      <c r="V3694" t="s">
        <v>11100</v>
      </c>
      <c r="W3694" t="s">
        <v>14744</v>
      </c>
      <c r="X3694">
        <v>7</v>
      </c>
      <c r="Y3694" t="s">
        <v>20182</v>
      </c>
      <c r="Z3694" t="s">
        <v>25699</v>
      </c>
      <c r="AA3694">
        <v>0.59759996695502215</v>
      </c>
      <c r="AB3694" t="str">
        <f>HYPERLINK("Melting_Curves/meltCurve_Q86VN1_2_VPS36.pdf", "Melting_Curves/meltCurve_Q86VN1_2_VPS36.pdf")</f>
        <v>Melting_Curves/meltCurve_Q86VN1_2_VPS36.pdf</v>
      </c>
    </row>
    <row r="3695" spans="1:28" x14ac:dyDescent="0.25">
      <c r="A3695" t="s">
        <v>3699</v>
      </c>
      <c r="B3695">
        <v>0.99299721793515405</v>
      </c>
      <c r="C3695">
        <v>1.0038990477288501</v>
      </c>
      <c r="D3695">
        <v>0.92732620443288105</v>
      </c>
      <c r="E3695">
        <v>0.85782410164908196</v>
      </c>
      <c r="F3695">
        <v>0.84094070487763894</v>
      </c>
      <c r="G3695">
        <v>0.977886214334584</v>
      </c>
      <c r="H3695">
        <v>1.22275016416589</v>
      </c>
      <c r="I3695">
        <v>1.46378745156922</v>
      </c>
      <c r="J3695">
        <v>0.40275804911325402</v>
      </c>
      <c r="K3695">
        <v>0.17055971449527599</v>
      </c>
      <c r="L3695">
        <v>15000</v>
      </c>
      <c r="M3695">
        <v>234.953702928615</v>
      </c>
      <c r="N3695">
        <v>63.955885270657099</v>
      </c>
      <c r="O3695">
        <v>63.837739320951201</v>
      </c>
      <c r="P3695">
        <v>-0.76321633800070898</v>
      </c>
      <c r="Q3695">
        <v>0.17052585367411499</v>
      </c>
      <c r="R3695">
        <v>0.74322185628876603</v>
      </c>
      <c r="S3695" t="s">
        <v>9246</v>
      </c>
      <c r="T3695" t="s">
        <v>11100</v>
      </c>
      <c r="U3695" t="s">
        <v>11100</v>
      </c>
      <c r="V3695" t="s">
        <v>11100</v>
      </c>
      <c r="W3695" t="s">
        <v>14745</v>
      </c>
      <c r="X3695">
        <v>51</v>
      </c>
      <c r="Y3695" t="s">
        <v>20183</v>
      </c>
      <c r="Z3695" t="s">
        <v>25700</v>
      </c>
      <c r="AA3695">
        <v>0.91279920034759598</v>
      </c>
      <c r="AB3695" t="str">
        <f>HYPERLINK("Melting_Curves/meltCurve_Q86VP6_CAND1.pdf", "Melting_Curves/meltCurve_Q86VP6_CAND1.pdf")</f>
        <v>Melting_Curves/meltCurve_Q86VP6_CAND1.pdf</v>
      </c>
    </row>
    <row r="3696" spans="1:28" x14ac:dyDescent="0.25">
      <c r="A3696" t="s">
        <v>3700</v>
      </c>
      <c r="B3696">
        <v>0.99299721793515405</v>
      </c>
      <c r="C3696">
        <v>0.92540916983363597</v>
      </c>
      <c r="D3696">
        <v>1.08624886149262</v>
      </c>
      <c r="E3696">
        <v>0.87394449514702099</v>
      </c>
      <c r="F3696">
        <v>0.74971830897445302</v>
      </c>
      <c r="G3696">
        <v>0.71330358371999802</v>
      </c>
      <c r="H3696">
        <v>0.47620295283703201</v>
      </c>
      <c r="I3696">
        <v>0.54402814759527696</v>
      </c>
      <c r="J3696">
        <v>0.53368726843759395</v>
      </c>
      <c r="K3696">
        <v>0.442419675370059</v>
      </c>
      <c r="L3696">
        <v>794.52019746188398</v>
      </c>
      <c r="M3696">
        <v>15.480072391804001</v>
      </c>
      <c r="N3696">
        <v>62.447930639066698</v>
      </c>
      <c r="O3696">
        <v>50.491721201745797</v>
      </c>
      <c r="P3696">
        <v>-4.07594091827563E-2</v>
      </c>
      <c r="Q3696">
        <v>0.46826378482258701</v>
      </c>
      <c r="R3696">
        <v>0.92684229283219299</v>
      </c>
      <c r="S3696" t="s">
        <v>9247</v>
      </c>
      <c r="T3696" t="s">
        <v>11100</v>
      </c>
      <c r="U3696" t="s">
        <v>11100</v>
      </c>
      <c r="V3696" t="s">
        <v>11100</v>
      </c>
      <c r="W3696" t="s">
        <v>14746</v>
      </c>
      <c r="X3696">
        <v>5</v>
      </c>
      <c r="Y3696" t="s">
        <v>20184</v>
      </c>
      <c r="Z3696" t="s">
        <v>25701</v>
      </c>
      <c r="AA3696">
        <v>0.73230334772585193</v>
      </c>
      <c r="AB3696" t="str">
        <f>HYPERLINK("Melting_Curves/meltCurve_Q86VQ1_GLCCI1.pdf", "Melting_Curves/meltCurve_Q86VQ1_GLCCI1.pdf")</f>
        <v>Melting_Curves/meltCurve_Q86VQ1_GLCCI1.pdf</v>
      </c>
    </row>
    <row r="3697" spans="1:28" x14ac:dyDescent="0.25">
      <c r="A3697" t="s">
        <v>3701</v>
      </c>
      <c r="B3697">
        <v>0.99299721793515405</v>
      </c>
      <c r="C3697">
        <v>1.03409249609864</v>
      </c>
      <c r="D3697">
        <v>0.93400952675601301</v>
      </c>
      <c r="E3697">
        <v>0.83033451490924903</v>
      </c>
      <c r="F3697">
        <v>0.77258694830743202</v>
      </c>
      <c r="G3697">
        <v>0.51571830014714004</v>
      </c>
      <c r="H3697">
        <v>0.61956991218949098</v>
      </c>
      <c r="I3697">
        <v>0.59676436490602303</v>
      </c>
      <c r="J3697">
        <v>0.51590439727221005</v>
      </c>
      <c r="K3697">
        <v>0.32249095618066498</v>
      </c>
      <c r="L3697">
        <v>471.72954801063003</v>
      </c>
      <c r="M3697">
        <v>8.9517735397996105</v>
      </c>
      <c r="N3697">
        <v>60.993390435520801</v>
      </c>
      <c r="O3697">
        <v>50.266149594094202</v>
      </c>
      <c r="P3697">
        <v>-2.8869779812349901E-2</v>
      </c>
      <c r="Q3697">
        <v>0.35203993373423098</v>
      </c>
      <c r="R3697">
        <v>0.89747432204909905</v>
      </c>
      <c r="S3697" t="s">
        <v>9248</v>
      </c>
      <c r="T3697" t="s">
        <v>11100</v>
      </c>
      <c r="U3697" t="s">
        <v>11100</v>
      </c>
      <c r="V3697" t="s">
        <v>11100</v>
      </c>
      <c r="W3697" t="s">
        <v>14747</v>
      </c>
      <c r="X3697">
        <v>4</v>
      </c>
      <c r="Y3697" t="s">
        <v>20185</v>
      </c>
      <c r="Z3697" t="s">
        <v>25702</v>
      </c>
      <c r="AA3697">
        <v>0.70670263690385404</v>
      </c>
      <c r="AB3697" t="str">
        <f>HYPERLINK("Melting_Curves/meltCurve_Q86VR2_FAM134C.pdf", "Melting_Curves/meltCurve_Q86VR2_FAM134C.pdf")</f>
        <v>Melting_Curves/meltCurve_Q86VR2_FAM134C.pdf</v>
      </c>
    </row>
    <row r="3698" spans="1:28" x14ac:dyDescent="0.25">
      <c r="A3698" t="s">
        <v>3702</v>
      </c>
      <c r="B3698">
        <v>0.99299721793515405</v>
      </c>
      <c r="C3698">
        <v>0.969796279552393</v>
      </c>
      <c r="D3698">
        <v>0.96100830336543497</v>
      </c>
      <c r="E3698">
        <v>0.90273709873688501</v>
      </c>
      <c r="F3698">
        <v>0.75428104982482003</v>
      </c>
      <c r="G3698">
        <v>0.55126673369442603</v>
      </c>
      <c r="H3698">
        <v>0.376145884347037</v>
      </c>
      <c r="I3698">
        <v>0.26009658517598899</v>
      </c>
      <c r="J3698">
        <v>0.181501746408987</v>
      </c>
      <c r="K3698">
        <v>0.17108278482262401</v>
      </c>
      <c r="L3698">
        <v>709.76858677432301</v>
      </c>
      <c r="M3698">
        <v>13.171734262539299</v>
      </c>
      <c r="N3698">
        <v>54.782421073542402</v>
      </c>
      <c r="O3698">
        <v>52.689098578358099</v>
      </c>
      <c r="P3698">
        <v>-5.6446549804588401E-2</v>
      </c>
      <c r="Q3698">
        <v>9.6969801609726902E-2</v>
      </c>
      <c r="R3698">
        <v>0.99915677735587904</v>
      </c>
      <c r="S3698" t="s">
        <v>9249</v>
      </c>
      <c r="T3698" t="s">
        <v>11100</v>
      </c>
      <c r="U3698" t="s">
        <v>11100</v>
      </c>
      <c r="V3698" t="s">
        <v>11100</v>
      </c>
      <c r="W3698" t="s">
        <v>14748</v>
      </c>
      <c r="X3698">
        <v>20</v>
      </c>
      <c r="Y3698" t="s">
        <v>20186</v>
      </c>
      <c r="Z3698" t="s">
        <v>25703</v>
      </c>
      <c r="AA3698">
        <v>0.62127063597533561</v>
      </c>
      <c r="AB3698" t="str">
        <f>HYPERLINK("Melting_Curves/meltCurve_Q86VS8_HOOK3.pdf", "Melting_Curves/meltCurve_Q86VS8_HOOK3.pdf")</f>
        <v>Melting_Curves/meltCurve_Q86VS8_HOOK3.pdf</v>
      </c>
    </row>
    <row r="3699" spans="1:28" x14ac:dyDescent="0.25">
      <c r="A3699" t="s">
        <v>3703</v>
      </c>
      <c r="B3699">
        <v>0.99299721793515405</v>
      </c>
      <c r="C3699">
        <v>0.98742105310791295</v>
      </c>
      <c r="D3699">
        <v>1.0291142376522699</v>
      </c>
      <c r="E3699">
        <v>0.89417793110939603</v>
      </c>
      <c r="F3699">
        <v>0.77275265676744698</v>
      </c>
      <c r="G3699">
        <v>0.56487191625675404</v>
      </c>
      <c r="H3699">
        <v>0.26213156601316001</v>
      </c>
      <c r="I3699">
        <v>0.24155212284570601</v>
      </c>
      <c r="J3699">
        <v>0.24911837998625699</v>
      </c>
      <c r="K3699">
        <v>0.17401608138984201</v>
      </c>
      <c r="L3699">
        <v>994.00065006597004</v>
      </c>
      <c r="M3699">
        <v>18.817595784697399</v>
      </c>
      <c r="N3699">
        <v>54.072014153546</v>
      </c>
      <c r="O3699">
        <v>52.237233415543102</v>
      </c>
      <c r="P3699">
        <v>-7.41870259613987E-2</v>
      </c>
      <c r="Q3699">
        <v>0.17626787149234099</v>
      </c>
      <c r="R3699">
        <v>0.98934489692080296</v>
      </c>
      <c r="S3699" t="s">
        <v>9250</v>
      </c>
      <c r="T3699" t="s">
        <v>11100</v>
      </c>
      <c r="U3699" t="s">
        <v>11100</v>
      </c>
      <c r="V3699" t="s">
        <v>11100</v>
      </c>
      <c r="W3699" t="s">
        <v>14749</v>
      </c>
      <c r="X3699">
        <v>4</v>
      </c>
      <c r="Y3699" t="s">
        <v>20187</v>
      </c>
      <c r="Z3699" t="s">
        <v>25704</v>
      </c>
      <c r="AA3699">
        <v>0.62210659566367499</v>
      </c>
      <c r="AB3699" t="str">
        <f>HYPERLINK("Melting_Curves/meltCurve_Q86VU5_COMTD1.pdf", "Melting_Curves/meltCurve_Q86VU5_COMTD1.pdf")</f>
        <v>Melting_Curves/meltCurve_Q86VU5_COMTD1.pdf</v>
      </c>
    </row>
    <row r="3700" spans="1:28" x14ac:dyDescent="0.25">
      <c r="A3700" t="s">
        <v>3704</v>
      </c>
      <c r="B3700">
        <v>0.99299721793515405</v>
      </c>
      <c r="C3700">
        <v>1.0020114970295499</v>
      </c>
      <c r="D3700">
        <v>0.98587189102998096</v>
      </c>
      <c r="E3700">
        <v>0.76072792963874403</v>
      </c>
      <c r="F3700">
        <v>0.78228508011194597</v>
      </c>
      <c r="G3700">
        <v>0.32131755329165901</v>
      </c>
      <c r="H3700">
        <v>0.210995550704068</v>
      </c>
      <c r="I3700">
        <v>0.18165855619911001</v>
      </c>
      <c r="J3700">
        <v>0.17290603763764301</v>
      </c>
      <c r="K3700">
        <v>0.13926012219130199</v>
      </c>
      <c r="L3700">
        <v>961.04678771424994</v>
      </c>
      <c r="M3700">
        <v>18.708455395412301</v>
      </c>
      <c r="N3700">
        <v>52.1901469641492</v>
      </c>
      <c r="O3700">
        <v>50.793522391603702</v>
      </c>
      <c r="P3700">
        <v>-8.0352581655578001E-2</v>
      </c>
      <c r="Q3700">
        <v>0.12740683929044999</v>
      </c>
      <c r="R3700">
        <v>0.97090574777971905</v>
      </c>
      <c r="S3700" t="s">
        <v>9251</v>
      </c>
      <c r="T3700" t="s">
        <v>11100</v>
      </c>
      <c r="U3700" t="s">
        <v>11100</v>
      </c>
      <c r="V3700" t="s">
        <v>11100</v>
      </c>
      <c r="W3700" t="s">
        <v>14750</v>
      </c>
      <c r="X3700">
        <v>2</v>
      </c>
      <c r="Y3700" t="s">
        <v>20188</v>
      </c>
      <c r="Z3700" t="s">
        <v>25705</v>
      </c>
      <c r="AA3700">
        <v>0.55802390265934065</v>
      </c>
      <c r="AB3700" t="str">
        <f>HYPERLINK("Melting_Curves/meltCurve_Q86VW0_SESTD1.pdf", "Melting_Curves/meltCurve_Q86VW0_SESTD1.pdf")</f>
        <v>Melting_Curves/meltCurve_Q86VW0_SESTD1.pdf</v>
      </c>
    </row>
    <row r="3701" spans="1:28" x14ac:dyDescent="0.25">
      <c r="A3701" t="s">
        <v>3705</v>
      </c>
      <c r="B3701">
        <v>0.99299721793515405</v>
      </c>
      <c r="C3701">
        <v>1.11950636896415</v>
      </c>
      <c r="D3701">
        <v>0.91821566837371404</v>
      </c>
      <c r="E3701">
        <v>0.91582439155099404</v>
      </c>
      <c r="F3701">
        <v>0.83704387882020903</v>
      </c>
      <c r="G3701">
        <v>0.59129696188174696</v>
      </c>
      <c r="H3701">
        <v>0.27145647551968799</v>
      </c>
      <c r="I3701">
        <v>0.1405842659629</v>
      </c>
      <c r="J3701">
        <v>0.199241405561183</v>
      </c>
      <c r="K3701">
        <v>0</v>
      </c>
      <c r="L3701">
        <v>952.05201652655296</v>
      </c>
      <c r="M3701">
        <v>17.481040219112799</v>
      </c>
      <c r="N3701">
        <v>54.657508618679401</v>
      </c>
      <c r="O3701">
        <v>53.764265044024498</v>
      </c>
      <c r="P3701">
        <v>-7.8826156945382697E-2</v>
      </c>
      <c r="Q3701">
        <v>3.0310395574019398E-2</v>
      </c>
      <c r="R3701">
        <v>0.974243160634086</v>
      </c>
      <c r="S3701" t="s">
        <v>9252</v>
      </c>
      <c r="T3701" t="s">
        <v>11100</v>
      </c>
      <c r="U3701" t="s">
        <v>11100</v>
      </c>
      <c r="V3701" t="s">
        <v>11100</v>
      </c>
      <c r="W3701" t="s">
        <v>14751</v>
      </c>
      <c r="X3701">
        <v>1</v>
      </c>
      <c r="Y3701" t="s">
        <v>20189</v>
      </c>
      <c r="Z3701" t="s">
        <v>25706</v>
      </c>
      <c r="AA3701">
        <v>0.60792895575526418</v>
      </c>
      <c r="AB3701" t="str">
        <f>HYPERLINK("Melting_Curves/meltCurve_Q86VX9_MON1A.pdf", "Melting_Curves/meltCurve_Q86VX9_MON1A.pdf")</f>
        <v>Melting_Curves/meltCurve_Q86VX9_MON1A.pdf</v>
      </c>
    </row>
    <row r="3702" spans="1:28" x14ac:dyDescent="0.25">
      <c r="A3702" t="s">
        <v>3706</v>
      </c>
      <c r="B3702">
        <v>0.99299721793515405</v>
      </c>
      <c r="C3702">
        <v>0.73217785131745605</v>
      </c>
      <c r="D3702">
        <v>0.83847792962142198</v>
      </c>
      <c r="E3702">
        <v>0.75523419903450195</v>
      </c>
      <c r="F3702">
        <v>0.75004937356913504</v>
      </c>
      <c r="G3702">
        <v>0.41525323888671001</v>
      </c>
      <c r="H3702">
        <v>0.46840570980952001</v>
      </c>
      <c r="I3702">
        <v>0.50090013491908303</v>
      </c>
      <c r="J3702">
        <v>0.44349031353290003</v>
      </c>
      <c r="K3702">
        <v>0.40864808306404898</v>
      </c>
      <c r="L3702">
        <v>312.32728088142801</v>
      </c>
      <c r="M3702">
        <v>6.29639302502272</v>
      </c>
      <c r="N3702">
        <v>57.584977308896697</v>
      </c>
      <c r="O3702">
        <v>45.305663393999602</v>
      </c>
      <c r="P3702">
        <v>-2.4697994034706201E-2</v>
      </c>
      <c r="Q3702">
        <v>0.29107425633359901</v>
      </c>
      <c r="R3702">
        <v>0.83172025513742898</v>
      </c>
      <c r="S3702" t="s">
        <v>9253</v>
      </c>
      <c r="T3702" t="s">
        <v>11100</v>
      </c>
      <c r="U3702" t="s">
        <v>11100</v>
      </c>
      <c r="V3702" t="s">
        <v>11100</v>
      </c>
      <c r="W3702" t="s">
        <v>14752</v>
      </c>
      <c r="X3702">
        <v>1</v>
      </c>
      <c r="Y3702" t="s">
        <v>20190</v>
      </c>
      <c r="Z3702" t="s">
        <v>25707</v>
      </c>
      <c r="AA3702">
        <v>0.62471595978338257</v>
      </c>
      <c r="AB3702" t="str">
        <f>HYPERLINK("Melting_Curves/meltCurve_Q86W33_TPRA1.pdf", "Melting_Curves/meltCurve_Q86W33_TPRA1.pdf")</f>
        <v>Melting_Curves/meltCurve_Q86W33_TPRA1.pdf</v>
      </c>
    </row>
    <row r="3703" spans="1:28" x14ac:dyDescent="0.25">
      <c r="A3703" t="s">
        <v>3707</v>
      </c>
      <c r="B3703">
        <v>0.99299721793515405</v>
      </c>
      <c r="C3703">
        <v>0.83009188829522396</v>
      </c>
      <c r="D3703">
        <v>0.89003214198020397</v>
      </c>
      <c r="E3703">
        <v>0.71370988695882398</v>
      </c>
      <c r="F3703">
        <v>0.68052702972156398</v>
      </c>
      <c r="G3703">
        <v>0.79559562186580302</v>
      </c>
      <c r="H3703">
        <v>0.50919328471524306</v>
      </c>
      <c r="I3703">
        <v>0.39248584159233002</v>
      </c>
      <c r="J3703">
        <v>0.41479918015152001</v>
      </c>
      <c r="K3703">
        <v>0.58721184581754904</v>
      </c>
      <c r="L3703">
        <v>321.68101630506402</v>
      </c>
      <c r="M3703">
        <v>6.2791823536759397</v>
      </c>
      <c r="N3703">
        <v>62.549421887992501</v>
      </c>
      <c r="O3703">
        <v>46.7694120752519</v>
      </c>
      <c r="P3703">
        <v>-2.22301940421425E-2</v>
      </c>
      <c r="Q3703">
        <v>0.33950613143616598</v>
      </c>
      <c r="R3703">
        <v>0.77749811135977098</v>
      </c>
      <c r="S3703" t="s">
        <v>9254</v>
      </c>
      <c r="T3703" t="s">
        <v>11100</v>
      </c>
      <c r="U3703" t="s">
        <v>11100</v>
      </c>
      <c r="V3703" t="s">
        <v>11100</v>
      </c>
      <c r="W3703" t="s">
        <v>14753</v>
      </c>
      <c r="X3703">
        <v>5</v>
      </c>
      <c r="Y3703" t="s">
        <v>20191</v>
      </c>
      <c r="Z3703" t="s">
        <v>25708</v>
      </c>
      <c r="AA3703">
        <v>0.67636405604146377</v>
      </c>
      <c r="AB3703" t="str">
        <f>HYPERLINK("Melting_Curves/meltCurve_Q86W42_THOC6.pdf", "Melting_Curves/meltCurve_Q86W42_THOC6.pdf")</f>
        <v>Melting_Curves/meltCurve_Q86W42_THOC6.pdf</v>
      </c>
    </row>
    <row r="3704" spans="1:28" x14ac:dyDescent="0.25">
      <c r="A3704" t="s">
        <v>3708</v>
      </c>
      <c r="B3704">
        <v>0.99299721793515405</v>
      </c>
      <c r="C3704">
        <v>1.02392888685568</v>
      </c>
      <c r="D3704">
        <v>0.92375276967331399</v>
      </c>
      <c r="E3704">
        <v>0.847755916487548</v>
      </c>
      <c r="F3704">
        <v>0.73571894250131797</v>
      </c>
      <c r="G3704">
        <v>0.47898631720999302</v>
      </c>
      <c r="H3704">
        <v>0.258955157483027</v>
      </c>
      <c r="I3704">
        <v>0.13133153530851799</v>
      </c>
      <c r="J3704">
        <v>0.121710549272846</v>
      </c>
      <c r="K3704">
        <v>0.104786983799457</v>
      </c>
      <c r="L3704">
        <v>766.474928247447</v>
      </c>
      <c r="M3704">
        <v>14.4684318255155</v>
      </c>
      <c r="N3704">
        <v>53.2766774767721</v>
      </c>
      <c r="O3704">
        <v>51.994509810184397</v>
      </c>
      <c r="P3704">
        <v>-6.6844654111402196E-2</v>
      </c>
      <c r="Q3704">
        <v>3.92460744466889E-2</v>
      </c>
      <c r="R3704">
        <v>0.994382265109923</v>
      </c>
      <c r="S3704" t="s">
        <v>9255</v>
      </c>
      <c r="T3704" t="s">
        <v>11100</v>
      </c>
      <c r="U3704" t="s">
        <v>11100</v>
      </c>
      <c r="V3704" t="s">
        <v>11100</v>
      </c>
      <c r="W3704" t="s">
        <v>14754</v>
      </c>
      <c r="X3704">
        <v>9</v>
      </c>
      <c r="Y3704" t="s">
        <v>20192</v>
      </c>
      <c r="Z3704" t="s">
        <v>25709</v>
      </c>
      <c r="AA3704">
        <v>0.5686386140407963</v>
      </c>
      <c r="AB3704" t="str">
        <f>HYPERLINK("Melting_Curves/meltCurve_Q86W50_METTL16.pdf", "Melting_Curves/meltCurve_Q86W50_METTL16.pdf")</f>
        <v>Melting_Curves/meltCurve_Q86W50_METTL16.pdf</v>
      </c>
    </row>
    <row r="3705" spans="1:28" x14ac:dyDescent="0.25">
      <c r="A3705" t="s">
        <v>3709</v>
      </c>
      <c r="B3705">
        <v>0.99299721793515405</v>
      </c>
      <c r="C3705">
        <v>0.98022885588914599</v>
      </c>
      <c r="D3705">
        <v>0.95330049710319398</v>
      </c>
      <c r="E3705">
        <v>0.843221041395813</v>
      </c>
      <c r="F3705">
        <v>0.693441936241187</v>
      </c>
      <c r="G3705">
        <v>0.249167811266607</v>
      </c>
      <c r="H3705">
        <v>0.17744899747110901</v>
      </c>
      <c r="I3705">
        <v>0.132704612246306</v>
      </c>
      <c r="J3705">
        <v>0.12250943611060799</v>
      </c>
      <c r="K3705">
        <v>9.8729806326029096E-2</v>
      </c>
      <c r="L3705">
        <v>1171.9419367984899</v>
      </c>
      <c r="M3705">
        <v>22.997171095660502</v>
      </c>
      <c r="N3705">
        <v>51.473553520880799</v>
      </c>
      <c r="O3705">
        <v>50.5796262950618</v>
      </c>
      <c r="P3705">
        <v>-0.102023054936781</v>
      </c>
      <c r="Q3705">
        <v>0.102465018829642</v>
      </c>
      <c r="R3705">
        <v>0.990469545596252</v>
      </c>
      <c r="S3705" t="s">
        <v>9256</v>
      </c>
      <c r="T3705" t="s">
        <v>11100</v>
      </c>
      <c r="U3705" t="s">
        <v>11100</v>
      </c>
      <c r="V3705" t="s">
        <v>11100</v>
      </c>
      <c r="W3705" t="s">
        <v>14755</v>
      </c>
      <c r="X3705">
        <v>17</v>
      </c>
      <c r="Y3705" t="s">
        <v>20193</v>
      </c>
      <c r="Z3705" t="s">
        <v>25710</v>
      </c>
      <c r="AA3705">
        <v>0.52934964948865815</v>
      </c>
      <c r="AB3705" t="str">
        <f>HYPERLINK("Melting_Curves/meltCurve_Q86W56_PARG.pdf", "Melting_Curves/meltCurve_Q86W56_PARG.pdf")</f>
        <v>Melting_Curves/meltCurve_Q86W56_PARG.pdf</v>
      </c>
    </row>
    <row r="3706" spans="1:28" x14ac:dyDescent="0.25">
      <c r="A3706" t="s">
        <v>3710</v>
      </c>
      <c r="B3706">
        <v>0.99299721793515405</v>
      </c>
      <c r="C3706">
        <v>0.94487331508707095</v>
      </c>
      <c r="D3706">
        <v>0.97869241156127496</v>
      </c>
      <c r="E3706">
        <v>0.81963092570679297</v>
      </c>
      <c r="F3706">
        <v>0.63185943185514704</v>
      </c>
      <c r="G3706">
        <v>0.47142372168874302</v>
      </c>
      <c r="H3706">
        <v>0.31343938677810801</v>
      </c>
      <c r="I3706">
        <v>0.31695861877787501</v>
      </c>
      <c r="J3706">
        <v>0.37293954340332303</v>
      </c>
      <c r="K3706">
        <v>0.27483234324896499</v>
      </c>
      <c r="L3706">
        <v>846.77044025591204</v>
      </c>
      <c r="M3706">
        <v>16.994352643838301</v>
      </c>
      <c r="N3706">
        <v>52.573298893879098</v>
      </c>
      <c r="O3706">
        <v>49.151996477016198</v>
      </c>
      <c r="P3706">
        <v>-6.1008412797893E-2</v>
      </c>
      <c r="Q3706">
        <v>0.294236196326364</v>
      </c>
      <c r="R3706">
        <v>0.98695145547936702</v>
      </c>
      <c r="S3706" t="s">
        <v>9257</v>
      </c>
      <c r="T3706" t="s">
        <v>11100</v>
      </c>
      <c r="U3706" t="s">
        <v>11100</v>
      </c>
      <c r="V3706" t="s">
        <v>11100</v>
      </c>
      <c r="W3706" t="s">
        <v>14756</v>
      </c>
      <c r="X3706">
        <v>9</v>
      </c>
      <c r="Y3706" t="s">
        <v>20194</v>
      </c>
      <c r="Z3706" t="s">
        <v>25711</v>
      </c>
      <c r="AA3706">
        <v>0.60822820432303937</v>
      </c>
      <c r="AB3706" t="str">
        <f>HYPERLINK("Melting_Curves/meltCurve_Q86W92_4_PPFIBP1.pdf", "Melting_Curves/meltCurve_Q86W92_4_PPFIBP1.pdf")</f>
        <v>Melting_Curves/meltCurve_Q86W92_4_PPFIBP1.pdf</v>
      </c>
    </row>
    <row r="3707" spans="1:28" x14ac:dyDescent="0.25">
      <c r="A3707" t="s">
        <v>3711</v>
      </c>
      <c r="B3707">
        <v>0.99299721793515405</v>
      </c>
      <c r="C3707">
        <v>0.89469098997980501</v>
      </c>
      <c r="D3707">
        <v>0.99243204099071303</v>
      </c>
      <c r="E3707">
        <v>0.79479738364900099</v>
      </c>
      <c r="F3707">
        <v>0.76613602044634799</v>
      </c>
      <c r="G3707">
        <v>0.52466931261804906</v>
      </c>
      <c r="H3707">
        <v>0.29525288317440201</v>
      </c>
      <c r="I3707">
        <v>0.25905246999763998</v>
      </c>
      <c r="J3707">
        <v>0.23736518797080799</v>
      </c>
      <c r="K3707">
        <v>0.175013128903687</v>
      </c>
      <c r="L3707">
        <v>663.59835515928103</v>
      </c>
      <c r="M3707">
        <v>12.555341359301799</v>
      </c>
      <c r="N3707">
        <v>54.029039337185502</v>
      </c>
      <c r="O3707">
        <v>51.566803330316198</v>
      </c>
      <c r="P3707">
        <v>-5.3607048025255698E-2</v>
      </c>
      <c r="Q3707">
        <v>0.11948707673855299</v>
      </c>
      <c r="R3707">
        <v>0.97615145120171398</v>
      </c>
      <c r="S3707" t="s">
        <v>9258</v>
      </c>
      <c r="T3707" t="s">
        <v>11100</v>
      </c>
      <c r="U3707" t="s">
        <v>11100</v>
      </c>
      <c r="V3707" t="s">
        <v>11100</v>
      </c>
      <c r="W3707" t="s">
        <v>14757</v>
      </c>
      <c r="X3707">
        <v>6</v>
      </c>
      <c r="Y3707" t="s">
        <v>20195</v>
      </c>
      <c r="Z3707" t="s">
        <v>25712</v>
      </c>
      <c r="AA3707">
        <v>0.6032185920834704</v>
      </c>
      <c r="AB3707" t="str">
        <f>HYPERLINK("Melting_Curves/meltCurve_Q86WA6_2_BPHL.pdf", "Melting_Curves/meltCurve_Q86WA6_2_BPHL.pdf")</f>
        <v>Melting_Curves/meltCurve_Q86WA6_2_BPHL.pdf</v>
      </c>
    </row>
    <row r="3708" spans="1:28" x14ac:dyDescent="0.25">
      <c r="A3708" t="s">
        <v>3712</v>
      </c>
      <c r="B3708">
        <v>0.99299721793515405</v>
      </c>
      <c r="C3708">
        <v>0.98942560829471504</v>
      </c>
      <c r="D3708">
        <v>1.04155783532794</v>
      </c>
      <c r="E3708">
        <v>0.86729989052428003</v>
      </c>
      <c r="F3708">
        <v>0.56542979076058797</v>
      </c>
      <c r="G3708">
        <v>0.25903897684576299</v>
      </c>
      <c r="H3708">
        <v>0.16784429398197701</v>
      </c>
      <c r="I3708">
        <v>0.162119292860469</v>
      </c>
      <c r="J3708">
        <v>0.13001178629225299</v>
      </c>
      <c r="K3708">
        <v>0.12234973271313999</v>
      </c>
      <c r="L3708">
        <v>1250.94133628707</v>
      </c>
      <c r="M3708">
        <v>24.957274978059999</v>
      </c>
      <c r="N3708">
        <v>50.747133367790802</v>
      </c>
      <c r="O3708">
        <v>49.804829042459197</v>
      </c>
      <c r="P3708">
        <v>-0.108728509822726</v>
      </c>
      <c r="Q3708">
        <v>0.132095705149231</v>
      </c>
      <c r="R3708">
        <v>0.99714780051267904</v>
      </c>
      <c r="S3708" t="s">
        <v>9259</v>
      </c>
      <c r="T3708" t="s">
        <v>11100</v>
      </c>
      <c r="U3708" t="s">
        <v>11100</v>
      </c>
      <c r="V3708" t="s">
        <v>11100</v>
      </c>
      <c r="W3708" t="s">
        <v>14758</v>
      </c>
      <c r="X3708">
        <v>7</v>
      </c>
      <c r="Y3708" t="s">
        <v>20196</v>
      </c>
      <c r="Z3708" t="s">
        <v>25713</v>
      </c>
      <c r="AA3708">
        <v>0.51937966605051211</v>
      </c>
      <c r="AB3708" t="str">
        <f>HYPERLINK("Melting_Curves/meltCurve_Q86WJ1_2_CHD1L.pdf", "Melting_Curves/meltCurve_Q86WJ1_2_CHD1L.pdf")</f>
        <v>Melting_Curves/meltCurve_Q86WJ1_2_CHD1L.pdf</v>
      </c>
    </row>
    <row r="3709" spans="1:28" x14ac:dyDescent="0.25">
      <c r="A3709" t="s">
        <v>3713</v>
      </c>
      <c r="B3709">
        <v>0.99299721793515405</v>
      </c>
      <c r="C3709">
        <v>0.94667953415453399</v>
      </c>
      <c r="D3709">
        <v>1.02364956555445</v>
      </c>
      <c r="E3709">
        <v>0.90087953210585403</v>
      </c>
      <c r="F3709">
        <v>0.709039038301436</v>
      </c>
      <c r="G3709">
        <v>0.61845158417176005</v>
      </c>
      <c r="H3709">
        <v>0.43321600328513199</v>
      </c>
      <c r="I3709">
        <v>0.37796890297768299</v>
      </c>
      <c r="J3709">
        <v>0.36475601440202399</v>
      </c>
      <c r="K3709">
        <v>0.35398167566078298</v>
      </c>
      <c r="L3709">
        <v>789.89189695418497</v>
      </c>
      <c r="M3709">
        <v>15.228310955450899</v>
      </c>
      <c r="N3709">
        <v>55.744350699440403</v>
      </c>
      <c r="O3709">
        <v>51.000168878593001</v>
      </c>
      <c r="P3709">
        <v>-5.0280701252862402E-2</v>
      </c>
      <c r="Q3709">
        <v>0.32649651870919799</v>
      </c>
      <c r="R3709">
        <v>0.98731383468044098</v>
      </c>
      <c r="S3709" t="s">
        <v>9260</v>
      </c>
      <c r="T3709" t="s">
        <v>11100</v>
      </c>
      <c r="U3709" t="s">
        <v>11100</v>
      </c>
      <c r="V3709" t="s">
        <v>11100</v>
      </c>
      <c r="W3709" t="s">
        <v>14759</v>
      </c>
      <c r="X3709">
        <v>5</v>
      </c>
      <c r="Y3709" t="s">
        <v>20197</v>
      </c>
      <c r="Z3709" t="s">
        <v>25714</v>
      </c>
      <c r="AA3709">
        <v>0.67308361466280198</v>
      </c>
      <c r="AB3709" t="str">
        <f>HYPERLINK("Melting_Curves/meltCurve_Q86WQ0_NR2C2AP.pdf", "Melting_Curves/meltCurve_Q86WQ0_NR2C2AP.pdf")</f>
        <v>Melting_Curves/meltCurve_Q86WQ0_NR2C2AP.pdf</v>
      </c>
    </row>
    <row r="3710" spans="1:28" x14ac:dyDescent="0.25">
      <c r="A3710" t="s">
        <v>3714</v>
      </c>
      <c r="B3710">
        <v>0.99299721793515405</v>
      </c>
      <c r="C3710">
        <v>0.96345763514190796</v>
      </c>
      <c r="D3710">
        <v>0.93469149411312302</v>
      </c>
      <c r="E3710">
        <v>0.83845190703871897</v>
      </c>
      <c r="F3710">
        <v>0.70287181205576499</v>
      </c>
      <c r="G3710">
        <v>0.44611590491731901</v>
      </c>
      <c r="H3710">
        <v>0.223750267526235</v>
      </c>
      <c r="I3710">
        <v>0.25035769694419302</v>
      </c>
      <c r="J3710">
        <v>0.25054495381554398</v>
      </c>
      <c r="K3710">
        <v>0.234249096618484</v>
      </c>
      <c r="L3710">
        <v>896.48649628426904</v>
      </c>
      <c r="M3710">
        <v>17.570459466469501</v>
      </c>
      <c r="N3710">
        <v>52.586298902562497</v>
      </c>
      <c r="O3710">
        <v>50.375219818069901</v>
      </c>
      <c r="P3710">
        <v>-6.9457195372096603E-2</v>
      </c>
      <c r="Q3710">
        <v>0.203496840468711</v>
      </c>
      <c r="R3710">
        <v>0.98718994299892204</v>
      </c>
      <c r="S3710" t="s">
        <v>9261</v>
      </c>
      <c r="T3710" t="s">
        <v>11100</v>
      </c>
      <c r="U3710" t="s">
        <v>11100</v>
      </c>
      <c r="V3710" t="s">
        <v>11100</v>
      </c>
      <c r="W3710" t="s">
        <v>14760</v>
      </c>
      <c r="X3710">
        <v>4</v>
      </c>
      <c r="Y3710" t="s">
        <v>20198</v>
      </c>
      <c r="Z3710" t="s">
        <v>25715</v>
      </c>
      <c r="AA3710">
        <v>0.58860447889037293</v>
      </c>
      <c r="AB3710" t="str">
        <f>HYPERLINK("Melting_Curves/meltCurve_Q86WR0_CCDC25.pdf", "Melting_Curves/meltCurve_Q86WR0_CCDC25.pdf")</f>
        <v>Melting_Curves/meltCurve_Q86WR0_CCDC25.pdf</v>
      </c>
    </row>
    <row r="3711" spans="1:28" x14ac:dyDescent="0.25">
      <c r="A3711" t="s">
        <v>3715</v>
      </c>
      <c r="B3711">
        <v>0.99299721793515405</v>
      </c>
      <c r="C3711">
        <v>0.90019366107054</v>
      </c>
      <c r="D3711">
        <v>1.0014261905289901</v>
      </c>
      <c r="E3711">
        <v>0.76688357092307002</v>
      </c>
      <c r="F3711">
        <v>0.67832026884822405</v>
      </c>
      <c r="G3711">
        <v>0.33953188045867699</v>
      </c>
      <c r="H3711">
        <v>0.259925171636323</v>
      </c>
      <c r="I3711">
        <v>0.228053370480676</v>
      </c>
      <c r="J3711">
        <v>0.20493474577797399</v>
      </c>
      <c r="K3711">
        <v>0.204791753723048</v>
      </c>
      <c r="L3711">
        <v>835.728952870478</v>
      </c>
      <c r="M3711">
        <v>16.592146781776499</v>
      </c>
      <c r="N3711">
        <v>51.743538069849102</v>
      </c>
      <c r="O3711">
        <v>49.6543505478311</v>
      </c>
      <c r="P3711">
        <v>-6.8653549038939499E-2</v>
      </c>
      <c r="Q3711">
        <v>0.17823405110975199</v>
      </c>
      <c r="R3711">
        <v>0.97807993003634797</v>
      </c>
      <c r="S3711" t="s">
        <v>9262</v>
      </c>
      <c r="T3711" t="s">
        <v>11100</v>
      </c>
      <c r="U3711" t="s">
        <v>11100</v>
      </c>
      <c r="V3711" t="s">
        <v>11100</v>
      </c>
      <c r="W3711" t="s">
        <v>14761</v>
      </c>
      <c r="X3711">
        <v>10</v>
      </c>
      <c r="Y3711" t="s">
        <v>20199</v>
      </c>
      <c r="Z3711" t="s">
        <v>25716</v>
      </c>
      <c r="AA3711">
        <v>0.55907743877877758</v>
      </c>
      <c r="AB3711" t="str">
        <f>HYPERLINK("Melting_Curves/meltCurve_Q86WR7_PROSER2.pdf", "Melting_Curves/meltCurve_Q86WR7_PROSER2.pdf")</f>
        <v>Melting_Curves/meltCurve_Q86WR7_PROSER2.pdf</v>
      </c>
    </row>
    <row r="3712" spans="1:28" x14ac:dyDescent="0.25">
      <c r="A3712" t="s">
        <v>3716</v>
      </c>
      <c r="B3712">
        <v>0.99299721793515405</v>
      </c>
      <c r="C3712">
        <v>1.14649683027419</v>
      </c>
      <c r="D3712">
        <v>0.84095938333057196</v>
      </c>
      <c r="E3712">
        <v>1.1155776182744901</v>
      </c>
      <c r="F3712">
        <v>0.92857097853568504</v>
      </c>
      <c r="G3712">
        <v>0.42592457326438499</v>
      </c>
      <c r="H3712">
        <v>0.25020195003549001</v>
      </c>
      <c r="I3712">
        <v>0.20890263342159199</v>
      </c>
      <c r="J3712">
        <v>0.15499976001187099</v>
      </c>
      <c r="K3712">
        <v>0.111102143611102</v>
      </c>
      <c r="L3712">
        <v>2224.1365201450999</v>
      </c>
      <c r="M3712">
        <v>42.075174487368599</v>
      </c>
      <c r="N3712">
        <v>53.391155461986102</v>
      </c>
      <c r="O3712">
        <v>52.742017930854402</v>
      </c>
      <c r="P3712">
        <v>-0.165385531268955</v>
      </c>
      <c r="Q3712">
        <v>0.17074584292769099</v>
      </c>
      <c r="R3712">
        <v>0.95768779564318396</v>
      </c>
      <c r="S3712" t="s">
        <v>9263</v>
      </c>
      <c r="T3712" t="s">
        <v>11100</v>
      </c>
      <c r="U3712" t="s">
        <v>11100</v>
      </c>
      <c r="V3712" t="s">
        <v>11100</v>
      </c>
      <c r="W3712" t="s">
        <v>14762</v>
      </c>
      <c r="X3712">
        <v>1</v>
      </c>
      <c r="Y3712" t="s">
        <v>20200</v>
      </c>
      <c r="Z3712" t="s">
        <v>25717</v>
      </c>
      <c r="AA3712">
        <v>0.61190165148945075</v>
      </c>
      <c r="AB3712" t="str">
        <f>HYPERLINK("Melting_Curves/meltCurve_Q86WV6_TMEM173.pdf", "Melting_Curves/meltCurve_Q86WV6_TMEM173.pdf")</f>
        <v>Melting_Curves/meltCurve_Q86WV6_TMEM173.pdf</v>
      </c>
    </row>
    <row r="3713" spans="1:28" x14ac:dyDescent="0.25">
      <c r="A3713" t="s">
        <v>3717</v>
      </c>
      <c r="B3713">
        <v>0.99299721793515405</v>
      </c>
      <c r="C3713">
        <v>0.91110850254338605</v>
      </c>
      <c r="D3713">
        <v>1.2221882535200901</v>
      </c>
      <c r="E3713">
        <v>0.95063248232895403</v>
      </c>
      <c r="F3713">
        <v>0.80472379200695399</v>
      </c>
      <c r="G3713">
        <v>0.762700417459379</v>
      </c>
      <c r="H3713">
        <v>0.48899394070276597</v>
      </c>
      <c r="I3713">
        <v>0.49975371543214397</v>
      </c>
      <c r="J3713">
        <v>0.373505282155014</v>
      </c>
      <c r="K3713">
        <v>0.54836221555245201</v>
      </c>
      <c r="L3713">
        <v>1088.33450967205</v>
      </c>
      <c r="M3713">
        <v>20.522849901929099</v>
      </c>
      <c r="N3713">
        <v>59.686665863419599</v>
      </c>
      <c r="O3713">
        <v>52.534580764007998</v>
      </c>
      <c r="P3713">
        <v>-5.3784740374989003E-2</v>
      </c>
      <c r="Q3713">
        <v>0.449301487585475</v>
      </c>
      <c r="R3713">
        <v>0.86481269524304005</v>
      </c>
      <c r="S3713" t="s">
        <v>9264</v>
      </c>
      <c r="T3713" t="s">
        <v>11100</v>
      </c>
      <c r="U3713" t="s">
        <v>11100</v>
      </c>
      <c r="V3713" t="s">
        <v>11100</v>
      </c>
      <c r="W3713" t="s">
        <v>14763</v>
      </c>
      <c r="X3713">
        <v>4</v>
      </c>
      <c r="Y3713" t="s">
        <v>20201</v>
      </c>
      <c r="Z3713" t="s">
        <v>25718</v>
      </c>
      <c r="AA3713">
        <v>0.75023945920841262</v>
      </c>
      <c r="AB3713" t="str">
        <f>HYPERLINK("Melting_Curves/meltCurve_Q86WV7_CCDC43.pdf", "Melting_Curves/meltCurve_Q86WV7_CCDC43.pdf")</f>
        <v>Melting_Curves/meltCurve_Q86WV7_CCDC43.pdf</v>
      </c>
    </row>
    <row r="3714" spans="1:28" x14ac:dyDescent="0.25">
      <c r="A3714" t="s">
        <v>3718</v>
      </c>
      <c r="B3714">
        <v>0.99299721793515405</v>
      </c>
      <c r="C3714">
        <v>0.94239577724903401</v>
      </c>
      <c r="D3714">
        <v>1.0312682972132701</v>
      </c>
      <c r="E3714">
        <v>0.86952953251528897</v>
      </c>
      <c r="F3714">
        <v>0.72290328274325599</v>
      </c>
      <c r="G3714">
        <v>0.67997313569611195</v>
      </c>
      <c r="H3714">
        <v>0.38300885028085002</v>
      </c>
      <c r="I3714">
        <v>0.32731968163202502</v>
      </c>
      <c r="J3714">
        <v>0.22883569391840899</v>
      </c>
      <c r="K3714">
        <v>0.22592349638833201</v>
      </c>
      <c r="L3714">
        <v>638.17282468983001</v>
      </c>
      <c r="M3714">
        <v>11.6798054150595</v>
      </c>
      <c r="N3714">
        <v>55.883168830885303</v>
      </c>
      <c r="O3714">
        <v>53.111025115564701</v>
      </c>
      <c r="P3714">
        <v>-4.8696970333696597E-2</v>
      </c>
      <c r="Q3714">
        <v>0.114487358672335</v>
      </c>
      <c r="R3714">
        <v>0.978784370402488</v>
      </c>
      <c r="S3714" t="s">
        <v>9265</v>
      </c>
      <c r="T3714" t="s">
        <v>11100</v>
      </c>
      <c r="U3714" t="s">
        <v>11100</v>
      </c>
      <c r="V3714" t="s">
        <v>11100</v>
      </c>
      <c r="W3714" t="s">
        <v>14764</v>
      </c>
      <c r="X3714">
        <v>5</v>
      </c>
      <c r="Y3714" t="s">
        <v>20202</v>
      </c>
      <c r="Z3714" t="s">
        <v>25719</v>
      </c>
      <c r="AA3714">
        <v>0.64888098220549872</v>
      </c>
      <c r="AB3714" t="str">
        <f>HYPERLINK("Melting_Curves/meltCurve_Q86X02_CDR2L.pdf", "Melting_Curves/meltCurve_Q86X02_CDR2L.pdf")</f>
        <v>Melting_Curves/meltCurve_Q86X02_CDR2L.pdf</v>
      </c>
    </row>
    <row r="3715" spans="1:28" x14ac:dyDescent="0.25">
      <c r="A3715" t="s">
        <v>3719</v>
      </c>
      <c r="B3715">
        <v>0.99299721793515405</v>
      </c>
      <c r="C3715">
        <v>0.94759203792832303</v>
      </c>
      <c r="D3715">
        <v>0.90105082685317195</v>
      </c>
      <c r="E3715">
        <v>0.87720619495789998</v>
      </c>
      <c r="F3715">
        <v>0.77485039961377999</v>
      </c>
      <c r="G3715">
        <v>0.42201411490356899</v>
      </c>
      <c r="H3715">
        <v>0.25327237002675701</v>
      </c>
      <c r="I3715">
        <v>0.18542871688429199</v>
      </c>
      <c r="J3715">
        <v>0.15010069859629199</v>
      </c>
      <c r="K3715">
        <v>0.139515291970984</v>
      </c>
      <c r="L3715">
        <v>932.444138513231</v>
      </c>
      <c r="M3715">
        <v>17.824600603897601</v>
      </c>
      <c r="N3715">
        <v>53.091120682365499</v>
      </c>
      <c r="O3715">
        <v>51.667087550057701</v>
      </c>
      <c r="P3715">
        <v>-7.63280411127433E-2</v>
      </c>
      <c r="Q3715">
        <v>0.115055419089373</v>
      </c>
      <c r="R3715">
        <v>0.98783127932843295</v>
      </c>
      <c r="S3715" t="s">
        <v>9266</v>
      </c>
      <c r="T3715" t="s">
        <v>11100</v>
      </c>
      <c r="U3715" t="s">
        <v>11100</v>
      </c>
      <c r="V3715" t="s">
        <v>11100</v>
      </c>
      <c r="W3715" t="s">
        <v>14765</v>
      </c>
      <c r="X3715">
        <v>7</v>
      </c>
      <c r="Y3715" t="s">
        <v>20203</v>
      </c>
      <c r="Z3715" t="s">
        <v>25720</v>
      </c>
      <c r="AA3715">
        <v>0.5801578737950136</v>
      </c>
      <c r="AB3715" t="str">
        <f>HYPERLINK("Melting_Curves/meltCurve_Q86X27_RALGPS2.pdf", "Melting_Curves/meltCurve_Q86X27_RALGPS2.pdf")</f>
        <v>Melting_Curves/meltCurve_Q86X27_RALGPS2.pdf</v>
      </c>
    </row>
    <row r="3716" spans="1:28" x14ac:dyDescent="0.25">
      <c r="A3716" t="s">
        <v>3720</v>
      </c>
      <c r="B3716">
        <v>0.99299721793515405</v>
      </c>
      <c r="C3716">
        <v>1.02343265452761</v>
      </c>
      <c r="D3716">
        <v>0.91128753121960704</v>
      </c>
      <c r="E3716">
        <v>0.79873966788252204</v>
      </c>
      <c r="F3716">
        <v>0.47079513290110597</v>
      </c>
      <c r="G3716">
        <v>0.25786366112958098</v>
      </c>
      <c r="H3716">
        <v>0.24553191186253501</v>
      </c>
      <c r="I3716">
        <v>0.26898602959436402</v>
      </c>
      <c r="J3716">
        <v>0.24476294676628699</v>
      </c>
      <c r="K3716">
        <v>0.22503116091939701</v>
      </c>
      <c r="L3716">
        <v>1182.64539352161</v>
      </c>
      <c r="M3716">
        <v>24.428965922511999</v>
      </c>
      <c r="N3716">
        <v>49.6934641988612</v>
      </c>
      <c r="O3716">
        <v>48.090711176695599</v>
      </c>
      <c r="P3716">
        <v>-9.73113532078487E-2</v>
      </c>
      <c r="Q3716">
        <v>0.23374546878470301</v>
      </c>
      <c r="R3716">
        <v>0.99388808106739002</v>
      </c>
      <c r="S3716" t="s">
        <v>9267</v>
      </c>
      <c r="T3716" t="s">
        <v>11100</v>
      </c>
      <c r="U3716" t="s">
        <v>11100</v>
      </c>
      <c r="V3716" t="s">
        <v>11100</v>
      </c>
      <c r="W3716" t="s">
        <v>14766</v>
      </c>
      <c r="X3716">
        <v>3</v>
      </c>
      <c r="Y3716" t="s">
        <v>20204</v>
      </c>
      <c r="Z3716" t="s">
        <v>25721</v>
      </c>
      <c r="AA3716">
        <v>0.53209138337020623</v>
      </c>
      <c r="AB3716" t="str">
        <f>HYPERLINK("Melting_Curves/meltCurve_Q86X53_ERICH1.pdf", "Melting_Curves/meltCurve_Q86X53_ERICH1.pdf")</f>
        <v>Melting_Curves/meltCurve_Q86X53_ERICH1.pdf</v>
      </c>
    </row>
    <row r="3717" spans="1:28" x14ac:dyDescent="0.25">
      <c r="A3717" t="s">
        <v>3721</v>
      </c>
      <c r="B3717">
        <v>0.99299721793515405</v>
      </c>
      <c r="C3717">
        <v>0.93201302877338399</v>
      </c>
      <c r="D3717">
        <v>0.91642180406580698</v>
      </c>
      <c r="E3717">
        <v>0.86171262153647699</v>
      </c>
      <c r="F3717">
        <v>0.810306883107067</v>
      </c>
      <c r="G3717">
        <v>1.0583788392789799</v>
      </c>
      <c r="H3717">
        <v>1.1325531506387401</v>
      </c>
      <c r="I3717">
        <v>0.97365777599957903</v>
      </c>
      <c r="J3717">
        <v>0.27157452338705301</v>
      </c>
      <c r="K3717">
        <v>0.20957435838063601</v>
      </c>
      <c r="L3717">
        <v>7356.3467705851699</v>
      </c>
      <c r="M3717">
        <v>117.221093059851</v>
      </c>
      <c r="N3717">
        <v>63.047557355641899</v>
      </c>
      <c r="O3717">
        <v>62.7379098391716</v>
      </c>
      <c r="P3717">
        <v>-0.36941613377036697</v>
      </c>
      <c r="Q3717">
        <v>0.20913908017690699</v>
      </c>
      <c r="R3717">
        <v>0.903038570086244</v>
      </c>
      <c r="S3717" t="s">
        <v>9268</v>
      </c>
      <c r="T3717" t="s">
        <v>11100</v>
      </c>
      <c r="U3717" t="s">
        <v>11100</v>
      </c>
      <c r="V3717" t="s">
        <v>11100</v>
      </c>
      <c r="W3717" t="s">
        <v>14767</v>
      </c>
      <c r="X3717">
        <v>12</v>
      </c>
      <c r="Y3717" t="s">
        <v>20205</v>
      </c>
      <c r="Z3717" t="s">
        <v>25722</v>
      </c>
      <c r="AA3717">
        <v>0.88851073558286309</v>
      </c>
      <c r="AB3717" t="str">
        <f>HYPERLINK("Melting_Curves/meltCurve_Q86X55_1_CARM1.pdf", "Melting_Curves/meltCurve_Q86X55_1_CARM1.pdf")</f>
        <v>Melting_Curves/meltCurve_Q86X55_1_CARM1.pdf</v>
      </c>
    </row>
    <row r="3718" spans="1:28" x14ac:dyDescent="0.25">
      <c r="A3718" t="s">
        <v>3722</v>
      </c>
      <c r="B3718">
        <v>0.99299721793515405</v>
      </c>
      <c r="C3718">
        <v>0.99558693107136598</v>
      </c>
      <c r="D3718">
        <v>0.97071991081005604</v>
      </c>
      <c r="E3718">
        <v>0.88231232290078099</v>
      </c>
      <c r="F3718">
        <v>0.77904096077914897</v>
      </c>
      <c r="G3718">
        <v>0.60131603717476101</v>
      </c>
      <c r="H3718">
        <v>0.68391129980826804</v>
      </c>
      <c r="I3718">
        <v>0.83928770060374303</v>
      </c>
      <c r="J3718">
        <v>0.90720990563174198</v>
      </c>
      <c r="K3718">
        <v>0.88692494482727702</v>
      </c>
      <c r="L3718">
        <v>2290.0528436056702</v>
      </c>
      <c r="M3718">
        <v>49.373137543964297</v>
      </c>
      <c r="O3718">
        <v>46.306665986004298</v>
      </c>
      <c r="P3718">
        <v>-5.8004619599889201E-2</v>
      </c>
      <c r="Q3718">
        <v>0.78239194371431198</v>
      </c>
      <c r="R3718">
        <v>0.53243522907525898</v>
      </c>
      <c r="S3718" t="s">
        <v>9269</v>
      </c>
      <c r="T3718" t="s">
        <v>11100</v>
      </c>
      <c r="U3718" t="s">
        <v>11100</v>
      </c>
      <c r="V3718" t="s">
        <v>11100</v>
      </c>
      <c r="W3718" t="s">
        <v>14768</v>
      </c>
      <c r="X3718">
        <v>11</v>
      </c>
      <c r="Y3718" t="s">
        <v>20206</v>
      </c>
      <c r="Z3718" t="s">
        <v>25723</v>
      </c>
      <c r="AA3718">
        <v>0.8509060177684814</v>
      </c>
      <c r="AB3718" t="str">
        <f>HYPERLINK("Melting_Curves/meltCurve_Q86X76_2_NIT1.pdf", "Melting_Curves/meltCurve_Q86X76_2_NIT1.pdf")</f>
        <v>Melting_Curves/meltCurve_Q86X76_2_NIT1.pdf</v>
      </c>
    </row>
    <row r="3719" spans="1:28" x14ac:dyDescent="0.25">
      <c r="A3719" t="s">
        <v>3723</v>
      </c>
      <c r="B3719">
        <v>0.99299721793515405</v>
      </c>
      <c r="C3719">
        <v>1.0035106693786</v>
      </c>
      <c r="D3719">
        <v>1.07250416073562</v>
      </c>
      <c r="E3719">
        <v>0.93769438011779904</v>
      </c>
      <c r="F3719">
        <v>0.576202740763468</v>
      </c>
      <c r="G3719">
        <v>0.36134565974203597</v>
      </c>
      <c r="H3719">
        <v>0.15357484659885001</v>
      </c>
      <c r="I3719">
        <v>0.12121283807661699</v>
      </c>
      <c r="J3719">
        <v>0.11476697190209301</v>
      </c>
      <c r="K3719">
        <v>0.112428046072685</v>
      </c>
      <c r="L3719">
        <v>1171.40140668044</v>
      </c>
      <c r="M3719">
        <v>23.010169734891299</v>
      </c>
      <c r="N3719">
        <v>51.4568444749722</v>
      </c>
      <c r="O3719">
        <v>50.528163331852397</v>
      </c>
      <c r="P3719">
        <v>-0.101461399822426</v>
      </c>
      <c r="Q3719">
        <v>0.10881799577533099</v>
      </c>
      <c r="R3719">
        <v>0.99119994149528301</v>
      </c>
      <c r="S3719" t="s">
        <v>9270</v>
      </c>
      <c r="T3719" t="s">
        <v>11100</v>
      </c>
      <c r="U3719" t="s">
        <v>11100</v>
      </c>
      <c r="V3719" t="s">
        <v>11100</v>
      </c>
      <c r="W3719" t="s">
        <v>14769</v>
      </c>
      <c r="X3719">
        <v>1</v>
      </c>
      <c r="Y3719" t="s">
        <v>20207</v>
      </c>
      <c r="Z3719" t="s">
        <v>25724</v>
      </c>
      <c r="AA3719">
        <v>0.53111770192020324</v>
      </c>
      <c r="AB3719" t="str">
        <f>HYPERLINK("Melting_Curves/meltCurve_Q86X83_COMMD2.pdf", "Melting_Curves/meltCurve_Q86X83_COMMD2.pdf")</f>
        <v>Melting_Curves/meltCurve_Q86X83_COMMD2.pdf</v>
      </c>
    </row>
    <row r="3720" spans="1:28" x14ac:dyDescent="0.25">
      <c r="A3720" t="s">
        <v>3724</v>
      </c>
      <c r="B3720">
        <v>0.99299721793515405</v>
      </c>
      <c r="C3720">
        <v>0.93071816432529497</v>
      </c>
      <c r="D3720">
        <v>0.98949660832281705</v>
      </c>
      <c r="E3720">
        <v>0.84998860107341001</v>
      </c>
      <c r="F3720">
        <v>0.71627294709732503</v>
      </c>
      <c r="G3720">
        <v>0.30568842078589098</v>
      </c>
      <c r="H3720">
        <v>0.196639744196274</v>
      </c>
      <c r="I3720">
        <v>0.169246671260431</v>
      </c>
      <c r="J3720">
        <v>0.119908938033467</v>
      </c>
      <c r="K3720">
        <v>0.129514156663906</v>
      </c>
      <c r="L3720">
        <v>1130.01278842229</v>
      </c>
      <c r="M3720">
        <v>22.050556118116798</v>
      </c>
      <c r="N3720">
        <v>51.895632479305199</v>
      </c>
      <c r="O3720">
        <v>50.830558660364602</v>
      </c>
      <c r="P3720">
        <v>-9.5381545781935001E-2</v>
      </c>
      <c r="Q3720">
        <v>0.12053192374982</v>
      </c>
      <c r="R3720">
        <v>0.98936057237825803</v>
      </c>
      <c r="S3720" t="s">
        <v>9271</v>
      </c>
      <c r="T3720" t="s">
        <v>11100</v>
      </c>
      <c r="U3720" t="s">
        <v>11100</v>
      </c>
      <c r="V3720" t="s">
        <v>11100</v>
      </c>
      <c r="W3720" t="s">
        <v>14770</v>
      </c>
      <c r="X3720">
        <v>3</v>
      </c>
      <c r="Y3720" t="s">
        <v>20208</v>
      </c>
      <c r="Z3720" t="s">
        <v>25725</v>
      </c>
      <c r="AA3720">
        <v>0.54791075744847262</v>
      </c>
      <c r="AB3720" t="str">
        <f>HYPERLINK("Melting_Curves/meltCurve_Q86XK3_3_SFR1.pdf", "Melting_Curves/meltCurve_Q86XK3_3_SFR1.pdf")</f>
        <v>Melting_Curves/meltCurve_Q86XK3_3_SFR1.pdf</v>
      </c>
    </row>
    <row r="3721" spans="1:28" x14ac:dyDescent="0.25">
      <c r="A3721" t="s">
        <v>3725</v>
      </c>
      <c r="B3721">
        <v>0.99299721793515405</v>
      </c>
      <c r="C3721">
        <v>1.0248877027221299</v>
      </c>
      <c r="D3721">
        <v>0.97237188679172204</v>
      </c>
      <c r="E3721">
        <v>0.91463824405358196</v>
      </c>
      <c r="F3721">
        <v>0.64755226447575398</v>
      </c>
      <c r="G3721">
        <v>0.205170825781993</v>
      </c>
      <c r="H3721">
        <v>0.157135762698632</v>
      </c>
      <c r="I3721">
        <v>0.13909200826779899</v>
      </c>
      <c r="J3721">
        <v>0.13066433766851501</v>
      </c>
      <c r="K3721">
        <v>0.10502777286218901</v>
      </c>
      <c r="L3721">
        <v>1678.3990557107099</v>
      </c>
      <c r="M3721">
        <v>33.1284844675153</v>
      </c>
      <c r="N3721">
        <v>51.0976653052155</v>
      </c>
      <c r="O3721">
        <v>50.4797869321687</v>
      </c>
      <c r="P3721">
        <v>-0.14393546270899801</v>
      </c>
      <c r="Q3721">
        <v>0.122712747372971</v>
      </c>
      <c r="R3721">
        <v>0.99686339656343903</v>
      </c>
      <c r="S3721" t="s">
        <v>9272</v>
      </c>
      <c r="T3721" t="s">
        <v>11100</v>
      </c>
      <c r="U3721" t="s">
        <v>11100</v>
      </c>
      <c r="V3721" t="s">
        <v>11100</v>
      </c>
      <c r="W3721" t="s">
        <v>14771</v>
      </c>
      <c r="X3721">
        <v>28</v>
      </c>
      <c r="Y3721" t="s">
        <v>20209</v>
      </c>
      <c r="Z3721" t="s">
        <v>25726</v>
      </c>
      <c r="AA3721">
        <v>0.52674031044700043</v>
      </c>
      <c r="AB3721" t="str">
        <f>HYPERLINK("Melting_Curves/meltCurve_Q86XP3_DDX42.pdf", "Melting_Curves/meltCurve_Q86XP3_DDX42.pdf")</f>
        <v>Melting_Curves/meltCurve_Q86XP3_DDX42.pdf</v>
      </c>
    </row>
    <row r="3722" spans="1:28" x14ac:dyDescent="0.25">
      <c r="A3722" t="s">
        <v>3726</v>
      </c>
      <c r="B3722">
        <v>0.99299721793515405</v>
      </c>
      <c r="C3722">
        <v>1.1323829460889501</v>
      </c>
      <c r="D3722">
        <v>1.54701536488228</v>
      </c>
      <c r="E3722">
        <v>1.11509987187778</v>
      </c>
      <c r="F3722">
        <v>0.75554240490629798</v>
      </c>
      <c r="G3722">
        <v>0.479614870764558</v>
      </c>
      <c r="H3722">
        <v>0.28930390524945798</v>
      </c>
      <c r="I3722">
        <v>0.24096891755253499</v>
      </c>
      <c r="J3722">
        <v>0.23918738127449399</v>
      </c>
      <c r="K3722">
        <v>0.24656423334508601</v>
      </c>
      <c r="L3722">
        <v>1594.9175089820601</v>
      </c>
      <c r="M3722">
        <v>30.648776048369101</v>
      </c>
      <c r="N3722">
        <v>53.203305092400697</v>
      </c>
      <c r="O3722">
        <v>51.818504089529597</v>
      </c>
      <c r="P3722">
        <v>-0.111728505701383</v>
      </c>
      <c r="Q3722">
        <v>0.24439796736179301</v>
      </c>
      <c r="R3722">
        <v>0.83032695349529495</v>
      </c>
      <c r="S3722" t="s">
        <v>9273</v>
      </c>
      <c r="T3722" t="s">
        <v>11100</v>
      </c>
      <c r="U3722" t="s">
        <v>11100</v>
      </c>
      <c r="V3722" t="s">
        <v>11100</v>
      </c>
      <c r="W3722" t="s">
        <v>14772</v>
      </c>
      <c r="X3722">
        <v>6</v>
      </c>
      <c r="Y3722" t="s">
        <v>20210</v>
      </c>
      <c r="Z3722" t="s">
        <v>25727</v>
      </c>
      <c r="AA3722">
        <v>0.62774719104405419</v>
      </c>
      <c r="AB3722" t="str">
        <f>HYPERLINK("Melting_Curves/meltCurve_Q86Y37_CACUL1.pdf", "Melting_Curves/meltCurve_Q86Y37_CACUL1.pdf")</f>
        <v>Melting_Curves/meltCurve_Q86Y37_CACUL1.pdf</v>
      </c>
    </row>
    <row r="3723" spans="1:28" x14ac:dyDescent="0.25">
      <c r="A3723" t="s">
        <v>3727</v>
      </c>
      <c r="B3723">
        <v>0.99299721793515405</v>
      </c>
      <c r="C3723">
        <v>0.98246271787916395</v>
      </c>
      <c r="D3723">
        <v>1.02076114098459</v>
      </c>
      <c r="E3723">
        <v>0.87334294941350799</v>
      </c>
      <c r="F3723">
        <v>0.427012641203943</v>
      </c>
      <c r="G3723">
        <v>0.241430111362228</v>
      </c>
      <c r="H3723">
        <v>0.14822144726560599</v>
      </c>
      <c r="I3723">
        <v>0.120183443585179</v>
      </c>
      <c r="J3723">
        <v>9.7537026537335203E-2</v>
      </c>
      <c r="K3723">
        <v>7.6954768213688601E-2</v>
      </c>
      <c r="L3723">
        <v>1341.5850751852199</v>
      </c>
      <c r="M3723">
        <v>27.1637700785239</v>
      </c>
      <c r="N3723">
        <v>49.844971569511898</v>
      </c>
      <c r="O3723">
        <v>49.123422989822501</v>
      </c>
      <c r="P3723">
        <v>-0.123028620690316</v>
      </c>
      <c r="Q3723">
        <v>0.11006042025950399</v>
      </c>
      <c r="R3723">
        <v>0.99569859479866596</v>
      </c>
      <c r="S3723" t="s">
        <v>9274</v>
      </c>
      <c r="T3723" t="s">
        <v>11100</v>
      </c>
      <c r="U3723" t="s">
        <v>11100</v>
      </c>
      <c r="V3723" t="s">
        <v>11100</v>
      </c>
      <c r="W3723" t="s">
        <v>14773</v>
      </c>
      <c r="X3723">
        <v>25</v>
      </c>
      <c r="Y3723" t="s">
        <v>20211</v>
      </c>
      <c r="Z3723" t="s">
        <v>25728</v>
      </c>
      <c r="AA3723">
        <v>0.48414432228922277</v>
      </c>
      <c r="AB3723" t="str">
        <f>HYPERLINK("Melting_Curves/meltCurve_Q86Y56_HEATR2.pdf", "Melting_Curves/meltCurve_Q86Y56_HEATR2.pdf")</f>
        <v>Melting_Curves/meltCurve_Q86Y56_HEATR2.pdf</v>
      </c>
    </row>
    <row r="3724" spans="1:28" x14ac:dyDescent="0.25">
      <c r="A3724" t="s">
        <v>3728</v>
      </c>
      <c r="B3724">
        <v>0.99299721793515405</v>
      </c>
      <c r="C3724">
        <v>0.91278562921814499</v>
      </c>
      <c r="D3724">
        <v>0.65052756050475102</v>
      </c>
      <c r="E3724">
        <v>0.73597771809036205</v>
      </c>
      <c r="F3724">
        <v>0.66533075800331598</v>
      </c>
      <c r="G3724">
        <v>0.38394740473897798</v>
      </c>
      <c r="H3724">
        <v>4.1512179243577099E-2</v>
      </c>
      <c r="I3724">
        <v>0</v>
      </c>
      <c r="J3724">
        <v>7.8692858579805902E-2</v>
      </c>
      <c r="K3724">
        <v>0</v>
      </c>
      <c r="L3724">
        <v>591.85775914810495</v>
      </c>
      <c r="M3724">
        <v>11.7859557839011</v>
      </c>
      <c r="N3724">
        <v>50.2172105278811</v>
      </c>
      <c r="O3724">
        <v>48.836933645701997</v>
      </c>
      <c r="P3724">
        <v>-6.03488037496741E-2</v>
      </c>
      <c r="Q3724">
        <v>0</v>
      </c>
      <c r="R3724">
        <v>0.91234284363528095</v>
      </c>
      <c r="S3724" t="s">
        <v>9275</v>
      </c>
      <c r="T3724" t="s">
        <v>11100</v>
      </c>
      <c r="U3724" t="s">
        <v>11100</v>
      </c>
      <c r="V3724" t="s">
        <v>11100</v>
      </c>
      <c r="W3724" t="s">
        <v>14774</v>
      </c>
      <c r="X3724">
        <v>2</v>
      </c>
      <c r="Y3724" t="s">
        <v>20212</v>
      </c>
      <c r="Z3724" t="s">
        <v>25729</v>
      </c>
      <c r="AA3724">
        <v>0.46872540534015078</v>
      </c>
      <c r="AB3724" t="str">
        <f>HYPERLINK("Melting_Curves/meltCurve_Q86Y79_PTRH1.pdf", "Melting_Curves/meltCurve_Q86Y79_PTRH1.pdf")</f>
        <v>Melting_Curves/meltCurve_Q86Y79_PTRH1.pdf</v>
      </c>
    </row>
    <row r="3725" spans="1:28" x14ac:dyDescent="0.25">
      <c r="A3725" t="s">
        <v>3729</v>
      </c>
      <c r="B3725">
        <v>0.99299721793515405</v>
      </c>
      <c r="C3725">
        <v>0.97967944606198498</v>
      </c>
      <c r="D3725">
        <v>0.91502661331445601</v>
      </c>
      <c r="E3725">
        <v>0.81495363031439405</v>
      </c>
      <c r="F3725">
        <v>0.75486124982021596</v>
      </c>
      <c r="G3725">
        <v>0.53323096394259395</v>
      </c>
      <c r="H3725">
        <v>0.53184682531486804</v>
      </c>
      <c r="I3725">
        <v>0.56465969469975796</v>
      </c>
      <c r="J3725">
        <v>0.60517357755451395</v>
      </c>
      <c r="K3725">
        <v>0.898451181532955</v>
      </c>
      <c r="L3725">
        <v>1020.42172064974</v>
      </c>
      <c r="M3725">
        <v>22.0210290238082</v>
      </c>
      <c r="O3725">
        <v>45.961455693852599</v>
      </c>
      <c r="P3725">
        <v>-4.3843798388055001E-2</v>
      </c>
      <c r="Q3725">
        <v>0.63397171385674</v>
      </c>
      <c r="R3725">
        <v>0.66257118272343296</v>
      </c>
      <c r="S3725" t="s">
        <v>9276</v>
      </c>
      <c r="T3725" t="s">
        <v>11100</v>
      </c>
      <c r="U3725" t="s">
        <v>11100</v>
      </c>
      <c r="V3725" t="s">
        <v>11100</v>
      </c>
      <c r="W3725" t="s">
        <v>14775</v>
      </c>
      <c r="X3725">
        <v>6</v>
      </c>
      <c r="Y3725" t="s">
        <v>20213</v>
      </c>
      <c r="Z3725" t="s">
        <v>25730</v>
      </c>
      <c r="AA3725">
        <v>0.75185182923969918</v>
      </c>
      <c r="AB3725" t="str">
        <f>HYPERLINK("Melting_Curves/meltCurve_Q86Y82_STX12.pdf", "Melting_Curves/meltCurve_Q86Y82_STX12.pdf")</f>
        <v>Melting_Curves/meltCurve_Q86Y82_STX12.pdf</v>
      </c>
    </row>
    <row r="3726" spans="1:28" x14ac:dyDescent="0.25">
      <c r="A3726" t="s">
        <v>3730</v>
      </c>
      <c r="B3726">
        <v>0.99299721793515405</v>
      </c>
      <c r="C3726">
        <v>1.1058473261605</v>
      </c>
      <c r="D3726">
        <v>1.2463694835361001</v>
      </c>
      <c r="E3726">
        <v>1.0335653756744601</v>
      </c>
      <c r="F3726">
        <v>0.87669105699100702</v>
      </c>
      <c r="G3726">
        <v>0.83222954729915899</v>
      </c>
      <c r="H3726">
        <v>0.67057043698756302</v>
      </c>
      <c r="I3726">
        <v>0.60001548532140003</v>
      </c>
      <c r="J3726">
        <v>0.42127349344076997</v>
      </c>
      <c r="K3726">
        <v>0.256867245752534</v>
      </c>
      <c r="L3726">
        <v>713.27897103069995</v>
      </c>
      <c r="M3726">
        <v>11.5235207885175</v>
      </c>
      <c r="N3726">
        <v>61.897680742715998</v>
      </c>
      <c r="O3726">
        <v>60.121660192815703</v>
      </c>
      <c r="P3726">
        <v>-4.7931020938765299E-2</v>
      </c>
      <c r="Q3726">
        <v>0</v>
      </c>
      <c r="R3726">
        <v>0.89945094532022296</v>
      </c>
      <c r="S3726" t="s">
        <v>9277</v>
      </c>
      <c r="T3726" t="s">
        <v>11100</v>
      </c>
      <c r="U3726" t="s">
        <v>11100</v>
      </c>
      <c r="V3726" t="s">
        <v>11100</v>
      </c>
      <c r="W3726" t="s">
        <v>14776</v>
      </c>
      <c r="X3726">
        <v>2</v>
      </c>
      <c r="Y3726" t="s">
        <v>20214</v>
      </c>
      <c r="Z3726" t="s">
        <v>25731</v>
      </c>
      <c r="AA3726">
        <v>0.79246230121158956</v>
      </c>
      <c r="AB3726" t="str">
        <f>HYPERLINK("Melting_Curves/meltCurve_Q86YC8_STRADA.pdf", "Melting_Curves/meltCurve_Q86YC8_STRADA.pdf")</f>
        <v>Melting_Curves/meltCurve_Q86YC8_STRADA.pdf</v>
      </c>
    </row>
    <row r="3727" spans="1:28" x14ac:dyDescent="0.25">
      <c r="A3727" t="s">
        <v>3731</v>
      </c>
      <c r="B3727">
        <v>0.99299721793515405</v>
      </c>
      <c r="C3727">
        <v>0.97600029470269101</v>
      </c>
      <c r="D3727">
        <v>0.93388695510032504</v>
      </c>
      <c r="E3727">
        <v>0.81113175613254795</v>
      </c>
      <c r="F3727">
        <v>0.68904901925309603</v>
      </c>
      <c r="G3727">
        <v>0.47164799549769099</v>
      </c>
      <c r="H3727">
        <v>0.399723645137742</v>
      </c>
      <c r="I3727">
        <v>0.38370738324570403</v>
      </c>
      <c r="J3727">
        <v>0.30325940332624202</v>
      </c>
      <c r="K3727">
        <v>0.21076461607163499</v>
      </c>
      <c r="L3727">
        <v>570.223404211505</v>
      </c>
      <c r="M3727">
        <v>11.0148837227617</v>
      </c>
      <c r="N3727">
        <v>54.263949045041898</v>
      </c>
      <c r="O3727">
        <v>50.149933735247302</v>
      </c>
      <c r="P3727">
        <v>-4.4013080122561998E-2</v>
      </c>
      <c r="Q3727">
        <v>0.19871602318707801</v>
      </c>
      <c r="R3727">
        <v>0.98904966792472104</v>
      </c>
      <c r="S3727" t="s">
        <v>9278</v>
      </c>
      <c r="T3727" t="s">
        <v>11100</v>
      </c>
      <c r="U3727" t="s">
        <v>11100</v>
      </c>
      <c r="V3727" t="s">
        <v>11100</v>
      </c>
      <c r="W3727" t="s">
        <v>14777</v>
      </c>
      <c r="X3727">
        <v>7</v>
      </c>
      <c r="Y3727" t="s">
        <v>20215</v>
      </c>
      <c r="Z3727" t="s">
        <v>25732</v>
      </c>
      <c r="AA3727">
        <v>0.61398166372810858</v>
      </c>
      <c r="AB3727" t="str">
        <f>HYPERLINK("Melting_Curves/meltCurve_Q86YH6_PDSS2.pdf", "Melting_Curves/meltCurve_Q86YH6_PDSS2.pdf")</f>
        <v>Melting_Curves/meltCurve_Q86YH6_PDSS2.pdf</v>
      </c>
    </row>
    <row r="3728" spans="1:28" x14ac:dyDescent="0.25">
      <c r="A3728" t="s">
        <v>3732</v>
      </c>
      <c r="B3728">
        <v>0.99299721793515405</v>
      </c>
      <c r="C3728">
        <v>0.87885511697217999</v>
      </c>
      <c r="D3728">
        <v>0.876280174707878</v>
      </c>
      <c r="E3728">
        <v>0.70043389530088096</v>
      </c>
      <c r="F3728">
        <v>0.60519530543248301</v>
      </c>
      <c r="G3728">
        <v>0.44136195236872999</v>
      </c>
      <c r="H3728">
        <v>0.45069280408261703</v>
      </c>
      <c r="I3728">
        <v>0.47620357584846101</v>
      </c>
      <c r="J3728">
        <v>0.52359900962332395</v>
      </c>
      <c r="K3728">
        <v>0.36843277097577698</v>
      </c>
      <c r="L3728">
        <v>604.15846276770901</v>
      </c>
      <c r="M3728">
        <v>13.048085873946</v>
      </c>
      <c r="N3728">
        <v>54.104241389446997</v>
      </c>
      <c r="O3728">
        <v>45.255370006438298</v>
      </c>
      <c r="P3728">
        <v>-4.1538398974603097E-2</v>
      </c>
      <c r="Q3728">
        <v>0.42382098951074099</v>
      </c>
      <c r="R3728">
        <v>0.94945228611743404</v>
      </c>
      <c r="S3728" t="s">
        <v>9279</v>
      </c>
      <c r="T3728" t="s">
        <v>11100</v>
      </c>
      <c r="U3728" t="s">
        <v>11100</v>
      </c>
      <c r="V3728" t="s">
        <v>11100</v>
      </c>
      <c r="W3728" t="s">
        <v>14778</v>
      </c>
      <c r="X3728">
        <v>5</v>
      </c>
      <c r="Y3728" t="s">
        <v>20216</v>
      </c>
      <c r="Z3728" t="s">
        <v>25733</v>
      </c>
      <c r="AA3728">
        <v>0.61945131954844534</v>
      </c>
      <c r="AB3728" t="str">
        <f>HYPERLINK("Melting_Curves/meltCurve_Q86YP4_2_GATAD2A.pdf", "Melting_Curves/meltCurve_Q86YP4_2_GATAD2A.pdf")</f>
        <v>Melting_Curves/meltCurve_Q86YP4_2_GATAD2A.pdf</v>
      </c>
    </row>
    <row r="3729" spans="1:28" x14ac:dyDescent="0.25">
      <c r="A3729" t="s">
        <v>3733</v>
      </c>
      <c r="B3729">
        <v>0.99299721793515405</v>
      </c>
      <c r="C3729">
        <v>0.92882570097665995</v>
      </c>
      <c r="D3729">
        <v>0.87771791759932605</v>
      </c>
      <c r="E3729">
        <v>0.79064747488020004</v>
      </c>
      <c r="F3729">
        <v>0.31187291976091502</v>
      </c>
      <c r="G3729">
        <v>0.229294558280354</v>
      </c>
      <c r="H3729">
        <v>0.13985415887771599</v>
      </c>
      <c r="I3729">
        <v>0.13980904376615599</v>
      </c>
      <c r="J3729">
        <v>0.117952911619694</v>
      </c>
      <c r="K3729">
        <v>8.8981360767367207E-2</v>
      </c>
      <c r="L3729">
        <v>1129.1190237345299</v>
      </c>
      <c r="M3729">
        <v>23.4075213838527</v>
      </c>
      <c r="N3729">
        <v>48.790083416926002</v>
      </c>
      <c r="O3729">
        <v>47.889515964902998</v>
      </c>
      <c r="P3729">
        <v>-0.107967865908094</v>
      </c>
      <c r="Q3729">
        <v>0.11644834568809</v>
      </c>
      <c r="R3729">
        <v>0.98534638034391298</v>
      </c>
      <c r="S3729" t="s">
        <v>9280</v>
      </c>
      <c r="T3729" t="s">
        <v>11100</v>
      </c>
      <c r="U3729" t="s">
        <v>11100</v>
      </c>
      <c r="V3729" t="s">
        <v>11100</v>
      </c>
      <c r="W3729" t="s">
        <v>14779</v>
      </c>
      <c r="X3729">
        <v>22</v>
      </c>
      <c r="Y3729" t="s">
        <v>20217</v>
      </c>
      <c r="Z3729" t="s">
        <v>25734</v>
      </c>
      <c r="AA3729">
        <v>0.45600604750261647</v>
      </c>
      <c r="AB3729" t="str">
        <f>HYPERLINK("Melting_Curves/meltCurve_Q86YR5_4_GPSM1.pdf", "Melting_Curves/meltCurve_Q86YR5_4_GPSM1.pdf")</f>
        <v>Melting_Curves/meltCurve_Q86YR5_4_GPSM1.pdf</v>
      </c>
    </row>
    <row r="3730" spans="1:28" x14ac:dyDescent="0.25">
      <c r="A3730" t="s">
        <v>3734</v>
      </c>
      <c r="B3730">
        <v>0.99299721793515405</v>
      </c>
      <c r="C3730">
        <v>1.25276960244988</v>
      </c>
      <c r="D3730">
        <v>1.3242649362414201</v>
      </c>
      <c r="E3730">
        <v>1.0970558740277001</v>
      </c>
      <c r="F3730">
        <v>0.87422940506909097</v>
      </c>
      <c r="G3730">
        <v>0.43242460734335503</v>
      </c>
      <c r="H3730">
        <v>0.29540887411250599</v>
      </c>
      <c r="I3730">
        <v>0.18827347595629201</v>
      </c>
      <c r="J3730">
        <v>0.31051307579617199</v>
      </c>
      <c r="K3730">
        <v>0.18670530113183101</v>
      </c>
      <c r="L3730">
        <v>2072.0688578442901</v>
      </c>
      <c r="M3730">
        <v>39.566061104320802</v>
      </c>
      <c r="N3730">
        <v>53.2380450231597</v>
      </c>
      <c r="O3730">
        <v>52.236586413095502</v>
      </c>
      <c r="P3730">
        <v>-0.14434370754294101</v>
      </c>
      <c r="Q3730">
        <v>0.23772957663458399</v>
      </c>
      <c r="R3730">
        <v>0.89816219635760397</v>
      </c>
      <c r="S3730" t="s">
        <v>9281</v>
      </c>
      <c r="T3730" t="s">
        <v>11100</v>
      </c>
      <c r="U3730" t="s">
        <v>11100</v>
      </c>
      <c r="V3730" t="s">
        <v>11100</v>
      </c>
      <c r="W3730" t="s">
        <v>14780</v>
      </c>
      <c r="X3730">
        <v>3</v>
      </c>
      <c r="Y3730" t="s">
        <v>20218</v>
      </c>
      <c r="Z3730" t="s">
        <v>25735</v>
      </c>
      <c r="AA3730">
        <v>0.63107359530835538</v>
      </c>
      <c r="AB3730" t="str">
        <f>HYPERLINK("Melting_Curves/meltCurve_Q86YS3_2_RAB11FIP4.pdf", "Melting_Curves/meltCurve_Q86YS3_2_RAB11FIP4.pdf")</f>
        <v>Melting_Curves/meltCurve_Q86YS3_2_RAB11FIP4.pdf</v>
      </c>
    </row>
    <row r="3731" spans="1:28" x14ac:dyDescent="0.25">
      <c r="A3731" t="s">
        <v>3735</v>
      </c>
      <c r="B3731">
        <v>0.99299721793515405</v>
      </c>
      <c r="C3731">
        <v>0.92375974699294305</v>
      </c>
      <c r="D3731">
        <v>0.86601049657224805</v>
      </c>
      <c r="E3731">
        <v>0.71657403791758001</v>
      </c>
      <c r="F3731">
        <v>0.41958687464899302</v>
      </c>
      <c r="G3731">
        <v>0.30112231687494101</v>
      </c>
      <c r="H3731">
        <v>0.273961023594681</v>
      </c>
      <c r="I3731">
        <v>0.18361571989910799</v>
      </c>
      <c r="J3731">
        <v>8.7991288421834096E-2</v>
      </c>
      <c r="K3731">
        <v>8.82581879640362E-2</v>
      </c>
      <c r="L3731">
        <v>582.03243153144501</v>
      </c>
      <c r="M3731">
        <v>11.8431410792056</v>
      </c>
      <c r="N3731">
        <v>49.764774169088298</v>
      </c>
      <c r="O3731">
        <v>47.806733623678397</v>
      </c>
      <c r="P3731">
        <v>-5.7701199394981098E-2</v>
      </c>
      <c r="Q3731">
        <v>6.8555789894816699E-2</v>
      </c>
      <c r="R3731">
        <v>0.98962206131680497</v>
      </c>
      <c r="S3731" t="s">
        <v>9282</v>
      </c>
      <c r="T3731" t="s">
        <v>11100</v>
      </c>
      <c r="U3731" t="s">
        <v>11100</v>
      </c>
      <c r="V3731" t="s">
        <v>11100</v>
      </c>
      <c r="W3731" t="s">
        <v>14781</v>
      </c>
      <c r="X3731">
        <v>2</v>
      </c>
      <c r="Y3731" t="s">
        <v>20219</v>
      </c>
      <c r="Z3731" t="s">
        <v>25736</v>
      </c>
      <c r="AA3731">
        <v>0.47356954813455432</v>
      </c>
      <c r="AB3731" t="str">
        <f>HYPERLINK("Melting_Curves/meltCurve_Q86YV9_HPS6.pdf", "Melting_Curves/meltCurve_Q86YV9_HPS6.pdf")</f>
        <v>Melting_Curves/meltCurve_Q86YV9_HPS6.pdf</v>
      </c>
    </row>
    <row r="3732" spans="1:28" x14ac:dyDescent="0.25">
      <c r="A3732" t="s">
        <v>3736</v>
      </c>
      <c r="B3732">
        <v>0.99299721793515405</v>
      </c>
      <c r="C3732">
        <v>0.87272119837032003</v>
      </c>
      <c r="D3732">
        <v>0.90381846311778502</v>
      </c>
      <c r="E3732">
        <v>0.69248977063662398</v>
      </c>
      <c r="F3732">
        <v>0.43537893021517998</v>
      </c>
      <c r="G3732">
        <v>0.28109762509189701</v>
      </c>
      <c r="H3732">
        <v>0.18478643720381099</v>
      </c>
      <c r="I3732">
        <v>0.129595182068379</v>
      </c>
      <c r="J3732">
        <v>0.12940007281654101</v>
      </c>
      <c r="K3732">
        <v>0.125998483351838</v>
      </c>
      <c r="L3732">
        <v>677.70135683599904</v>
      </c>
      <c r="M3732">
        <v>13.9473714472879</v>
      </c>
      <c r="N3732">
        <v>49.324223853531898</v>
      </c>
      <c r="O3732">
        <v>47.623713566157697</v>
      </c>
      <c r="P3732">
        <v>-6.6361260787514698E-2</v>
      </c>
      <c r="Q3732">
        <v>9.3751728241650498E-2</v>
      </c>
      <c r="R3732">
        <v>0.99201528956596396</v>
      </c>
      <c r="S3732" t="s">
        <v>9283</v>
      </c>
      <c r="T3732" t="s">
        <v>11100</v>
      </c>
      <c r="U3732" t="s">
        <v>11100</v>
      </c>
      <c r="V3732" t="s">
        <v>11100</v>
      </c>
      <c r="W3732" t="s">
        <v>14782</v>
      </c>
      <c r="X3732">
        <v>14</v>
      </c>
      <c r="Y3732" t="s">
        <v>20220</v>
      </c>
      <c r="Z3732" t="s">
        <v>25737</v>
      </c>
      <c r="AA3732">
        <v>0.46595539295736749</v>
      </c>
      <c r="AB3732" t="str">
        <f>HYPERLINK("Melting_Curves/meltCurve_Q8IU81_IRF2BP1.pdf", "Melting_Curves/meltCurve_Q8IU81_IRF2BP1.pdf")</f>
        <v>Melting_Curves/meltCurve_Q8IU81_IRF2BP1.pdf</v>
      </c>
    </row>
    <row r="3733" spans="1:28" x14ac:dyDescent="0.25">
      <c r="A3733" t="s">
        <v>3737</v>
      </c>
      <c r="B3733">
        <v>0.99299721793515405</v>
      </c>
      <c r="C3733">
        <v>1.01718098696606</v>
      </c>
      <c r="D3733">
        <v>1.0405002340584399</v>
      </c>
      <c r="E3733">
        <v>0.89001597236283103</v>
      </c>
      <c r="F3733">
        <v>0.69459832316790104</v>
      </c>
      <c r="G3733">
        <v>0.68247230252559199</v>
      </c>
      <c r="H3733">
        <v>0.28445369589272101</v>
      </c>
      <c r="I3733">
        <v>0.19557735559113801</v>
      </c>
      <c r="J3733">
        <v>0.15718091349621399</v>
      </c>
      <c r="K3733">
        <v>0.115136515535401</v>
      </c>
      <c r="L3733">
        <v>754.87610613635798</v>
      </c>
      <c r="M3733">
        <v>13.8571094020971</v>
      </c>
      <c r="N3733">
        <v>54.766098793549901</v>
      </c>
      <c r="O3733">
        <v>53.378818279742603</v>
      </c>
      <c r="P3733">
        <v>-6.2609823530490993E-2</v>
      </c>
      <c r="Q3733">
        <v>3.5418418378595502E-2</v>
      </c>
      <c r="R3733">
        <v>0.975563261221295</v>
      </c>
      <c r="S3733" t="s">
        <v>9284</v>
      </c>
      <c r="T3733" t="s">
        <v>11100</v>
      </c>
      <c r="U3733" t="s">
        <v>11100</v>
      </c>
      <c r="V3733" t="s">
        <v>11100</v>
      </c>
      <c r="W3733" t="s">
        <v>14783</v>
      </c>
      <c r="X3733">
        <v>1</v>
      </c>
      <c r="Y3733" t="s">
        <v>20221</v>
      </c>
      <c r="Z3733" t="s">
        <v>25738</v>
      </c>
      <c r="AA3733">
        <v>0.61259463319348728</v>
      </c>
      <c r="AB3733" t="str">
        <f>HYPERLINK("Melting_Curves/meltCurve_Q8IUC8_2_GALNT13.pdf", "Melting_Curves/meltCurve_Q8IUC8_2_GALNT13.pdf")</f>
        <v>Melting_Curves/meltCurve_Q8IUC8_2_GALNT13.pdf</v>
      </c>
    </row>
    <row r="3734" spans="1:28" x14ac:dyDescent="0.25">
      <c r="A3734" t="s">
        <v>3738</v>
      </c>
      <c r="B3734">
        <v>0.99299721793515405</v>
      </c>
      <c r="C3734">
        <v>0.87059081136699901</v>
      </c>
      <c r="D3734">
        <v>0.80823393592841297</v>
      </c>
      <c r="E3734">
        <v>0.72421392402977403</v>
      </c>
      <c r="F3734">
        <v>0.53960069038194902</v>
      </c>
      <c r="G3734">
        <v>0.37707378837115701</v>
      </c>
      <c r="H3734">
        <v>0.246188749838432</v>
      </c>
      <c r="I3734">
        <v>0.22773370711378599</v>
      </c>
      <c r="J3734">
        <v>0.24163741218571899</v>
      </c>
      <c r="K3734">
        <v>0.25888249746403502</v>
      </c>
      <c r="L3734">
        <v>522.68000234935801</v>
      </c>
      <c r="M3734">
        <v>10.7629334309242</v>
      </c>
      <c r="N3734">
        <v>50.536246616043101</v>
      </c>
      <c r="O3734">
        <v>46.9766114949513</v>
      </c>
      <c r="P3734">
        <v>-4.7468900378060397E-2</v>
      </c>
      <c r="Q3734">
        <v>0.171560339220896</v>
      </c>
      <c r="R3734">
        <v>0.98287822361173105</v>
      </c>
      <c r="S3734" t="s">
        <v>9285</v>
      </c>
      <c r="T3734" t="s">
        <v>11100</v>
      </c>
      <c r="U3734" t="s">
        <v>11100</v>
      </c>
      <c r="V3734" t="s">
        <v>11100</v>
      </c>
      <c r="W3734" t="s">
        <v>14784</v>
      </c>
      <c r="X3734">
        <v>1</v>
      </c>
      <c r="Y3734" t="s">
        <v>20222</v>
      </c>
      <c r="Z3734" t="s">
        <v>25739</v>
      </c>
      <c r="AA3734">
        <v>0.5199873809461828</v>
      </c>
      <c r="AB3734" t="str">
        <f>HYPERLINK("Melting_Curves/meltCurve_Q8IUH4_ZDHHC13.pdf", "Melting_Curves/meltCurve_Q8IUH4_ZDHHC13.pdf")</f>
        <v>Melting_Curves/meltCurve_Q8IUH4_ZDHHC13.pdf</v>
      </c>
    </row>
    <row r="3735" spans="1:28" x14ac:dyDescent="0.25">
      <c r="A3735" t="s">
        <v>3739</v>
      </c>
      <c r="B3735">
        <v>0.99299721793515405</v>
      </c>
      <c r="C3735">
        <v>1.0384022750272</v>
      </c>
      <c r="D3735">
        <v>0.96098276053336096</v>
      </c>
      <c r="E3735">
        <v>0.98556962175659701</v>
      </c>
      <c r="F3735">
        <v>0.68408217365898005</v>
      </c>
      <c r="G3735">
        <v>0.29990959041284798</v>
      </c>
      <c r="H3735">
        <v>0.185471858102259</v>
      </c>
      <c r="I3735">
        <v>0.182215121330706</v>
      </c>
      <c r="J3735">
        <v>0.11848313034859</v>
      </c>
      <c r="K3735">
        <v>8.1201631398746393E-2</v>
      </c>
      <c r="L3735">
        <v>1476.9056316728199</v>
      </c>
      <c r="M3735">
        <v>28.814839199447199</v>
      </c>
      <c r="N3735">
        <v>51.784217874118902</v>
      </c>
      <c r="O3735">
        <v>51.010078162636098</v>
      </c>
      <c r="P3735">
        <v>-0.123211931162946</v>
      </c>
      <c r="Q3735">
        <v>0.12753260091420099</v>
      </c>
      <c r="R3735">
        <v>0.99430771037282295</v>
      </c>
      <c r="S3735" t="s">
        <v>9286</v>
      </c>
      <c r="T3735" t="s">
        <v>11100</v>
      </c>
      <c r="U3735" t="s">
        <v>11100</v>
      </c>
      <c r="V3735" t="s">
        <v>11100</v>
      </c>
      <c r="W3735" t="s">
        <v>14785</v>
      </c>
      <c r="X3735">
        <v>17</v>
      </c>
      <c r="Y3735" t="s">
        <v>20223</v>
      </c>
      <c r="Z3735" t="s">
        <v>25740</v>
      </c>
      <c r="AA3735">
        <v>0.54799799455236353</v>
      </c>
      <c r="AB3735" t="str">
        <f>HYPERLINK("Melting_Curves/meltCurve_Q8IUI8_CRLF3.pdf", "Melting_Curves/meltCurve_Q8IUI8_CRLF3.pdf")</f>
        <v>Melting_Curves/meltCurve_Q8IUI8_CRLF3.pdf</v>
      </c>
    </row>
    <row r="3736" spans="1:28" x14ac:dyDescent="0.25">
      <c r="A3736" t="s">
        <v>3740</v>
      </c>
      <c r="B3736">
        <v>0.99299721793515405</v>
      </c>
      <c r="C3736">
        <v>0.97874857422864803</v>
      </c>
      <c r="D3736">
        <v>0.85996578966704496</v>
      </c>
      <c r="E3736">
        <v>0.84269166741328705</v>
      </c>
      <c r="F3736">
        <v>0.65905264444129297</v>
      </c>
      <c r="G3736">
        <v>0.32835339783491002</v>
      </c>
      <c r="H3736">
        <v>0.163653971092451</v>
      </c>
      <c r="I3736">
        <v>0.127833344759232</v>
      </c>
      <c r="J3736">
        <v>0.106798146360551</v>
      </c>
      <c r="K3736">
        <v>0.107929385114612</v>
      </c>
      <c r="L3736">
        <v>844.08709107611298</v>
      </c>
      <c r="M3736">
        <v>16.507202404668998</v>
      </c>
      <c r="N3736">
        <v>51.586115334065099</v>
      </c>
      <c r="O3736">
        <v>50.401700265546701</v>
      </c>
      <c r="P3736">
        <v>-7.6374713602363795E-2</v>
      </c>
      <c r="Q3736">
        <v>6.7280202821673393E-2</v>
      </c>
      <c r="R3736">
        <v>0.98820066719102395</v>
      </c>
      <c r="S3736" t="s">
        <v>9287</v>
      </c>
      <c r="T3736" t="s">
        <v>11100</v>
      </c>
      <c r="U3736" t="s">
        <v>11100</v>
      </c>
      <c r="V3736" t="s">
        <v>11100</v>
      </c>
      <c r="W3736" t="s">
        <v>14786</v>
      </c>
      <c r="X3736">
        <v>3</v>
      </c>
      <c r="Y3736" t="s">
        <v>20224</v>
      </c>
      <c r="Z3736" t="s">
        <v>25741</v>
      </c>
      <c r="AA3736">
        <v>0.52312362240309129</v>
      </c>
      <c r="AB3736" t="str">
        <f>HYPERLINK("Melting_Curves/meltCurve_Q8IUR0_TRAPPC5.pdf", "Melting_Curves/meltCurve_Q8IUR0_TRAPPC5.pdf")</f>
        <v>Melting_Curves/meltCurve_Q8IUR0_TRAPPC5.pdf</v>
      </c>
    </row>
    <row r="3737" spans="1:28" x14ac:dyDescent="0.25">
      <c r="A3737" t="s">
        <v>3741</v>
      </c>
      <c r="B3737">
        <v>0.99299721793515405</v>
      </c>
      <c r="C3737">
        <v>0.86944051116159504</v>
      </c>
      <c r="D3737">
        <v>0.91045197326367899</v>
      </c>
      <c r="E3737">
        <v>1.05273334680248</v>
      </c>
      <c r="F3737">
        <v>0.48210366009400502</v>
      </c>
      <c r="G3737">
        <v>0.13962283649330001</v>
      </c>
      <c r="H3737">
        <v>0.114802870208445</v>
      </c>
      <c r="I3737">
        <v>0.26475831742227002</v>
      </c>
      <c r="J3737">
        <v>0.11622459915099401</v>
      </c>
      <c r="K3737">
        <v>0.14603234671486001</v>
      </c>
      <c r="L3737">
        <v>12526.735114921499</v>
      </c>
      <c r="M3737">
        <v>250</v>
      </c>
      <c r="N3737">
        <v>50.182174222939999</v>
      </c>
      <c r="O3737">
        <v>50.103735018502697</v>
      </c>
      <c r="P3737">
        <v>-1.0524562570601901</v>
      </c>
      <c r="Q3737">
        <v>0.156288188255161</v>
      </c>
      <c r="R3737">
        <v>0.97027885904378197</v>
      </c>
      <c r="S3737" t="s">
        <v>9288</v>
      </c>
      <c r="T3737" t="s">
        <v>11100</v>
      </c>
      <c r="U3737" t="s">
        <v>11100</v>
      </c>
      <c r="V3737" t="s">
        <v>11100</v>
      </c>
      <c r="W3737" t="s">
        <v>14787</v>
      </c>
      <c r="X3737">
        <v>1</v>
      </c>
      <c r="Y3737" t="s">
        <v>20225</v>
      </c>
      <c r="Z3737" t="s">
        <v>25742</v>
      </c>
      <c r="AA3737">
        <v>0.52497839771272503</v>
      </c>
      <c r="AB3737" t="str">
        <f>HYPERLINK("Melting_Curves/meltCurve_Q8IUW3_SPATA2L.pdf", "Melting_Curves/meltCurve_Q8IUW3_SPATA2L.pdf")</f>
        <v>Melting_Curves/meltCurve_Q8IUW3_SPATA2L.pdf</v>
      </c>
    </row>
    <row r="3738" spans="1:28" x14ac:dyDescent="0.25">
      <c r="A3738" t="s">
        <v>3742</v>
      </c>
      <c r="B3738">
        <v>0.99299721793515405</v>
      </c>
      <c r="C3738">
        <v>0.95512973112312605</v>
      </c>
      <c r="D3738">
        <v>1.02750817832797</v>
      </c>
      <c r="E3738">
        <v>0.83778033256817996</v>
      </c>
      <c r="F3738">
        <v>0.95540519317785499</v>
      </c>
      <c r="G3738">
        <v>0.568143433841797</v>
      </c>
      <c r="H3738">
        <v>0.47041965037619499</v>
      </c>
      <c r="I3738">
        <v>0.68673709346685996</v>
      </c>
      <c r="J3738">
        <v>0.65660990521210805</v>
      </c>
      <c r="K3738">
        <v>0.70135569465692604</v>
      </c>
      <c r="L3738">
        <v>12651.787878810001</v>
      </c>
      <c r="M3738">
        <v>250</v>
      </c>
      <c r="O3738">
        <v>50.603913045128898</v>
      </c>
      <c r="P3738">
        <v>-0.47346494896868602</v>
      </c>
      <c r="Q3738">
        <v>0.61665313512217401</v>
      </c>
      <c r="R3738">
        <v>0.80537551831268195</v>
      </c>
      <c r="S3738" t="s">
        <v>9289</v>
      </c>
      <c r="T3738" t="s">
        <v>11100</v>
      </c>
      <c r="U3738" t="s">
        <v>11100</v>
      </c>
      <c r="V3738" t="s">
        <v>11100</v>
      </c>
      <c r="W3738" t="s">
        <v>14788</v>
      </c>
      <c r="X3738">
        <v>3</v>
      </c>
      <c r="Y3738" t="s">
        <v>20226</v>
      </c>
      <c r="Z3738" t="s">
        <v>25743</v>
      </c>
      <c r="AA3738">
        <v>0.79056247775939548</v>
      </c>
      <c r="AB3738" t="str">
        <f>HYPERLINK("Melting_Curves/meltCurve_Q8IUW5_RELL1.pdf", "Melting_Curves/meltCurve_Q8IUW5_RELL1.pdf")</f>
        <v>Melting_Curves/meltCurve_Q8IUW5_RELL1.pdf</v>
      </c>
    </row>
    <row r="3739" spans="1:28" x14ac:dyDescent="0.25">
      <c r="A3739" t="s">
        <v>3743</v>
      </c>
      <c r="B3739">
        <v>0.99299721793515405</v>
      </c>
      <c r="C3739">
        <v>1.02638359218659</v>
      </c>
      <c r="D3739">
        <v>0.97225171574800495</v>
      </c>
      <c r="E3739">
        <v>0.84902502388057499</v>
      </c>
      <c r="F3739">
        <v>0.74217771636135299</v>
      </c>
      <c r="G3739">
        <v>0.59041175071832497</v>
      </c>
      <c r="H3739">
        <v>0.60709486579069305</v>
      </c>
      <c r="I3739">
        <v>0.70311294257613199</v>
      </c>
      <c r="J3739">
        <v>0.46107913942246098</v>
      </c>
      <c r="K3739">
        <v>0.25646802168034799</v>
      </c>
      <c r="L3739">
        <v>361.442888021908</v>
      </c>
      <c r="M3739">
        <v>5.8856113889106796</v>
      </c>
      <c r="N3739">
        <v>61.411273035069797</v>
      </c>
      <c r="O3739">
        <v>55.439756023529597</v>
      </c>
      <c r="P3739">
        <v>-2.66326167243667E-2</v>
      </c>
      <c r="Q3739">
        <v>0</v>
      </c>
      <c r="R3739">
        <v>0.86877744293609105</v>
      </c>
      <c r="S3739" t="s">
        <v>9290</v>
      </c>
      <c r="T3739" t="s">
        <v>11100</v>
      </c>
      <c r="U3739" t="s">
        <v>11100</v>
      </c>
      <c r="V3739" t="s">
        <v>11100</v>
      </c>
      <c r="W3739" t="s">
        <v>14789</v>
      </c>
      <c r="X3739">
        <v>7</v>
      </c>
      <c r="Y3739" t="s">
        <v>20227</v>
      </c>
      <c r="Z3739" t="s">
        <v>25744</v>
      </c>
      <c r="AA3739">
        <v>0.72068041338970956</v>
      </c>
      <c r="AB3739" t="str">
        <f>HYPERLINK("Melting_Curves/meltCurve_Q8IV08_PLD3.pdf", "Melting_Curves/meltCurve_Q8IV08_PLD3.pdf")</f>
        <v>Melting_Curves/meltCurve_Q8IV08_PLD3.pdf</v>
      </c>
    </row>
    <row r="3740" spans="1:28" x14ac:dyDescent="0.25">
      <c r="A3740" t="s">
        <v>3744</v>
      </c>
      <c r="B3740">
        <v>0.99299721793515405</v>
      </c>
      <c r="C3740">
        <v>1.2079606501589399</v>
      </c>
      <c r="D3740">
        <v>1.0422389885727099</v>
      </c>
      <c r="E3740">
        <v>1.0017626717666701</v>
      </c>
      <c r="F3740">
        <v>0.89627747098746602</v>
      </c>
      <c r="G3740">
        <v>0.44437460792240602</v>
      </c>
      <c r="H3740">
        <v>0.150901926287548</v>
      </c>
      <c r="I3740">
        <v>0.14530983640748299</v>
      </c>
      <c r="J3740">
        <v>0.135730172369605</v>
      </c>
      <c r="K3740">
        <v>8.01812801065033E-2</v>
      </c>
      <c r="L3740">
        <v>1951.21858089337</v>
      </c>
      <c r="M3740">
        <v>36.804490340131899</v>
      </c>
      <c r="N3740">
        <v>53.390411467612402</v>
      </c>
      <c r="O3740">
        <v>52.8599922719972</v>
      </c>
      <c r="P3740">
        <v>-0.15425757014547001</v>
      </c>
      <c r="Q3740">
        <v>0.11380055933002001</v>
      </c>
      <c r="R3740">
        <v>0.97480676235596297</v>
      </c>
      <c r="S3740" t="s">
        <v>9291</v>
      </c>
      <c r="T3740" t="s">
        <v>11100</v>
      </c>
      <c r="U3740" t="s">
        <v>11100</v>
      </c>
      <c r="V3740" t="s">
        <v>11100</v>
      </c>
      <c r="W3740" t="s">
        <v>14790</v>
      </c>
      <c r="X3740">
        <v>2</v>
      </c>
      <c r="Y3740" t="s">
        <v>20228</v>
      </c>
      <c r="Z3740" t="s">
        <v>25745</v>
      </c>
      <c r="AA3740">
        <v>0.59071582627020802</v>
      </c>
      <c r="AB3740" t="str">
        <f>HYPERLINK("Melting_Curves/meltCurve_Q8IV38_ANKMY2.pdf", "Melting_Curves/meltCurve_Q8IV38_ANKMY2.pdf")</f>
        <v>Melting_Curves/meltCurve_Q8IV38_ANKMY2.pdf</v>
      </c>
    </row>
    <row r="3741" spans="1:28" x14ac:dyDescent="0.25">
      <c r="A3741" t="s">
        <v>3745</v>
      </c>
      <c r="B3741">
        <v>0.99299721793515405</v>
      </c>
      <c r="C3741">
        <v>1.0157025216406199</v>
      </c>
      <c r="D3741">
        <v>0.81939680773197798</v>
      </c>
      <c r="E3741">
        <v>0.70300506278443997</v>
      </c>
      <c r="F3741">
        <v>0.79289560110613899</v>
      </c>
      <c r="G3741">
        <v>0.33852668722374102</v>
      </c>
      <c r="H3741">
        <v>0.21381612672317399</v>
      </c>
      <c r="I3741">
        <v>0.143176922802905</v>
      </c>
      <c r="J3741">
        <v>0.175858937231233</v>
      </c>
      <c r="K3741">
        <v>0.126677355027913</v>
      </c>
      <c r="L3741">
        <v>595.75547961490895</v>
      </c>
      <c r="M3741">
        <v>11.5331734836293</v>
      </c>
      <c r="N3741">
        <v>52.022537579740998</v>
      </c>
      <c r="O3741">
        <v>50.176043462300498</v>
      </c>
      <c r="P3741">
        <v>-5.5235584248530901E-2</v>
      </c>
      <c r="Q3741">
        <v>3.90418422043999E-2</v>
      </c>
      <c r="R3741">
        <v>0.94383564514455398</v>
      </c>
      <c r="S3741" t="s">
        <v>9292</v>
      </c>
      <c r="T3741" t="s">
        <v>11100</v>
      </c>
      <c r="U3741" t="s">
        <v>11100</v>
      </c>
      <c r="V3741" t="s">
        <v>11100</v>
      </c>
      <c r="W3741" t="s">
        <v>14791</v>
      </c>
      <c r="X3741">
        <v>1</v>
      </c>
      <c r="Y3741" t="s">
        <v>20229</v>
      </c>
      <c r="Z3741" t="s">
        <v>25746</v>
      </c>
      <c r="AA3741">
        <v>0.53290751744349973</v>
      </c>
      <c r="AB3741" t="str">
        <f>HYPERLINK("Melting_Curves/meltCurve_Q8IV63_3_VRK3.pdf", "Melting_Curves/meltCurve_Q8IV63_3_VRK3.pdf")</f>
        <v>Melting_Curves/meltCurve_Q8IV63_3_VRK3.pdf</v>
      </c>
    </row>
    <row r="3742" spans="1:28" x14ac:dyDescent="0.25">
      <c r="A3742" t="s">
        <v>3746</v>
      </c>
      <c r="B3742">
        <v>0.99299721793515405</v>
      </c>
      <c r="C3742">
        <v>0.88220899672032305</v>
      </c>
      <c r="D3742">
        <v>0.99169639521280095</v>
      </c>
      <c r="E3742">
        <v>0.82730733615158702</v>
      </c>
      <c r="F3742">
        <v>0.59036975461848895</v>
      </c>
      <c r="G3742">
        <v>0.28551747303352898</v>
      </c>
      <c r="H3742">
        <v>0.21657376661453601</v>
      </c>
      <c r="I3742">
        <v>0.191797465924814</v>
      </c>
      <c r="J3742">
        <v>0.226091912526104</v>
      </c>
      <c r="K3742">
        <v>0.199853623857222</v>
      </c>
      <c r="L3742">
        <v>1110.4138903154201</v>
      </c>
      <c r="M3742">
        <v>22.319290071419001</v>
      </c>
      <c r="N3742">
        <v>50.844148045833997</v>
      </c>
      <c r="O3742">
        <v>49.357087730333703</v>
      </c>
      <c r="P3742">
        <v>-9.1513207918472103E-2</v>
      </c>
      <c r="Q3742">
        <v>0.19052442760969199</v>
      </c>
      <c r="R3742">
        <v>0.98420248188282</v>
      </c>
      <c r="S3742" t="s">
        <v>9293</v>
      </c>
      <c r="T3742" t="s">
        <v>11100</v>
      </c>
      <c r="U3742" t="s">
        <v>11100</v>
      </c>
      <c r="V3742" t="s">
        <v>11100</v>
      </c>
      <c r="W3742" t="s">
        <v>14792</v>
      </c>
      <c r="X3742">
        <v>5</v>
      </c>
      <c r="Y3742" t="s">
        <v>20230</v>
      </c>
      <c r="Z3742" t="s">
        <v>25747</v>
      </c>
      <c r="AA3742">
        <v>0.5433297235473753</v>
      </c>
      <c r="AB3742" t="str">
        <f>HYPERLINK("Melting_Curves/meltCurve_Q8IVB5_LIX1L.pdf", "Melting_Curves/meltCurve_Q8IVB5_LIX1L.pdf")</f>
        <v>Melting_Curves/meltCurve_Q8IVB5_LIX1L.pdf</v>
      </c>
    </row>
    <row r="3743" spans="1:28" x14ac:dyDescent="0.25">
      <c r="A3743" t="s">
        <v>3747</v>
      </c>
      <c r="B3743">
        <v>0.99299721793515405</v>
      </c>
      <c r="C3743">
        <v>0.93055505860991194</v>
      </c>
      <c r="D3743">
        <v>0.946546838291073</v>
      </c>
      <c r="E3743">
        <v>0.829312901984952</v>
      </c>
      <c r="F3743">
        <v>0.69372118626947599</v>
      </c>
      <c r="G3743">
        <v>0.29575399565157201</v>
      </c>
      <c r="H3743">
        <v>0.19051134587226301</v>
      </c>
      <c r="I3743">
        <v>0.176617202947666</v>
      </c>
      <c r="J3743">
        <v>0.12810541039614001</v>
      </c>
      <c r="K3743">
        <v>0.119736512536035</v>
      </c>
      <c r="L3743">
        <v>986.27837599700501</v>
      </c>
      <c r="M3743">
        <v>19.340051083352101</v>
      </c>
      <c r="N3743">
        <v>51.669160030698897</v>
      </c>
      <c r="O3743">
        <v>50.460840283584197</v>
      </c>
      <c r="P3743">
        <v>-8.5159160491789093E-2</v>
      </c>
      <c r="Q3743">
        <v>0.11126541985845601</v>
      </c>
      <c r="R3743">
        <v>0.98739081235451098</v>
      </c>
      <c r="S3743" t="s">
        <v>9294</v>
      </c>
      <c r="T3743" t="s">
        <v>11100</v>
      </c>
      <c r="U3743" t="s">
        <v>11100</v>
      </c>
      <c r="V3743" t="s">
        <v>11100</v>
      </c>
      <c r="W3743" t="s">
        <v>14793</v>
      </c>
      <c r="X3743">
        <v>10</v>
      </c>
      <c r="Y3743" t="s">
        <v>20231</v>
      </c>
      <c r="Z3743" t="s">
        <v>25748</v>
      </c>
      <c r="AA3743">
        <v>0.53820774390927006</v>
      </c>
      <c r="AB3743" t="str">
        <f>HYPERLINK("Melting_Curves/meltCurve_Q8IVD9_NUDCD3.pdf", "Melting_Curves/meltCurve_Q8IVD9_NUDCD3.pdf")</f>
        <v>Melting_Curves/meltCurve_Q8IVD9_NUDCD3.pdf</v>
      </c>
    </row>
    <row r="3744" spans="1:28" x14ac:dyDescent="0.25">
      <c r="A3744" t="s">
        <v>3748</v>
      </c>
      <c r="B3744">
        <v>0.99299721793515405</v>
      </c>
      <c r="C3744">
        <v>0.94150489076765997</v>
      </c>
      <c r="D3744">
        <v>0.88255928705319298</v>
      </c>
      <c r="E3744">
        <v>0.79631186918558805</v>
      </c>
      <c r="F3744">
        <v>0.72121989840555401</v>
      </c>
      <c r="G3744">
        <v>0.54507773491983802</v>
      </c>
      <c r="H3744">
        <v>0.58437757440026905</v>
      </c>
      <c r="I3744">
        <v>0.81761017545491099</v>
      </c>
      <c r="J3744">
        <v>0.86591600501022103</v>
      </c>
      <c r="K3744">
        <v>0.53676834880097501</v>
      </c>
      <c r="L3744">
        <v>861.10317795982701</v>
      </c>
      <c r="M3744">
        <v>19.408045909008699</v>
      </c>
      <c r="O3744">
        <v>43.905371679163402</v>
      </c>
      <c r="P3744">
        <v>-3.6035450015638397E-2</v>
      </c>
      <c r="Q3744">
        <v>0.67393073084036503</v>
      </c>
      <c r="R3744">
        <v>0.57017920026875102</v>
      </c>
      <c r="S3744" t="s">
        <v>9295</v>
      </c>
      <c r="T3744" t="s">
        <v>11100</v>
      </c>
      <c r="U3744" t="s">
        <v>11100</v>
      </c>
      <c r="V3744" t="s">
        <v>11100</v>
      </c>
      <c r="W3744" t="s">
        <v>14794</v>
      </c>
      <c r="X3744">
        <v>2</v>
      </c>
      <c r="Y3744" t="s">
        <v>20232</v>
      </c>
      <c r="Z3744" t="s">
        <v>25749</v>
      </c>
      <c r="AA3744">
        <v>0.75863246453515198</v>
      </c>
      <c r="AB3744" t="str">
        <f>HYPERLINK("Melting_Curves/meltCurve_Q8IVF2_3_AHNAK2.pdf", "Melting_Curves/meltCurve_Q8IVF2_3_AHNAK2.pdf")</f>
        <v>Melting_Curves/meltCurve_Q8IVF2_3_AHNAK2.pdf</v>
      </c>
    </row>
    <row r="3745" spans="1:28" x14ac:dyDescent="0.25">
      <c r="A3745" t="s">
        <v>3749</v>
      </c>
      <c r="B3745">
        <v>0.99299721793515405</v>
      </c>
      <c r="C3745">
        <v>0.95709996194231095</v>
      </c>
      <c r="D3745">
        <v>0.856369374851079</v>
      </c>
      <c r="E3745">
        <v>0.69282967704016596</v>
      </c>
      <c r="F3745">
        <v>0.61565933846588305</v>
      </c>
      <c r="G3745">
        <v>0.46914103629857401</v>
      </c>
      <c r="H3745">
        <v>0.30654116381836899</v>
      </c>
      <c r="I3745">
        <v>0.183975589962423</v>
      </c>
      <c r="J3745">
        <v>0.21928993840218999</v>
      </c>
      <c r="K3745">
        <v>0.115294808806013</v>
      </c>
      <c r="L3745">
        <v>446.99854983981197</v>
      </c>
      <c r="M3745">
        <v>8.5470591289596491</v>
      </c>
      <c r="N3745">
        <v>52.298520805834102</v>
      </c>
      <c r="O3745">
        <v>49.671519919053097</v>
      </c>
      <c r="P3745">
        <v>-4.3055870673750003E-2</v>
      </c>
      <c r="Q3745">
        <v>0</v>
      </c>
      <c r="R3745">
        <v>0.99032120833906301</v>
      </c>
      <c r="S3745" t="s">
        <v>9296</v>
      </c>
      <c r="T3745" t="s">
        <v>11100</v>
      </c>
      <c r="U3745" t="s">
        <v>11100</v>
      </c>
      <c r="V3745" t="s">
        <v>11100</v>
      </c>
      <c r="W3745" t="s">
        <v>14795</v>
      </c>
      <c r="X3745">
        <v>3</v>
      </c>
      <c r="Y3745" t="s">
        <v>20233</v>
      </c>
      <c r="Z3745" t="s">
        <v>25750</v>
      </c>
      <c r="AA3745">
        <v>0.53643173703290259</v>
      </c>
      <c r="AB3745" t="str">
        <f>HYPERLINK("Melting_Curves/meltCurve_Q8IVH4_MMAA.pdf", "Melting_Curves/meltCurve_Q8IVH4_MMAA.pdf")</f>
        <v>Melting_Curves/meltCurve_Q8IVH4_MMAA.pdf</v>
      </c>
    </row>
    <row r="3746" spans="1:28" x14ac:dyDescent="0.25">
      <c r="A3746" t="s">
        <v>3750</v>
      </c>
      <c r="B3746">
        <v>0.99299721793515405</v>
      </c>
      <c r="C3746">
        <v>0.91308271780043704</v>
      </c>
      <c r="D3746">
        <v>1.05446963510389</v>
      </c>
      <c r="E3746">
        <v>0.88908117893654404</v>
      </c>
      <c r="F3746">
        <v>0.71847569217872098</v>
      </c>
      <c r="G3746">
        <v>0.54562800872470696</v>
      </c>
      <c r="H3746">
        <v>0.55660159849284296</v>
      </c>
      <c r="I3746">
        <v>0.66173692684701202</v>
      </c>
      <c r="J3746">
        <v>0.74715782440261203</v>
      </c>
      <c r="K3746">
        <v>0.71018864000508897</v>
      </c>
      <c r="L3746">
        <v>1921.23087499145</v>
      </c>
      <c r="M3746">
        <v>40.284007456619598</v>
      </c>
      <c r="O3746">
        <v>47.575087676299503</v>
      </c>
      <c r="P3746">
        <v>-7.4469328840450502E-2</v>
      </c>
      <c r="Q3746">
        <v>0.64821010211228003</v>
      </c>
      <c r="R3746">
        <v>0.83661371248243099</v>
      </c>
      <c r="S3746" t="s">
        <v>9297</v>
      </c>
      <c r="T3746" t="s">
        <v>11100</v>
      </c>
      <c r="U3746" t="s">
        <v>11100</v>
      </c>
      <c r="V3746" t="s">
        <v>11100</v>
      </c>
      <c r="W3746" t="s">
        <v>14796</v>
      </c>
      <c r="X3746">
        <v>20</v>
      </c>
      <c r="Y3746" t="s">
        <v>20234</v>
      </c>
      <c r="Z3746" t="s">
        <v>25751</v>
      </c>
      <c r="AA3746">
        <v>0.7747331769403869</v>
      </c>
      <c r="AB3746" t="str">
        <f>HYPERLINK("Melting_Curves/meltCurve_Q8IVM0_CCDC50.pdf", "Melting_Curves/meltCurve_Q8IVM0_CCDC50.pdf")</f>
        <v>Melting_Curves/meltCurve_Q8IVM0_CCDC50.pdf</v>
      </c>
    </row>
    <row r="3747" spans="1:28" x14ac:dyDescent="0.25">
      <c r="A3747" t="s">
        <v>3751</v>
      </c>
      <c r="B3747">
        <v>0.99299721793515405</v>
      </c>
      <c r="C3747">
        <v>1.1063132787162699</v>
      </c>
      <c r="D3747">
        <v>1.01765295936841</v>
      </c>
      <c r="E3747">
        <v>0.88339747161709004</v>
      </c>
      <c r="F3747">
        <v>0.80512329598783905</v>
      </c>
      <c r="G3747">
        <v>0.56626624187464503</v>
      </c>
      <c r="H3747">
        <v>0.46882886070841001</v>
      </c>
      <c r="I3747">
        <v>0.32207117070276298</v>
      </c>
      <c r="J3747">
        <v>0.19812659473425001</v>
      </c>
      <c r="K3747">
        <v>0.14944902684512701</v>
      </c>
      <c r="L3747">
        <v>654.02212538766298</v>
      </c>
      <c r="M3747">
        <v>11.7569078108192</v>
      </c>
      <c r="N3747">
        <v>56.0853120451169</v>
      </c>
      <c r="O3747">
        <v>54.092515359129202</v>
      </c>
      <c r="P3747">
        <v>-5.1870918230001298E-2</v>
      </c>
      <c r="Q3747">
        <v>4.5634563555319002E-2</v>
      </c>
      <c r="R3747">
        <v>0.981514857970751</v>
      </c>
      <c r="S3747" t="s">
        <v>9298</v>
      </c>
      <c r="T3747" t="s">
        <v>11100</v>
      </c>
      <c r="U3747" t="s">
        <v>11100</v>
      </c>
      <c r="V3747" t="s">
        <v>11100</v>
      </c>
      <c r="W3747" t="s">
        <v>14797</v>
      </c>
      <c r="X3747">
        <v>5</v>
      </c>
      <c r="Y3747" t="s">
        <v>20235</v>
      </c>
      <c r="Z3747" t="s">
        <v>25752</v>
      </c>
      <c r="AA3747">
        <v>0.64900974389675337</v>
      </c>
      <c r="AB3747" t="str">
        <f>HYPERLINK("Melting_Curves/meltCurve_Q8IVS2_MCAT.pdf", "Melting_Curves/meltCurve_Q8IVS2_MCAT.pdf")</f>
        <v>Melting_Curves/meltCurve_Q8IVS2_MCAT.pdf</v>
      </c>
    </row>
    <row r="3748" spans="1:28" x14ac:dyDescent="0.25">
      <c r="A3748" t="s">
        <v>3752</v>
      </c>
      <c r="B3748">
        <v>0.99299721793515405</v>
      </c>
      <c r="C3748">
        <v>0.96440230802060201</v>
      </c>
      <c r="D3748">
        <v>0.83622875095359295</v>
      </c>
      <c r="E3748">
        <v>0.78474376691557901</v>
      </c>
      <c r="F3748">
        <v>0.55868215722493297</v>
      </c>
      <c r="G3748">
        <v>0.37390968053895302</v>
      </c>
      <c r="H3748">
        <v>0.231574986227991</v>
      </c>
      <c r="I3748">
        <v>0.199817022354177</v>
      </c>
      <c r="J3748">
        <v>0.21521789665794999</v>
      </c>
      <c r="K3748">
        <v>0.195940258009662</v>
      </c>
      <c r="L3748">
        <v>651.26991207613401</v>
      </c>
      <c r="M3748">
        <v>13.1202800436762</v>
      </c>
      <c r="N3748">
        <v>51.020095189594798</v>
      </c>
      <c r="O3748">
        <v>48.527775285526602</v>
      </c>
      <c r="P3748">
        <v>-5.7495013705803899E-2</v>
      </c>
      <c r="Q3748">
        <v>0.14952172800396399</v>
      </c>
      <c r="R3748">
        <v>0.99111794175830403</v>
      </c>
      <c r="S3748" t="s">
        <v>9299</v>
      </c>
      <c r="T3748" t="s">
        <v>11100</v>
      </c>
      <c r="U3748" t="s">
        <v>11100</v>
      </c>
      <c r="V3748" t="s">
        <v>11100</v>
      </c>
      <c r="W3748" t="s">
        <v>14798</v>
      </c>
      <c r="X3748">
        <v>2</v>
      </c>
      <c r="Y3748" t="s">
        <v>20236</v>
      </c>
      <c r="Z3748" t="s">
        <v>25753</v>
      </c>
      <c r="AA3748">
        <v>0.52953688276269328</v>
      </c>
      <c r="AB3748" t="str">
        <f>HYPERLINK("Melting_Curves/meltCurve_Q8IVS8_GLYCTK.pdf", "Melting_Curves/meltCurve_Q8IVS8_GLYCTK.pdf")</f>
        <v>Melting_Curves/meltCurve_Q8IVS8_GLYCTK.pdf</v>
      </c>
    </row>
    <row r="3749" spans="1:28" x14ac:dyDescent="0.25">
      <c r="A3749" t="s">
        <v>3753</v>
      </c>
      <c r="B3749">
        <v>0.99299721793515405</v>
      </c>
      <c r="C3749">
        <v>1.2800706071989301</v>
      </c>
      <c r="D3749">
        <v>0.80284777461399703</v>
      </c>
      <c r="E3749">
        <v>0.77857709088430604</v>
      </c>
      <c r="F3749">
        <v>0.411811090464137</v>
      </c>
      <c r="G3749">
        <v>0.345266205037423</v>
      </c>
      <c r="H3749">
        <v>0.34389468058880102</v>
      </c>
      <c r="I3749">
        <v>0.14487482367542701</v>
      </c>
      <c r="J3749">
        <v>0.13146989672491399</v>
      </c>
      <c r="K3749">
        <v>0.32260343322950402</v>
      </c>
      <c r="L3749">
        <v>950.45827201634597</v>
      </c>
      <c r="M3749">
        <v>19.760434002544802</v>
      </c>
      <c r="N3749">
        <v>49.5957799726636</v>
      </c>
      <c r="O3749">
        <v>47.614580652620603</v>
      </c>
      <c r="P3749">
        <v>-8.0453354107975203E-2</v>
      </c>
      <c r="Q3749">
        <v>0.22458741658044701</v>
      </c>
      <c r="R3749">
        <v>0.89280368773636698</v>
      </c>
      <c r="S3749" t="s">
        <v>9300</v>
      </c>
      <c r="T3749" t="s">
        <v>11100</v>
      </c>
      <c r="U3749" t="s">
        <v>11100</v>
      </c>
      <c r="V3749" t="s">
        <v>11100</v>
      </c>
      <c r="W3749" t="s">
        <v>14799</v>
      </c>
      <c r="X3749">
        <v>2</v>
      </c>
      <c r="Y3749" t="s">
        <v>20237</v>
      </c>
      <c r="Z3749" t="s">
        <v>25754</v>
      </c>
      <c r="AA3749">
        <v>0.52189078943101863</v>
      </c>
      <c r="AB3749" t="str">
        <f>HYPERLINK("Melting_Curves/meltCurve_Q8IVW6_4_ARID3B.pdf", "Melting_Curves/meltCurve_Q8IVW6_4_ARID3B.pdf")</f>
        <v>Melting_Curves/meltCurve_Q8IVW6_4_ARID3B.pdf</v>
      </c>
    </row>
    <row r="3750" spans="1:28" x14ac:dyDescent="0.25">
      <c r="A3750" t="s">
        <v>3754</v>
      </c>
      <c r="B3750">
        <v>0.99299721793515405</v>
      </c>
      <c r="C3750">
        <v>1.1392891173997499</v>
      </c>
      <c r="D3750">
        <v>0.94785842063353398</v>
      </c>
      <c r="E3750">
        <v>1.04599464324536</v>
      </c>
      <c r="F3750">
        <v>0.70902258405386998</v>
      </c>
      <c r="G3750">
        <v>0.29250074668552101</v>
      </c>
      <c r="H3750">
        <v>0.19013522064645899</v>
      </c>
      <c r="I3750">
        <v>0.171478490415121</v>
      </c>
      <c r="J3750">
        <v>0.20897466214553501</v>
      </c>
      <c r="K3750">
        <v>0.194961467522131</v>
      </c>
      <c r="L3750">
        <v>2107.6941483062101</v>
      </c>
      <c r="M3750">
        <v>41.3472256781967</v>
      </c>
      <c r="N3750">
        <v>51.581414666677702</v>
      </c>
      <c r="O3750">
        <v>50.856658582857001</v>
      </c>
      <c r="P3750">
        <v>-0.16415357151055299</v>
      </c>
      <c r="Q3750">
        <v>0.19237266767418901</v>
      </c>
      <c r="R3750">
        <v>0.98225445447720094</v>
      </c>
      <c r="S3750" t="s">
        <v>9301</v>
      </c>
      <c r="T3750" t="s">
        <v>11100</v>
      </c>
      <c r="U3750" t="s">
        <v>11100</v>
      </c>
      <c r="V3750" t="s">
        <v>11100</v>
      </c>
      <c r="W3750" t="s">
        <v>14800</v>
      </c>
      <c r="X3750">
        <v>2</v>
      </c>
      <c r="Y3750" t="s">
        <v>20238</v>
      </c>
      <c r="Z3750" t="s">
        <v>25755</v>
      </c>
      <c r="AA3750">
        <v>0.57126442248477149</v>
      </c>
      <c r="AB3750" t="str">
        <f>HYPERLINK("Melting_Curves/meltCurve_Q8IW45_CARKD.pdf", "Melting_Curves/meltCurve_Q8IW45_CARKD.pdf")</f>
        <v>Melting_Curves/meltCurve_Q8IW45_CARKD.pdf</v>
      </c>
    </row>
    <row r="3751" spans="1:28" x14ac:dyDescent="0.25">
      <c r="A3751" t="s">
        <v>3755</v>
      </c>
      <c r="B3751">
        <v>0.99299721793515405</v>
      </c>
      <c r="C3751">
        <v>0.88593744171998001</v>
      </c>
      <c r="D3751">
        <v>1.0217932568736301</v>
      </c>
      <c r="E3751">
        <v>0.76387781839324298</v>
      </c>
      <c r="F3751">
        <v>0.56048583207368197</v>
      </c>
      <c r="G3751">
        <v>5.1960357572083102E-2</v>
      </c>
      <c r="H3751">
        <v>0.21171691239092399</v>
      </c>
      <c r="I3751">
        <v>0.18653889686833999</v>
      </c>
      <c r="J3751">
        <v>0.14585285598867601</v>
      </c>
      <c r="K3751">
        <v>0.171368095241269</v>
      </c>
      <c r="L3751">
        <v>1303.6763365747299</v>
      </c>
      <c r="M3751">
        <v>26.524852495405302</v>
      </c>
      <c r="N3751">
        <v>49.797447497985999</v>
      </c>
      <c r="O3751">
        <v>48.872430378036803</v>
      </c>
      <c r="P3751">
        <v>-0.115877393376581</v>
      </c>
      <c r="Q3751">
        <v>0.145985878914041</v>
      </c>
      <c r="R3751">
        <v>0.95254194799580005</v>
      </c>
      <c r="S3751" t="s">
        <v>9302</v>
      </c>
      <c r="T3751" t="s">
        <v>11100</v>
      </c>
      <c r="U3751" t="s">
        <v>11100</v>
      </c>
      <c r="V3751" t="s">
        <v>11100</v>
      </c>
      <c r="W3751" t="s">
        <v>14801</v>
      </c>
      <c r="X3751">
        <v>1</v>
      </c>
      <c r="Y3751" t="s">
        <v>20239</v>
      </c>
      <c r="Z3751" t="s">
        <v>25756</v>
      </c>
      <c r="AA3751">
        <v>0.49842784218876229</v>
      </c>
      <c r="AB3751" t="str">
        <f>HYPERLINK("Melting_Curves/meltCurve_Q8IWA0_WDR75.pdf", "Melting_Curves/meltCurve_Q8IWA0_WDR75.pdf")</f>
        <v>Melting_Curves/meltCurve_Q8IWA0_WDR75.pdf</v>
      </c>
    </row>
    <row r="3752" spans="1:28" x14ac:dyDescent="0.25">
      <c r="A3752" t="s">
        <v>3756</v>
      </c>
      <c r="B3752">
        <v>0.99299721793515405</v>
      </c>
      <c r="C3752">
        <v>1.0334501541443499</v>
      </c>
      <c r="D3752">
        <v>0.88177928378057402</v>
      </c>
      <c r="E3752">
        <v>0.88255422927931704</v>
      </c>
      <c r="F3752">
        <v>0.755904610643931</v>
      </c>
      <c r="G3752">
        <v>0.44283714459625301</v>
      </c>
      <c r="H3752">
        <v>0.22710993886905201</v>
      </c>
      <c r="I3752">
        <v>0.17301273711308299</v>
      </c>
      <c r="J3752">
        <v>0.152446250904366</v>
      </c>
      <c r="K3752">
        <v>0.15065440002262501</v>
      </c>
      <c r="L3752">
        <v>955.90975882937698</v>
      </c>
      <c r="M3752">
        <v>18.3010529491788</v>
      </c>
      <c r="N3752">
        <v>53.0084716450624</v>
      </c>
      <c r="O3752">
        <v>51.620838368672899</v>
      </c>
      <c r="P3752">
        <v>-7.8220786870182399E-2</v>
      </c>
      <c r="Q3752">
        <v>0.117507455462523</v>
      </c>
      <c r="R3752">
        <v>0.98762301281110199</v>
      </c>
      <c r="S3752" t="s">
        <v>9303</v>
      </c>
      <c r="T3752" t="s">
        <v>11100</v>
      </c>
      <c r="U3752" t="s">
        <v>11100</v>
      </c>
      <c r="V3752" t="s">
        <v>11100</v>
      </c>
      <c r="W3752" t="s">
        <v>14802</v>
      </c>
      <c r="X3752">
        <v>11</v>
      </c>
      <c r="Y3752" t="s">
        <v>20240</v>
      </c>
      <c r="Z3752" t="s">
        <v>25757</v>
      </c>
      <c r="AA3752">
        <v>0.57852932464201756</v>
      </c>
      <c r="AB3752" t="str">
        <f>HYPERLINK("Melting_Curves/meltCurve_Q8IWA4_MFN1.pdf", "Melting_Curves/meltCurve_Q8IWA4_MFN1.pdf")</f>
        <v>Melting_Curves/meltCurve_Q8IWA4_MFN1.pdf</v>
      </c>
    </row>
    <row r="3753" spans="1:28" x14ac:dyDescent="0.25">
      <c r="A3753" t="s">
        <v>3757</v>
      </c>
      <c r="B3753">
        <v>0.99299721793515405</v>
      </c>
      <c r="C3753">
        <v>0.99262413014772399</v>
      </c>
      <c r="D3753">
        <v>0.83638070000976406</v>
      </c>
      <c r="E3753">
        <v>0.912997054606561</v>
      </c>
      <c r="F3753">
        <v>0.78741911372389894</v>
      </c>
      <c r="G3753">
        <v>0.54414434299932601</v>
      </c>
      <c r="H3753">
        <v>0.18415678633983101</v>
      </c>
      <c r="I3753">
        <v>0.113324258186941</v>
      </c>
      <c r="J3753">
        <v>0.10519322919823899</v>
      </c>
      <c r="K3753">
        <v>7.7284018075590294E-2</v>
      </c>
      <c r="L3753">
        <v>1008.27784260972</v>
      </c>
      <c r="M3753">
        <v>18.8608128555706</v>
      </c>
      <c r="N3753">
        <v>53.707338829660003</v>
      </c>
      <c r="O3753">
        <v>52.868786037168697</v>
      </c>
      <c r="P3753">
        <v>-8.5464337171447899E-2</v>
      </c>
      <c r="Q3753">
        <v>4.1778236421824801E-2</v>
      </c>
      <c r="R3753">
        <v>0.97695914406519102</v>
      </c>
      <c r="S3753" t="s">
        <v>9304</v>
      </c>
      <c r="T3753" t="s">
        <v>11100</v>
      </c>
      <c r="U3753" t="s">
        <v>11100</v>
      </c>
      <c r="V3753" t="s">
        <v>11100</v>
      </c>
      <c r="W3753" t="s">
        <v>14803</v>
      </c>
      <c r="X3753">
        <v>8</v>
      </c>
      <c r="Y3753" t="s">
        <v>20241</v>
      </c>
      <c r="Z3753" t="s">
        <v>25758</v>
      </c>
      <c r="AA3753">
        <v>0.58032311843153839</v>
      </c>
      <c r="AB3753" t="str">
        <f>HYPERLINK("Melting_Curves/meltCurve_Q8IWB1_ITPRIP.pdf", "Melting_Curves/meltCurve_Q8IWB1_ITPRIP.pdf")</f>
        <v>Melting_Curves/meltCurve_Q8IWB1_ITPRIP.pdf</v>
      </c>
    </row>
    <row r="3754" spans="1:28" x14ac:dyDescent="0.25">
      <c r="A3754" t="s">
        <v>3758</v>
      </c>
      <c r="B3754">
        <v>0.99299721793515405</v>
      </c>
      <c r="C3754">
        <v>0.97361787915069498</v>
      </c>
      <c r="D3754">
        <v>0.85996838255353003</v>
      </c>
      <c r="E3754">
        <v>0.84387432873245105</v>
      </c>
      <c r="F3754">
        <v>0.70236186428854896</v>
      </c>
      <c r="G3754">
        <v>0.54847335045792101</v>
      </c>
      <c r="H3754">
        <v>0.49830337717503898</v>
      </c>
      <c r="I3754">
        <v>0.50762048640463897</v>
      </c>
      <c r="J3754">
        <v>0.32381538175558799</v>
      </c>
      <c r="K3754">
        <v>0.18935359446029701</v>
      </c>
      <c r="L3754">
        <v>382.64287857539898</v>
      </c>
      <c r="M3754">
        <v>6.7041752373194798</v>
      </c>
      <c r="N3754">
        <v>57.075309846582499</v>
      </c>
      <c r="O3754">
        <v>52.640314048350497</v>
      </c>
      <c r="P3754">
        <v>-3.1908667361402403E-2</v>
      </c>
      <c r="Q3754">
        <v>0</v>
      </c>
      <c r="R3754">
        <v>0.962115247891145</v>
      </c>
      <c r="S3754" t="s">
        <v>9305</v>
      </c>
      <c r="T3754" t="s">
        <v>11100</v>
      </c>
      <c r="U3754" t="s">
        <v>11100</v>
      </c>
      <c r="V3754" t="s">
        <v>11100</v>
      </c>
      <c r="W3754" t="s">
        <v>14804</v>
      </c>
      <c r="X3754">
        <v>7</v>
      </c>
      <c r="Y3754" t="s">
        <v>20242</v>
      </c>
      <c r="Z3754" t="s">
        <v>25759</v>
      </c>
      <c r="AA3754">
        <v>0.6469848627421787</v>
      </c>
      <c r="AB3754" t="str">
        <f>HYPERLINK("Melting_Curves/meltCurve_Q8IWB7_WDFY1.pdf", "Melting_Curves/meltCurve_Q8IWB7_WDFY1.pdf")</f>
        <v>Melting_Curves/meltCurve_Q8IWB7_WDFY1.pdf</v>
      </c>
    </row>
    <row r="3755" spans="1:28" x14ac:dyDescent="0.25">
      <c r="A3755" t="s">
        <v>3759</v>
      </c>
      <c r="B3755">
        <v>0.99299721793515405</v>
      </c>
      <c r="C3755">
        <v>0.938762291500845</v>
      </c>
      <c r="D3755">
        <v>0.867852593503873</v>
      </c>
      <c r="E3755">
        <v>0.74838494297929303</v>
      </c>
      <c r="F3755">
        <v>0.70251746792233805</v>
      </c>
      <c r="G3755">
        <v>0.29510390151378901</v>
      </c>
      <c r="H3755">
        <v>0.19270959508256899</v>
      </c>
      <c r="I3755">
        <v>0.173681191550622</v>
      </c>
      <c r="J3755">
        <v>0.162863472640562</v>
      </c>
      <c r="K3755">
        <v>0.171571929094541</v>
      </c>
      <c r="L3755">
        <v>706.35304505046804</v>
      </c>
      <c r="M3755">
        <v>13.9960087235679</v>
      </c>
      <c r="N3755">
        <v>51.333593862499797</v>
      </c>
      <c r="O3755">
        <v>49.471395261503403</v>
      </c>
      <c r="P3755">
        <v>-6.3303293986201506E-2</v>
      </c>
      <c r="Q3755">
        <v>0.105091596781955</v>
      </c>
      <c r="R3755">
        <v>0.96959644828343305</v>
      </c>
      <c r="S3755" t="s">
        <v>9306</v>
      </c>
      <c r="T3755" t="s">
        <v>11100</v>
      </c>
      <c r="U3755" t="s">
        <v>11100</v>
      </c>
      <c r="V3755" t="s">
        <v>11100</v>
      </c>
      <c r="W3755" t="s">
        <v>14805</v>
      </c>
      <c r="X3755">
        <v>2</v>
      </c>
      <c r="Y3755" t="s">
        <v>20243</v>
      </c>
      <c r="Z3755" t="s">
        <v>25760</v>
      </c>
      <c r="AA3755">
        <v>0.52704529783848197</v>
      </c>
      <c r="AB3755" t="str">
        <f>HYPERLINK("Melting_Curves/meltCurve_Q8IWB9_TEX2.pdf", "Melting_Curves/meltCurve_Q8IWB9_TEX2.pdf")</f>
        <v>Melting_Curves/meltCurve_Q8IWB9_TEX2.pdf</v>
      </c>
    </row>
    <row r="3756" spans="1:28" x14ac:dyDescent="0.25">
      <c r="A3756" t="s">
        <v>3760</v>
      </c>
      <c r="B3756">
        <v>0.99299721793515405</v>
      </c>
      <c r="C3756">
        <v>1.1553017139209301</v>
      </c>
      <c r="D3756">
        <v>0.94714262949894201</v>
      </c>
      <c r="E3756">
        <v>0.84399309292608804</v>
      </c>
      <c r="F3756">
        <v>0.69387319622610799</v>
      </c>
      <c r="G3756">
        <v>0.63850697427223702</v>
      </c>
      <c r="H3756">
        <v>0.99319231518721196</v>
      </c>
      <c r="I3756">
        <v>1.2416644260223799</v>
      </c>
      <c r="J3756">
        <v>0.54017449374486304</v>
      </c>
      <c r="K3756">
        <v>0.25496289880839801</v>
      </c>
      <c r="L3756">
        <v>15000</v>
      </c>
      <c r="M3756">
        <v>234.486832261838</v>
      </c>
      <c r="N3756">
        <v>64.164590853295493</v>
      </c>
      <c r="O3756">
        <v>63.964823877148604</v>
      </c>
      <c r="P3756">
        <v>-0.68282344119197702</v>
      </c>
      <c r="Q3756">
        <v>0.25494014996543002</v>
      </c>
      <c r="R3756">
        <v>0.58863273338075395</v>
      </c>
      <c r="S3756" t="s">
        <v>9307</v>
      </c>
      <c r="T3756" t="s">
        <v>11100</v>
      </c>
      <c r="U3756" t="s">
        <v>11100</v>
      </c>
      <c r="V3756" t="s">
        <v>11100</v>
      </c>
      <c r="W3756" t="s">
        <v>14806</v>
      </c>
      <c r="X3756">
        <v>3</v>
      </c>
      <c r="Y3756" t="s">
        <v>20244</v>
      </c>
      <c r="Z3756" t="s">
        <v>25761</v>
      </c>
      <c r="AA3756">
        <v>0.92483085905572038</v>
      </c>
      <c r="AB3756" t="str">
        <f>HYPERLINK("Melting_Curves/meltCurve_Q8IWC1_2_MAP7D3.pdf", "Melting_Curves/meltCurve_Q8IWC1_2_MAP7D3.pdf")</f>
        <v>Melting_Curves/meltCurve_Q8IWC1_2_MAP7D3.pdf</v>
      </c>
    </row>
    <row r="3757" spans="1:28" x14ac:dyDescent="0.25">
      <c r="A3757" t="s">
        <v>3761</v>
      </c>
      <c r="B3757">
        <v>0.99299721793515405</v>
      </c>
      <c r="C3757">
        <v>0.83916222300646803</v>
      </c>
      <c r="D3757">
        <v>0.93469530483683205</v>
      </c>
      <c r="E3757">
        <v>0.77478008085988403</v>
      </c>
      <c r="F3757">
        <v>0.59653955998013697</v>
      </c>
      <c r="G3757">
        <v>0.39122678868583499</v>
      </c>
      <c r="H3757">
        <v>0.21532752778122199</v>
      </c>
      <c r="I3757">
        <v>0.240091918773993</v>
      </c>
      <c r="J3757">
        <v>0.21381333438587199</v>
      </c>
      <c r="K3757">
        <v>0.19456494786140499</v>
      </c>
      <c r="L3757">
        <v>658.95420849374898</v>
      </c>
      <c r="M3757">
        <v>13.170496613473</v>
      </c>
      <c r="N3757">
        <v>51.446110460057902</v>
      </c>
      <c r="O3757">
        <v>48.9213266102212</v>
      </c>
      <c r="P3757">
        <v>-5.7096447099212903E-2</v>
      </c>
      <c r="Q3757">
        <v>0.151811803364274</v>
      </c>
      <c r="R3757">
        <v>0.97444773391870299</v>
      </c>
      <c r="S3757" t="s">
        <v>9308</v>
      </c>
      <c r="T3757" t="s">
        <v>11100</v>
      </c>
      <c r="U3757" t="s">
        <v>11100</v>
      </c>
      <c r="V3757" t="s">
        <v>11100</v>
      </c>
      <c r="W3757" t="s">
        <v>14807</v>
      </c>
      <c r="X3757">
        <v>5</v>
      </c>
      <c r="Y3757" t="s">
        <v>20245</v>
      </c>
      <c r="Z3757" t="s">
        <v>25762</v>
      </c>
      <c r="AA3757">
        <v>0.54142574811863831</v>
      </c>
      <c r="AB3757" t="str">
        <f>HYPERLINK("Melting_Curves/meltCurve_Q8IWF6_DENND6A.pdf", "Melting_Curves/meltCurve_Q8IWF6_DENND6A.pdf")</f>
        <v>Melting_Curves/meltCurve_Q8IWF6_DENND6A.pdf</v>
      </c>
    </row>
    <row r="3758" spans="1:28" x14ac:dyDescent="0.25">
      <c r="A3758" t="s">
        <v>3762</v>
      </c>
      <c r="B3758">
        <v>0.99299721793515405</v>
      </c>
      <c r="C3758">
        <v>0.91900138948647303</v>
      </c>
      <c r="D3758">
        <v>0.79615744466161997</v>
      </c>
      <c r="E3758">
        <v>0.657857203905441</v>
      </c>
      <c r="F3758">
        <v>0.54788617821637797</v>
      </c>
      <c r="G3758">
        <v>0.30090574286007499</v>
      </c>
      <c r="H3758">
        <v>0.12130885937874</v>
      </c>
      <c r="I3758">
        <v>8.9660521270469307E-2</v>
      </c>
      <c r="J3758">
        <v>0.137477078286871</v>
      </c>
      <c r="K3758">
        <v>7.6830569754636105E-2</v>
      </c>
      <c r="L3758">
        <v>524.12791817847096</v>
      </c>
      <c r="M3758">
        <v>10.5570244012779</v>
      </c>
      <c r="N3758">
        <v>49.653393190031402</v>
      </c>
      <c r="O3758">
        <v>47.965212816027901</v>
      </c>
      <c r="P3758">
        <v>-5.50105572051078E-2</v>
      </c>
      <c r="Q3758">
        <v>6.4634187906668504E-4</v>
      </c>
      <c r="R3758">
        <v>0.98518619535032903</v>
      </c>
      <c r="S3758" t="s">
        <v>9309</v>
      </c>
      <c r="T3758" t="s">
        <v>11100</v>
      </c>
      <c r="U3758" t="s">
        <v>11100</v>
      </c>
      <c r="V3758" t="s">
        <v>11100</v>
      </c>
      <c r="W3758" t="s">
        <v>14808</v>
      </c>
      <c r="X3758">
        <v>1</v>
      </c>
      <c r="Y3758" t="s">
        <v>20246</v>
      </c>
      <c r="Z3758" t="s">
        <v>25763</v>
      </c>
      <c r="AA3758">
        <v>0.45509176917760508</v>
      </c>
      <c r="AB3758" t="str">
        <f>HYPERLINK("Melting_Curves/meltCurve_Q8IWI9_MGA.pdf", "Melting_Curves/meltCurve_Q8IWI9_MGA.pdf")</f>
        <v>Melting_Curves/meltCurve_Q8IWI9_MGA.pdf</v>
      </c>
    </row>
    <row r="3759" spans="1:28" x14ac:dyDescent="0.25">
      <c r="A3759" t="s">
        <v>3763</v>
      </c>
      <c r="B3759">
        <v>0.99299721793515405</v>
      </c>
      <c r="C3759">
        <v>0.94791583528710999</v>
      </c>
      <c r="D3759">
        <v>0.95003500347787095</v>
      </c>
      <c r="E3759">
        <v>0.843025755137215</v>
      </c>
      <c r="F3759">
        <v>0.43744484555484298</v>
      </c>
      <c r="G3759">
        <v>0.31144407912449601</v>
      </c>
      <c r="H3759">
        <v>0.23404047069678099</v>
      </c>
      <c r="I3759">
        <v>0.199181317129318</v>
      </c>
      <c r="J3759">
        <v>0.17826731668263801</v>
      </c>
      <c r="K3759">
        <v>0.140199168767879</v>
      </c>
      <c r="L3759">
        <v>1106.6575418468401</v>
      </c>
      <c r="M3759">
        <v>22.5800133733736</v>
      </c>
      <c r="N3759">
        <v>49.99314707261</v>
      </c>
      <c r="O3759">
        <v>48.630932452447098</v>
      </c>
      <c r="P3759">
        <v>-9.5277635899688504E-2</v>
      </c>
      <c r="Q3759">
        <v>0.179212582419602</v>
      </c>
      <c r="R3759">
        <v>0.99185786465068304</v>
      </c>
      <c r="S3759" t="s">
        <v>9310</v>
      </c>
      <c r="T3759" t="s">
        <v>11100</v>
      </c>
      <c r="U3759" t="s">
        <v>11100</v>
      </c>
      <c r="V3759" t="s">
        <v>11100</v>
      </c>
      <c r="W3759" t="s">
        <v>14809</v>
      </c>
      <c r="X3759">
        <v>24</v>
      </c>
      <c r="Y3759" t="s">
        <v>20247</v>
      </c>
      <c r="Z3759" t="s">
        <v>25764</v>
      </c>
      <c r="AA3759">
        <v>0.51644139808205325</v>
      </c>
      <c r="AB3759" t="str">
        <f>HYPERLINK("Melting_Curves/meltCurve_Q8IWJ2_GCC2.pdf", "Melting_Curves/meltCurve_Q8IWJ2_GCC2.pdf")</f>
        <v>Melting_Curves/meltCurve_Q8IWJ2_GCC2.pdf</v>
      </c>
    </row>
    <row r="3760" spans="1:28" x14ac:dyDescent="0.25">
      <c r="A3760" t="s">
        <v>3764</v>
      </c>
      <c r="B3760">
        <v>0.99299721793515405</v>
      </c>
      <c r="C3760">
        <v>0.84807726594231503</v>
      </c>
      <c r="D3760">
        <v>0.82453412949879401</v>
      </c>
      <c r="E3760">
        <v>0.85037261982852796</v>
      </c>
      <c r="F3760">
        <v>0.63957451850924096</v>
      </c>
      <c r="G3760">
        <v>0.41080108916334201</v>
      </c>
      <c r="H3760">
        <v>0.34291701974927002</v>
      </c>
      <c r="I3760">
        <v>0.312513560057053</v>
      </c>
      <c r="J3760">
        <v>0.236504017235976</v>
      </c>
      <c r="K3760">
        <v>0.174859142745003</v>
      </c>
      <c r="L3760">
        <v>424.57305963193602</v>
      </c>
      <c r="M3760">
        <v>8.0542656086935391</v>
      </c>
      <c r="N3760">
        <v>53.230181368669598</v>
      </c>
      <c r="O3760">
        <v>49.762568695028001</v>
      </c>
      <c r="P3760">
        <v>-3.8986541049243498E-2</v>
      </c>
      <c r="Q3760">
        <v>3.7561274643821599E-2</v>
      </c>
      <c r="R3760">
        <v>0.96756647140368102</v>
      </c>
      <c r="S3760" t="s">
        <v>9311</v>
      </c>
      <c r="T3760" t="s">
        <v>11100</v>
      </c>
      <c r="U3760" t="s">
        <v>11100</v>
      </c>
      <c r="V3760" t="s">
        <v>11100</v>
      </c>
      <c r="W3760" t="s">
        <v>14810</v>
      </c>
      <c r="X3760">
        <v>4</v>
      </c>
      <c r="Y3760" t="s">
        <v>20248</v>
      </c>
      <c r="Z3760" t="s">
        <v>25765</v>
      </c>
      <c r="AA3760">
        <v>0.56463186734767445</v>
      </c>
      <c r="AB3760" t="str">
        <f>HYPERLINK("Melting_Curves/meltCurve_Q8IWL3_HSCB.pdf", "Melting_Curves/meltCurve_Q8IWL3_HSCB.pdf")</f>
        <v>Melting_Curves/meltCurve_Q8IWL3_HSCB.pdf</v>
      </c>
    </row>
    <row r="3761" spans="1:28" x14ac:dyDescent="0.25">
      <c r="A3761" t="s">
        <v>3765</v>
      </c>
      <c r="B3761">
        <v>0.99299721793515405</v>
      </c>
      <c r="C3761">
        <v>0.86430283986163603</v>
      </c>
      <c r="D3761">
        <v>1.0140107297688401</v>
      </c>
      <c r="E3761">
        <v>0.76295138165821197</v>
      </c>
      <c r="F3761">
        <v>0.62185883349579896</v>
      </c>
      <c r="G3761">
        <v>0.402637505336083</v>
      </c>
      <c r="H3761">
        <v>0.36936570075387198</v>
      </c>
      <c r="I3761">
        <v>0.33423130612951901</v>
      </c>
      <c r="J3761">
        <v>0.430621086764853</v>
      </c>
      <c r="K3761">
        <v>0.28508912638445999</v>
      </c>
      <c r="L3761">
        <v>876.63232804651102</v>
      </c>
      <c r="M3761">
        <v>17.976438501488801</v>
      </c>
      <c r="N3761">
        <v>51.940033706038797</v>
      </c>
      <c r="O3761">
        <v>48.174168996215499</v>
      </c>
      <c r="P3761">
        <v>-6.2194830614676899E-2</v>
      </c>
      <c r="Q3761">
        <v>0.33334165373060398</v>
      </c>
      <c r="R3761">
        <v>0.950857286674191</v>
      </c>
      <c r="S3761" t="s">
        <v>9312</v>
      </c>
      <c r="T3761" t="s">
        <v>11100</v>
      </c>
      <c r="U3761" t="s">
        <v>11100</v>
      </c>
      <c r="V3761" t="s">
        <v>11100</v>
      </c>
      <c r="W3761" t="s">
        <v>14811</v>
      </c>
      <c r="X3761">
        <v>1</v>
      </c>
      <c r="Y3761" t="s">
        <v>20249</v>
      </c>
      <c r="Z3761" t="s">
        <v>25766</v>
      </c>
      <c r="AA3761">
        <v>0.6054364470384318</v>
      </c>
      <c r="AB3761" t="str">
        <f>HYPERLINK("Melting_Curves/meltCurve_Q8IWP9_CCDC28A.pdf", "Melting_Curves/meltCurve_Q8IWP9_CCDC28A.pdf")</f>
        <v>Melting_Curves/meltCurve_Q8IWP9_CCDC28A.pdf</v>
      </c>
    </row>
    <row r="3762" spans="1:28" x14ac:dyDescent="0.25">
      <c r="A3762" t="s">
        <v>3766</v>
      </c>
      <c r="B3762">
        <v>0.99299721793515405</v>
      </c>
      <c r="C3762">
        <v>0.93133111520210599</v>
      </c>
      <c r="D3762">
        <v>0.85709210741792197</v>
      </c>
      <c r="E3762">
        <v>0.83085301229383901</v>
      </c>
      <c r="F3762">
        <v>0.67263164447544599</v>
      </c>
      <c r="G3762">
        <v>0.50374167068891895</v>
      </c>
      <c r="H3762">
        <v>0.47253704638214</v>
      </c>
      <c r="I3762">
        <v>0.521210633959867</v>
      </c>
      <c r="J3762">
        <v>0.29101389822674301</v>
      </c>
      <c r="K3762">
        <v>0.342050530553625</v>
      </c>
      <c r="L3762">
        <v>428.37429427552399</v>
      </c>
      <c r="M3762">
        <v>8.2486319830563204</v>
      </c>
      <c r="N3762">
        <v>56.271148504989903</v>
      </c>
      <c r="O3762">
        <v>49.148672182123398</v>
      </c>
      <c r="P3762">
        <v>-3.2117955736722999E-2</v>
      </c>
      <c r="Q3762">
        <v>0.23528407518994099</v>
      </c>
      <c r="R3762">
        <v>0.95536140372322198</v>
      </c>
      <c r="S3762" t="s">
        <v>9313</v>
      </c>
      <c r="T3762" t="s">
        <v>11100</v>
      </c>
      <c r="U3762" t="s">
        <v>11100</v>
      </c>
      <c r="V3762" t="s">
        <v>11100</v>
      </c>
      <c r="W3762" t="s">
        <v>14812</v>
      </c>
      <c r="X3762">
        <v>2</v>
      </c>
      <c r="Y3762" t="s">
        <v>20250</v>
      </c>
      <c r="Z3762" t="s">
        <v>25767</v>
      </c>
      <c r="AA3762">
        <v>0.6379704399214311</v>
      </c>
      <c r="AB3762" t="str">
        <f>HYPERLINK("Melting_Curves/meltCurve_Q8IWV8_4_UBR2.pdf", "Melting_Curves/meltCurve_Q8IWV8_4_UBR2.pdf")</f>
        <v>Melting_Curves/meltCurve_Q8IWV8_4_UBR2.pdf</v>
      </c>
    </row>
    <row r="3763" spans="1:28" x14ac:dyDescent="0.25">
      <c r="A3763" t="s">
        <v>3767</v>
      </c>
      <c r="B3763">
        <v>0.99299721793515405</v>
      </c>
      <c r="C3763">
        <v>0.97039134870728305</v>
      </c>
      <c r="D3763">
        <v>0.88955353904920897</v>
      </c>
      <c r="E3763">
        <v>0.83828909109792704</v>
      </c>
      <c r="F3763">
        <v>0.76343139548490202</v>
      </c>
      <c r="G3763">
        <v>0.382343805841456</v>
      </c>
      <c r="H3763">
        <v>0.193106563481385</v>
      </c>
      <c r="I3763">
        <v>0.18950974310220001</v>
      </c>
      <c r="J3763">
        <v>0.178946263681458</v>
      </c>
      <c r="K3763">
        <v>0.124932173572309</v>
      </c>
      <c r="L3763">
        <v>953.161059152495</v>
      </c>
      <c r="M3763">
        <v>18.421477866022101</v>
      </c>
      <c r="N3763">
        <v>52.527298060495802</v>
      </c>
      <c r="O3763">
        <v>51.143658600513099</v>
      </c>
      <c r="P3763">
        <v>-7.9210411151407298E-2</v>
      </c>
      <c r="Q3763">
        <v>0.120390258356021</v>
      </c>
      <c r="R3763">
        <v>0.98025918264819001</v>
      </c>
      <c r="S3763" t="s">
        <v>9314</v>
      </c>
      <c r="T3763" t="s">
        <v>11100</v>
      </c>
      <c r="U3763" t="s">
        <v>11100</v>
      </c>
      <c r="V3763" t="s">
        <v>11100</v>
      </c>
      <c r="W3763" t="s">
        <v>14813</v>
      </c>
      <c r="X3763">
        <v>6</v>
      </c>
      <c r="Y3763" t="s">
        <v>20251</v>
      </c>
      <c r="Z3763" t="s">
        <v>25768</v>
      </c>
      <c r="AA3763">
        <v>0.56557861741957682</v>
      </c>
      <c r="AB3763" t="str">
        <f>HYPERLINK("Melting_Curves/meltCurve_Q8IWW6_4_ARHGAP12.pdf", "Melting_Curves/meltCurve_Q8IWW6_4_ARHGAP12.pdf")</f>
        <v>Melting_Curves/meltCurve_Q8IWW6_4_ARHGAP12.pdf</v>
      </c>
    </row>
    <row r="3764" spans="1:28" x14ac:dyDescent="0.25">
      <c r="A3764" t="s">
        <v>3768</v>
      </c>
      <c r="B3764">
        <v>0.99299721793515405</v>
      </c>
      <c r="C3764">
        <v>0.96541901386639195</v>
      </c>
      <c r="D3764">
        <v>0.99750523130741897</v>
      </c>
      <c r="E3764">
        <v>0.81143484068613003</v>
      </c>
      <c r="F3764">
        <v>0.44242474915709901</v>
      </c>
      <c r="G3764">
        <v>0.26180202427369598</v>
      </c>
      <c r="H3764">
        <v>0.20334639735526899</v>
      </c>
      <c r="I3764">
        <v>0.18170337750069501</v>
      </c>
      <c r="J3764">
        <v>0.15866348532833799</v>
      </c>
      <c r="K3764">
        <v>0.14320310728882299</v>
      </c>
      <c r="L3764">
        <v>1197.8803896690699</v>
      </c>
      <c r="M3764">
        <v>24.4922929224435</v>
      </c>
      <c r="N3764">
        <v>49.723487130720898</v>
      </c>
      <c r="O3764">
        <v>48.585915356234899</v>
      </c>
      <c r="P3764">
        <v>-0.105191610640145</v>
      </c>
      <c r="Q3764">
        <v>0.16532826843666501</v>
      </c>
      <c r="R3764">
        <v>0.99763501753984196</v>
      </c>
      <c r="S3764" t="s">
        <v>9315</v>
      </c>
      <c r="T3764" t="s">
        <v>11100</v>
      </c>
      <c r="U3764" t="s">
        <v>11100</v>
      </c>
      <c r="V3764" t="s">
        <v>11100</v>
      </c>
      <c r="W3764" t="s">
        <v>14814</v>
      </c>
      <c r="X3764">
        <v>20</v>
      </c>
      <c r="Y3764" t="s">
        <v>20252</v>
      </c>
      <c r="Z3764" t="s">
        <v>25769</v>
      </c>
      <c r="AA3764">
        <v>0.5041471032925825</v>
      </c>
      <c r="AB3764" t="str">
        <f>HYPERLINK("Melting_Curves/meltCurve_Q8IWZ3_6_ANKHD1.pdf", "Melting_Curves/meltCurve_Q8IWZ3_6_ANKHD1.pdf")</f>
        <v>Melting_Curves/meltCurve_Q8IWZ3_6_ANKHD1.pdf</v>
      </c>
    </row>
    <row r="3765" spans="1:28" x14ac:dyDescent="0.25">
      <c r="A3765" t="s">
        <v>3769</v>
      </c>
      <c r="B3765">
        <v>0.99299721793515405</v>
      </c>
      <c r="C3765">
        <v>1.1692607496916501</v>
      </c>
      <c r="D3765">
        <v>0.930638123920978</v>
      </c>
      <c r="E3765">
        <v>1.02538171672514</v>
      </c>
      <c r="F3765">
        <v>0.71566228531179099</v>
      </c>
      <c r="G3765">
        <v>0.33675204785843799</v>
      </c>
      <c r="H3765">
        <v>0.281875684981163</v>
      </c>
      <c r="I3765">
        <v>0.219295342200508</v>
      </c>
      <c r="J3765">
        <v>0.208424284589416</v>
      </c>
      <c r="K3765">
        <v>0.15893765774207699</v>
      </c>
      <c r="L3765">
        <v>1691.92438794548</v>
      </c>
      <c r="M3765">
        <v>33.059025315256797</v>
      </c>
      <c r="N3765">
        <v>52.029724874948101</v>
      </c>
      <c r="O3765">
        <v>50.9927234443972</v>
      </c>
      <c r="P3765">
        <v>-0.12823560578277801</v>
      </c>
      <c r="Q3765">
        <v>0.20880270926708699</v>
      </c>
      <c r="R3765">
        <v>0.97111608140696704</v>
      </c>
      <c r="S3765" t="s">
        <v>9316</v>
      </c>
      <c r="T3765" t="s">
        <v>11100</v>
      </c>
      <c r="U3765" t="s">
        <v>11100</v>
      </c>
      <c r="V3765" t="s">
        <v>11100</v>
      </c>
      <c r="W3765" t="s">
        <v>14815</v>
      </c>
      <c r="X3765">
        <v>7</v>
      </c>
      <c r="Y3765" t="s">
        <v>20253</v>
      </c>
      <c r="Z3765" t="s">
        <v>25770</v>
      </c>
      <c r="AA3765">
        <v>0.58683113645247598</v>
      </c>
      <c r="AB3765" t="str">
        <f>HYPERLINK("Melting_Curves/meltCurve_Q8IWZ8_SUGP1.pdf", "Melting_Curves/meltCurve_Q8IWZ8_SUGP1.pdf")</f>
        <v>Melting_Curves/meltCurve_Q8IWZ8_SUGP1.pdf</v>
      </c>
    </row>
    <row r="3766" spans="1:28" x14ac:dyDescent="0.25">
      <c r="A3766" t="s">
        <v>3770</v>
      </c>
      <c r="B3766">
        <v>0.99299721793515405</v>
      </c>
      <c r="C3766">
        <v>0.907898747638887</v>
      </c>
      <c r="D3766">
        <v>0.93220379380153895</v>
      </c>
      <c r="E3766">
        <v>0.79025649972854395</v>
      </c>
      <c r="F3766">
        <v>0.81049922397035201</v>
      </c>
      <c r="G3766">
        <v>0.33588414861773203</v>
      </c>
      <c r="H3766">
        <v>0.25276745795130301</v>
      </c>
      <c r="I3766">
        <v>0.18184117289731899</v>
      </c>
      <c r="J3766">
        <v>0.261239270995756</v>
      </c>
      <c r="K3766">
        <v>0.16549218628992601</v>
      </c>
      <c r="L3766">
        <v>1029.03149874667</v>
      </c>
      <c r="M3766">
        <v>20.019136826073002</v>
      </c>
      <c r="N3766">
        <v>52.519080387690401</v>
      </c>
      <c r="O3766">
        <v>50.897699727259997</v>
      </c>
      <c r="P3766">
        <v>-8.1289289828386804E-2</v>
      </c>
      <c r="Q3766">
        <v>0.17332986650144599</v>
      </c>
      <c r="R3766">
        <v>0.95192416423514903</v>
      </c>
      <c r="S3766" t="s">
        <v>9317</v>
      </c>
      <c r="T3766" t="s">
        <v>11100</v>
      </c>
      <c r="U3766" t="s">
        <v>11100</v>
      </c>
      <c r="V3766" t="s">
        <v>11100</v>
      </c>
      <c r="W3766" t="s">
        <v>14816</v>
      </c>
      <c r="X3766">
        <v>1</v>
      </c>
      <c r="Y3766" t="s">
        <v>20254</v>
      </c>
      <c r="Z3766" t="s">
        <v>25771</v>
      </c>
      <c r="AA3766">
        <v>0.58095635532329626</v>
      </c>
      <c r="AB3766" t="str">
        <f>HYPERLINK("Melting_Curves/meltCurve_Q8IX04_6_UEVLD.pdf", "Melting_Curves/meltCurve_Q8IX04_6_UEVLD.pdf")</f>
        <v>Melting_Curves/meltCurve_Q8IX04_6_UEVLD.pdf</v>
      </c>
    </row>
    <row r="3767" spans="1:28" x14ac:dyDescent="0.25">
      <c r="A3767" t="s">
        <v>3771</v>
      </c>
      <c r="B3767">
        <v>0.99299721793515405</v>
      </c>
      <c r="C3767">
        <v>0.943050836246772</v>
      </c>
      <c r="D3767">
        <v>1.07304846909442</v>
      </c>
      <c r="E3767">
        <v>0.73205613695911598</v>
      </c>
      <c r="F3767">
        <v>0.84542598443767003</v>
      </c>
      <c r="G3767">
        <v>0.680795225390189</v>
      </c>
      <c r="H3767">
        <v>0.41376183996348498</v>
      </c>
      <c r="I3767">
        <v>0.45645715034290901</v>
      </c>
      <c r="J3767">
        <v>0.41237053595574003</v>
      </c>
      <c r="K3767">
        <v>0.31380410182090801</v>
      </c>
      <c r="L3767">
        <v>566.74346657276601</v>
      </c>
      <c r="M3767">
        <v>10.4888535438403</v>
      </c>
      <c r="N3767">
        <v>57.8967650408566</v>
      </c>
      <c r="O3767">
        <v>52.179699480046303</v>
      </c>
      <c r="P3767">
        <v>-3.7619685690769199E-2</v>
      </c>
      <c r="Q3767">
        <v>0.25170517626465899</v>
      </c>
      <c r="R3767">
        <v>0.91166175730000298</v>
      </c>
      <c r="S3767" t="s">
        <v>9318</v>
      </c>
      <c r="T3767" t="s">
        <v>11100</v>
      </c>
      <c r="U3767" t="s">
        <v>11100</v>
      </c>
      <c r="V3767" t="s">
        <v>11100</v>
      </c>
      <c r="W3767" t="s">
        <v>14817</v>
      </c>
      <c r="X3767">
        <v>4</v>
      </c>
      <c r="Y3767" t="s">
        <v>20255</v>
      </c>
      <c r="Z3767" t="s">
        <v>25772</v>
      </c>
      <c r="AA3767">
        <v>0.68980410515278123</v>
      </c>
      <c r="AB3767" t="str">
        <f>HYPERLINK("Melting_Curves/meltCurve_Q8IX12_2_CCAR1.pdf", "Melting_Curves/meltCurve_Q8IX12_2_CCAR1.pdf")</f>
        <v>Melting_Curves/meltCurve_Q8IX12_2_CCAR1.pdf</v>
      </c>
    </row>
    <row r="3768" spans="1:28" x14ac:dyDescent="0.25">
      <c r="A3768" t="s">
        <v>3772</v>
      </c>
      <c r="B3768">
        <v>0.99299721793515405</v>
      </c>
      <c r="C3768">
        <v>1.0297295494068199</v>
      </c>
      <c r="D3768">
        <v>0.76618477347116798</v>
      </c>
      <c r="E3768">
        <v>0.90129559609924803</v>
      </c>
      <c r="F3768">
        <v>0.84043614501835995</v>
      </c>
      <c r="G3768">
        <v>0.38974476472901798</v>
      </c>
      <c r="H3768">
        <v>0.23430462126239701</v>
      </c>
      <c r="I3768">
        <v>0.22169397806138</v>
      </c>
      <c r="J3768">
        <v>0.17484413876594199</v>
      </c>
      <c r="K3768">
        <v>0.15420619951789399</v>
      </c>
      <c r="L3768">
        <v>1537.92817735427</v>
      </c>
      <c r="M3768">
        <v>29.482641768781701</v>
      </c>
      <c r="N3768">
        <v>52.9438445091604</v>
      </c>
      <c r="O3768">
        <v>51.925630222962504</v>
      </c>
      <c r="P3768">
        <v>-0.116942312508449</v>
      </c>
      <c r="Q3768">
        <v>0.176157832231327</v>
      </c>
      <c r="R3768">
        <v>0.94668646387486399</v>
      </c>
      <c r="S3768" t="s">
        <v>9319</v>
      </c>
      <c r="T3768" t="s">
        <v>11100</v>
      </c>
      <c r="U3768" t="s">
        <v>11100</v>
      </c>
      <c r="V3768" t="s">
        <v>11100</v>
      </c>
      <c r="W3768" t="s">
        <v>14818</v>
      </c>
      <c r="X3768">
        <v>1</v>
      </c>
      <c r="Y3768" t="s">
        <v>20256</v>
      </c>
      <c r="Z3768" t="s">
        <v>25773</v>
      </c>
      <c r="AA3768">
        <v>0.5979610322075839</v>
      </c>
      <c r="AB3768" t="str">
        <f>HYPERLINK("Melting_Curves/meltCurve_Q8IX18_3_DHX40.pdf", "Melting_Curves/meltCurve_Q8IX18_3_DHX40.pdf")</f>
        <v>Melting_Curves/meltCurve_Q8IX18_3_DHX40.pdf</v>
      </c>
    </row>
    <row r="3769" spans="1:28" x14ac:dyDescent="0.25">
      <c r="A3769" t="s">
        <v>3773</v>
      </c>
      <c r="B3769">
        <v>0.99299721793515405</v>
      </c>
      <c r="C3769">
        <v>0.97894481496674102</v>
      </c>
      <c r="D3769">
        <v>0.95592555103915</v>
      </c>
      <c r="E3769">
        <v>0.851195065269434</v>
      </c>
      <c r="F3769">
        <v>0.455800451314127</v>
      </c>
      <c r="G3769">
        <v>0.27381084149288198</v>
      </c>
      <c r="H3769">
        <v>0.30263271754189602</v>
      </c>
      <c r="I3769">
        <v>0.37246540594167599</v>
      </c>
      <c r="J3769">
        <v>0.50467459996163799</v>
      </c>
      <c r="K3769">
        <v>0.43884301800001702</v>
      </c>
      <c r="L3769">
        <v>2157.7802899502299</v>
      </c>
      <c r="M3769">
        <v>45.1461771452731</v>
      </c>
      <c r="N3769">
        <v>49.354020789249702</v>
      </c>
      <c r="O3769">
        <v>47.701920947831603</v>
      </c>
      <c r="P3769">
        <v>-0.14673534127968299</v>
      </c>
      <c r="Q3769">
        <v>0.379832436055212</v>
      </c>
      <c r="R3769">
        <v>0.94994993572700603</v>
      </c>
      <c r="S3769" t="s">
        <v>9320</v>
      </c>
      <c r="T3769" t="s">
        <v>11100</v>
      </c>
      <c r="U3769" t="s">
        <v>11100</v>
      </c>
      <c r="V3769" t="s">
        <v>11100</v>
      </c>
      <c r="W3769" t="s">
        <v>14819</v>
      </c>
      <c r="X3769">
        <v>7</v>
      </c>
      <c r="Y3769" t="s">
        <v>20257</v>
      </c>
      <c r="Z3769" t="s">
        <v>25774</v>
      </c>
      <c r="AA3769">
        <v>0.60460369685942017</v>
      </c>
      <c r="AB3769" t="str">
        <f>HYPERLINK("Melting_Curves/meltCurve_Q8IX90_SKA3.pdf", "Melting_Curves/meltCurve_Q8IX90_SKA3.pdf")</f>
        <v>Melting_Curves/meltCurve_Q8IX90_SKA3.pdf</v>
      </c>
    </row>
    <row r="3770" spans="1:28" x14ac:dyDescent="0.25">
      <c r="A3770" t="s">
        <v>3774</v>
      </c>
      <c r="B3770">
        <v>0.99299721793515405</v>
      </c>
      <c r="C3770">
        <v>0.98038881456454796</v>
      </c>
      <c r="D3770">
        <v>0.97738914537974797</v>
      </c>
      <c r="E3770">
        <v>0.86302610120218604</v>
      </c>
      <c r="F3770">
        <v>0.63798902675174096</v>
      </c>
      <c r="G3770">
        <v>0.57900071917796503</v>
      </c>
      <c r="H3770">
        <v>0.40214614760948603</v>
      </c>
      <c r="I3770">
        <v>0.26362512737114302</v>
      </c>
      <c r="J3770">
        <v>0.239921273236886</v>
      </c>
      <c r="K3770">
        <v>0.198606590704514</v>
      </c>
      <c r="L3770">
        <v>590.78865518962596</v>
      </c>
      <c r="M3770">
        <v>11.0872860976919</v>
      </c>
      <c r="N3770">
        <v>54.572374545316201</v>
      </c>
      <c r="O3770">
        <v>51.639898594664899</v>
      </c>
      <c r="P3770">
        <v>-4.7515914162703198E-2</v>
      </c>
      <c r="Q3770">
        <v>0.115053464929852</v>
      </c>
      <c r="R3770">
        <v>0.99107299561043505</v>
      </c>
      <c r="S3770" t="s">
        <v>9321</v>
      </c>
      <c r="T3770" t="s">
        <v>11100</v>
      </c>
      <c r="U3770" t="s">
        <v>11100</v>
      </c>
      <c r="V3770" t="s">
        <v>11100</v>
      </c>
      <c r="W3770" t="s">
        <v>14820</v>
      </c>
      <c r="X3770">
        <v>11</v>
      </c>
      <c r="Y3770" t="s">
        <v>20258</v>
      </c>
      <c r="Z3770" t="s">
        <v>25775</v>
      </c>
      <c r="AA3770">
        <v>0.61383646804445746</v>
      </c>
      <c r="AB3770" t="str">
        <f>HYPERLINK("Melting_Curves/meltCurve_Q8IXB1_2_DNAJC10.pdf", "Melting_Curves/meltCurve_Q8IXB1_2_DNAJC10.pdf")</f>
        <v>Melting_Curves/meltCurve_Q8IXB1_2_DNAJC10.pdf</v>
      </c>
    </row>
    <row r="3771" spans="1:28" x14ac:dyDescent="0.25">
      <c r="A3771" t="s">
        <v>3775</v>
      </c>
      <c r="B3771">
        <v>0.99299721793515405</v>
      </c>
      <c r="C3771">
        <v>0.92686308948227802</v>
      </c>
      <c r="D3771">
        <v>0.90737035730269799</v>
      </c>
      <c r="E3771">
        <v>0.86725630793492003</v>
      </c>
      <c r="F3771">
        <v>0.59497057247808405</v>
      </c>
      <c r="G3771">
        <v>0.36784498364283302</v>
      </c>
      <c r="H3771">
        <v>0.21066754618779401</v>
      </c>
      <c r="I3771">
        <v>0.15584497134724601</v>
      </c>
      <c r="J3771">
        <v>0.139728197296832</v>
      </c>
      <c r="K3771">
        <v>0.100084885630866</v>
      </c>
      <c r="L3771">
        <v>786.82473795452199</v>
      </c>
      <c r="M3771">
        <v>15.419158637324699</v>
      </c>
      <c r="N3771">
        <v>51.652594771586003</v>
      </c>
      <c r="O3771">
        <v>50.193821261957403</v>
      </c>
      <c r="P3771">
        <v>-7.0282469885029494E-2</v>
      </c>
      <c r="Q3771">
        <v>8.4923878320860305E-2</v>
      </c>
      <c r="R3771">
        <v>0.99372571245295505</v>
      </c>
      <c r="S3771" t="s">
        <v>9322</v>
      </c>
      <c r="T3771" t="s">
        <v>11100</v>
      </c>
      <c r="U3771" t="s">
        <v>11100</v>
      </c>
      <c r="V3771" t="s">
        <v>11100</v>
      </c>
      <c r="W3771" t="s">
        <v>14821</v>
      </c>
      <c r="X3771">
        <v>9</v>
      </c>
      <c r="Y3771" t="s">
        <v>20259</v>
      </c>
      <c r="Z3771" t="s">
        <v>25776</v>
      </c>
      <c r="AA3771">
        <v>0.53058433444587805</v>
      </c>
      <c r="AB3771" t="str">
        <f>HYPERLINK("Melting_Curves/meltCurve_Q8IXI1_RHOT2.pdf", "Melting_Curves/meltCurve_Q8IXI1_RHOT2.pdf")</f>
        <v>Melting_Curves/meltCurve_Q8IXI1_RHOT2.pdf</v>
      </c>
    </row>
    <row r="3772" spans="1:28" x14ac:dyDescent="0.25">
      <c r="A3772" t="s">
        <v>3776</v>
      </c>
      <c r="B3772">
        <v>0.99299721793515405</v>
      </c>
      <c r="C3772">
        <v>1.0077422816819499</v>
      </c>
      <c r="D3772">
        <v>0.90362931527870305</v>
      </c>
      <c r="E3772">
        <v>0.98598979315801105</v>
      </c>
      <c r="F3772">
        <v>0.78042549229105795</v>
      </c>
      <c r="G3772">
        <v>0.69994068080271599</v>
      </c>
      <c r="H3772">
        <v>0.324704197854569</v>
      </c>
      <c r="I3772">
        <v>0.125878788880642</v>
      </c>
      <c r="J3772">
        <v>9.57377104797527E-2</v>
      </c>
      <c r="K3772">
        <v>6.8796898650551802E-2</v>
      </c>
      <c r="L3772">
        <v>961.22437863655898</v>
      </c>
      <c r="M3772">
        <v>17.370290766494399</v>
      </c>
      <c r="N3772">
        <v>55.338939753171402</v>
      </c>
      <c r="O3772">
        <v>54.619465499705598</v>
      </c>
      <c r="P3772">
        <v>-7.9489592775012996E-2</v>
      </c>
      <c r="Q3772">
        <v>2.6254751635819998E-4</v>
      </c>
      <c r="R3772">
        <v>0.98385882352957199</v>
      </c>
      <c r="S3772" t="s">
        <v>9323</v>
      </c>
      <c r="T3772" t="s">
        <v>11100</v>
      </c>
      <c r="U3772" t="s">
        <v>11100</v>
      </c>
      <c r="V3772" t="s">
        <v>11100</v>
      </c>
      <c r="W3772" t="s">
        <v>14822</v>
      </c>
      <c r="X3772">
        <v>6</v>
      </c>
      <c r="Y3772" t="s">
        <v>20260</v>
      </c>
      <c r="Z3772" t="s">
        <v>25777</v>
      </c>
      <c r="AA3772">
        <v>0.62374942262778466</v>
      </c>
      <c r="AB3772" t="str">
        <f>HYPERLINK("Melting_Curves/meltCurve_Q8IXI2_4_RHOT1.pdf", "Melting_Curves/meltCurve_Q8IXI2_4_RHOT1.pdf")</f>
        <v>Melting_Curves/meltCurve_Q8IXI2_4_RHOT1.pdf</v>
      </c>
    </row>
    <row r="3773" spans="1:28" x14ac:dyDescent="0.25">
      <c r="A3773" t="s">
        <v>3777</v>
      </c>
      <c r="B3773">
        <v>0.99299721793515405</v>
      </c>
      <c r="C3773">
        <v>1.0082859292448501</v>
      </c>
      <c r="D3773">
        <v>0.88645009033323696</v>
      </c>
      <c r="E3773">
        <v>0.85588602112882795</v>
      </c>
      <c r="F3773">
        <v>0.71095388799194903</v>
      </c>
      <c r="G3773">
        <v>0.46517134233410801</v>
      </c>
      <c r="H3773">
        <v>0.22926980276749301</v>
      </c>
      <c r="I3773">
        <v>0.140156399651124</v>
      </c>
      <c r="J3773">
        <v>0.12856880572522</v>
      </c>
      <c r="K3773">
        <v>8.2079195577851302E-2</v>
      </c>
      <c r="L3773">
        <v>729.08321709701499</v>
      </c>
      <c r="M3773">
        <v>13.8137278758325</v>
      </c>
      <c r="N3773">
        <v>52.986998651369397</v>
      </c>
      <c r="O3773">
        <v>51.7103906557466</v>
      </c>
      <c r="P3773">
        <v>-6.5035741943959002E-2</v>
      </c>
      <c r="Q3773">
        <v>2.6314955952875901E-2</v>
      </c>
      <c r="R3773">
        <v>0.99278640710622301</v>
      </c>
      <c r="S3773" t="s">
        <v>9324</v>
      </c>
      <c r="T3773" t="s">
        <v>11100</v>
      </c>
      <c r="U3773" t="s">
        <v>11100</v>
      </c>
      <c r="V3773" t="s">
        <v>11100</v>
      </c>
      <c r="W3773" t="s">
        <v>14823</v>
      </c>
      <c r="X3773">
        <v>9</v>
      </c>
      <c r="Y3773" t="s">
        <v>20261</v>
      </c>
      <c r="Z3773" t="s">
        <v>25778</v>
      </c>
      <c r="AA3773">
        <v>0.55755385685206493</v>
      </c>
      <c r="AB3773" t="str">
        <f>HYPERLINK("Melting_Curves/meltCurve_Q8IXJ6_2_SIRT2.pdf", "Melting_Curves/meltCurve_Q8IXJ6_2_SIRT2.pdf")</f>
        <v>Melting_Curves/meltCurve_Q8IXJ6_2_SIRT2.pdf</v>
      </c>
    </row>
    <row r="3774" spans="1:28" x14ac:dyDescent="0.25">
      <c r="A3774" t="s">
        <v>3778</v>
      </c>
      <c r="B3774">
        <v>0.99299721793515405</v>
      </c>
      <c r="C3774">
        <v>0.91700194495904597</v>
      </c>
      <c r="D3774">
        <v>0.91844957558223195</v>
      </c>
      <c r="E3774">
        <v>0.80704308516462897</v>
      </c>
      <c r="F3774">
        <v>0.69467792509517301</v>
      </c>
      <c r="G3774">
        <v>0.43479699352609602</v>
      </c>
      <c r="H3774">
        <v>0.45259359508432201</v>
      </c>
      <c r="I3774">
        <v>0.52299765857482805</v>
      </c>
      <c r="J3774">
        <v>0.55144804675459502</v>
      </c>
      <c r="K3774">
        <v>0.500106956390857</v>
      </c>
      <c r="L3774">
        <v>911.047687560702</v>
      </c>
      <c r="M3774">
        <v>19.100978041894901</v>
      </c>
      <c r="N3774">
        <v>58.849656189369398</v>
      </c>
      <c r="O3774">
        <v>47.182828920541198</v>
      </c>
      <c r="P3774">
        <v>-5.1960899586760499E-2</v>
      </c>
      <c r="Q3774">
        <v>0.486609213771453</v>
      </c>
      <c r="R3774">
        <v>0.93107453878834401</v>
      </c>
      <c r="S3774" t="s">
        <v>9325</v>
      </c>
      <c r="T3774" t="s">
        <v>11100</v>
      </c>
      <c r="U3774" t="s">
        <v>11100</v>
      </c>
      <c r="V3774" t="s">
        <v>11100</v>
      </c>
      <c r="W3774" t="s">
        <v>14824</v>
      </c>
      <c r="X3774">
        <v>7</v>
      </c>
      <c r="Y3774" t="s">
        <v>20262</v>
      </c>
      <c r="Z3774" t="s">
        <v>25779</v>
      </c>
      <c r="AA3774">
        <v>0.67700968753793289</v>
      </c>
      <c r="AB3774" t="str">
        <f>HYPERLINK("Melting_Curves/meltCurve_Q8IXQ3_C9orf40.pdf", "Melting_Curves/meltCurve_Q8IXQ3_C9orf40.pdf")</f>
        <v>Melting_Curves/meltCurve_Q8IXQ3_C9orf40.pdf</v>
      </c>
    </row>
    <row r="3775" spans="1:28" x14ac:dyDescent="0.25">
      <c r="A3775" t="s">
        <v>3779</v>
      </c>
      <c r="B3775">
        <v>0.99299721793515405</v>
      </c>
      <c r="C3775">
        <v>0.98929359066186695</v>
      </c>
      <c r="D3775">
        <v>1.1294155279897</v>
      </c>
      <c r="E3775">
        <v>0.91297924058032298</v>
      </c>
      <c r="F3775">
        <v>0.80666470675167801</v>
      </c>
      <c r="G3775">
        <v>0.80585130728972498</v>
      </c>
      <c r="H3775">
        <v>0.73855811423689199</v>
      </c>
      <c r="I3775">
        <v>0.87556181449834203</v>
      </c>
      <c r="J3775">
        <v>1.09099840190367</v>
      </c>
      <c r="K3775">
        <v>1.0209907508515601</v>
      </c>
      <c r="L3775">
        <v>11588.411913275</v>
      </c>
      <c r="M3775">
        <v>250</v>
      </c>
      <c r="O3775">
        <v>46.350667738606703</v>
      </c>
      <c r="P3775">
        <v>-0.14863474982678901</v>
      </c>
      <c r="Q3775">
        <v>0.88977084920726801</v>
      </c>
      <c r="R3775">
        <v>0.263482671965446</v>
      </c>
      <c r="S3775" t="s">
        <v>9326</v>
      </c>
      <c r="T3775" t="s">
        <v>11100</v>
      </c>
      <c r="U3775" t="s">
        <v>11100</v>
      </c>
      <c r="V3775" t="s">
        <v>11100</v>
      </c>
      <c r="W3775" t="s">
        <v>14825</v>
      </c>
      <c r="X3775">
        <v>12</v>
      </c>
      <c r="Y3775" t="s">
        <v>20263</v>
      </c>
      <c r="Z3775" t="s">
        <v>25780</v>
      </c>
      <c r="AA3775">
        <v>0.92414797092818013</v>
      </c>
      <c r="AB3775" t="str">
        <f>HYPERLINK("Melting_Curves/meltCurve_Q8IXQ4_KIAA1704.pdf", "Melting_Curves/meltCurve_Q8IXQ4_KIAA1704.pdf")</f>
        <v>Melting_Curves/meltCurve_Q8IXQ4_KIAA1704.pdf</v>
      </c>
    </row>
    <row r="3776" spans="1:28" x14ac:dyDescent="0.25">
      <c r="A3776" t="s">
        <v>3780</v>
      </c>
      <c r="B3776">
        <v>0.99299721793515405</v>
      </c>
      <c r="C3776">
        <v>0.98006258477838604</v>
      </c>
      <c r="D3776">
        <v>1.0991243166629101</v>
      </c>
      <c r="E3776">
        <v>0.76623415868459399</v>
      </c>
      <c r="F3776">
        <v>0.45354827002714099</v>
      </c>
      <c r="G3776">
        <v>0.177568898825639</v>
      </c>
      <c r="H3776">
        <v>0.26372098196843202</v>
      </c>
      <c r="I3776">
        <v>0.242853623441496</v>
      </c>
      <c r="J3776">
        <v>0.19413743104064299</v>
      </c>
      <c r="K3776">
        <v>0.236734349919409</v>
      </c>
      <c r="L3776">
        <v>1466.0222153233001</v>
      </c>
      <c r="M3776">
        <v>30.339615157427399</v>
      </c>
      <c r="N3776">
        <v>49.263204690487498</v>
      </c>
      <c r="O3776">
        <v>48.111927646552097</v>
      </c>
      <c r="P3776">
        <v>-0.122932222023557</v>
      </c>
      <c r="Q3776">
        <v>0.220231462110136</v>
      </c>
      <c r="R3776">
        <v>0.97932177681103405</v>
      </c>
      <c r="S3776" t="s">
        <v>9327</v>
      </c>
      <c r="T3776" t="s">
        <v>11100</v>
      </c>
      <c r="U3776" t="s">
        <v>11100</v>
      </c>
      <c r="V3776" t="s">
        <v>11100</v>
      </c>
      <c r="W3776" t="s">
        <v>14826</v>
      </c>
      <c r="X3776">
        <v>1</v>
      </c>
      <c r="Y3776" t="s">
        <v>20264</v>
      </c>
      <c r="Z3776" t="s">
        <v>25781</v>
      </c>
      <c r="AA3776">
        <v>0.5190165401957022</v>
      </c>
      <c r="AB3776" t="str">
        <f>HYPERLINK("Melting_Curves/meltCurve_Q8IXW5_2_RPAP2.pdf", "Melting_Curves/meltCurve_Q8IXW5_2_RPAP2.pdf")</f>
        <v>Melting_Curves/meltCurve_Q8IXW5_2_RPAP2.pdf</v>
      </c>
    </row>
    <row r="3777" spans="1:28" x14ac:dyDescent="0.25">
      <c r="A3777" t="s">
        <v>3781</v>
      </c>
      <c r="B3777">
        <v>0.99299721793515405</v>
      </c>
      <c r="C3777">
        <v>1.01554671890223</v>
      </c>
      <c r="D3777">
        <v>0.90456762437804705</v>
      </c>
      <c r="E3777">
        <v>0.982817296456165</v>
      </c>
      <c r="F3777">
        <v>0.75336504300184803</v>
      </c>
      <c r="G3777">
        <v>0.65519355029909399</v>
      </c>
      <c r="H3777">
        <v>0.61188866628599603</v>
      </c>
      <c r="I3777">
        <v>0.374338334152783</v>
      </c>
      <c r="J3777">
        <v>0.22306106975196999</v>
      </c>
      <c r="K3777">
        <v>0.21238024146187801</v>
      </c>
      <c r="L3777">
        <v>570.633643142913</v>
      </c>
      <c r="M3777">
        <v>9.8555692318629298</v>
      </c>
      <c r="N3777">
        <v>57.899617279727998</v>
      </c>
      <c r="O3777">
        <v>55.666967236512697</v>
      </c>
      <c r="P3777">
        <v>-4.4284057722546899E-2</v>
      </c>
      <c r="Q3777">
        <v>0</v>
      </c>
      <c r="R3777">
        <v>0.97121230852914597</v>
      </c>
      <c r="S3777" t="s">
        <v>9328</v>
      </c>
      <c r="T3777" t="s">
        <v>11100</v>
      </c>
      <c r="U3777" t="s">
        <v>11100</v>
      </c>
      <c r="V3777" t="s">
        <v>11100</v>
      </c>
      <c r="W3777" t="s">
        <v>14827</v>
      </c>
      <c r="X3777">
        <v>1</v>
      </c>
      <c r="Y3777" t="s">
        <v>20265</v>
      </c>
      <c r="Z3777" t="s">
        <v>25782</v>
      </c>
      <c r="AA3777">
        <v>0.68822060999131429</v>
      </c>
      <c r="AB3777" t="str">
        <f>HYPERLINK("Melting_Curves/meltCurve_Q8IY47_KBTBD2.pdf", "Melting_Curves/meltCurve_Q8IY47_KBTBD2.pdf")</f>
        <v>Melting_Curves/meltCurve_Q8IY47_KBTBD2.pdf</v>
      </c>
    </row>
    <row r="3778" spans="1:28" x14ac:dyDescent="0.25">
      <c r="A3778" t="s">
        <v>3782</v>
      </c>
      <c r="B3778">
        <v>0.99299721793515405</v>
      </c>
      <c r="C3778">
        <v>0.84900341172597105</v>
      </c>
      <c r="D3778">
        <v>1.03808293458134</v>
      </c>
      <c r="E3778">
        <v>0.93690983254118398</v>
      </c>
      <c r="F3778">
        <v>0.74624107330979805</v>
      </c>
      <c r="G3778">
        <v>0.36144136581507602</v>
      </c>
      <c r="H3778">
        <v>0.48169812778596499</v>
      </c>
      <c r="I3778">
        <v>0.45088454368852698</v>
      </c>
      <c r="J3778">
        <v>0.54732677349831604</v>
      </c>
      <c r="K3778">
        <v>0.58419257757593301</v>
      </c>
      <c r="L3778">
        <v>12551.4378601191</v>
      </c>
      <c r="M3778">
        <v>250</v>
      </c>
      <c r="N3778">
        <v>50.921468296576698</v>
      </c>
      <c r="O3778">
        <v>50.202540107385602</v>
      </c>
      <c r="P3778">
        <v>-0.64101754013580203</v>
      </c>
      <c r="Q3778">
        <v>0.48510867570999999</v>
      </c>
      <c r="R3778">
        <v>0.89209993847417202</v>
      </c>
      <c r="S3778" t="s">
        <v>9329</v>
      </c>
      <c r="T3778" t="s">
        <v>11100</v>
      </c>
      <c r="U3778" t="s">
        <v>11100</v>
      </c>
      <c r="V3778" t="s">
        <v>11100</v>
      </c>
      <c r="W3778" t="s">
        <v>14828</v>
      </c>
      <c r="X3778">
        <v>2</v>
      </c>
      <c r="Y3778" t="s">
        <v>20266</v>
      </c>
      <c r="Z3778" t="s">
        <v>25783</v>
      </c>
      <c r="AA3778">
        <v>0.71180493785982002</v>
      </c>
      <c r="AB3778" t="str">
        <f>HYPERLINK("Melting_Curves/meltCurve_Q8IY63_2_AMOTL1.pdf", "Melting_Curves/meltCurve_Q8IY63_2_AMOTL1.pdf")</f>
        <v>Melting_Curves/meltCurve_Q8IY63_2_AMOTL1.pdf</v>
      </c>
    </row>
    <row r="3779" spans="1:28" x14ac:dyDescent="0.25">
      <c r="A3779" t="s">
        <v>3783</v>
      </c>
      <c r="B3779">
        <v>0.99299721793515405</v>
      </c>
      <c r="C3779">
        <v>1.0243145130714399</v>
      </c>
      <c r="D3779">
        <v>0.92960176777302905</v>
      </c>
      <c r="E3779">
        <v>0.97587552712862702</v>
      </c>
      <c r="F3779">
        <v>0.94012135125311802</v>
      </c>
      <c r="G3779">
        <v>0.64443353728503605</v>
      </c>
      <c r="H3779">
        <v>0.57587989173345899</v>
      </c>
      <c r="I3779">
        <v>0.65677049042054303</v>
      </c>
      <c r="J3779">
        <v>0.59451558468867605</v>
      </c>
      <c r="K3779">
        <v>0.308095254661997</v>
      </c>
      <c r="L3779">
        <v>430.15380352922398</v>
      </c>
      <c r="M3779">
        <v>6.7965744409545596</v>
      </c>
      <c r="N3779">
        <v>63.289794966923402</v>
      </c>
      <c r="O3779">
        <v>58.488557401205099</v>
      </c>
      <c r="P3779">
        <v>-2.9110864880334299E-2</v>
      </c>
      <c r="Q3779">
        <v>0</v>
      </c>
      <c r="R3779">
        <v>0.86764913344795902</v>
      </c>
      <c r="S3779" t="s">
        <v>9330</v>
      </c>
      <c r="T3779" t="s">
        <v>11100</v>
      </c>
      <c r="U3779" t="s">
        <v>11100</v>
      </c>
      <c r="V3779" t="s">
        <v>11100</v>
      </c>
      <c r="W3779" t="s">
        <v>14829</v>
      </c>
      <c r="X3779">
        <v>5</v>
      </c>
      <c r="Y3779" t="s">
        <v>20267</v>
      </c>
      <c r="Z3779" t="s">
        <v>25784</v>
      </c>
      <c r="AA3779">
        <v>0.76983496920566608</v>
      </c>
      <c r="AB3779" t="str">
        <f>HYPERLINK("Melting_Curves/meltCurve_Q8IY95_2_TMEM192.pdf", "Melting_Curves/meltCurve_Q8IY95_2_TMEM192.pdf")</f>
        <v>Melting_Curves/meltCurve_Q8IY95_2_TMEM192.pdf</v>
      </c>
    </row>
    <row r="3780" spans="1:28" x14ac:dyDescent="0.25">
      <c r="A3780" t="s">
        <v>3784</v>
      </c>
      <c r="B3780">
        <v>0.99299721793515405</v>
      </c>
      <c r="C3780">
        <v>0.98813468264159798</v>
      </c>
      <c r="D3780">
        <v>0.96712698582861201</v>
      </c>
      <c r="E3780">
        <v>0.80344158582946901</v>
      </c>
      <c r="F3780">
        <v>0.69894809767436705</v>
      </c>
      <c r="G3780">
        <v>0.47753410294868498</v>
      </c>
      <c r="H3780">
        <v>0.62083264100509195</v>
      </c>
      <c r="I3780">
        <v>0.66382979203807102</v>
      </c>
      <c r="J3780">
        <v>0.69288567836288095</v>
      </c>
      <c r="K3780">
        <v>0.43519500573805697</v>
      </c>
      <c r="L3780">
        <v>1193.73910044017</v>
      </c>
      <c r="M3780">
        <v>25.382860848622499</v>
      </c>
      <c r="O3780">
        <v>46.740344549909601</v>
      </c>
      <c r="P3780">
        <v>-5.6851085112170303E-2</v>
      </c>
      <c r="Q3780">
        <v>0.58125985195956997</v>
      </c>
      <c r="R3780">
        <v>0.840227854369202</v>
      </c>
      <c r="S3780" t="s">
        <v>9331</v>
      </c>
      <c r="T3780" t="s">
        <v>11100</v>
      </c>
      <c r="U3780" t="s">
        <v>11100</v>
      </c>
      <c r="V3780" t="s">
        <v>11100</v>
      </c>
      <c r="W3780" t="s">
        <v>14830</v>
      </c>
      <c r="X3780">
        <v>7</v>
      </c>
      <c r="Y3780" t="s">
        <v>20268</v>
      </c>
      <c r="Z3780" t="s">
        <v>25785</v>
      </c>
      <c r="AA3780">
        <v>0.72466160025430471</v>
      </c>
      <c r="AB3780" t="str">
        <f>HYPERLINK("Melting_Curves/meltCurve_Q8IYB1_MB21D2.pdf", "Melting_Curves/meltCurve_Q8IYB1_MB21D2.pdf")</f>
        <v>Melting_Curves/meltCurve_Q8IYB1_MB21D2.pdf</v>
      </c>
    </row>
    <row r="3781" spans="1:28" x14ac:dyDescent="0.25">
      <c r="A3781" t="s">
        <v>3785</v>
      </c>
      <c r="B3781">
        <v>0.99299721793515405</v>
      </c>
      <c r="C3781">
        <v>1.08320201968922</v>
      </c>
      <c r="D3781">
        <v>1.2480203979223801</v>
      </c>
      <c r="E3781">
        <v>0.98398167942176595</v>
      </c>
      <c r="F3781">
        <v>0.77508683872130402</v>
      </c>
      <c r="G3781">
        <v>0.59828417967803305</v>
      </c>
      <c r="H3781">
        <v>0.31652146163573602</v>
      </c>
      <c r="I3781">
        <v>0.25830667977837601</v>
      </c>
      <c r="J3781">
        <v>0.194336466868921</v>
      </c>
      <c r="K3781">
        <v>0.12973496081488101</v>
      </c>
      <c r="L3781">
        <v>1050.49604056578</v>
      </c>
      <c r="M3781">
        <v>19.535790250802499</v>
      </c>
      <c r="N3781">
        <v>54.7419531942218</v>
      </c>
      <c r="O3781">
        <v>53.218959689539503</v>
      </c>
      <c r="P3781">
        <v>-7.8358281538495E-2</v>
      </c>
      <c r="Q3781">
        <v>0.146183022424375</v>
      </c>
      <c r="R3781">
        <v>0.94838889097316503</v>
      </c>
      <c r="S3781" t="s">
        <v>9332</v>
      </c>
      <c r="T3781" t="s">
        <v>11100</v>
      </c>
      <c r="U3781" t="s">
        <v>11100</v>
      </c>
      <c r="V3781" t="s">
        <v>11100</v>
      </c>
      <c r="W3781" t="s">
        <v>14831</v>
      </c>
      <c r="X3781">
        <v>7</v>
      </c>
      <c r="Y3781" t="s">
        <v>20269</v>
      </c>
      <c r="Z3781" t="s">
        <v>25786</v>
      </c>
      <c r="AA3781">
        <v>0.63431359816379651</v>
      </c>
      <c r="AB3781" t="str">
        <f>HYPERLINK("Melting_Curves/meltCurve_Q8IYB5_3_SMAP1.pdf", "Melting_Curves/meltCurve_Q8IYB5_3_SMAP1.pdf")</f>
        <v>Melting_Curves/meltCurve_Q8IYB5_3_SMAP1.pdf</v>
      </c>
    </row>
    <row r="3782" spans="1:28" x14ac:dyDescent="0.25">
      <c r="A3782" t="s">
        <v>3786</v>
      </c>
      <c r="B3782">
        <v>0.99299721793515405</v>
      </c>
      <c r="C3782">
        <v>0.98412928931785304</v>
      </c>
      <c r="D3782">
        <v>0.92260293983361796</v>
      </c>
      <c r="E3782">
        <v>0.84285788344281498</v>
      </c>
      <c r="F3782">
        <v>0.59809210898352705</v>
      </c>
      <c r="G3782">
        <v>0.41203670642580198</v>
      </c>
      <c r="H3782">
        <v>0.214933211644454</v>
      </c>
      <c r="I3782">
        <v>0.12184952799061501</v>
      </c>
      <c r="J3782">
        <v>0.112861685288763</v>
      </c>
      <c r="K3782">
        <v>9.3312642154915998E-2</v>
      </c>
      <c r="L3782">
        <v>728.85234240490297</v>
      </c>
      <c r="M3782">
        <v>14.138195336524101</v>
      </c>
      <c r="N3782">
        <v>51.916029140102602</v>
      </c>
      <c r="O3782">
        <v>50.553528370839999</v>
      </c>
      <c r="P3782">
        <v>-6.6626130344324602E-2</v>
      </c>
      <c r="Q3782">
        <v>4.71889769608883E-2</v>
      </c>
      <c r="R3782">
        <v>0.99806013883500699</v>
      </c>
      <c r="S3782" t="s">
        <v>9333</v>
      </c>
      <c r="T3782" t="s">
        <v>11100</v>
      </c>
      <c r="U3782" t="s">
        <v>11100</v>
      </c>
      <c r="V3782" t="s">
        <v>11100</v>
      </c>
      <c r="W3782" t="s">
        <v>14832</v>
      </c>
      <c r="X3782">
        <v>10</v>
      </c>
      <c r="Y3782" t="s">
        <v>20270</v>
      </c>
      <c r="Z3782" t="s">
        <v>25787</v>
      </c>
      <c r="AA3782">
        <v>0.52940683267751132</v>
      </c>
      <c r="AB3782" t="str">
        <f>HYPERLINK("Melting_Curves/meltCurve_Q8IYB7_DIS3L2.pdf", "Melting_Curves/meltCurve_Q8IYB7_DIS3L2.pdf")</f>
        <v>Melting_Curves/meltCurve_Q8IYB7_DIS3L2.pdf</v>
      </c>
    </row>
    <row r="3783" spans="1:28" x14ac:dyDescent="0.25">
      <c r="A3783" t="s">
        <v>3787</v>
      </c>
      <c r="B3783">
        <v>0.99299721793515405</v>
      </c>
      <c r="C3783">
        <v>1.08677513299553</v>
      </c>
      <c r="D3783">
        <v>0.91576629921696695</v>
      </c>
      <c r="E3783">
        <v>0.80296762218528805</v>
      </c>
      <c r="F3783">
        <v>0.715906925584465</v>
      </c>
      <c r="G3783">
        <v>0.50483368348413804</v>
      </c>
      <c r="H3783">
        <v>0.29040519492297601</v>
      </c>
      <c r="I3783">
        <v>0.20098135471211301</v>
      </c>
      <c r="J3783">
        <v>0.190889709547471</v>
      </c>
      <c r="K3783">
        <v>0.16293402381790001</v>
      </c>
      <c r="L3783">
        <v>680.74244625138101</v>
      </c>
      <c r="M3783">
        <v>12.9591384403503</v>
      </c>
      <c r="N3783">
        <v>53.418811629620102</v>
      </c>
      <c r="O3783">
        <v>51.326253412060403</v>
      </c>
      <c r="P3783">
        <v>-5.7009571179499403E-2</v>
      </c>
      <c r="Q3783">
        <v>9.6987985120902107E-2</v>
      </c>
      <c r="R3783">
        <v>0.98443823339240699</v>
      </c>
      <c r="S3783" t="s">
        <v>9334</v>
      </c>
      <c r="T3783" t="s">
        <v>11100</v>
      </c>
      <c r="U3783" t="s">
        <v>11100</v>
      </c>
      <c r="V3783" t="s">
        <v>11100</v>
      </c>
      <c r="W3783" t="s">
        <v>14833</v>
      </c>
      <c r="X3783">
        <v>10</v>
      </c>
      <c r="Y3783" t="s">
        <v>20271</v>
      </c>
      <c r="Z3783" t="s">
        <v>25788</v>
      </c>
      <c r="AA3783">
        <v>0.58356872606655508</v>
      </c>
      <c r="AB3783" t="str">
        <f>HYPERLINK("Melting_Curves/meltCurve_Q8IYB8_SUPV3L1.pdf", "Melting_Curves/meltCurve_Q8IYB8_SUPV3L1.pdf")</f>
        <v>Melting_Curves/meltCurve_Q8IYB8_SUPV3L1.pdf</v>
      </c>
    </row>
    <row r="3784" spans="1:28" x14ac:dyDescent="0.25">
      <c r="A3784" t="s">
        <v>3788</v>
      </c>
      <c r="B3784">
        <v>0.99299721793515405</v>
      </c>
      <c r="C3784">
        <v>1.2344091186666499</v>
      </c>
      <c r="D3784">
        <v>1.00000322587729</v>
      </c>
      <c r="E3784">
        <v>1.09697971766891</v>
      </c>
      <c r="F3784">
        <v>0.85296599218231905</v>
      </c>
      <c r="G3784">
        <v>0.32164276172539102</v>
      </c>
      <c r="H3784">
        <v>0.26464548554478301</v>
      </c>
      <c r="I3784">
        <v>0.27625253214443302</v>
      </c>
      <c r="J3784">
        <v>0.285408332452114</v>
      </c>
      <c r="K3784">
        <v>0.22040377084148499</v>
      </c>
      <c r="L3784">
        <v>2947.91294039065</v>
      </c>
      <c r="M3784">
        <v>57.302572840329901</v>
      </c>
      <c r="N3784">
        <v>52.119904255412202</v>
      </c>
      <c r="O3784">
        <v>51.382145385876697</v>
      </c>
      <c r="P3784">
        <v>-0.20575581000662399</v>
      </c>
      <c r="Q3784">
        <v>0.26201081824605499</v>
      </c>
      <c r="R3784">
        <v>0.95619473719466697</v>
      </c>
      <c r="S3784" t="s">
        <v>9335</v>
      </c>
      <c r="T3784" t="s">
        <v>11100</v>
      </c>
      <c r="U3784" t="s">
        <v>11100</v>
      </c>
      <c r="V3784" t="s">
        <v>11100</v>
      </c>
      <c r="W3784" t="s">
        <v>14834</v>
      </c>
      <c r="X3784">
        <v>3</v>
      </c>
      <c r="Y3784" t="s">
        <v>20272</v>
      </c>
      <c r="Z3784" t="s">
        <v>25789</v>
      </c>
      <c r="AA3784">
        <v>0.61861818060843088</v>
      </c>
      <c r="AB3784" t="str">
        <f>HYPERLINK("Melting_Curves/meltCurve_Q8IYB9_ZNF595.pdf", "Melting_Curves/meltCurve_Q8IYB9_ZNF595.pdf")</f>
        <v>Melting_Curves/meltCurve_Q8IYB9_ZNF595.pdf</v>
      </c>
    </row>
    <row r="3785" spans="1:28" x14ac:dyDescent="0.25">
      <c r="A3785" t="s">
        <v>3789</v>
      </c>
      <c r="B3785">
        <v>0.99299721793515405</v>
      </c>
      <c r="C3785">
        <v>0.85152596855485296</v>
      </c>
      <c r="D3785">
        <v>0.96128732464690503</v>
      </c>
      <c r="E3785">
        <v>0.74872044482617695</v>
      </c>
      <c r="F3785">
        <v>0.62595244132877004</v>
      </c>
      <c r="G3785">
        <v>0.46373379045844998</v>
      </c>
      <c r="H3785">
        <v>0.24788012757641001</v>
      </c>
      <c r="I3785">
        <v>0.234846299503361</v>
      </c>
      <c r="J3785">
        <v>0.21281126232552999</v>
      </c>
      <c r="K3785">
        <v>0.146291059024758</v>
      </c>
      <c r="L3785">
        <v>541.57262782233101</v>
      </c>
      <c r="M3785">
        <v>10.506033761305</v>
      </c>
      <c r="N3785">
        <v>52.385685848871901</v>
      </c>
      <c r="O3785">
        <v>49.7861439121872</v>
      </c>
      <c r="P3785">
        <v>-4.8699410080769598E-2</v>
      </c>
      <c r="Q3785">
        <v>7.7261582832989603E-2</v>
      </c>
      <c r="R3785">
        <v>0.976957205338014</v>
      </c>
      <c r="S3785" t="s">
        <v>9336</v>
      </c>
      <c r="T3785" t="s">
        <v>11100</v>
      </c>
      <c r="U3785" t="s">
        <v>11100</v>
      </c>
      <c r="V3785" t="s">
        <v>11100</v>
      </c>
      <c r="W3785" t="s">
        <v>14835</v>
      </c>
      <c r="X3785">
        <v>18</v>
      </c>
      <c r="Y3785" t="s">
        <v>20273</v>
      </c>
      <c r="Z3785" t="s">
        <v>25790</v>
      </c>
      <c r="AA3785">
        <v>0.55016796969030868</v>
      </c>
      <c r="AB3785" t="str">
        <f>HYPERLINK("Melting_Curves/meltCurve_Q8IYD1_GSPT2.pdf", "Melting_Curves/meltCurve_Q8IYD1_GSPT2.pdf")</f>
        <v>Melting_Curves/meltCurve_Q8IYD1_GSPT2.pdf</v>
      </c>
    </row>
    <row r="3786" spans="1:28" x14ac:dyDescent="0.25">
      <c r="A3786" t="s">
        <v>3790</v>
      </c>
      <c r="B3786">
        <v>0.99299721793515405</v>
      </c>
      <c r="C3786">
        <v>0.807766326609337</v>
      </c>
      <c r="D3786">
        <v>0.72690728839018304</v>
      </c>
      <c r="E3786">
        <v>0.76968822508705903</v>
      </c>
      <c r="F3786">
        <v>0.59847074607976303</v>
      </c>
      <c r="G3786">
        <v>0.32990597308123398</v>
      </c>
      <c r="H3786">
        <v>0.41580053991043098</v>
      </c>
      <c r="I3786">
        <v>0.44052717546547898</v>
      </c>
      <c r="J3786">
        <v>0.58549782058159505</v>
      </c>
      <c r="K3786">
        <v>0.42072139719360602</v>
      </c>
      <c r="L3786">
        <v>489.59598593875103</v>
      </c>
      <c r="M3786">
        <v>10.974250706626499</v>
      </c>
      <c r="N3786">
        <v>53.751383653122602</v>
      </c>
      <c r="O3786">
        <v>43.208539842033403</v>
      </c>
      <c r="P3786">
        <v>-3.66744673751783E-2</v>
      </c>
      <c r="Q3786">
        <v>0.42260810117268599</v>
      </c>
      <c r="R3786">
        <v>0.80637217124615101</v>
      </c>
      <c r="S3786" t="s">
        <v>9337</v>
      </c>
      <c r="T3786" t="s">
        <v>11100</v>
      </c>
      <c r="U3786" t="s">
        <v>11100</v>
      </c>
      <c r="V3786" t="s">
        <v>11100</v>
      </c>
      <c r="W3786" t="s">
        <v>14836</v>
      </c>
      <c r="X3786">
        <v>2</v>
      </c>
      <c r="Y3786" t="s">
        <v>20274</v>
      </c>
      <c r="Z3786" t="s">
        <v>25791</v>
      </c>
      <c r="AA3786">
        <v>0.59431447339568233</v>
      </c>
      <c r="AB3786" t="str">
        <f>HYPERLINK("Melting_Curves/meltCurve_Q8IYH5_4_ZZZ3.pdf", "Melting_Curves/meltCurve_Q8IYH5_4_ZZZ3.pdf")</f>
        <v>Melting_Curves/meltCurve_Q8IYH5_4_ZZZ3.pdf</v>
      </c>
    </row>
    <row r="3787" spans="1:28" x14ac:dyDescent="0.25">
      <c r="A3787" t="s">
        <v>3791</v>
      </c>
      <c r="B3787">
        <v>0.99299721793515405</v>
      </c>
      <c r="C3787">
        <v>0.98301218938610002</v>
      </c>
      <c r="D3787">
        <v>0.97817717750974797</v>
      </c>
      <c r="E3787">
        <v>0.836502142586524</v>
      </c>
      <c r="F3787">
        <v>0.68496675411502495</v>
      </c>
      <c r="G3787">
        <v>0.32482340591626901</v>
      </c>
      <c r="H3787">
        <v>0.186947745296343</v>
      </c>
      <c r="I3787">
        <v>0.156494133654696</v>
      </c>
      <c r="J3787">
        <v>0.13177143714080899</v>
      </c>
      <c r="K3787">
        <v>0.12981077367960001</v>
      </c>
      <c r="L3787">
        <v>1017.21057208436</v>
      </c>
      <c r="M3787">
        <v>19.905580220115699</v>
      </c>
      <c r="N3787">
        <v>51.770687320527102</v>
      </c>
      <c r="O3787">
        <v>50.594419233514103</v>
      </c>
      <c r="P3787">
        <v>-8.7208271024409798E-2</v>
      </c>
      <c r="Q3787">
        <v>0.113393275353199</v>
      </c>
      <c r="R3787">
        <v>0.99525023424316605</v>
      </c>
      <c r="S3787" t="s">
        <v>9338</v>
      </c>
      <c r="T3787" t="s">
        <v>11100</v>
      </c>
      <c r="U3787" t="s">
        <v>11100</v>
      </c>
      <c r="V3787" t="s">
        <v>11100</v>
      </c>
      <c r="W3787" t="s">
        <v>14837</v>
      </c>
      <c r="X3787">
        <v>21</v>
      </c>
      <c r="Y3787" t="s">
        <v>20275</v>
      </c>
      <c r="Z3787" t="s">
        <v>25792</v>
      </c>
      <c r="AA3787">
        <v>0.54183873094724067</v>
      </c>
      <c r="AB3787" t="str">
        <f>HYPERLINK("Melting_Curves/meltCurve_Q8IYI6_EXOC8.pdf", "Melting_Curves/meltCurve_Q8IYI6_EXOC8.pdf")</f>
        <v>Melting_Curves/meltCurve_Q8IYI6_EXOC8.pdf</v>
      </c>
    </row>
    <row r="3788" spans="1:28" x14ac:dyDescent="0.25">
      <c r="A3788" t="s">
        <v>3792</v>
      </c>
      <c r="B3788">
        <v>0.99299721793515405</v>
      </c>
      <c r="C3788">
        <v>0.90748455498293601</v>
      </c>
      <c r="D3788">
        <v>1.1016130944698499</v>
      </c>
      <c r="E3788">
        <v>0.79481362352107598</v>
      </c>
      <c r="F3788">
        <v>0.69292126223554495</v>
      </c>
      <c r="G3788">
        <v>0.58205517746791302</v>
      </c>
      <c r="H3788">
        <v>0.59923853067146904</v>
      </c>
      <c r="I3788">
        <v>0.66941487335635697</v>
      </c>
      <c r="J3788">
        <v>0.56756430268156499</v>
      </c>
      <c r="K3788">
        <v>0.65738194078770895</v>
      </c>
      <c r="L3788">
        <v>3944.0276633980502</v>
      </c>
      <c r="M3788">
        <v>84.832308071750504</v>
      </c>
      <c r="O3788">
        <v>46.466250065935597</v>
      </c>
      <c r="P3788">
        <v>-0.16983738951420899</v>
      </c>
      <c r="Q3788">
        <v>0.62789166015158704</v>
      </c>
      <c r="R3788">
        <v>0.89632990797274403</v>
      </c>
      <c r="S3788" t="s">
        <v>9339</v>
      </c>
      <c r="T3788" t="s">
        <v>11100</v>
      </c>
      <c r="U3788" t="s">
        <v>11100</v>
      </c>
      <c r="V3788" t="s">
        <v>11100</v>
      </c>
      <c r="W3788" t="s">
        <v>14838</v>
      </c>
      <c r="X3788">
        <v>3</v>
      </c>
      <c r="Y3788" t="s">
        <v>20276</v>
      </c>
      <c r="Z3788" t="s">
        <v>25793</v>
      </c>
      <c r="AA3788">
        <v>0.74589145426261128</v>
      </c>
      <c r="AB3788" t="str">
        <f>HYPERLINK("Melting_Curves/meltCurve_Q8IYL3_C1orf174.pdf", "Melting_Curves/meltCurve_Q8IYL3_C1orf174.pdf")</f>
        <v>Melting_Curves/meltCurve_Q8IYL3_C1orf174.pdf</v>
      </c>
    </row>
    <row r="3789" spans="1:28" x14ac:dyDescent="0.25">
      <c r="A3789" t="s">
        <v>3793</v>
      </c>
      <c r="B3789">
        <v>0.99299721793515405</v>
      </c>
      <c r="C3789">
        <v>1.1082173001626701</v>
      </c>
      <c r="D3789">
        <v>0.97376786749489097</v>
      </c>
      <c r="E3789">
        <v>0.93156864433870801</v>
      </c>
      <c r="F3789">
        <v>0.75238455037734098</v>
      </c>
      <c r="G3789">
        <v>0.58401319330725199</v>
      </c>
      <c r="H3789">
        <v>0.43930729095646998</v>
      </c>
      <c r="I3789">
        <v>0.34588081667770798</v>
      </c>
      <c r="J3789">
        <v>0.38237329590143199</v>
      </c>
      <c r="K3789">
        <v>0.28368985696959398</v>
      </c>
      <c r="L3789">
        <v>866.04071525105098</v>
      </c>
      <c r="M3789">
        <v>16.533480850098901</v>
      </c>
      <c r="N3789">
        <v>55.478866267665097</v>
      </c>
      <c r="O3789">
        <v>51.632723047572597</v>
      </c>
      <c r="P3789">
        <v>-5.5930939893413502E-2</v>
      </c>
      <c r="Q3789">
        <v>0.30137697119461299</v>
      </c>
      <c r="R3789">
        <v>0.98001340158874295</v>
      </c>
      <c r="S3789" t="s">
        <v>9340</v>
      </c>
      <c r="T3789" t="s">
        <v>11100</v>
      </c>
      <c r="U3789" t="s">
        <v>11100</v>
      </c>
      <c r="V3789" t="s">
        <v>11100</v>
      </c>
      <c r="W3789" t="s">
        <v>14839</v>
      </c>
      <c r="X3789">
        <v>5</v>
      </c>
      <c r="Y3789" t="s">
        <v>20277</v>
      </c>
      <c r="Z3789" t="s">
        <v>25794</v>
      </c>
      <c r="AA3789">
        <v>0.67121581492346705</v>
      </c>
      <c r="AB3789" t="str">
        <f>HYPERLINK("Melting_Curves/meltCurve_Q8IYQ7_THNSL1.pdf", "Melting_Curves/meltCurve_Q8IYQ7_THNSL1.pdf")</f>
        <v>Melting_Curves/meltCurve_Q8IYQ7_THNSL1.pdf</v>
      </c>
    </row>
    <row r="3790" spans="1:28" x14ac:dyDescent="0.25">
      <c r="A3790" t="s">
        <v>3794</v>
      </c>
      <c r="B3790">
        <v>0.99299721793515405</v>
      </c>
      <c r="C3790">
        <v>0.93728282217874903</v>
      </c>
      <c r="D3790">
        <v>0.78184907847713203</v>
      </c>
      <c r="E3790">
        <v>0.73052037910351397</v>
      </c>
      <c r="F3790">
        <v>0.35743997497837798</v>
      </c>
      <c r="G3790">
        <v>0.22254016187428199</v>
      </c>
      <c r="H3790">
        <v>0.18224536568010699</v>
      </c>
      <c r="I3790">
        <v>0.17269188213512701</v>
      </c>
      <c r="J3790">
        <v>0.17118980215416599</v>
      </c>
      <c r="K3790">
        <v>9.5381606696083004E-2</v>
      </c>
      <c r="L3790">
        <v>705.701513644035</v>
      </c>
      <c r="M3790">
        <v>14.7905325058329</v>
      </c>
      <c r="N3790">
        <v>48.564829322877003</v>
      </c>
      <c r="O3790">
        <v>46.866315996610098</v>
      </c>
      <c r="P3790">
        <v>-6.9891183492028497E-2</v>
      </c>
      <c r="Q3790">
        <v>0.114246181616351</v>
      </c>
      <c r="R3790">
        <v>0.98178887297404405</v>
      </c>
      <c r="S3790" t="s">
        <v>9341</v>
      </c>
      <c r="T3790" t="s">
        <v>11100</v>
      </c>
      <c r="U3790" t="s">
        <v>11100</v>
      </c>
      <c r="V3790" t="s">
        <v>11100</v>
      </c>
      <c r="W3790" t="s">
        <v>14840</v>
      </c>
      <c r="X3790">
        <v>6</v>
      </c>
      <c r="Y3790" t="s">
        <v>20278</v>
      </c>
      <c r="Z3790" t="s">
        <v>25795</v>
      </c>
      <c r="AA3790">
        <v>0.45065945673059171</v>
      </c>
      <c r="AB3790" t="str">
        <f>HYPERLINK("Melting_Curves/meltCurve_Q8IYR2_SMYD4.pdf", "Melting_Curves/meltCurve_Q8IYR2_SMYD4.pdf")</f>
        <v>Melting_Curves/meltCurve_Q8IYR2_SMYD4.pdf</v>
      </c>
    </row>
    <row r="3791" spans="1:28" x14ac:dyDescent="0.25">
      <c r="A3791" t="s">
        <v>3795</v>
      </c>
      <c r="B3791">
        <v>0.99299721793515405</v>
      </c>
      <c r="C3791">
        <v>1.0229468762604399</v>
      </c>
      <c r="D3791">
        <v>0.95290571593209095</v>
      </c>
      <c r="E3791">
        <v>0.93945202009824103</v>
      </c>
      <c r="F3791">
        <v>0.73855726961315404</v>
      </c>
      <c r="G3791">
        <v>0.39816638933465498</v>
      </c>
      <c r="H3791">
        <v>0.34074625342970299</v>
      </c>
      <c r="I3791">
        <v>0.26457938485405003</v>
      </c>
      <c r="J3791">
        <v>0.18033931954731899</v>
      </c>
      <c r="K3791">
        <v>0.14901732272309501</v>
      </c>
      <c r="L3791">
        <v>999.72121022299496</v>
      </c>
      <c r="M3791">
        <v>19.250995652329301</v>
      </c>
      <c r="N3791">
        <v>53.134405584556298</v>
      </c>
      <c r="O3791">
        <v>51.380233291154397</v>
      </c>
      <c r="P3791">
        <v>-7.7120256226415898E-2</v>
      </c>
      <c r="Q3791">
        <v>0.176705727936257</v>
      </c>
      <c r="R3791">
        <v>0.98990098584647301</v>
      </c>
      <c r="S3791" t="s">
        <v>9342</v>
      </c>
      <c r="T3791" t="s">
        <v>11100</v>
      </c>
      <c r="U3791" t="s">
        <v>11100</v>
      </c>
      <c r="V3791" t="s">
        <v>11100</v>
      </c>
      <c r="W3791" t="s">
        <v>14841</v>
      </c>
      <c r="X3791">
        <v>14</v>
      </c>
      <c r="Y3791" t="s">
        <v>20279</v>
      </c>
      <c r="Z3791" t="s">
        <v>25796</v>
      </c>
      <c r="AA3791">
        <v>0.59775019115539052</v>
      </c>
      <c r="AB3791" t="str">
        <f>HYPERLINK("Melting_Curves/meltCurve_Q8IYS1_PM20D2.pdf", "Melting_Curves/meltCurve_Q8IYS1_PM20D2.pdf")</f>
        <v>Melting_Curves/meltCurve_Q8IYS1_PM20D2.pdf</v>
      </c>
    </row>
    <row r="3792" spans="1:28" x14ac:dyDescent="0.25">
      <c r="A3792" t="s">
        <v>3796</v>
      </c>
      <c r="B3792">
        <v>0.99299721793515405</v>
      </c>
      <c r="C3792">
        <v>0.95366034010665102</v>
      </c>
      <c r="D3792">
        <v>0.98306273738632899</v>
      </c>
      <c r="E3792">
        <v>0.77544318367941201</v>
      </c>
      <c r="F3792">
        <v>0.68537199397526605</v>
      </c>
      <c r="G3792">
        <v>0.46080193033565098</v>
      </c>
      <c r="H3792">
        <v>0.456557308152646</v>
      </c>
      <c r="I3792">
        <v>0.44012045075901102</v>
      </c>
      <c r="J3792">
        <v>0.58480518103603396</v>
      </c>
      <c r="K3792">
        <v>0.40972107788359402</v>
      </c>
      <c r="L3792">
        <v>952.21258369978898</v>
      </c>
      <c r="M3792">
        <v>19.794891262898901</v>
      </c>
      <c r="N3792">
        <v>55.083612468685502</v>
      </c>
      <c r="O3792">
        <v>47.621085899360999</v>
      </c>
      <c r="P3792">
        <v>-5.6191441175394603E-2</v>
      </c>
      <c r="Q3792">
        <v>0.45929341882146402</v>
      </c>
      <c r="R3792">
        <v>0.94200941976772601</v>
      </c>
      <c r="S3792" t="s">
        <v>9343</v>
      </c>
      <c r="T3792" t="s">
        <v>11100</v>
      </c>
      <c r="U3792" t="s">
        <v>11100</v>
      </c>
      <c r="V3792" t="s">
        <v>11100</v>
      </c>
      <c r="W3792" t="s">
        <v>14842</v>
      </c>
      <c r="X3792">
        <v>3</v>
      </c>
      <c r="Y3792" t="s">
        <v>20280</v>
      </c>
      <c r="Z3792" t="s">
        <v>25797</v>
      </c>
      <c r="AA3792">
        <v>0.66667204647033695</v>
      </c>
      <c r="AB3792" t="str">
        <f>HYPERLINK("Melting_Curves/meltCurve_Q8IYS2_KIAA2013.pdf", "Melting_Curves/meltCurve_Q8IYS2_KIAA2013.pdf")</f>
        <v>Melting_Curves/meltCurve_Q8IYS2_KIAA2013.pdf</v>
      </c>
    </row>
    <row r="3793" spans="1:28" x14ac:dyDescent="0.25">
      <c r="A3793" t="s">
        <v>3797</v>
      </c>
      <c r="B3793">
        <v>0.99299721793515405</v>
      </c>
      <c r="C3793">
        <v>1.05167338151068</v>
      </c>
      <c r="D3793">
        <v>0.81691068590501903</v>
      </c>
      <c r="E3793">
        <v>0.96611994265851597</v>
      </c>
      <c r="F3793">
        <v>0.74673348346089197</v>
      </c>
      <c r="G3793">
        <v>0.40501060846717202</v>
      </c>
      <c r="H3793">
        <v>0.27747589955538299</v>
      </c>
      <c r="I3793">
        <v>0.28187373481885297</v>
      </c>
      <c r="J3793">
        <v>0.25831673714321501</v>
      </c>
      <c r="K3793">
        <v>0.19250073925479899</v>
      </c>
      <c r="L3793">
        <v>1337.85928749761</v>
      </c>
      <c r="M3793">
        <v>26.009195147428098</v>
      </c>
      <c r="N3793">
        <v>52.716075266209202</v>
      </c>
      <c r="O3793">
        <v>51.136743159600798</v>
      </c>
      <c r="P3793">
        <v>-9.7418826733066399E-2</v>
      </c>
      <c r="Q3793">
        <v>0.233867151815629</v>
      </c>
      <c r="R3793">
        <v>0.96443156784468398</v>
      </c>
      <c r="S3793" t="s">
        <v>9344</v>
      </c>
      <c r="T3793" t="s">
        <v>11100</v>
      </c>
      <c r="U3793" t="s">
        <v>11100</v>
      </c>
      <c r="V3793" t="s">
        <v>11100</v>
      </c>
      <c r="W3793" t="s">
        <v>14843</v>
      </c>
      <c r="X3793">
        <v>1</v>
      </c>
      <c r="Y3793" t="s">
        <v>20281</v>
      </c>
      <c r="Z3793" t="s">
        <v>25798</v>
      </c>
      <c r="AA3793">
        <v>0.60887823372463201</v>
      </c>
      <c r="AB3793" t="str">
        <f>HYPERLINK("Melting_Curves/meltCurve_Q8IYU2_4_HACE1.pdf", "Melting_Curves/meltCurve_Q8IYU2_4_HACE1.pdf")</f>
        <v>Melting_Curves/meltCurve_Q8IYU2_4_HACE1.pdf</v>
      </c>
    </row>
    <row r="3794" spans="1:28" x14ac:dyDescent="0.25">
      <c r="A3794" t="s">
        <v>3798</v>
      </c>
      <c r="B3794">
        <v>0.99299721793515405</v>
      </c>
      <c r="C3794">
        <v>1.1053642480602901</v>
      </c>
      <c r="D3794">
        <v>0.82474554854920901</v>
      </c>
      <c r="E3794">
        <v>0.97605232211186699</v>
      </c>
      <c r="F3794">
        <v>0.75519388439125401</v>
      </c>
      <c r="G3794">
        <v>0.35798595058119298</v>
      </c>
      <c r="H3794">
        <v>0.14070357199038999</v>
      </c>
      <c r="I3794">
        <v>5.6699508735990903E-2</v>
      </c>
      <c r="J3794">
        <v>6.1466852043002403E-2</v>
      </c>
      <c r="K3794">
        <v>3.3423318666127598E-2</v>
      </c>
      <c r="L3794">
        <v>1286.85583261182</v>
      </c>
      <c r="M3794">
        <v>24.583291459273301</v>
      </c>
      <c r="N3794">
        <v>52.509328758652899</v>
      </c>
      <c r="O3794">
        <v>52.004067911208502</v>
      </c>
      <c r="P3794">
        <v>-0.113851020583491</v>
      </c>
      <c r="Q3794">
        <v>3.6641433781421401E-2</v>
      </c>
      <c r="R3794">
        <v>0.97649595817077395</v>
      </c>
      <c r="S3794" t="s">
        <v>9345</v>
      </c>
      <c r="T3794" t="s">
        <v>11100</v>
      </c>
      <c r="U3794" t="s">
        <v>11100</v>
      </c>
      <c r="V3794" t="s">
        <v>11100</v>
      </c>
      <c r="W3794" t="s">
        <v>14844</v>
      </c>
      <c r="X3794">
        <v>4</v>
      </c>
      <c r="Y3794" t="s">
        <v>20282</v>
      </c>
      <c r="Z3794" t="s">
        <v>25799</v>
      </c>
      <c r="AA3794">
        <v>0.53824772446349767</v>
      </c>
      <c r="AB3794" t="str">
        <f>HYPERLINK("Melting_Curves/meltCurve_Q8IYU8_MICU2.pdf", "Melting_Curves/meltCurve_Q8IYU8_MICU2.pdf")</f>
        <v>Melting_Curves/meltCurve_Q8IYU8_MICU2.pdf</v>
      </c>
    </row>
    <row r="3795" spans="1:28" x14ac:dyDescent="0.25">
      <c r="A3795" t="s">
        <v>3799</v>
      </c>
      <c r="B3795">
        <v>0.99299721793515405</v>
      </c>
      <c r="C3795">
        <v>0.910541123708692</v>
      </c>
      <c r="D3795">
        <v>0.95843898004582195</v>
      </c>
      <c r="E3795">
        <v>0.82347066772847</v>
      </c>
      <c r="F3795">
        <v>0.72308041428567105</v>
      </c>
      <c r="G3795">
        <v>0.42482315421992001</v>
      </c>
      <c r="H3795">
        <v>0.28911063426112998</v>
      </c>
      <c r="I3795">
        <v>0.236595815252619</v>
      </c>
      <c r="J3795">
        <v>0.291623728096015</v>
      </c>
      <c r="K3795">
        <v>0.26173709989564098</v>
      </c>
      <c r="L3795">
        <v>882.14083488167398</v>
      </c>
      <c r="M3795">
        <v>17.344088771354102</v>
      </c>
      <c r="N3795">
        <v>52.7390135387759</v>
      </c>
      <c r="O3795">
        <v>50.199491383818398</v>
      </c>
      <c r="P3795">
        <v>-6.6481252158202803E-2</v>
      </c>
      <c r="Q3795">
        <v>0.23036962775557401</v>
      </c>
      <c r="R3795">
        <v>0.98016925490013196</v>
      </c>
      <c r="S3795" t="s">
        <v>9346</v>
      </c>
      <c r="T3795" t="s">
        <v>11100</v>
      </c>
      <c r="U3795" t="s">
        <v>11100</v>
      </c>
      <c r="V3795" t="s">
        <v>11100</v>
      </c>
      <c r="W3795" t="s">
        <v>14845</v>
      </c>
      <c r="X3795">
        <v>6</v>
      </c>
      <c r="Y3795" t="s">
        <v>20283</v>
      </c>
      <c r="Z3795" t="s">
        <v>25800</v>
      </c>
      <c r="AA3795">
        <v>0.59864153089390015</v>
      </c>
      <c r="AB3795" t="str">
        <f>HYPERLINK("Melting_Curves/meltCurve_Q8IZ07_ANKRD13A.pdf", "Melting_Curves/meltCurve_Q8IZ07_ANKRD13A.pdf")</f>
        <v>Melting_Curves/meltCurve_Q8IZ07_ANKRD13A.pdf</v>
      </c>
    </row>
    <row r="3796" spans="1:28" x14ac:dyDescent="0.25">
      <c r="A3796" t="s">
        <v>3800</v>
      </c>
      <c r="B3796">
        <v>0.99299721793515405</v>
      </c>
      <c r="C3796">
        <v>0.93680648806432798</v>
      </c>
      <c r="D3796">
        <v>0.94207815059070499</v>
      </c>
      <c r="E3796">
        <v>0.83635811627281398</v>
      </c>
      <c r="F3796">
        <v>0.77229171764110405</v>
      </c>
      <c r="G3796">
        <v>0.62594729923502701</v>
      </c>
      <c r="H3796">
        <v>0.636550333903382</v>
      </c>
      <c r="I3796">
        <v>0.74322900399442204</v>
      </c>
      <c r="J3796">
        <v>0.80040868655791197</v>
      </c>
      <c r="K3796">
        <v>0.61677843808896504</v>
      </c>
      <c r="L3796">
        <v>875.93828701539996</v>
      </c>
      <c r="M3796">
        <v>18.975435716133301</v>
      </c>
      <c r="O3796">
        <v>45.658180319920604</v>
      </c>
      <c r="P3796">
        <v>-3.2751643045303099E-2</v>
      </c>
      <c r="Q3796">
        <v>0.68478815846437502</v>
      </c>
      <c r="R3796">
        <v>0.80416076343927201</v>
      </c>
      <c r="S3796" t="s">
        <v>9347</v>
      </c>
      <c r="T3796" t="s">
        <v>11100</v>
      </c>
      <c r="U3796" t="s">
        <v>11100</v>
      </c>
      <c r="V3796" t="s">
        <v>11100</v>
      </c>
      <c r="W3796" t="s">
        <v>14846</v>
      </c>
      <c r="X3796">
        <v>14</v>
      </c>
      <c r="Y3796" t="s">
        <v>20284</v>
      </c>
      <c r="Z3796" t="s">
        <v>25801</v>
      </c>
      <c r="AA3796">
        <v>0.78563041034066239</v>
      </c>
      <c r="AB3796" t="str">
        <f>HYPERLINK("Melting_Curves/meltCurve_Q8IZ21_3_PHACTR4.pdf", "Melting_Curves/meltCurve_Q8IZ21_3_PHACTR4.pdf")</f>
        <v>Melting_Curves/meltCurve_Q8IZ21_3_PHACTR4.pdf</v>
      </c>
    </row>
    <row r="3797" spans="1:28" x14ac:dyDescent="0.25">
      <c r="A3797" t="s">
        <v>3801</v>
      </c>
      <c r="B3797">
        <v>0.99299721793515405</v>
      </c>
      <c r="C3797">
        <v>0.92162314655739797</v>
      </c>
      <c r="D3797">
        <v>1.19907354859568</v>
      </c>
      <c r="E3797">
        <v>0.712563532479072</v>
      </c>
      <c r="F3797">
        <v>0.62223622123738698</v>
      </c>
      <c r="G3797">
        <v>0.36324881374851198</v>
      </c>
      <c r="H3797">
        <v>0.237001537612573</v>
      </c>
      <c r="I3797">
        <v>0.24400122478049199</v>
      </c>
      <c r="J3797">
        <v>0.19227831533258399</v>
      </c>
      <c r="K3797">
        <v>0.17547049149774299</v>
      </c>
      <c r="L3797">
        <v>933.98101532021303</v>
      </c>
      <c r="M3797">
        <v>18.6630753429497</v>
      </c>
      <c r="N3797">
        <v>51.319621259110797</v>
      </c>
      <c r="O3797">
        <v>49.480370924714599</v>
      </c>
      <c r="P3797">
        <v>-7.6802250506393804E-2</v>
      </c>
      <c r="Q3797">
        <v>0.18554861609334</v>
      </c>
      <c r="R3797">
        <v>0.93806952350629402</v>
      </c>
      <c r="S3797" t="s">
        <v>9348</v>
      </c>
      <c r="T3797" t="s">
        <v>11100</v>
      </c>
      <c r="U3797" t="s">
        <v>11100</v>
      </c>
      <c r="V3797" t="s">
        <v>11100</v>
      </c>
      <c r="W3797" t="s">
        <v>14847</v>
      </c>
      <c r="X3797">
        <v>2</v>
      </c>
      <c r="Y3797" t="s">
        <v>20285</v>
      </c>
      <c r="Z3797" t="s">
        <v>25802</v>
      </c>
      <c r="AA3797">
        <v>0.5517560925951599</v>
      </c>
      <c r="AB3797" t="str">
        <f>HYPERLINK("Melting_Curves/meltCurve_Q8IZ41_RASEF.pdf", "Melting_Curves/meltCurve_Q8IZ41_RASEF.pdf")</f>
        <v>Melting_Curves/meltCurve_Q8IZ41_RASEF.pdf</v>
      </c>
    </row>
    <row r="3798" spans="1:28" x14ac:dyDescent="0.25">
      <c r="A3798" t="s">
        <v>3802</v>
      </c>
      <c r="B3798">
        <v>0.99299721793515405</v>
      </c>
      <c r="C3798">
        <v>0.97459632464958301</v>
      </c>
      <c r="D3798">
        <v>1.0056510566499099</v>
      </c>
      <c r="E3798">
        <v>0.84311182083796499</v>
      </c>
      <c r="F3798">
        <v>0.81500439125347302</v>
      </c>
      <c r="G3798">
        <v>0.64605010375840299</v>
      </c>
      <c r="H3798">
        <v>0.38229116579516997</v>
      </c>
      <c r="I3798">
        <v>0.21938354669055801</v>
      </c>
      <c r="J3798">
        <v>0.10968023471989601</v>
      </c>
      <c r="K3798">
        <v>6.1637028258322499E-2</v>
      </c>
      <c r="L3798">
        <v>774.11766623758001</v>
      </c>
      <c r="M3798">
        <v>13.9580285723943</v>
      </c>
      <c r="N3798">
        <v>55.460387278105102</v>
      </c>
      <c r="O3798">
        <v>54.359214912947699</v>
      </c>
      <c r="P3798">
        <v>-6.4202074756692804E-2</v>
      </c>
      <c r="Q3798">
        <v>0</v>
      </c>
      <c r="R3798">
        <v>0.99078113072940899</v>
      </c>
      <c r="S3798" t="s">
        <v>9349</v>
      </c>
      <c r="T3798" t="s">
        <v>11100</v>
      </c>
      <c r="U3798" t="s">
        <v>11100</v>
      </c>
      <c r="V3798" t="s">
        <v>11100</v>
      </c>
      <c r="W3798" t="s">
        <v>14848</v>
      </c>
      <c r="X3798">
        <v>6</v>
      </c>
      <c r="Y3798" t="s">
        <v>20286</v>
      </c>
      <c r="Z3798" t="s">
        <v>25803</v>
      </c>
      <c r="AA3798">
        <v>0.62836202127506768</v>
      </c>
      <c r="AB3798" t="str">
        <f>HYPERLINK("Melting_Curves/meltCurve_Q8IZ68_MTX2.pdf", "Melting_Curves/meltCurve_Q8IZ68_MTX2.pdf")</f>
        <v>Melting_Curves/meltCurve_Q8IZ68_MTX2.pdf</v>
      </c>
    </row>
    <row r="3799" spans="1:28" x14ac:dyDescent="0.25">
      <c r="A3799" t="s">
        <v>3803</v>
      </c>
      <c r="B3799">
        <v>0.99299721793515405</v>
      </c>
      <c r="C3799">
        <v>0.92519096817426405</v>
      </c>
      <c r="D3799">
        <v>0.97553707337662598</v>
      </c>
      <c r="E3799">
        <v>0.80639301593679902</v>
      </c>
      <c r="F3799">
        <v>0.70324254563561195</v>
      </c>
      <c r="G3799">
        <v>0.58322928203664404</v>
      </c>
      <c r="H3799">
        <v>0.50586387207970396</v>
      </c>
      <c r="I3799">
        <v>0.41590504755375302</v>
      </c>
      <c r="J3799">
        <v>0.17210764463973899</v>
      </c>
      <c r="K3799">
        <v>0.16408081614541301</v>
      </c>
      <c r="L3799">
        <v>473.31596871355703</v>
      </c>
      <c r="M3799">
        <v>8.4437493866871591</v>
      </c>
      <c r="N3799">
        <v>56.0551888821714</v>
      </c>
      <c r="O3799">
        <v>53.175951184259802</v>
      </c>
      <c r="P3799">
        <v>-3.9733893942866402E-2</v>
      </c>
      <c r="Q3799">
        <v>0</v>
      </c>
      <c r="R3799">
        <v>0.97155469266289995</v>
      </c>
      <c r="S3799" t="s">
        <v>9350</v>
      </c>
      <c r="T3799" t="s">
        <v>11100</v>
      </c>
      <c r="U3799" t="s">
        <v>11100</v>
      </c>
      <c r="V3799" t="s">
        <v>11100</v>
      </c>
      <c r="W3799" t="s">
        <v>14849</v>
      </c>
      <c r="X3799">
        <v>9</v>
      </c>
      <c r="Y3799" t="s">
        <v>20287</v>
      </c>
      <c r="Z3799" t="s">
        <v>25804</v>
      </c>
      <c r="AA3799">
        <v>0.63519701041244336</v>
      </c>
      <c r="AB3799" t="str">
        <f>HYPERLINK("Melting_Curves/meltCurve_Q8IZ73_RPUSD2.pdf", "Melting_Curves/meltCurve_Q8IZ73_RPUSD2.pdf")</f>
        <v>Melting_Curves/meltCurve_Q8IZ73_RPUSD2.pdf</v>
      </c>
    </row>
    <row r="3800" spans="1:28" x14ac:dyDescent="0.25">
      <c r="A3800" t="s">
        <v>3804</v>
      </c>
      <c r="B3800">
        <v>0.99299721793515405</v>
      </c>
      <c r="C3800">
        <v>0.97563160200935695</v>
      </c>
      <c r="D3800">
        <v>1.1870152515905701</v>
      </c>
      <c r="E3800">
        <v>0.79566384250920796</v>
      </c>
      <c r="F3800">
        <v>0.83095344954095895</v>
      </c>
      <c r="G3800">
        <v>0.68857267216152196</v>
      </c>
      <c r="H3800">
        <v>0.63090421608695701</v>
      </c>
      <c r="I3800">
        <v>0.65248743565169798</v>
      </c>
      <c r="J3800">
        <v>0.51344343782075197</v>
      </c>
      <c r="K3800">
        <v>0.46322824107761401</v>
      </c>
      <c r="L3800">
        <v>615.74187375049496</v>
      </c>
      <c r="M3800">
        <v>11.560541875579901</v>
      </c>
      <c r="O3800">
        <v>51.743454246909302</v>
      </c>
      <c r="P3800">
        <v>-2.9968032457931601E-2</v>
      </c>
      <c r="Q3800">
        <v>0.463617611415444</v>
      </c>
      <c r="R3800">
        <v>0.84428368507983598</v>
      </c>
      <c r="S3800" t="s">
        <v>9351</v>
      </c>
      <c r="T3800" t="s">
        <v>11100</v>
      </c>
      <c r="U3800" t="s">
        <v>11100</v>
      </c>
      <c r="V3800" t="s">
        <v>11100</v>
      </c>
      <c r="W3800" t="s">
        <v>14850</v>
      </c>
      <c r="X3800">
        <v>3</v>
      </c>
      <c r="Y3800" t="s">
        <v>20288</v>
      </c>
      <c r="Z3800" t="s">
        <v>25805</v>
      </c>
      <c r="AA3800">
        <v>0.76543093619140523</v>
      </c>
      <c r="AB3800" t="str">
        <f>HYPERLINK("Melting_Curves/meltCurve_Q8IZA0_KIAA0319L.pdf", "Melting_Curves/meltCurve_Q8IZA0_KIAA0319L.pdf")</f>
        <v>Melting_Curves/meltCurve_Q8IZA0_KIAA0319L.pdf</v>
      </c>
    </row>
    <row r="3801" spans="1:28" x14ac:dyDescent="0.25">
      <c r="A3801" t="s">
        <v>3805</v>
      </c>
      <c r="B3801">
        <v>0.99299721793515405</v>
      </c>
      <c r="C3801">
        <v>0.99319215428056296</v>
      </c>
      <c r="D3801">
        <v>1.00366468691868</v>
      </c>
      <c r="E3801">
        <v>0.81845624561936503</v>
      </c>
      <c r="F3801">
        <v>0.64964773061347603</v>
      </c>
      <c r="G3801">
        <v>0.218283095836147</v>
      </c>
      <c r="H3801">
        <v>0.248248710973273</v>
      </c>
      <c r="I3801">
        <v>0.146329372718769</v>
      </c>
      <c r="J3801">
        <v>0.141642770671322</v>
      </c>
      <c r="K3801">
        <v>3.3992568584604803E-2</v>
      </c>
      <c r="L3801">
        <v>1005.05580920639</v>
      </c>
      <c r="M3801">
        <v>19.8447000988808</v>
      </c>
      <c r="N3801">
        <v>51.195944262659403</v>
      </c>
      <c r="O3801">
        <v>50.140180364178399</v>
      </c>
      <c r="P3801">
        <v>-8.9452157705232002E-2</v>
      </c>
      <c r="Q3801">
        <v>9.5980944032321894E-2</v>
      </c>
      <c r="R3801">
        <v>0.981774434156376</v>
      </c>
      <c r="S3801" t="s">
        <v>9352</v>
      </c>
      <c r="T3801" t="s">
        <v>11100</v>
      </c>
      <c r="U3801" t="s">
        <v>11100</v>
      </c>
      <c r="V3801" t="s">
        <v>11100</v>
      </c>
      <c r="W3801" t="s">
        <v>14851</v>
      </c>
      <c r="X3801">
        <v>4</v>
      </c>
      <c r="Y3801" t="s">
        <v>20289</v>
      </c>
      <c r="Z3801" t="s">
        <v>25806</v>
      </c>
      <c r="AA3801">
        <v>0.51921796644006846</v>
      </c>
      <c r="AB3801" t="str">
        <f>HYPERLINK("Melting_Curves/meltCurve_Q8IZD4_DCP1B.pdf", "Melting_Curves/meltCurve_Q8IZD4_DCP1B.pdf")</f>
        <v>Melting_Curves/meltCurve_Q8IZD4_DCP1B.pdf</v>
      </c>
    </row>
    <row r="3802" spans="1:28" x14ac:dyDescent="0.25">
      <c r="A3802" t="s">
        <v>3806</v>
      </c>
      <c r="B3802">
        <v>0.99299721793515405</v>
      </c>
      <c r="C3802">
        <v>0.860927726129738</v>
      </c>
      <c r="D3802">
        <v>1.0190494012420599</v>
      </c>
      <c r="E3802">
        <v>0.67273332458021395</v>
      </c>
      <c r="F3802">
        <v>0.55925060058180098</v>
      </c>
      <c r="G3802">
        <v>0.29547228562336098</v>
      </c>
      <c r="H3802">
        <v>0.17158692008833401</v>
      </c>
      <c r="I3802">
        <v>0.18527175710056701</v>
      </c>
      <c r="J3802">
        <v>0.15033273598090199</v>
      </c>
      <c r="K3802">
        <v>0.118310216943223</v>
      </c>
      <c r="L3802">
        <v>738.61408618596795</v>
      </c>
      <c r="M3802">
        <v>14.9424590993412</v>
      </c>
      <c r="N3802">
        <v>50.260124115799002</v>
      </c>
      <c r="O3802">
        <v>48.570574800211297</v>
      </c>
      <c r="P3802">
        <v>-6.8512822729584505E-2</v>
      </c>
      <c r="Q3802">
        <v>0.10928558632346599</v>
      </c>
      <c r="R3802">
        <v>0.97067303131045501</v>
      </c>
      <c r="S3802" t="s">
        <v>9353</v>
      </c>
      <c r="T3802" t="s">
        <v>11100</v>
      </c>
      <c r="U3802" t="s">
        <v>11100</v>
      </c>
      <c r="V3802" t="s">
        <v>11100</v>
      </c>
      <c r="W3802" t="s">
        <v>14852</v>
      </c>
      <c r="X3802">
        <v>1</v>
      </c>
      <c r="Y3802" t="s">
        <v>20290</v>
      </c>
      <c r="Z3802" t="s">
        <v>25807</v>
      </c>
      <c r="AA3802">
        <v>0.49740714358096738</v>
      </c>
      <c r="AB3802" t="str">
        <f>HYPERLINK("Melting_Curves/meltCurve_Q8IZJ1_2_UNC5B.pdf", "Melting_Curves/meltCurve_Q8IZJ1_2_UNC5B.pdf")</f>
        <v>Melting_Curves/meltCurve_Q8IZJ1_2_UNC5B.pdf</v>
      </c>
    </row>
    <row r="3803" spans="1:28" x14ac:dyDescent="0.25">
      <c r="A3803" t="s">
        <v>3807</v>
      </c>
      <c r="B3803">
        <v>0.99299721793515405</v>
      </c>
      <c r="C3803">
        <v>0.88154432285839401</v>
      </c>
      <c r="D3803">
        <v>0.89840763520068401</v>
      </c>
      <c r="E3803">
        <v>0.77535328168356199</v>
      </c>
      <c r="F3803">
        <v>0.63392134629400598</v>
      </c>
      <c r="G3803">
        <v>0.41161307357766203</v>
      </c>
      <c r="H3803">
        <v>0.45034582181701099</v>
      </c>
      <c r="I3803">
        <v>0.44316374178815099</v>
      </c>
      <c r="J3803">
        <v>0.45570222045678699</v>
      </c>
      <c r="K3803">
        <v>0.350467362438945</v>
      </c>
      <c r="L3803">
        <v>627.30185453284696</v>
      </c>
      <c r="M3803">
        <v>13.078250879342001</v>
      </c>
      <c r="N3803">
        <v>53.804392724226801</v>
      </c>
      <c r="O3803">
        <v>46.885391807901698</v>
      </c>
      <c r="P3803">
        <v>-4.3308783485976103E-2</v>
      </c>
      <c r="Q3803">
        <v>0.37906103397645302</v>
      </c>
      <c r="R3803">
        <v>0.95817711831000396</v>
      </c>
      <c r="S3803" t="s">
        <v>9354</v>
      </c>
      <c r="T3803" t="s">
        <v>11100</v>
      </c>
      <c r="U3803" t="s">
        <v>11100</v>
      </c>
      <c r="V3803" t="s">
        <v>11100</v>
      </c>
      <c r="W3803" t="s">
        <v>14853</v>
      </c>
      <c r="X3803">
        <v>1</v>
      </c>
      <c r="Y3803" t="s">
        <v>20291</v>
      </c>
      <c r="Z3803" t="s">
        <v>25808</v>
      </c>
      <c r="AA3803">
        <v>0.62311690030585554</v>
      </c>
      <c r="AB3803" t="str">
        <f>HYPERLINK("Melting_Curves/meltCurve_Q8IZN3_2_ZDHHC14.pdf", "Melting_Curves/meltCurve_Q8IZN3_2_ZDHHC14.pdf")</f>
        <v>Melting_Curves/meltCurve_Q8IZN3_2_ZDHHC14.pdf</v>
      </c>
    </row>
    <row r="3804" spans="1:28" x14ac:dyDescent="0.25">
      <c r="A3804" t="s">
        <v>3808</v>
      </c>
      <c r="B3804">
        <v>0.99299721793515405</v>
      </c>
      <c r="C3804">
        <v>0.97277627745056106</v>
      </c>
      <c r="D3804">
        <v>1.3324473805955199</v>
      </c>
      <c r="E3804">
        <v>1.06039330929941</v>
      </c>
      <c r="F3804">
        <v>0.80787090023973696</v>
      </c>
      <c r="G3804">
        <v>0.78112902202560497</v>
      </c>
      <c r="H3804">
        <v>0.67137568977989703</v>
      </c>
      <c r="I3804">
        <v>0.764223736060482</v>
      </c>
      <c r="J3804">
        <v>0.797812221856258</v>
      </c>
      <c r="K3804">
        <v>1.14957393217119</v>
      </c>
      <c r="L3804">
        <v>12110.3364477963</v>
      </c>
      <c r="M3804">
        <v>250</v>
      </c>
      <c r="O3804">
        <v>48.438245885237201</v>
      </c>
      <c r="P3804">
        <v>-0.221079403051994</v>
      </c>
      <c r="Q3804">
        <v>0.82866082450450795</v>
      </c>
      <c r="R3804">
        <v>0.34395613798853603</v>
      </c>
      <c r="S3804" t="s">
        <v>9355</v>
      </c>
      <c r="T3804" t="s">
        <v>11100</v>
      </c>
      <c r="U3804" t="s">
        <v>11100</v>
      </c>
      <c r="V3804" t="s">
        <v>11100</v>
      </c>
      <c r="W3804" t="s">
        <v>14854</v>
      </c>
      <c r="X3804">
        <v>2</v>
      </c>
      <c r="Y3804" t="s">
        <v>20292</v>
      </c>
      <c r="Z3804" t="s">
        <v>25809</v>
      </c>
      <c r="AA3804">
        <v>0.8940204158476166</v>
      </c>
      <c r="AB3804" t="str">
        <f>HYPERLINK("Melting_Curves/meltCurve_Q8IZR5_3_CMTM4.pdf", "Melting_Curves/meltCurve_Q8IZR5_3_CMTM4.pdf")</f>
        <v>Melting_Curves/meltCurve_Q8IZR5_3_CMTM4.pdf</v>
      </c>
    </row>
    <row r="3805" spans="1:28" x14ac:dyDescent="0.25">
      <c r="A3805" t="s">
        <v>3809</v>
      </c>
      <c r="B3805">
        <v>0.99299721793515405</v>
      </c>
      <c r="C3805">
        <v>0.98946921785589004</v>
      </c>
      <c r="D3805">
        <v>0.96506142922770399</v>
      </c>
      <c r="E3805">
        <v>0.842748048001979</v>
      </c>
      <c r="F3805">
        <v>0.66912233991611703</v>
      </c>
      <c r="G3805">
        <v>0.418970079448654</v>
      </c>
      <c r="H3805">
        <v>0.27111090721494802</v>
      </c>
      <c r="I3805">
        <v>0.215901354816596</v>
      </c>
      <c r="J3805">
        <v>0.202166349545116</v>
      </c>
      <c r="K3805">
        <v>0.19579550784461799</v>
      </c>
      <c r="L3805">
        <v>854.71487572261594</v>
      </c>
      <c r="M3805">
        <v>16.7205788575334</v>
      </c>
      <c r="N3805">
        <v>52.423839706968998</v>
      </c>
      <c r="O3805">
        <v>50.4031814845046</v>
      </c>
      <c r="P3805">
        <v>-6.8809069087789401E-2</v>
      </c>
      <c r="Q3805">
        <v>0.17037181524273301</v>
      </c>
      <c r="R3805">
        <v>0.99886396407748101</v>
      </c>
      <c r="S3805" t="s">
        <v>9356</v>
      </c>
      <c r="T3805" t="s">
        <v>11100</v>
      </c>
      <c r="U3805" t="s">
        <v>11100</v>
      </c>
      <c r="V3805" t="s">
        <v>11100</v>
      </c>
      <c r="W3805" t="s">
        <v>14855</v>
      </c>
      <c r="X3805">
        <v>3</v>
      </c>
      <c r="Y3805" t="s">
        <v>20293</v>
      </c>
      <c r="Z3805" t="s">
        <v>25810</v>
      </c>
      <c r="AA3805">
        <v>0.57510561384479997</v>
      </c>
      <c r="AB3805" t="str">
        <f>HYPERLINK("Melting_Curves/meltCurve_Q8IZV5_RDH10.pdf", "Melting_Curves/meltCurve_Q8IZV5_RDH10.pdf")</f>
        <v>Melting_Curves/meltCurve_Q8IZV5_RDH10.pdf</v>
      </c>
    </row>
    <row r="3806" spans="1:28" x14ac:dyDescent="0.25">
      <c r="A3806" t="s">
        <v>3810</v>
      </c>
      <c r="B3806">
        <v>0.99299721793515405</v>
      </c>
      <c r="C3806">
        <v>1.1473645424763299</v>
      </c>
      <c r="D3806">
        <v>1.0825536617895899</v>
      </c>
      <c r="E3806">
        <v>0.96532681504115203</v>
      </c>
      <c r="F3806">
        <v>0.85077405162619002</v>
      </c>
      <c r="G3806">
        <v>0.79801795301605705</v>
      </c>
      <c r="H3806">
        <v>0.718500442061899</v>
      </c>
      <c r="I3806">
        <v>0.56146028140275395</v>
      </c>
      <c r="J3806">
        <v>0.41510198145799898</v>
      </c>
      <c r="K3806">
        <v>0.303577245156054</v>
      </c>
      <c r="L3806">
        <v>621.39171567171798</v>
      </c>
      <c r="M3806">
        <v>10.0241425707851</v>
      </c>
      <c r="N3806">
        <v>61.9894965513895</v>
      </c>
      <c r="O3806">
        <v>59.674008316148402</v>
      </c>
      <c r="P3806">
        <v>-4.20156672961806E-2</v>
      </c>
      <c r="Q3806">
        <v>0</v>
      </c>
      <c r="R3806">
        <v>0.94771485371631503</v>
      </c>
      <c r="S3806" t="s">
        <v>9357</v>
      </c>
      <c r="T3806" t="s">
        <v>11100</v>
      </c>
      <c r="U3806" t="s">
        <v>11100</v>
      </c>
      <c r="V3806" t="s">
        <v>11100</v>
      </c>
      <c r="W3806" t="s">
        <v>14856</v>
      </c>
      <c r="X3806">
        <v>3</v>
      </c>
      <c r="Y3806" t="s">
        <v>20294</v>
      </c>
      <c r="Z3806" t="s">
        <v>25811</v>
      </c>
      <c r="AA3806">
        <v>0.78386732448339402</v>
      </c>
      <c r="AB3806" t="str">
        <f>HYPERLINK("Melting_Curves/meltCurve_Q8N0T1_C8orf59.pdf", "Melting_Curves/meltCurve_Q8N0T1_C8orf59.pdf")</f>
        <v>Melting_Curves/meltCurve_Q8N0T1_C8orf59.pdf</v>
      </c>
    </row>
    <row r="3807" spans="1:28" x14ac:dyDescent="0.25">
      <c r="A3807" t="s">
        <v>3811</v>
      </c>
      <c r="B3807">
        <v>0.99299721793515405</v>
      </c>
      <c r="C3807">
        <v>1.1076118396449</v>
      </c>
      <c r="D3807">
        <v>0.916813858197978</v>
      </c>
      <c r="E3807">
        <v>0.90012248187770305</v>
      </c>
      <c r="F3807">
        <v>0.81550925342185299</v>
      </c>
      <c r="G3807">
        <v>0.71859510722930597</v>
      </c>
      <c r="H3807">
        <v>0.57188346914120003</v>
      </c>
      <c r="I3807">
        <v>0.54054166593965403</v>
      </c>
      <c r="J3807">
        <v>0.15947965012487</v>
      </c>
      <c r="K3807">
        <v>0.244064641028018</v>
      </c>
      <c r="L3807">
        <v>583.83007624817105</v>
      </c>
      <c r="M3807">
        <v>9.9286006858930698</v>
      </c>
      <c r="N3807">
        <v>58.802855997730198</v>
      </c>
      <c r="O3807">
        <v>56.566549860201903</v>
      </c>
      <c r="P3807">
        <v>-4.3902111314475203E-2</v>
      </c>
      <c r="Q3807">
        <v>0</v>
      </c>
      <c r="R3807">
        <v>0.93606009792109202</v>
      </c>
      <c r="S3807" t="s">
        <v>9358</v>
      </c>
      <c r="T3807" t="s">
        <v>11100</v>
      </c>
      <c r="U3807" t="s">
        <v>11100</v>
      </c>
      <c r="V3807" t="s">
        <v>11100</v>
      </c>
      <c r="W3807" t="s">
        <v>14857</v>
      </c>
      <c r="X3807">
        <v>1</v>
      </c>
      <c r="Y3807" t="s">
        <v>20295</v>
      </c>
      <c r="Z3807" t="s">
        <v>25812</v>
      </c>
      <c r="AA3807">
        <v>0.71091393315338636</v>
      </c>
      <c r="AB3807" t="str">
        <f>HYPERLINK("Melting_Curves/meltCurve_Q8N0U4_3_FAM185A.pdf", "Melting_Curves/meltCurve_Q8N0U4_3_FAM185A.pdf")</f>
        <v>Melting_Curves/meltCurve_Q8N0U4_3_FAM185A.pdf</v>
      </c>
    </row>
    <row r="3808" spans="1:28" x14ac:dyDescent="0.25">
      <c r="A3808" t="s">
        <v>3812</v>
      </c>
      <c r="B3808">
        <v>0.99299721793515405</v>
      </c>
      <c r="C3808">
        <v>0.92708062441119699</v>
      </c>
      <c r="D3808">
        <v>0.93897671412669503</v>
      </c>
      <c r="E3808">
        <v>0.82024800098561301</v>
      </c>
      <c r="F3808">
        <v>0.71612122316020499</v>
      </c>
      <c r="G3808">
        <v>0.64140064968889798</v>
      </c>
      <c r="H3808">
        <v>0.512398127027201</v>
      </c>
      <c r="I3808">
        <v>0.642044002475751</v>
      </c>
      <c r="J3808">
        <v>0.78722872419110101</v>
      </c>
      <c r="K3808">
        <v>0.82918279290909302</v>
      </c>
      <c r="L3808">
        <v>1106.3060050246499</v>
      </c>
      <c r="M3808">
        <v>24.249641953163501</v>
      </c>
      <c r="O3808">
        <v>45.3146815069422</v>
      </c>
      <c r="P3808">
        <v>-4.2426633871546299E-2</v>
      </c>
      <c r="Q3808">
        <v>0.68287854899564804</v>
      </c>
      <c r="R3808">
        <v>0.66450671623281599</v>
      </c>
      <c r="S3808" t="s">
        <v>9359</v>
      </c>
      <c r="T3808" t="s">
        <v>11100</v>
      </c>
      <c r="U3808" t="s">
        <v>11100</v>
      </c>
      <c r="V3808" t="s">
        <v>11100</v>
      </c>
      <c r="W3808" t="s">
        <v>14858</v>
      </c>
      <c r="X3808">
        <v>3</v>
      </c>
      <c r="Y3808" t="s">
        <v>20296</v>
      </c>
      <c r="Z3808" t="s">
        <v>25813</v>
      </c>
      <c r="AA3808">
        <v>0.77680111967609311</v>
      </c>
      <c r="AB3808" t="str">
        <f>HYPERLINK("Melting_Curves/meltCurve_Q8N0U8_VKORC1L1.pdf", "Melting_Curves/meltCurve_Q8N0U8_VKORC1L1.pdf")</f>
        <v>Melting_Curves/meltCurve_Q8N0U8_VKORC1L1.pdf</v>
      </c>
    </row>
    <row r="3809" spans="1:28" x14ac:dyDescent="0.25">
      <c r="A3809" t="s">
        <v>3813</v>
      </c>
      <c r="B3809">
        <v>0.99299721793515405</v>
      </c>
      <c r="C3809">
        <v>0.89707461839943903</v>
      </c>
      <c r="D3809">
        <v>0.89747204004852199</v>
      </c>
      <c r="E3809">
        <v>0.88316080648189499</v>
      </c>
      <c r="F3809">
        <v>0.74178584688323701</v>
      </c>
      <c r="G3809">
        <v>0.49224343373333201</v>
      </c>
      <c r="H3809">
        <v>0.45605102292383298</v>
      </c>
      <c r="I3809">
        <v>0.37389046794604403</v>
      </c>
      <c r="J3809">
        <v>0.252251582603708</v>
      </c>
      <c r="K3809">
        <v>0.154601606886799</v>
      </c>
      <c r="L3809">
        <v>462.19051440300802</v>
      </c>
      <c r="M3809">
        <v>8.3090692048561099</v>
      </c>
      <c r="N3809">
        <v>55.624824267801699</v>
      </c>
      <c r="O3809">
        <v>52.682334901865197</v>
      </c>
      <c r="P3809">
        <v>-3.9468748685715198E-2</v>
      </c>
      <c r="Q3809">
        <v>0</v>
      </c>
      <c r="R3809">
        <v>0.97712727965018897</v>
      </c>
      <c r="S3809" t="s">
        <v>9360</v>
      </c>
      <c r="T3809" t="s">
        <v>11100</v>
      </c>
      <c r="U3809" t="s">
        <v>11100</v>
      </c>
      <c r="V3809" t="s">
        <v>11100</v>
      </c>
      <c r="W3809" t="s">
        <v>14859</v>
      </c>
      <c r="X3809">
        <v>4</v>
      </c>
      <c r="Y3809" t="s">
        <v>20297</v>
      </c>
      <c r="Z3809" t="s">
        <v>25814</v>
      </c>
      <c r="AA3809">
        <v>0.62378406069071768</v>
      </c>
      <c r="AB3809" t="str">
        <f>HYPERLINK("Melting_Curves/meltCurve_Q8N0X4_2_CLYBL.pdf", "Melting_Curves/meltCurve_Q8N0X4_2_CLYBL.pdf")</f>
        <v>Melting_Curves/meltCurve_Q8N0X4_2_CLYBL.pdf</v>
      </c>
    </row>
    <row r="3810" spans="1:28" x14ac:dyDescent="0.25">
      <c r="A3810" t="s">
        <v>3814</v>
      </c>
      <c r="B3810">
        <v>0.99299721793515405</v>
      </c>
      <c r="C3810">
        <v>1.0477378992567801</v>
      </c>
      <c r="D3810">
        <v>0.97659588215586701</v>
      </c>
      <c r="E3810">
        <v>0.87043809146846096</v>
      </c>
      <c r="F3810">
        <v>0.709607988711219</v>
      </c>
      <c r="G3810">
        <v>0.31339322066206599</v>
      </c>
      <c r="H3810">
        <v>0.241988758443102</v>
      </c>
      <c r="I3810">
        <v>0.191303081116244</v>
      </c>
      <c r="J3810">
        <v>0.10448709750749099</v>
      </c>
      <c r="K3810">
        <v>7.1248768241967297E-2</v>
      </c>
      <c r="L3810">
        <v>999.83909494718705</v>
      </c>
      <c r="M3810">
        <v>19.3955641582506</v>
      </c>
      <c r="N3810">
        <v>52.1359999223206</v>
      </c>
      <c r="O3810">
        <v>51.011274592153299</v>
      </c>
      <c r="P3810">
        <v>-8.5746910366084297E-2</v>
      </c>
      <c r="Q3810">
        <v>9.7959001859786204E-2</v>
      </c>
      <c r="R3810">
        <v>0.98998466163102194</v>
      </c>
      <c r="S3810" t="s">
        <v>9361</v>
      </c>
      <c r="T3810" t="s">
        <v>11100</v>
      </c>
      <c r="U3810" t="s">
        <v>11100</v>
      </c>
      <c r="V3810" t="s">
        <v>11100</v>
      </c>
      <c r="W3810" t="s">
        <v>14860</v>
      </c>
      <c r="X3810">
        <v>12</v>
      </c>
      <c r="Y3810" t="s">
        <v>20298</v>
      </c>
      <c r="Z3810" t="s">
        <v>25815</v>
      </c>
      <c r="AA3810">
        <v>0.54776908223061949</v>
      </c>
      <c r="AB3810" t="str">
        <f>HYPERLINK("Melting_Curves/meltCurve_Q8N0X7_SPG20.pdf", "Melting_Curves/meltCurve_Q8N0X7_SPG20.pdf")</f>
        <v>Melting_Curves/meltCurve_Q8N0X7_SPG20.pdf</v>
      </c>
    </row>
    <row r="3811" spans="1:28" x14ac:dyDescent="0.25">
      <c r="A3811" t="s">
        <v>3815</v>
      </c>
      <c r="B3811">
        <v>0.99299721793515405</v>
      </c>
      <c r="C3811">
        <v>1.1293537107298901</v>
      </c>
      <c r="D3811">
        <v>1.16432713101293</v>
      </c>
      <c r="E3811">
        <v>1.0089540959272101</v>
      </c>
      <c r="F3811">
        <v>0.81298466936428504</v>
      </c>
      <c r="G3811">
        <v>0.60294399850338398</v>
      </c>
      <c r="H3811">
        <v>0.24042398928832001</v>
      </c>
      <c r="I3811">
        <v>0.19279630601834899</v>
      </c>
      <c r="J3811">
        <v>0.23262282498511</v>
      </c>
      <c r="K3811">
        <v>0.18343058399457501</v>
      </c>
      <c r="L3811">
        <v>1402.2309713019299</v>
      </c>
      <c r="M3811">
        <v>26.261015353481501</v>
      </c>
      <c r="N3811">
        <v>54.319984222784299</v>
      </c>
      <c r="O3811">
        <v>53.089174253567002</v>
      </c>
      <c r="P3811">
        <v>-0.101388126211892</v>
      </c>
      <c r="Q3811">
        <v>0.18014558121242699</v>
      </c>
      <c r="R3811">
        <v>0.96359494772071996</v>
      </c>
      <c r="S3811" t="s">
        <v>9362</v>
      </c>
      <c r="T3811" t="s">
        <v>11100</v>
      </c>
      <c r="U3811" t="s">
        <v>11100</v>
      </c>
      <c r="V3811" t="s">
        <v>11100</v>
      </c>
      <c r="W3811" t="s">
        <v>14861</v>
      </c>
      <c r="X3811">
        <v>2</v>
      </c>
      <c r="Y3811" t="s">
        <v>20299</v>
      </c>
      <c r="Z3811" t="s">
        <v>25816</v>
      </c>
      <c r="AA3811">
        <v>0.63485929858399792</v>
      </c>
      <c r="AB3811" t="str">
        <f>HYPERLINK("Melting_Curves/meltCurve_Q8N0Y2_2_ZNF444.pdf", "Melting_Curves/meltCurve_Q8N0Y2_2_ZNF444.pdf")</f>
        <v>Melting_Curves/meltCurve_Q8N0Y2_2_ZNF444.pdf</v>
      </c>
    </row>
    <row r="3812" spans="1:28" x14ac:dyDescent="0.25">
      <c r="A3812" t="s">
        <v>3816</v>
      </c>
      <c r="B3812">
        <v>0.99299721793515405</v>
      </c>
      <c r="C3812">
        <v>1.00112309868162</v>
      </c>
      <c r="D3812">
        <v>0.92730192753646801</v>
      </c>
      <c r="E3812">
        <v>0.86649268840004601</v>
      </c>
      <c r="F3812">
        <v>0.61612555177095896</v>
      </c>
      <c r="G3812">
        <v>0.387225102586857</v>
      </c>
      <c r="H3812">
        <v>0.27744477048911298</v>
      </c>
      <c r="I3812">
        <v>0.24827856057599901</v>
      </c>
      <c r="J3812">
        <v>0.19804896987144399</v>
      </c>
      <c r="K3812">
        <v>0.191309892323762</v>
      </c>
      <c r="L3812">
        <v>876.90913637639403</v>
      </c>
      <c r="M3812">
        <v>17.351717254097199</v>
      </c>
      <c r="N3812">
        <v>51.936594375170301</v>
      </c>
      <c r="O3812">
        <v>49.880391843415602</v>
      </c>
      <c r="P3812">
        <v>-7.0732708956008597E-2</v>
      </c>
      <c r="Q3812">
        <v>0.18671458291346199</v>
      </c>
      <c r="R3812">
        <v>0.99774118521522304</v>
      </c>
      <c r="S3812" t="s">
        <v>9363</v>
      </c>
      <c r="T3812" t="s">
        <v>11100</v>
      </c>
      <c r="U3812" t="s">
        <v>11100</v>
      </c>
      <c r="V3812" t="s">
        <v>11100</v>
      </c>
      <c r="W3812" t="s">
        <v>14862</v>
      </c>
      <c r="X3812">
        <v>5</v>
      </c>
      <c r="Y3812" t="s">
        <v>20300</v>
      </c>
      <c r="Z3812" t="s">
        <v>25817</v>
      </c>
      <c r="AA3812">
        <v>0.5671792078558866</v>
      </c>
      <c r="AB3812" t="str">
        <f>HYPERLINK("Melting_Curves/meltCurve_Q8N0Z6_TTC5.pdf", "Melting_Curves/meltCurve_Q8N0Z6_TTC5.pdf")</f>
        <v>Melting_Curves/meltCurve_Q8N0Z6_TTC5.pdf</v>
      </c>
    </row>
    <row r="3813" spans="1:28" x14ac:dyDescent="0.25">
      <c r="A3813" t="s">
        <v>3817</v>
      </c>
      <c r="B3813">
        <v>0.99299721793515405</v>
      </c>
      <c r="C3813">
        <v>0.97825260926740698</v>
      </c>
      <c r="D3813">
        <v>1.0666894252164201</v>
      </c>
      <c r="E3813">
        <v>0.94223433616825802</v>
      </c>
      <c r="F3813">
        <v>0.79203352313775799</v>
      </c>
      <c r="G3813">
        <v>0.86279629770147404</v>
      </c>
      <c r="H3813">
        <v>0.469806898411812</v>
      </c>
      <c r="I3813">
        <v>0.31936595873269102</v>
      </c>
      <c r="J3813">
        <v>0.22474231322199401</v>
      </c>
      <c r="K3813">
        <v>0.250664816409221</v>
      </c>
      <c r="L3813">
        <v>1013.00362696045</v>
      </c>
      <c r="M3813">
        <v>18.000595048407199</v>
      </c>
      <c r="N3813">
        <v>57.582339090494898</v>
      </c>
      <c r="O3813">
        <v>55.595359237686601</v>
      </c>
      <c r="P3813">
        <v>-6.7380031541504501E-2</v>
      </c>
      <c r="Q3813">
        <v>0.167620318343013</v>
      </c>
      <c r="R3813">
        <v>0.96104650455141405</v>
      </c>
      <c r="S3813" t="s">
        <v>9364</v>
      </c>
      <c r="T3813" t="s">
        <v>11100</v>
      </c>
      <c r="U3813" t="s">
        <v>11100</v>
      </c>
      <c r="V3813" t="s">
        <v>11100</v>
      </c>
      <c r="W3813" t="s">
        <v>14863</v>
      </c>
      <c r="X3813">
        <v>2</v>
      </c>
      <c r="Y3813" t="s">
        <v>20301</v>
      </c>
      <c r="Z3813" t="s">
        <v>25818</v>
      </c>
      <c r="AA3813">
        <v>0.71120627940382208</v>
      </c>
      <c r="AB3813" t="str">
        <f>HYPERLINK("Melting_Curves/meltCurve_Q8N108_17_MIER1.pdf", "Melting_Curves/meltCurve_Q8N108_17_MIER1.pdf")</f>
        <v>Melting_Curves/meltCurve_Q8N108_17_MIER1.pdf</v>
      </c>
    </row>
    <row r="3814" spans="1:28" x14ac:dyDescent="0.25">
      <c r="A3814" t="s">
        <v>3818</v>
      </c>
      <c r="B3814">
        <v>0.99299721793515405</v>
      </c>
      <c r="C3814">
        <v>1.2145905680309499</v>
      </c>
      <c r="D3814">
        <v>0.84610007183801805</v>
      </c>
      <c r="E3814">
        <v>0.951026233517134</v>
      </c>
      <c r="F3814">
        <v>0.78712379065874405</v>
      </c>
      <c r="G3814">
        <v>0.78696990850410398</v>
      </c>
      <c r="H3814">
        <v>0.53991203315842595</v>
      </c>
      <c r="I3814">
        <v>0.45841378409488398</v>
      </c>
      <c r="J3814">
        <v>0.18704541412806999</v>
      </c>
      <c r="K3814">
        <v>0.15820206356952099</v>
      </c>
      <c r="L3814">
        <v>681.90701747614605</v>
      </c>
      <c r="M3814">
        <v>11.681738937744401</v>
      </c>
      <c r="N3814">
        <v>58.373759414322798</v>
      </c>
      <c r="O3814">
        <v>56.741870890468903</v>
      </c>
      <c r="P3814">
        <v>-5.1482553777254698E-2</v>
      </c>
      <c r="Q3814">
        <v>0</v>
      </c>
      <c r="R3814">
        <v>0.91732327814343895</v>
      </c>
      <c r="S3814" t="s">
        <v>9365</v>
      </c>
      <c r="T3814" t="s">
        <v>11100</v>
      </c>
      <c r="U3814" t="s">
        <v>11100</v>
      </c>
      <c r="V3814" t="s">
        <v>11100</v>
      </c>
      <c r="W3814" t="s">
        <v>14864</v>
      </c>
      <c r="X3814">
        <v>1</v>
      </c>
      <c r="Y3814" t="s">
        <v>20302</v>
      </c>
      <c r="Z3814" t="s">
        <v>25819</v>
      </c>
      <c r="AA3814">
        <v>0.70763656007788256</v>
      </c>
      <c r="AB3814" t="str">
        <f>HYPERLINK("Melting_Curves/meltCurve_Q8N118_3_CYP4X1.pdf", "Melting_Curves/meltCurve_Q8N118_3_CYP4X1.pdf")</f>
        <v>Melting_Curves/meltCurve_Q8N118_3_CYP4X1.pdf</v>
      </c>
    </row>
    <row r="3815" spans="1:28" x14ac:dyDescent="0.25">
      <c r="A3815" t="s">
        <v>3819</v>
      </c>
      <c r="B3815">
        <v>0.99299721793515405</v>
      </c>
      <c r="C3815">
        <v>0.93147058578381203</v>
      </c>
      <c r="D3815">
        <v>0.98434628921348499</v>
      </c>
      <c r="E3815">
        <v>0.89053610037950104</v>
      </c>
      <c r="F3815">
        <v>0.76849759217517999</v>
      </c>
      <c r="G3815">
        <v>0.55640216446869195</v>
      </c>
      <c r="H3815">
        <v>0.54300814699377398</v>
      </c>
      <c r="I3815">
        <v>0.70989232971826599</v>
      </c>
      <c r="J3815">
        <v>0.81514631379642499</v>
      </c>
      <c r="K3815">
        <v>0.73150596642812804</v>
      </c>
      <c r="L3815">
        <v>1618.9594019256999</v>
      </c>
      <c r="M3815">
        <v>33.926611895384397</v>
      </c>
      <c r="O3815">
        <v>47.554578013190003</v>
      </c>
      <c r="P3815">
        <v>-5.7713698297615898E-2</v>
      </c>
      <c r="Q3815">
        <v>0.676414563643153</v>
      </c>
      <c r="R3815">
        <v>0.72791540530325105</v>
      </c>
      <c r="S3815" t="s">
        <v>9366</v>
      </c>
      <c r="T3815" t="s">
        <v>11100</v>
      </c>
      <c r="U3815" t="s">
        <v>11100</v>
      </c>
      <c r="V3815" t="s">
        <v>11100</v>
      </c>
      <c r="W3815" t="s">
        <v>14865</v>
      </c>
      <c r="X3815">
        <v>8</v>
      </c>
      <c r="Y3815" t="s">
        <v>20303</v>
      </c>
      <c r="Z3815" t="s">
        <v>25820</v>
      </c>
      <c r="AA3815">
        <v>0.79352445251597648</v>
      </c>
      <c r="AB3815" t="str">
        <f>HYPERLINK("Melting_Curves/meltCurve_Q8N129_CNPY4.pdf", "Melting_Curves/meltCurve_Q8N129_CNPY4.pdf")</f>
        <v>Melting_Curves/meltCurve_Q8N129_CNPY4.pdf</v>
      </c>
    </row>
    <row r="3816" spans="1:28" x14ac:dyDescent="0.25">
      <c r="A3816" t="s">
        <v>3820</v>
      </c>
      <c r="B3816">
        <v>0.99299721793515405</v>
      </c>
      <c r="C3816">
        <v>0.75177651532466006</v>
      </c>
      <c r="D3816">
        <v>0.96884193737378699</v>
      </c>
      <c r="E3816">
        <v>0.75881521985090905</v>
      </c>
      <c r="F3816">
        <v>0.80082458473128004</v>
      </c>
      <c r="G3816">
        <v>1.0572411665317201</v>
      </c>
      <c r="H3816">
        <v>0.30413067121423798</v>
      </c>
      <c r="I3816">
        <v>0.29019308689329198</v>
      </c>
      <c r="J3816">
        <v>0.27626965560109801</v>
      </c>
      <c r="K3816">
        <v>0.30857067812040101</v>
      </c>
      <c r="L3816">
        <v>14119.1540915859</v>
      </c>
      <c r="M3816">
        <v>250</v>
      </c>
      <c r="N3816">
        <v>56.675109903037999</v>
      </c>
      <c r="O3816">
        <v>56.472991633895198</v>
      </c>
      <c r="P3816">
        <v>-0.78392182568714597</v>
      </c>
      <c r="Q3816">
        <v>0.29167329618236099</v>
      </c>
      <c r="R3816">
        <v>0.82438199708655502</v>
      </c>
      <c r="S3816" t="s">
        <v>9367</v>
      </c>
      <c r="T3816" t="s">
        <v>11100</v>
      </c>
      <c r="U3816" t="s">
        <v>11100</v>
      </c>
      <c r="V3816" t="s">
        <v>11100</v>
      </c>
      <c r="W3816" t="s">
        <v>14866</v>
      </c>
      <c r="X3816">
        <v>3</v>
      </c>
      <c r="Y3816" t="s">
        <v>20304</v>
      </c>
      <c r="Z3816" t="s">
        <v>25821</v>
      </c>
      <c r="AA3816">
        <v>0.75160375147281733</v>
      </c>
      <c r="AB3816" t="str">
        <f>HYPERLINK("Melting_Curves/meltCurve_Q8N163_KIAA1967.pdf", "Melting_Curves/meltCurve_Q8N163_KIAA1967.pdf")</f>
        <v>Melting_Curves/meltCurve_Q8N163_KIAA1967.pdf</v>
      </c>
    </row>
    <row r="3817" spans="1:28" x14ac:dyDescent="0.25">
      <c r="A3817" t="s">
        <v>3821</v>
      </c>
      <c r="B3817">
        <v>0.99299721793515405</v>
      </c>
      <c r="C3817">
        <v>1.03068618520716</v>
      </c>
      <c r="D3817">
        <v>1.1923722117178599</v>
      </c>
      <c r="E3817">
        <v>0.91628879527281804</v>
      </c>
      <c r="F3817">
        <v>0.78295916799438503</v>
      </c>
      <c r="G3817">
        <v>0.65842383387364101</v>
      </c>
      <c r="H3817">
        <v>0.50436038731667399</v>
      </c>
      <c r="I3817">
        <v>0.55249187659156196</v>
      </c>
      <c r="J3817">
        <v>0.54370422892192005</v>
      </c>
      <c r="K3817">
        <v>0.60066457780235605</v>
      </c>
      <c r="L3817">
        <v>1358.35720154828</v>
      </c>
      <c r="M3817">
        <v>26.959798977130902</v>
      </c>
      <c r="O3817">
        <v>50.109779841567999</v>
      </c>
      <c r="P3817">
        <v>-6.0212969683152401E-2</v>
      </c>
      <c r="Q3817">
        <v>0.55233664914210301</v>
      </c>
      <c r="R3817">
        <v>0.90684677245761802</v>
      </c>
      <c r="S3817" t="s">
        <v>9368</v>
      </c>
      <c r="T3817" t="s">
        <v>11100</v>
      </c>
      <c r="U3817" t="s">
        <v>11100</v>
      </c>
      <c r="V3817" t="s">
        <v>11100</v>
      </c>
      <c r="W3817" t="s">
        <v>14867</v>
      </c>
      <c r="X3817">
        <v>12</v>
      </c>
      <c r="Y3817" t="s">
        <v>20305</v>
      </c>
      <c r="Z3817" t="s">
        <v>25822</v>
      </c>
      <c r="AA3817">
        <v>0.7554652199996269</v>
      </c>
      <c r="AB3817" t="str">
        <f>HYPERLINK("Melting_Curves/meltCurve_Q8N183_NDUFAF2.pdf", "Melting_Curves/meltCurve_Q8N183_NDUFAF2.pdf")</f>
        <v>Melting_Curves/meltCurve_Q8N183_NDUFAF2.pdf</v>
      </c>
    </row>
    <row r="3818" spans="1:28" x14ac:dyDescent="0.25">
      <c r="A3818" t="s">
        <v>3822</v>
      </c>
      <c r="B3818">
        <v>0.99299721793515405</v>
      </c>
      <c r="C3818">
        <v>1.0235190991098599</v>
      </c>
      <c r="D3818">
        <v>0.954028454577458</v>
      </c>
      <c r="E3818">
        <v>0.84867734341852896</v>
      </c>
      <c r="F3818">
        <v>0.69786899120027501</v>
      </c>
      <c r="G3818">
        <v>0.37074626754307499</v>
      </c>
      <c r="H3818">
        <v>0.19922238550014801</v>
      </c>
      <c r="I3818">
        <v>0.17680334661453201</v>
      </c>
      <c r="J3818">
        <v>0.139643517497818</v>
      </c>
      <c r="K3818">
        <v>9.8688984688127201E-2</v>
      </c>
      <c r="L3818">
        <v>924.55321907160601</v>
      </c>
      <c r="M3818">
        <v>17.932153951045699</v>
      </c>
      <c r="N3818">
        <v>52.2013958796298</v>
      </c>
      <c r="O3818">
        <v>50.930017791382497</v>
      </c>
      <c r="P3818">
        <v>-7.9304619203998894E-2</v>
      </c>
      <c r="Q3818">
        <v>9.9096466597208804E-2</v>
      </c>
      <c r="R3818">
        <v>0.99545678648281</v>
      </c>
      <c r="S3818" t="s">
        <v>9369</v>
      </c>
      <c r="T3818" t="s">
        <v>11100</v>
      </c>
      <c r="U3818" t="s">
        <v>11100</v>
      </c>
      <c r="V3818" t="s">
        <v>11100</v>
      </c>
      <c r="W3818" t="s">
        <v>14868</v>
      </c>
      <c r="X3818">
        <v>3</v>
      </c>
      <c r="Y3818" t="s">
        <v>20306</v>
      </c>
      <c r="Z3818" t="s">
        <v>25823</v>
      </c>
      <c r="AA3818">
        <v>0.55015957587208819</v>
      </c>
      <c r="AB3818" t="str">
        <f>HYPERLINK("Melting_Curves/meltCurve_Q8N1B4_VPS52.pdf", "Melting_Curves/meltCurve_Q8N1B4_VPS52.pdf")</f>
        <v>Melting_Curves/meltCurve_Q8N1B4_VPS52.pdf</v>
      </c>
    </row>
    <row r="3819" spans="1:28" x14ac:dyDescent="0.25">
      <c r="A3819" t="s">
        <v>3823</v>
      </c>
      <c r="B3819">
        <v>0.99299721793515405</v>
      </c>
      <c r="C3819">
        <v>0.97792034016129004</v>
      </c>
      <c r="D3819">
        <v>0.904026155934608</v>
      </c>
      <c r="E3819">
        <v>0.83194413472961404</v>
      </c>
      <c r="F3819">
        <v>0.56299195389381096</v>
      </c>
      <c r="G3819">
        <v>0.39051862959317402</v>
      </c>
      <c r="H3819">
        <v>0.16910629427830301</v>
      </c>
      <c r="I3819">
        <v>0.14243209894390099</v>
      </c>
      <c r="J3819">
        <v>0.133123121234518</v>
      </c>
      <c r="K3819">
        <v>0.127732616043537</v>
      </c>
      <c r="L3819">
        <v>775.92620818292903</v>
      </c>
      <c r="M3819">
        <v>15.316221078236399</v>
      </c>
      <c r="N3819">
        <v>51.309692629439503</v>
      </c>
      <c r="O3819">
        <v>49.820368695573798</v>
      </c>
      <c r="P3819">
        <v>-7.0093147685742901E-2</v>
      </c>
      <c r="Q3819">
        <v>8.8093236640714098E-2</v>
      </c>
      <c r="R3819">
        <v>0.99477236235926003</v>
      </c>
      <c r="S3819" t="s">
        <v>9370</v>
      </c>
      <c r="T3819" t="s">
        <v>11100</v>
      </c>
      <c r="U3819" t="s">
        <v>11100</v>
      </c>
      <c r="V3819" t="s">
        <v>11100</v>
      </c>
      <c r="W3819" t="s">
        <v>14869</v>
      </c>
      <c r="X3819">
        <v>23</v>
      </c>
      <c r="Y3819" t="s">
        <v>20307</v>
      </c>
      <c r="Z3819" t="s">
        <v>25824</v>
      </c>
      <c r="AA3819">
        <v>0.52141959610957445</v>
      </c>
      <c r="AB3819" t="str">
        <f>HYPERLINK("Melting_Curves/meltCurve_Q8N1F7_NUP93.pdf", "Melting_Curves/meltCurve_Q8N1F7_NUP93.pdf")</f>
        <v>Melting_Curves/meltCurve_Q8N1F7_NUP93.pdf</v>
      </c>
    </row>
    <row r="3820" spans="1:28" x14ac:dyDescent="0.25">
      <c r="A3820" t="s">
        <v>3824</v>
      </c>
      <c r="B3820">
        <v>0.99299721793515405</v>
      </c>
      <c r="C3820">
        <v>0.96357013551624504</v>
      </c>
      <c r="D3820">
        <v>0.96744137330765201</v>
      </c>
      <c r="E3820">
        <v>0.86723611431139003</v>
      </c>
      <c r="F3820">
        <v>0.73468819880565595</v>
      </c>
      <c r="G3820">
        <v>0.29470586955289202</v>
      </c>
      <c r="H3820">
        <v>0.16342004917638001</v>
      </c>
      <c r="I3820">
        <v>0.14296068260361999</v>
      </c>
      <c r="J3820">
        <v>0.12479054269804001</v>
      </c>
      <c r="K3820">
        <v>0.111466261900316</v>
      </c>
      <c r="L3820">
        <v>1314.14549507624</v>
      </c>
      <c r="M3820">
        <v>25.5685090084595</v>
      </c>
      <c r="N3820">
        <v>51.913293492504103</v>
      </c>
      <c r="O3820">
        <v>51.085747477730401</v>
      </c>
      <c r="P3820">
        <v>-0.11108039832703299</v>
      </c>
      <c r="Q3820">
        <v>0.112259056387885</v>
      </c>
      <c r="R3820">
        <v>0.99229246258210302</v>
      </c>
      <c r="S3820" t="s">
        <v>9371</v>
      </c>
      <c r="T3820" t="s">
        <v>11100</v>
      </c>
      <c r="U3820" t="s">
        <v>11100</v>
      </c>
      <c r="V3820" t="s">
        <v>11100</v>
      </c>
      <c r="W3820" t="s">
        <v>14870</v>
      </c>
      <c r="X3820">
        <v>23</v>
      </c>
      <c r="Y3820" t="s">
        <v>20308</v>
      </c>
      <c r="Z3820" t="s">
        <v>25825</v>
      </c>
      <c r="AA3820">
        <v>0.54581839552884215</v>
      </c>
      <c r="AB3820" t="str">
        <f>HYPERLINK("Melting_Curves/meltCurve_Q8N1G2_FTSJD2.pdf", "Melting_Curves/meltCurve_Q8N1G2_FTSJD2.pdf")</f>
        <v>Melting_Curves/meltCurve_Q8N1G2_FTSJD2.pdf</v>
      </c>
    </row>
    <row r="3821" spans="1:28" x14ac:dyDescent="0.25">
      <c r="A3821" t="s">
        <v>3825</v>
      </c>
      <c r="B3821">
        <v>0.99299721793515405</v>
      </c>
      <c r="C3821">
        <v>1.0670879206566299</v>
      </c>
      <c r="D3821">
        <v>1.1077202386859799</v>
      </c>
      <c r="E3821">
        <v>1.0079006450221</v>
      </c>
      <c r="F3821">
        <v>0.68324225664386395</v>
      </c>
      <c r="G3821">
        <v>0.46640779031815699</v>
      </c>
      <c r="H3821">
        <v>0.44588852626851699</v>
      </c>
      <c r="I3821">
        <v>0.20758581774871601</v>
      </c>
      <c r="J3821">
        <v>0.145851188794547</v>
      </c>
      <c r="K3821">
        <v>0.13681529667693901</v>
      </c>
      <c r="L3821">
        <v>861.95567753061596</v>
      </c>
      <c r="M3821">
        <v>16.2060834853628</v>
      </c>
      <c r="N3821">
        <v>54.120887149988299</v>
      </c>
      <c r="O3821">
        <v>52.397098474214097</v>
      </c>
      <c r="P3821">
        <v>-6.7898464745540801E-2</v>
      </c>
      <c r="Q3821">
        <v>0.121955108030495</v>
      </c>
      <c r="R3821">
        <v>0.96271816461177695</v>
      </c>
      <c r="S3821" t="s">
        <v>9372</v>
      </c>
      <c r="T3821" t="s">
        <v>11100</v>
      </c>
      <c r="U3821" t="s">
        <v>11100</v>
      </c>
      <c r="V3821" t="s">
        <v>11100</v>
      </c>
      <c r="W3821" t="s">
        <v>14871</v>
      </c>
      <c r="X3821">
        <v>19</v>
      </c>
      <c r="Y3821" t="s">
        <v>20309</v>
      </c>
      <c r="Z3821" t="s">
        <v>25826</v>
      </c>
      <c r="AA3821">
        <v>0.6100094878556912</v>
      </c>
      <c r="AB3821" t="str">
        <f>HYPERLINK("Melting_Curves/meltCurve_Q8N1G4_LRRC47.pdf", "Melting_Curves/meltCurve_Q8N1G4_LRRC47.pdf")</f>
        <v>Melting_Curves/meltCurve_Q8N1G4_LRRC47.pdf</v>
      </c>
    </row>
    <row r="3822" spans="1:28" x14ac:dyDescent="0.25">
      <c r="A3822" t="s">
        <v>3826</v>
      </c>
      <c r="B3822">
        <v>0.99299721793515405</v>
      </c>
      <c r="C3822">
        <v>0.94362933569812502</v>
      </c>
      <c r="D3822">
        <v>0.92717733214229503</v>
      </c>
      <c r="E3822">
        <v>0.94938229201736601</v>
      </c>
      <c r="F3822">
        <v>0.68148444457663604</v>
      </c>
      <c r="G3822">
        <v>0.44138143622492199</v>
      </c>
      <c r="H3822">
        <v>0.40648165463022701</v>
      </c>
      <c r="I3822">
        <v>0.40157714559260999</v>
      </c>
      <c r="J3822">
        <v>0.334954116068855</v>
      </c>
      <c r="K3822">
        <v>0.308428328405498</v>
      </c>
      <c r="L3822">
        <v>1244.18658101136</v>
      </c>
      <c r="M3822">
        <v>24.710546695442599</v>
      </c>
      <c r="N3822">
        <v>52.899860524743403</v>
      </c>
      <c r="O3822">
        <v>50.024157535838199</v>
      </c>
      <c r="P3822">
        <v>-8.0515647012890504E-2</v>
      </c>
      <c r="Q3822">
        <v>0.348024158892077</v>
      </c>
      <c r="R3822">
        <v>0.98264684400246305</v>
      </c>
      <c r="S3822" t="s">
        <v>9373</v>
      </c>
      <c r="T3822" t="s">
        <v>11100</v>
      </c>
      <c r="U3822" t="s">
        <v>11100</v>
      </c>
      <c r="V3822" t="s">
        <v>11100</v>
      </c>
      <c r="W3822" t="s">
        <v>14872</v>
      </c>
      <c r="X3822">
        <v>1</v>
      </c>
      <c r="Y3822" t="s">
        <v>20310</v>
      </c>
      <c r="Z3822" t="s">
        <v>25827</v>
      </c>
      <c r="AA3822">
        <v>0.64401160231114696</v>
      </c>
      <c r="AB3822" t="str">
        <f>HYPERLINK("Melting_Curves/meltCurve_Q8N1Q1_CA13.pdf", "Melting_Curves/meltCurve_Q8N1Q1_CA13.pdf")</f>
        <v>Melting_Curves/meltCurve_Q8N1Q1_CA13.pdf</v>
      </c>
    </row>
    <row r="3823" spans="1:28" x14ac:dyDescent="0.25">
      <c r="A3823" t="s">
        <v>3827</v>
      </c>
      <c r="B3823">
        <v>0.99299721793515405</v>
      </c>
      <c r="C3823">
        <v>0.95416832108684102</v>
      </c>
      <c r="D3823">
        <v>1.11226751009178</v>
      </c>
      <c r="E3823">
        <v>0.84279767994900101</v>
      </c>
      <c r="F3823">
        <v>0.69540127558326204</v>
      </c>
      <c r="G3823">
        <v>0.21839802887667401</v>
      </c>
      <c r="H3823">
        <v>0.14609748997389399</v>
      </c>
      <c r="I3823">
        <v>0.14435214798746501</v>
      </c>
      <c r="J3823">
        <v>0.13974674677138299</v>
      </c>
      <c r="K3823">
        <v>0.103760358561142</v>
      </c>
      <c r="L3823">
        <v>1530.6208862986</v>
      </c>
      <c r="M3823">
        <v>30.080793906681901</v>
      </c>
      <c r="N3823">
        <v>51.344646753822303</v>
      </c>
      <c r="O3823">
        <v>50.660366807344403</v>
      </c>
      <c r="P3823">
        <v>-0.13087767672141101</v>
      </c>
      <c r="Q3823">
        <v>0.11833864566933799</v>
      </c>
      <c r="R3823">
        <v>0.97996341464164405</v>
      </c>
      <c r="S3823" t="s">
        <v>9374</v>
      </c>
      <c r="T3823" t="s">
        <v>11100</v>
      </c>
      <c r="U3823" t="s">
        <v>11100</v>
      </c>
      <c r="V3823" t="s">
        <v>11100</v>
      </c>
      <c r="W3823" t="s">
        <v>14873</v>
      </c>
      <c r="X3823">
        <v>8</v>
      </c>
      <c r="Y3823" t="s">
        <v>20311</v>
      </c>
      <c r="Z3823" t="s">
        <v>25828</v>
      </c>
      <c r="AA3823">
        <v>0.53181654122532518</v>
      </c>
      <c r="AB3823" t="str">
        <f>HYPERLINK("Melting_Curves/meltCurve_Q8N2F6_3_ARMC10.pdf", "Melting_Curves/meltCurve_Q8N2F6_3_ARMC10.pdf")</f>
        <v>Melting_Curves/meltCurve_Q8N2F6_3_ARMC10.pdf</v>
      </c>
    </row>
    <row r="3824" spans="1:28" x14ac:dyDescent="0.25">
      <c r="A3824" t="s">
        <v>3828</v>
      </c>
      <c r="B3824">
        <v>0.99299721793515405</v>
      </c>
      <c r="C3824">
        <v>0.96546721155722104</v>
      </c>
      <c r="D3824">
        <v>0.95744970100462001</v>
      </c>
      <c r="E3824">
        <v>0.85703233977014903</v>
      </c>
      <c r="F3824">
        <v>0.71535475399473103</v>
      </c>
      <c r="G3824">
        <v>0.580589346086959</v>
      </c>
      <c r="H3824">
        <v>0.468256285589226</v>
      </c>
      <c r="I3824">
        <v>0.389457898545158</v>
      </c>
      <c r="J3824">
        <v>0.19949670517256299</v>
      </c>
      <c r="K3824">
        <v>0.153263630263687</v>
      </c>
      <c r="L3824">
        <v>505.12176908544097</v>
      </c>
      <c r="M3824">
        <v>9.0171875889025408</v>
      </c>
      <c r="N3824">
        <v>56.0176604757281</v>
      </c>
      <c r="O3824">
        <v>53.468450807886903</v>
      </c>
      <c r="P3824">
        <v>-4.2191651250386902E-2</v>
      </c>
      <c r="Q3824">
        <v>0</v>
      </c>
      <c r="R3824">
        <v>0.990184314436104</v>
      </c>
      <c r="S3824" t="s">
        <v>9375</v>
      </c>
      <c r="T3824" t="s">
        <v>11100</v>
      </c>
      <c r="U3824" t="s">
        <v>11100</v>
      </c>
      <c r="V3824" t="s">
        <v>11100</v>
      </c>
      <c r="W3824" t="s">
        <v>14874</v>
      </c>
      <c r="X3824">
        <v>10</v>
      </c>
      <c r="Y3824" t="s">
        <v>20312</v>
      </c>
      <c r="Z3824" t="s">
        <v>25829</v>
      </c>
      <c r="AA3824">
        <v>0.63667443019825254</v>
      </c>
      <c r="AB3824" t="str">
        <f>HYPERLINK("Melting_Curves/meltCurve_Q8N2G8_3_GHDC.pdf", "Melting_Curves/meltCurve_Q8N2G8_3_GHDC.pdf")</f>
        <v>Melting_Curves/meltCurve_Q8N2G8_3_GHDC.pdf</v>
      </c>
    </row>
    <row r="3825" spans="1:28" x14ac:dyDescent="0.25">
      <c r="A3825" t="s">
        <v>3829</v>
      </c>
      <c r="B3825">
        <v>0.99299721793515405</v>
      </c>
      <c r="C3825">
        <v>1.0250406386214499</v>
      </c>
      <c r="D3825">
        <v>0.983617749568793</v>
      </c>
      <c r="E3825">
        <v>0.82471490267399805</v>
      </c>
      <c r="F3825">
        <v>0.81784364928765796</v>
      </c>
      <c r="G3825">
        <v>0.46456541519046402</v>
      </c>
      <c r="H3825">
        <v>0.32925204007362502</v>
      </c>
      <c r="I3825">
        <v>0.17382020023172701</v>
      </c>
      <c r="J3825">
        <v>0.16021549210265501</v>
      </c>
      <c r="K3825">
        <v>0.127774026901328</v>
      </c>
      <c r="L3825">
        <v>817.75688515528805</v>
      </c>
      <c r="M3825">
        <v>15.362634778245299</v>
      </c>
      <c r="N3825">
        <v>53.885993956918902</v>
      </c>
      <c r="O3825">
        <v>52.352752072631901</v>
      </c>
      <c r="P3825">
        <v>-6.7112748389874993E-2</v>
      </c>
      <c r="Q3825">
        <v>8.5257243840162894E-2</v>
      </c>
      <c r="R3825">
        <v>0.98690759061310296</v>
      </c>
      <c r="S3825" t="s">
        <v>9376</v>
      </c>
      <c r="T3825" t="s">
        <v>11100</v>
      </c>
      <c r="U3825" t="s">
        <v>11100</v>
      </c>
      <c r="V3825" t="s">
        <v>11100</v>
      </c>
      <c r="W3825" t="s">
        <v>14875</v>
      </c>
      <c r="X3825">
        <v>7</v>
      </c>
      <c r="Y3825" t="s">
        <v>20313</v>
      </c>
      <c r="Z3825" t="s">
        <v>25830</v>
      </c>
      <c r="AA3825">
        <v>0.59579829850873456</v>
      </c>
      <c r="AB3825" t="str">
        <f>HYPERLINK("Melting_Curves/meltCurve_Q8N2K0_ABHD12.pdf", "Melting_Curves/meltCurve_Q8N2K0_ABHD12.pdf")</f>
        <v>Melting_Curves/meltCurve_Q8N2K0_ABHD12.pdf</v>
      </c>
    </row>
    <row r="3826" spans="1:28" x14ac:dyDescent="0.25">
      <c r="A3826" t="s">
        <v>3830</v>
      </c>
      <c r="B3826">
        <v>0.99299721793515405</v>
      </c>
      <c r="C3826">
        <v>1.0443341650558</v>
      </c>
      <c r="D3826">
        <v>0.927071964663012</v>
      </c>
      <c r="E3826">
        <v>0.85107332092158705</v>
      </c>
      <c r="F3826">
        <v>0.34800639412940598</v>
      </c>
      <c r="G3826">
        <v>0.182951975396346</v>
      </c>
      <c r="H3826">
        <v>0.17038721463072701</v>
      </c>
      <c r="I3826">
        <v>0.20134443379801001</v>
      </c>
      <c r="J3826">
        <v>0.16132752513016099</v>
      </c>
      <c r="K3826">
        <v>0.10139734601537601</v>
      </c>
      <c r="L3826">
        <v>1723.3571833375699</v>
      </c>
      <c r="M3826">
        <v>35.521438665147002</v>
      </c>
      <c r="N3826">
        <v>49.036401030448502</v>
      </c>
      <c r="O3826">
        <v>48.3629793821909</v>
      </c>
      <c r="P3826">
        <v>-0.154784902678058</v>
      </c>
      <c r="Q3826">
        <v>0.15703480930767399</v>
      </c>
      <c r="R3826">
        <v>0.99206730080625405</v>
      </c>
      <c r="S3826" t="s">
        <v>9377</v>
      </c>
      <c r="T3826" t="s">
        <v>11100</v>
      </c>
      <c r="U3826" t="s">
        <v>11100</v>
      </c>
      <c r="V3826" t="s">
        <v>11100</v>
      </c>
      <c r="W3826" t="s">
        <v>14876</v>
      </c>
      <c r="X3826">
        <v>2</v>
      </c>
      <c r="Y3826" t="s">
        <v>20314</v>
      </c>
      <c r="Z3826" t="s">
        <v>25831</v>
      </c>
      <c r="AA3826">
        <v>0.48421059490572133</v>
      </c>
      <c r="AB3826" t="str">
        <f>HYPERLINK("Melting_Curves/meltCurve_Q8N2W9_PIAS4.pdf", "Melting_Curves/meltCurve_Q8N2W9_PIAS4.pdf")</f>
        <v>Melting_Curves/meltCurve_Q8N2W9_PIAS4.pdf</v>
      </c>
    </row>
    <row r="3827" spans="1:28" x14ac:dyDescent="0.25">
      <c r="A3827" t="s">
        <v>3831</v>
      </c>
      <c r="B3827">
        <v>0.99299721793515405</v>
      </c>
      <c r="C3827">
        <v>0.87877019624074204</v>
      </c>
      <c r="D3827">
        <v>1.00912892691102</v>
      </c>
      <c r="E3827">
        <v>0.799220582342135</v>
      </c>
      <c r="F3827">
        <v>0.79937644674467401</v>
      </c>
      <c r="G3827">
        <v>0.48849908896049099</v>
      </c>
      <c r="H3827">
        <v>0.36952372794357302</v>
      </c>
      <c r="I3827">
        <v>0.236727955973592</v>
      </c>
      <c r="J3827">
        <v>0.17376984158602199</v>
      </c>
      <c r="K3827">
        <v>0.13970315711015499</v>
      </c>
      <c r="L3827">
        <v>614.39353716600601</v>
      </c>
      <c r="M3827">
        <v>11.359115944844801</v>
      </c>
      <c r="N3827">
        <v>54.429315599899603</v>
      </c>
      <c r="O3827">
        <v>52.493148823679498</v>
      </c>
      <c r="P3827">
        <v>-5.2254712406911603E-2</v>
      </c>
      <c r="Q3827">
        <v>3.4362221657992097E-2</v>
      </c>
      <c r="R3827">
        <v>0.97418972255644998</v>
      </c>
      <c r="S3827" t="s">
        <v>9378</v>
      </c>
      <c r="T3827" t="s">
        <v>11100</v>
      </c>
      <c r="U3827" t="s">
        <v>11100</v>
      </c>
      <c r="V3827" t="s">
        <v>11100</v>
      </c>
      <c r="W3827" t="s">
        <v>14877</v>
      </c>
      <c r="X3827">
        <v>3</v>
      </c>
      <c r="Y3827" t="s">
        <v>20315</v>
      </c>
      <c r="Z3827" t="s">
        <v>25832</v>
      </c>
      <c r="AA3827">
        <v>0.60144649393629723</v>
      </c>
      <c r="AB3827" t="str">
        <f>HYPERLINK("Melting_Curves/meltCurve_Q8N2Z9_APITD1.pdf", "Melting_Curves/meltCurve_Q8N2Z9_APITD1.pdf")</f>
        <v>Melting_Curves/meltCurve_Q8N2Z9_APITD1.pdf</v>
      </c>
    </row>
    <row r="3828" spans="1:28" x14ac:dyDescent="0.25">
      <c r="A3828" t="s">
        <v>3832</v>
      </c>
      <c r="B3828">
        <v>0.99299721793515405</v>
      </c>
      <c r="C3828">
        <v>1.09515548662639</v>
      </c>
      <c r="D3828">
        <v>0.95833155575969997</v>
      </c>
      <c r="E3828">
        <v>1.0322717269480299</v>
      </c>
      <c r="F3828">
        <v>0.89685160471949399</v>
      </c>
      <c r="G3828">
        <v>0.55746368160746895</v>
      </c>
      <c r="H3828">
        <v>0.61716928199772603</v>
      </c>
      <c r="I3828">
        <v>0.74976665167235002</v>
      </c>
      <c r="J3828">
        <v>0.80896214450648496</v>
      </c>
      <c r="K3828">
        <v>0.71571256209495604</v>
      </c>
      <c r="L3828">
        <v>12584.9756827082</v>
      </c>
      <c r="M3828">
        <v>250</v>
      </c>
      <c r="O3828">
        <v>50.336699771392702</v>
      </c>
      <c r="P3828">
        <v>-0.38513804316609701</v>
      </c>
      <c r="Q3828">
        <v>0.68981486467909203</v>
      </c>
      <c r="R3828">
        <v>0.82090066042693499</v>
      </c>
      <c r="S3828" t="s">
        <v>9379</v>
      </c>
      <c r="T3828" t="s">
        <v>11100</v>
      </c>
      <c r="U3828" t="s">
        <v>11100</v>
      </c>
      <c r="V3828" t="s">
        <v>11100</v>
      </c>
      <c r="W3828" t="s">
        <v>14878</v>
      </c>
      <c r="X3828">
        <v>2</v>
      </c>
      <c r="Y3828" t="s">
        <v>20316</v>
      </c>
      <c r="Z3828" t="s">
        <v>25833</v>
      </c>
      <c r="AA3828">
        <v>0.82777025267392002</v>
      </c>
      <c r="AB3828" t="str">
        <f>HYPERLINK("Melting_Curves/meltCurve_Q8N300_CCDC23.pdf", "Melting_Curves/meltCurve_Q8N300_CCDC23.pdf")</f>
        <v>Melting_Curves/meltCurve_Q8N300_CCDC23.pdf</v>
      </c>
    </row>
    <row r="3829" spans="1:28" x14ac:dyDescent="0.25">
      <c r="A3829" t="s">
        <v>3833</v>
      </c>
      <c r="B3829">
        <v>0.99299721793515405</v>
      </c>
      <c r="C3829">
        <v>1.0317307686789099</v>
      </c>
      <c r="D3829">
        <v>0.894048919680004</v>
      </c>
      <c r="E3829">
        <v>0.91848264956186099</v>
      </c>
      <c r="F3829">
        <v>0.700339611992433</v>
      </c>
      <c r="G3829">
        <v>0.36201834923489901</v>
      </c>
      <c r="H3829">
        <v>0.25176451434444902</v>
      </c>
      <c r="I3829">
        <v>0.16981839908270099</v>
      </c>
      <c r="J3829">
        <v>0.163893011780538</v>
      </c>
      <c r="K3829">
        <v>0.12667241538454799</v>
      </c>
      <c r="L3829">
        <v>1040.0475887912</v>
      </c>
      <c r="M3829">
        <v>20.187585871211301</v>
      </c>
      <c r="N3829">
        <v>52.331950649682099</v>
      </c>
      <c r="O3829">
        <v>51.021628546052099</v>
      </c>
      <c r="P3829">
        <v>-8.5607827077878298E-2</v>
      </c>
      <c r="Q3829">
        <v>0.13457442272824799</v>
      </c>
      <c r="R3829">
        <v>0.991011977451004</v>
      </c>
      <c r="S3829" t="s">
        <v>9380</v>
      </c>
      <c r="T3829" t="s">
        <v>11100</v>
      </c>
      <c r="U3829" t="s">
        <v>11100</v>
      </c>
      <c r="V3829" t="s">
        <v>11100</v>
      </c>
      <c r="W3829" t="s">
        <v>14879</v>
      </c>
      <c r="X3829">
        <v>10</v>
      </c>
      <c r="Y3829" t="s">
        <v>20317</v>
      </c>
      <c r="Z3829" t="s">
        <v>25834</v>
      </c>
      <c r="AA3829">
        <v>0.56451062214486358</v>
      </c>
      <c r="AB3829" t="str">
        <f>HYPERLINK("Melting_Curves/meltCurve_Q8N335_GPD1L.pdf", "Melting_Curves/meltCurve_Q8N335_GPD1L.pdf")</f>
        <v>Melting_Curves/meltCurve_Q8N335_GPD1L.pdf</v>
      </c>
    </row>
    <row r="3830" spans="1:28" x14ac:dyDescent="0.25">
      <c r="A3830" t="s">
        <v>3834</v>
      </c>
      <c r="B3830">
        <v>0.99299721793515405</v>
      </c>
      <c r="C3830">
        <v>0.89549741575513697</v>
      </c>
      <c r="D3830">
        <v>0.98219723963401195</v>
      </c>
      <c r="E3830">
        <v>0.80437082798005299</v>
      </c>
      <c r="F3830">
        <v>0.55000609558197999</v>
      </c>
      <c r="G3830">
        <v>0.41510090357816598</v>
      </c>
      <c r="H3830">
        <v>0.23464218399739001</v>
      </c>
      <c r="I3830">
        <v>0.22043456444657</v>
      </c>
      <c r="J3830">
        <v>0.20421063556661201</v>
      </c>
      <c r="K3830">
        <v>0.15047981617824399</v>
      </c>
      <c r="L3830">
        <v>745.80910958414597</v>
      </c>
      <c r="M3830">
        <v>14.844322891189901</v>
      </c>
      <c r="N3830">
        <v>51.479737959244297</v>
      </c>
      <c r="O3830">
        <v>49.356684088599799</v>
      </c>
      <c r="P3830">
        <v>-6.3911704501439806E-2</v>
      </c>
      <c r="Q3830">
        <v>0.150075653451098</v>
      </c>
      <c r="R3830">
        <v>0.98732570588219803</v>
      </c>
      <c r="S3830" t="s">
        <v>9381</v>
      </c>
      <c r="T3830" t="s">
        <v>11100</v>
      </c>
      <c r="U3830" t="s">
        <v>11100</v>
      </c>
      <c r="V3830" t="s">
        <v>11100</v>
      </c>
      <c r="W3830" t="s">
        <v>14880</v>
      </c>
      <c r="X3830">
        <v>2</v>
      </c>
      <c r="Y3830" t="s">
        <v>20318</v>
      </c>
      <c r="Z3830" t="s">
        <v>25835</v>
      </c>
      <c r="AA3830">
        <v>0.54311616875679336</v>
      </c>
      <c r="AB3830" t="str">
        <f>HYPERLINK("Melting_Curves/meltCurve_Q8N344_MIER2.pdf", "Melting_Curves/meltCurve_Q8N344_MIER2.pdf")</f>
        <v>Melting_Curves/meltCurve_Q8N344_MIER2.pdf</v>
      </c>
    </row>
    <row r="3831" spans="1:28" x14ac:dyDescent="0.25">
      <c r="A3831" t="s">
        <v>3835</v>
      </c>
      <c r="B3831">
        <v>0.99299721793515405</v>
      </c>
      <c r="C3831">
        <v>0.92941015240202596</v>
      </c>
      <c r="D3831">
        <v>0.92252077456207804</v>
      </c>
      <c r="E3831">
        <v>0.76239152034651103</v>
      </c>
      <c r="F3831">
        <v>0.70669981122143899</v>
      </c>
      <c r="G3831">
        <v>0.46658168775582498</v>
      </c>
      <c r="H3831">
        <v>0.383253999706058</v>
      </c>
      <c r="I3831">
        <v>0.27979500538597002</v>
      </c>
      <c r="J3831">
        <v>0.193916530520265</v>
      </c>
      <c r="K3831">
        <v>0.30502671540059401</v>
      </c>
      <c r="L3831">
        <v>561.582731664687</v>
      </c>
      <c r="M3831">
        <v>10.9072096784774</v>
      </c>
      <c r="N3831">
        <v>53.558916371205797</v>
      </c>
      <c r="O3831">
        <v>49.847301842784901</v>
      </c>
      <c r="P3831">
        <v>-4.5304800664195302E-2</v>
      </c>
      <c r="Q3831">
        <v>0.17209430295011599</v>
      </c>
      <c r="R3831">
        <v>0.97905066307959998</v>
      </c>
      <c r="S3831" t="s">
        <v>9382</v>
      </c>
      <c r="T3831" t="s">
        <v>11100</v>
      </c>
      <c r="U3831" t="s">
        <v>11100</v>
      </c>
      <c r="V3831" t="s">
        <v>11100</v>
      </c>
      <c r="W3831" t="s">
        <v>14881</v>
      </c>
      <c r="X3831">
        <v>2</v>
      </c>
      <c r="Y3831" t="s">
        <v>20319</v>
      </c>
      <c r="Z3831" t="s">
        <v>25836</v>
      </c>
      <c r="AA3831">
        <v>0.59426022753111651</v>
      </c>
      <c r="AB3831" t="str">
        <f>HYPERLINK("Melting_Curves/meltCurve_Q8N371_KDM8.pdf", "Melting_Curves/meltCurve_Q8N371_KDM8.pdf")</f>
        <v>Melting_Curves/meltCurve_Q8N371_KDM8.pdf</v>
      </c>
    </row>
    <row r="3832" spans="1:28" x14ac:dyDescent="0.25">
      <c r="A3832" t="s">
        <v>3836</v>
      </c>
      <c r="B3832">
        <v>0.99299721793515405</v>
      </c>
      <c r="C3832">
        <v>1.1978103271681</v>
      </c>
      <c r="D3832">
        <v>0.98184542800508301</v>
      </c>
      <c r="E3832">
        <v>0.95715635950161904</v>
      </c>
      <c r="F3832">
        <v>0.88492017077081397</v>
      </c>
      <c r="G3832">
        <v>0.36926688630010401</v>
      </c>
      <c r="H3832">
        <v>0.30680954290833101</v>
      </c>
      <c r="I3832">
        <v>0.20136514024652599</v>
      </c>
      <c r="J3832">
        <v>0.178004651858788</v>
      </c>
      <c r="K3832">
        <v>7.7204243662006802E-2</v>
      </c>
      <c r="L3832">
        <v>1811.68534343431</v>
      </c>
      <c r="M3832">
        <v>34.5656824459587</v>
      </c>
      <c r="N3832">
        <v>53.057719445480899</v>
      </c>
      <c r="O3832">
        <v>52.238335894750698</v>
      </c>
      <c r="P3832">
        <v>-0.137049792335283</v>
      </c>
      <c r="Q3832">
        <v>0.17152206486548299</v>
      </c>
      <c r="R3832">
        <v>0.96140660759183405</v>
      </c>
      <c r="S3832" t="s">
        <v>9383</v>
      </c>
      <c r="T3832" t="s">
        <v>11100</v>
      </c>
      <c r="U3832" t="s">
        <v>11100</v>
      </c>
      <c r="V3832" t="s">
        <v>11100</v>
      </c>
      <c r="W3832" t="s">
        <v>14882</v>
      </c>
      <c r="X3832">
        <v>5</v>
      </c>
      <c r="Y3832" t="s">
        <v>20320</v>
      </c>
      <c r="Z3832" t="s">
        <v>25837</v>
      </c>
      <c r="AA3832">
        <v>0.60115473035537248</v>
      </c>
      <c r="AB3832" t="str">
        <f>HYPERLINK("Melting_Curves/meltCurve_Q8N392_2_ARHGAP18.pdf", "Melting_Curves/meltCurve_Q8N392_2_ARHGAP18.pdf")</f>
        <v>Melting_Curves/meltCurve_Q8N392_2_ARHGAP18.pdf</v>
      </c>
    </row>
    <row r="3833" spans="1:28" x14ac:dyDescent="0.25">
      <c r="A3833" t="s">
        <v>3837</v>
      </c>
      <c r="B3833">
        <v>0.99299721793515405</v>
      </c>
      <c r="C3833">
        <v>0.96324245409606402</v>
      </c>
      <c r="D3833">
        <v>1.0977751601285901</v>
      </c>
      <c r="E3833">
        <v>0.85600967950662099</v>
      </c>
      <c r="F3833">
        <v>0.742328747265661</v>
      </c>
      <c r="G3833">
        <v>0.35787733213128903</v>
      </c>
      <c r="H3833">
        <v>0.17998360727028101</v>
      </c>
      <c r="I3833">
        <v>0.15973623097095099</v>
      </c>
      <c r="J3833">
        <v>0.166326941859361</v>
      </c>
      <c r="K3833">
        <v>0.203698702923227</v>
      </c>
      <c r="L3833">
        <v>1334.5260677051899</v>
      </c>
      <c r="M3833">
        <v>25.953905724603299</v>
      </c>
      <c r="N3833">
        <v>52.196972299926699</v>
      </c>
      <c r="O3833">
        <v>51.116735921872298</v>
      </c>
      <c r="P3833">
        <v>-0.106577952918178</v>
      </c>
      <c r="Q3833">
        <v>0.16038010379503101</v>
      </c>
      <c r="R3833">
        <v>0.98245502179007205</v>
      </c>
      <c r="S3833" t="s">
        <v>9384</v>
      </c>
      <c r="T3833" t="s">
        <v>11100</v>
      </c>
      <c r="U3833" t="s">
        <v>11100</v>
      </c>
      <c r="V3833" t="s">
        <v>11100</v>
      </c>
      <c r="W3833" t="s">
        <v>14883</v>
      </c>
      <c r="X3833">
        <v>28</v>
      </c>
      <c r="Y3833" t="s">
        <v>20321</v>
      </c>
      <c r="Z3833" t="s">
        <v>25838</v>
      </c>
      <c r="AA3833">
        <v>0.5708609615472946</v>
      </c>
      <c r="AB3833" t="str">
        <f>HYPERLINK("Melting_Curves/meltCurve_Q8N3F8_MICALL1.pdf", "Melting_Curves/meltCurve_Q8N3F8_MICALL1.pdf")</f>
        <v>Melting_Curves/meltCurve_Q8N3F8_MICALL1.pdf</v>
      </c>
    </row>
    <row r="3834" spans="1:28" x14ac:dyDescent="0.25">
      <c r="A3834" t="s">
        <v>3838</v>
      </c>
      <c r="B3834">
        <v>0.99299721793515405</v>
      </c>
      <c r="C3834">
        <v>1.1446246610114099</v>
      </c>
      <c r="D3834">
        <v>0.79682205127592498</v>
      </c>
      <c r="E3834">
        <v>0.67042194436999503</v>
      </c>
      <c r="F3834">
        <v>0.47328471064278699</v>
      </c>
      <c r="G3834">
        <v>0.23184737312461101</v>
      </c>
      <c r="H3834">
        <v>0.51210857998206405</v>
      </c>
      <c r="I3834">
        <v>0.45114757505721997</v>
      </c>
      <c r="J3834">
        <v>0.271019056881112</v>
      </c>
      <c r="K3834">
        <v>0.228877757768501</v>
      </c>
      <c r="L3834">
        <v>942.36262044688306</v>
      </c>
      <c r="M3834">
        <v>20.3581048013261</v>
      </c>
      <c r="N3834">
        <v>48.934351380593199</v>
      </c>
      <c r="O3834">
        <v>45.8496133234136</v>
      </c>
      <c r="P3834">
        <v>-7.3971991707904805E-2</v>
      </c>
      <c r="Q3834">
        <v>0.33363456342079101</v>
      </c>
      <c r="R3834">
        <v>0.87738603593159903</v>
      </c>
      <c r="S3834" t="s">
        <v>9385</v>
      </c>
      <c r="T3834" t="s">
        <v>11100</v>
      </c>
      <c r="U3834" t="s">
        <v>11100</v>
      </c>
      <c r="V3834" t="s">
        <v>11100</v>
      </c>
      <c r="W3834" t="s">
        <v>14884</v>
      </c>
      <c r="X3834">
        <v>3</v>
      </c>
      <c r="Y3834" t="s">
        <v>20322</v>
      </c>
      <c r="Z3834" t="s">
        <v>25839</v>
      </c>
      <c r="AA3834">
        <v>0.54837654509265543</v>
      </c>
      <c r="AB3834" t="str">
        <f>HYPERLINK("Melting_Curves/meltCurve_Q8N3J3_3_C17orf53.pdf", "Melting_Curves/meltCurve_Q8N3J3_3_C17orf53.pdf")</f>
        <v>Melting_Curves/meltCurve_Q8N3J3_3_C17orf53.pdf</v>
      </c>
    </row>
    <row r="3835" spans="1:28" x14ac:dyDescent="0.25">
      <c r="A3835" t="s">
        <v>3839</v>
      </c>
      <c r="B3835">
        <v>0.99299721793515405</v>
      </c>
      <c r="C3835">
        <v>0.92435248979169204</v>
      </c>
      <c r="D3835">
        <v>1.0049508631659401</v>
      </c>
      <c r="E3835">
        <v>0.77628608433359303</v>
      </c>
      <c r="F3835">
        <v>0.63552169627810395</v>
      </c>
      <c r="G3835">
        <v>0.81598280421707103</v>
      </c>
      <c r="H3835">
        <v>1.0598863511418399</v>
      </c>
      <c r="I3835">
        <v>1.20358789119582</v>
      </c>
      <c r="J3835">
        <v>1.3412859850833501</v>
      </c>
      <c r="K3835">
        <v>1.4238942551717</v>
      </c>
      <c r="L3835">
        <v>2214.26278824676</v>
      </c>
      <c r="M3835">
        <v>36.134837856392998</v>
      </c>
      <c r="O3835">
        <v>61.091016641488203</v>
      </c>
      <c r="P3835">
        <v>6.3783177738058805E-2</v>
      </c>
      <c r="Q3835">
        <v>1.43133632886229</v>
      </c>
      <c r="R3835">
        <v>0.59896253054903104</v>
      </c>
      <c r="S3835" t="s">
        <v>9386</v>
      </c>
      <c r="T3835" t="s">
        <v>11100</v>
      </c>
      <c r="U3835" t="s">
        <v>11100</v>
      </c>
      <c r="V3835" t="s">
        <v>11100</v>
      </c>
      <c r="W3835" t="s">
        <v>14885</v>
      </c>
      <c r="X3835">
        <v>8</v>
      </c>
      <c r="Y3835" t="s">
        <v>20323</v>
      </c>
      <c r="Z3835" t="s">
        <v>25840</v>
      </c>
      <c r="AA3835">
        <v>1.081419311157541</v>
      </c>
      <c r="AB3835" t="str">
        <f>HYPERLINK("Melting_Curves/meltCurve_Q8N3X1_FNBP4.pdf", "Melting_Curves/meltCurve_Q8N3X1_FNBP4.pdf")</f>
        <v>Melting_Curves/meltCurve_Q8N3X1_FNBP4.pdf</v>
      </c>
    </row>
    <row r="3836" spans="1:28" x14ac:dyDescent="0.25">
      <c r="A3836" t="s">
        <v>3840</v>
      </c>
      <c r="B3836">
        <v>0.99299721793515405</v>
      </c>
      <c r="C3836">
        <v>1.0403287272145401</v>
      </c>
      <c r="D3836">
        <v>0.92392054809583801</v>
      </c>
      <c r="E3836">
        <v>0.80458094702772798</v>
      </c>
      <c r="F3836">
        <v>0.54073271191433903</v>
      </c>
      <c r="G3836">
        <v>0.27064064060024501</v>
      </c>
      <c r="H3836">
        <v>0.26273635135179202</v>
      </c>
      <c r="I3836">
        <v>0.22496001844382599</v>
      </c>
      <c r="J3836">
        <v>0.20312411797238999</v>
      </c>
      <c r="K3836">
        <v>0.184769228593997</v>
      </c>
      <c r="L3836">
        <v>1002.18121202782</v>
      </c>
      <c r="M3836">
        <v>20.3668507729402</v>
      </c>
      <c r="N3836">
        <v>50.431791330267799</v>
      </c>
      <c r="O3836">
        <v>48.7394895830287</v>
      </c>
      <c r="P3836">
        <v>-8.4081977238028502E-2</v>
      </c>
      <c r="Q3836">
        <v>0.19516520659085099</v>
      </c>
      <c r="R3836">
        <v>0.993836046431683</v>
      </c>
      <c r="S3836" t="s">
        <v>9387</v>
      </c>
      <c r="T3836" t="s">
        <v>11100</v>
      </c>
      <c r="U3836" t="s">
        <v>11100</v>
      </c>
      <c r="V3836" t="s">
        <v>11100</v>
      </c>
      <c r="W3836" t="s">
        <v>14886</v>
      </c>
      <c r="X3836">
        <v>1</v>
      </c>
      <c r="Y3836" t="s">
        <v>20324</v>
      </c>
      <c r="Z3836" t="s">
        <v>25841</v>
      </c>
      <c r="AA3836">
        <v>0.53290042538702342</v>
      </c>
      <c r="AB3836" t="str">
        <f>HYPERLINK("Melting_Curves/meltCurve_Q8N442_GUF1.pdf", "Melting_Curves/meltCurve_Q8N442_GUF1.pdf")</f>
        <v>Melting_Curves/meltCurve_Q8N442_GUF1.pdf</v>
      </c>
    </row>
    <row r="3837" spans="1:28" x14ac:dyDescent="0.25">
      <c r="A3837" t="s">
        <v>3841</v>
      </c>
      <c r="B3837">
        <v>0.99299721793515405</v>
      </c>
      <c r="C3837">
        <v>1.0614047213900899</v>
      </c>
      <c r="D3837">
        <v>0.91005190034762595</v>
      </c>
      <c r="E3837">
        <v>0.98932403824287996</v>
      </c>
      <c r="F3837">
        <v>0.78431450136022696</v>
      </c>
      <c r="G3837">
        <v>0.80302874383448197</v>
      </c>
      <c r="H3837">
        <v>0.72263546077926399</v>
      </c>
      <c r="I3837">
        <v>0.47666959981920998</v>
      </c>
      <c r="J3837">
        <v>0.25427366119074701</v>
      </c>
      <c r="K3837">
        <v>0.20852393483224699</v>
      </c>
      <c r="L3837">
        <v>720.58743175207803</v>
      </c>
      <c r="M3837">
        <v>12.0020772034734</v>
      </c>
      <c r="N3837">
        <v>60.038559975405001</v>
      </c>
      <c r="O3837">
        <v>58.444640568462297</v>
      </c>
      <c r="P3837">
        <v>-5.1351859200561102E-2</v>
      </c>
      <c r="Q3837">
        <v>0</v>
      </c>
      <c r="R3837">
        <v>0.95239363740773397</v>
      </c>
      <c r="S3837" t="s">
        <v>9388</v>
      </c>
      <c r="T3837" t="s">
        <v>11100</v>
      </c>
      <c r="U3837" t="s">
        <v>11100</v>
      </c>
      <c r="V3837" t="s">
        <v>11100</v>
      </c>
      <c r="W3837" t="s">
        <v>14887</v>
      </c>
      <c r="X3837">
        <v>3</v>
      </c>
      <c r="Y3837" t="s">
        <v>20325</v>
      </c>
      <c r="Z3837" t="s">
        <v>25842</v>
      </c>
      <c r="AA3837">
        <v>0.751353095501616</v>
      </c>
      <c r="AB3837" t="str">
        <f>HYPERLINK("Melting_Curves/meltCurve_Q8N465_D2HGDH.pdf", "Melting_Curves/meltCurve_Q8N465_D2HGDH.pdf")</f>
        <v>Melting_Curves/meltCurve_Q8N465_D2HGDH.pdf</v>
      </c>
    </row>
    <row r="3838" spans="1:28" x14ac:dyDescent="0.25">
      <c r="A3838" t="s">
        <v>3842</v>
      </c>
      <c r="B3838">
        <v>0.99299721793515405</v>
      </c>
      <c r="C3838">
        <v>0.96591208731107603</v>
      </c>
      <c r="D3838">
        <v>0.81946114362309597</v>
      </c>
      <c r="E3838">
        <v>0.77631869843608603</v>
      </c>
      <c r="F3838">
        <v>0.69272522068224196</v>
      </c>
      <c r="G3838">
        <v>0.29598538234445398</v>
      </c>
      <c r="H3838">
        <v>0.443173856600514</v>
      </c>
      <c r="I3838">
        <v>0.44913231474971099</v>
      </c>
      <c r="J3838">
        <v>0.521259979964803</v>
      </c>
      <c r="K3838">
        <v>0.38686542500710203</v>
      </c>
      <c r="L3838">
        <v>723.15764986128295</v>
      </c>
      <c r="M3838">
        <v>15.2882156198326</v>
      </c>
      <c r="N3838">
        <v>53.265969964228603</v>
      </c>
      <c r="O3838">
        <v>46.514484963833802</v>
      </c>
      <c r="P3838">
        <v>-4.8506073912985198E-2</v>
      </c>
      <c r="Q3838">
        <v>0.40973530360348298</v>
      </c>
      <c r="R3838">
        <v>0.87676672057380201</v>
      </c>
      <c r="S3838" t="s">
        <v>9389</v>
      </c>
      <c r="T3838" t="s">
        <v>11100</v>
      </c>
      <c r="U3838" t="s">
        <v>11100</v>
      </c>
      <c r="V3838" t="s">
        <v>11100</v>
      </c>
      <c r="W3838" t="s">
        <v>14888</v>
      </c>
      <c r="X3838">
        <v>4</v>
      </c>
      <c r="Y3838" t="s">
        <v>20326</v>
      </c>
      <c r="Z3838" t="s">
        <v>25843</v>
      </c>
      <c r="AA3838">
        <v>0.62518871150261057</v>
      </c>
      <c r="AB3838" t="str">
        <f>HYPERLINK("Melting_Curves/meltCurve_Q8N488_RYBP.pdf", "Melting_Curves/meltCurve_Q8N488_RYBP.pdf")</f>
        <v>Melting_Curves/meltCurve_Q8N488_RYBP.pdf</v>
      </c>
    </row>
    <row r="3839" spans="1:28" x14ac:dyDescent="0.25">
      <c r="A3839" t="s">
        <v>3843</v>
      </c>
      <c r="B3839">
        <v>0.99299721793515405</v>
      </c>
      <c r="C3839">
        <v>0.88505441349856995</v>
      </c>
      <c r="D3839">
        <v>1.0149722156988299</v>
      </c>
      <c r="E3839">
        <v>0.82740630349966704</v>
      </c>
      <c r="F3839">
        <v>0.80065628800124999</v>
      </c>
      <c r="G3839">
        <v>0.49645924797926</v>
      </c>
      <c r="H3839">
        <v>0.49689184193976399</v>
      </c>
      <c r="I3839">
        <v>0.437482194841744</v>
      </c>
      <c r="J3839">
        <v>0.27694492593882603</v>
      </c>
      <c r="K3839">
        <v>0.285082611989108</v>
      </c>
      <c r="L3839">
        <v>547.28210188878199</v>
      </c>
      <c r="M3839">
        <v>10.1867323445928</v>
      </c>
      <c r="N3839">
        <v>56.3815493408568</v>
      </c>
      <c r="O3839">
        <v>51.777976466538298</v>
      </c>
      <c r="P3839">
        <v>-3.9828112485447403E-2</v>
      </c>
      <c r="Q3839">
        <v>0.19060012094971901</v>
      </c>
      <c r="R3839">
        <v>0.95146722829402397</v>
      </c>
      <c r="S3839" t="s">
        <v>9390</v>
      </c>
      <c r="T3839" t="s">
        <v>11100</v>
      </c>
      <c r="U3839" t="s">
        <v>11100</v>
      </c>
      <c r="V3839" t="s">
        <v>11100</v>
      </c>
      <c r="W3839" t="s">
        <v>14889</v>
      </c>
      <c r="X3839">
        <v>4</v>
      </c>
      <c r="Y3839" t="s">
        <v>20327</v>
      </c>
      <c r="Z3839" t="s">
        <v>25844</v>
      </c>
      <c r="AA3839">
        <v>0.65724756734792122</v>
      </c>
      <c r="AB3839" t="str">
        <f>HYPERLINK("Melting_Curves/meltCurve_Q8N490_2_PNKD.pdf", "Melting_Curves/meltCurve_Q8N490_2_PNKD.pdf")</f>
        <v>Melting_Curves/meltCurve_Q8N490_2_PNKD.pdf</v>
      </c>
    </row>
    <row r="3840" spans="1:28" x14ac:dyDescent="0.25">
      <c r="A3840" t="s">
        <v>3844</v>
      </c>
      <c r="B3840">
        <v>0.99299721793515405</v>
      </c>
      <c r="C3840">
        <v>0.92313128107484199</v>
      </c>
      <c r="D3840">
        <v>1.1308315854470701</v>
      </c>
      <c r="E3840">
        <v>0.80728308966472895</v>
      </c>
      <c r="F3840">
        <v>0.64493609432103305</v>
      </c>
      <c r="G3840">
        <v>0.71990157382994902</v>
      </c>
      <c r="H3840">
        <v>0.47924817063428599</v>
      </c>
      <c r="I3840">
        <v>0.480977570563908</v>
      </c>
      <c r="J3840">
        <v>0.393094133206214</v>
      </c>
      <c r="K3840">
        <v>0.219575101509314</v>
      </c>
      <c r="L3840">
        <v>425.02434035652601</v>
      </c>
      <c r="M3840">
        <v>7.2888833969144597</v>
      </c>
      <c r="N3840">
        <v>58.354838455341898</v>
      </c>
      <c r="O3840">
        <v>54.402922666618302</v>
      </c>
      <c r="P3840">
        <v>-3.3457471974698401E-2</v>
      </c>
      <c r="Q3840">
        <v>2.7111179059093999E-3</v>
      </c>
      <c r="R3840">
        <v>0.89789058776785802</v>
      </c>
      <c r="S3840" t="s">
        <v>9391</v>
      </c>
      <c r="T3840" t="s">
        <v>11100</v>
      </c>
      <c r="U3840" t="s">
        <v>11100</v>
      </c>
      <c r="V3840" t="s">
        <v>11100</v>
      </c>
      <c r="W3840" t="s">
        <v>14890</v>
      </c>
      <c r="X3840">
        <v>2</v>
      </c>
      <c r="Y3840" t="s">
        <v>20327</v>
      </c>
      <c r="Z3840" t="s">
        <v>25845</v>
      </c>
      <c r="AA3840">
        <v>0.68058004392360849</v>
      </c>
      <c r="AB3840" t="str">
        <f>HYPERLINK("Melting_Curves/meltCurve_Q8N490_4_PNKD.pdf", "Melting_Curves/meltCurve_Q8N490_4_PNKD.pdf")</f>
        <v>Melting_Curves/meltCurve_Q8N490_4_PNKD.pdf</v>
      </c>
    </row>
    <row r="3841" spans="1:28" x14ac:dyDescent="0.25">
      <c r="A3841" t="s">
        <v>3845</v>
      </c>
      <c r="B3841">
        <v>0.99299721793515405</v>
      </c>
      <c r="C3841">
        <v>0.97737718282888797</v>
      </c>
      <c r="D3841">
        <v>2.0020474846407899</v>
      </c>
      <c r="E3841">
        <v>0.82116828546823895</v>
      </c>
      <c r="F3841">
        <v>1.16908901720993</v>
      </c>
      <c r="G3841">
        <v>0.54992514908176804</v>
      </c>
      <c r="H3841">
        <v>0.28866699181708999</v>
      </c>
      <c r="I3841">
        <v>0.397591903100529</v>
      </c>
      <c r="J3841">
        <v>0.50726961537401505</v>
      </c>
      <c r="K3841">
        <v>0.398421420687115</v>
      </c>
      <c r="L3841">
        <v>13391.5762486806</v>
      </c>
      <c r="M3841">
        <v>250</v>
      </c>
      <c r="N3841">
        <v>53.909065443892402</v>
      </c>
      <c r="O3841">
        <v>53.562877108782097</v>
      </c>
      <c r="P3841">
        <v>-0.70246007815637601</v>
      </c>
      <c r="Q3841">
        <v>0.39798747528944001</v>
      </c>
      <c r="R3841">
        <v>0.54278715653861997</v>
      </c>
      <c r="S3841" t="s">
        <v>9392</v>
      </c>
      <c r="T3841" t="s">
        <v>11100</v>
      </c>
      <c r="U3841" t="s">
        <v>11100</v>
      </c>
      <c r="V3841" t="s">
        <v>11100</v>
      </c>
      <c r="W3841" t="s">
        <v>14891</v>
      </c>
      <c r="X3841">
        <v>5</v>
      </c>
      <c r="Y3841" t="s">
        <v>20328</v>
      </c>
      <c r="Z3841" t="s">
        <v>25846</v>
      </c>
      <c r="AA3841">
        <v>0.73048150580181359</v>
      </c>
      <c r="AB3841" t="str">
        <f>HYPERLINK("Melting_Curves/meltCurve_Q8N4C8_2_MINK1.pdf", "Melting_Curves/meltCurve_Q8N4C8_2_MINK1.pdf")</f>
        <v>Melting_Curves/meltCurve_Q8N4C8_2_MINK1.pdf</v>
      </c>
    </row>
    <row r="3842" spans="1:28" x14ac:dyDescent="0.25">
      <c r="A3842" t="s">
        <v>3846</v>
      </c>
      <c r="B3842">
        <v>0.99299721793515405</v>
      </c>
      <c r="C3842">
        <v>0.92543671966067598</v>
      </c>
      <c r="D3842">
        <v>0.83746905053181497</v>
      </c>
      <c r="E3842">
        <v>1.0369213225002401</v>
      </c>
      <c r="F3842">
        <v>0.69917367724846902</v>
      </c>
      <c r="G3842">
        <v>0.68277237695358695</v>
      </c>
      <c r="H3842">
        <v>0.41301770791161502</v>
      </c>
      <c r="I3842">
        <v>0.52568428527326105</v>
      </c>
      <c r="J3842">
        <v>0.35002393254601299</v>
      </c>
      <c r="K3842">
        <v>0.32997789377009701</v>
      </c>
      <c r="L3842">
        <v>569.10191158503301</v>
      </c>
      <c r="M3842">
        <v>10.538163059643001</v>
      </c>
      <c r="N3842">
        <v>57.9106972734686</v>
      </c>
      <c r="O3842">
        <v>52.167991718292299</v>
      </c>
      <c r="P3842">
        <v>-3.7668272798519101E-2</v>
      </c>
      <c r="Q3842">
        <v>0.25440647346378598</v>
      </c>
      <c r="R3842">
        <v>0.89241725851169196</v>
      </c>
      <c r="S3842" t="s">
        <v>9393</v>
      </c>
      <c r="T3842" t="s">
        <v>11100</v>
      </c>
      <c r="U3842" t="s">
        <v>11100</v>
      </c>
      <c r="V3842" t="s">
        <v>11100</v>
      </c>
      <c r="W3842" t="s">
        <v>14892</v>
      </c>
      <c r="X3842">
        <v>2</v>
      </c>
      <c r="Y3842" t="s">
        <v>20329</v>
      </c>
      <c r="Z3842" t="s">
        <v>25847</v>
      </c>
      <c r="AA3842">
        <v>0.69031705876534943</v>
      </c>
      <c r="AB3842" t="str">
        <f>HYPERLINK("Melting_Curves/meltCurve_Q8N4N3_2_KLHL36.pdf", "Melting_Curves/meltCurve_Q8N4N3_2_KLHL36.pdf")</f>
        <v>Melting_Curves/meltCurve_Q8N4N3_2_KLHL36.pdf</v>
      </c>
    </row>
    <row r="3843" spans="1:28" x14ac:dyDescent="0.25">
      <c r="A3843" t="s">
        <v>3847</v>
      </c>
      <c r="B3843">
        <v>0.99299721793515405</v>
      </c>
      <c r="C3843">
        <v>0.88945884383817897</v>
      </c>
      <c r="D3843">
        <v>1.04037647980239</v>
      </c>
      <c r="E3843">
        <v>0.83988252174448397</v>
      </c>
      <c r="F3843">
        <v>0.75793110171272904</v>
      </c>
      <c r="G3843">
        <v>0.56078922627522698</v>
      </c>
      <c r="H3843">
        <v>0.465325865952532</v>
      </c>
      <c r="I3843">
        <v>0.341055510053768</v>
      </c>
      <c r="J3843">
        <v>0.188027026556805</v>
      </c>
      <c r="K3843">
        <v>0.149738403662381</v>
      </c>
      <c r="L3843">
        <v>545.18108933123801</v>
      </c>
      <c r="M3843">
        <v>9.7603355527308295</v>
      </c>
      <c r="N3843">
        <v>55.856789687320699</v>
      </c>
      <c r="O3843">
        <v>53.6633981426764</v>
      </c>
      <c r="P3843">
        <v>-4.54944336021827E-2</v>
      </c>
      <c r="Q3843">
        <v>0</v>
      </c>
      <c r="R3843">
        <v>0.97682436556016705</v>
      </c>
      <c r="S3843" t="s">
        <v>9394</v>
      </c>
      <c r="T3843" t="s">
        <v>11100</v>
      </c>
      <c r="U3843" t="s">
        <v>11100</v>
      </c>
      <c r="V3843" t="s">
        <v>11100</v>
      </c>
      <c r="W3843" t="s">
        <v>14893</v>
      </c>
      <c r="X3843">
        <v>7</v>
      </c>
      <c r="Y3843" t="s">
        <v>20330</v>
      </c>
      <c r="Z3843" t="s">
        <v>25848</v>
      </c>
      <c r="AA3843">
        <v>0.63489634698806763</v>
      </c>
      <c r="AB3843" t="str">
        <f>HYPERLINK("Melting_Curves/meltCurve_Q8N4P3_HDDC3.pdf", "Melting_Curves/meltCurve_Q8N4P3_HDDC3.pdf")</f>
        <v>Melting_Curves/meltCurve_Q8N4P3_HDDC3.pdf</v>
      </c>
    </row>
    <row r="3844" spans="1:28" x14ac:dyDescent="0.25">
      <c r="A3844" t="s">
        <v>3848</v>
      </c>
      <c r="B3844">
        <v>0.99299721793515405</v>
      </c>
      <c r="C3844">
        <v>0.96770835446787695</v>
      </c>
      <c r="D3844">
        <v>0.91395069837477105</v>
      </c>
      <c r="E3844">
        <v>0.91953784276103701</v>
      </c>
      <c r="F3844">
        <v>0.77506926143579402</v>
      </c>
      <c r="G3844">
        <v>0.51685873810056604</v>
      </c>
      <c r="H3844">
        <v>0.360728070931774</v>
      </c>
      <c r="I3844">
        <v>0.21489495510062401</v>
      </c>
      <c r="J3844">
        <v>0.18639628749218201</v>
      </c>
      <c r="K3844">
        <v>0.138839183676702</v>
      </c>
      <c r="L3844">
        <v>758.01321118888302</v>
      </c>
      <c r="M3844">
        <v>14.118296219782</v>
      </c>
      <c r="N3844">
        <v>54.446504361113703</v>
      </c>
      <c r="O3844">
        <v>52.647404140773801</v>
      </c>
      <c r="P3844">
        <v>-6.10796545912035E-2</v>
      </c>
      <c r="Q3844">
        <v>8.9047724552194202E-2</v>
      </c>
      <c r="R3844">
        <v>0.99463121131612597</v>
      </c>
      <c r="S3844" t="s">
        <v>9395</v>
      </c>
      <c r="T3844" t="s">
        <v>11100</v>
      </c>
      <c r="U3844" t="s">
        <v>11100</v>
      </c>
      <c r="V3844" t="s">
        <v>11100</v>
      </c>
      <c r="W3844" t="s">
        <v>14894</v>
      </c>
      <c r="X3844">
        <v>8</v>
      </c>
      <c r="Y3844" t="s">
        <v>20331</v>
      </c>
      <c r="Z3844" t="s">
        <v>25849</v>
      </c>
      <c r="AA3844">
        <v>0.61180167488077974</v>
      </c>
      <c r="AB3844" t="str">
        <f>HYPERLINK("Melting_Curves/meltCurve_Q8N4Q0_ZADH2.pdf", "Melting_Curves/meltCurve_Q8N4Q0_ZADH2.pdf")</f>
        <v>Melting_Curves/meltCurve_Q8N4Q0_ZADH2.pdf</v>
      </c>
    </row>
    <row r="3845" spans="1:28" x14ac:dyDescent="0.25">
      <c r="A3845" t="s">
        <v>3849</v>
      </c>
      <c r="B3845">
        <v>0.99299721793515405</v>
      </c>
      <c r="C3845">
        <v>1.1678863172867699</v>
      </c>
      <c r="D3845">
        <v>0.86190665291522095</v>
      </c>
      <c r="E3845">
        <v>0.93232637171815502</v>
      </c>
      <c r="F3845">
        <v>0.99129373845670599</v>
      </c>
      <c r="G3845">
        <v>0.56814230116836595</v>
      </c>
      <c r="H3845">
        <v>1.2620583908443701</v>
      </c>
      <c r="I3845">
        <v>1.09663595698579</v>
      </c>
      <c r="J3845">
        <v>1.28787067905377</v>
      </c>
      <c r="K3845">
        <v>1.2437746927262401</v>
      </c>
      <c r="L3845">
        <v>9529.5697297258794</v>
      </c>
      <c r="M3845">
        <v>170.38083977983499</v>
      </c>
      <c r="O3845">
        <v>55.923289264404303</v>
      </c>
      <c r="P3845">
        <v>0.16987065867460999</v>
      </c>
      <c r="Q3845">
        <v>1.22302333751106</v>
      </c>
      <c r="R3845">
        <v>0.40989676187222401</v>
      </c>
      <c r="S3845" t="s">
        <v>9396</v>
      </c>
      <c r="T3845" t="s">
        <v>11100</v>
      </c>
      <c r="U3845" t="s">
        <v>11100</v>
      </c>
      <c r="V3845" t="s">
        <v>11100</v>
      </c>
      <c r="W3845" t="s">
        <v>14895</v>
      </c>
      <c r="X3845">
        <v>1</v>
      </c>
      <c r="Y3845" t="s">
        <v>20332</v>
      </c>
      <c r="Z3845" t="s">
        <v>25850</v>
      </c>
      <c r="AA3845">
        <v>1.082241078040044</v>
      </c>
      <c r="AB3845" t="str">
        <f>HYPERLINK("Melting_Curves/meltCurve_Q8N4V1_MMGT1.pdf", "Melting_Curves/meltCurve_Q8N4V1_MMGT1.pdf")</f>
        <v>Melting_Curves/meltCurve_Q8N4V1_MMGT1.pdf</v>
      </c>
    </row>
    <row r="3846" spans="1:28" x14ac:dyDescent="0.25">
      <c r="A3846" t="s">
        <v>3850</v>
      </c>
      <c r="B3846">
        <v>0.99299721793515405</v>
      </c>
      <c r="C3846">
        <v>0.97260994478654395</v>
      </c>
      <c r="D3846">
        <v>0.89759572166793999</v>
      </c>
      <c r="E3846">
        <v>0.84839623010932397</v>
      </c>
      <c r="F3846">
        <v>0.65148371438590302</v>
      </c>
      <c r="G3846">
        <v>0.53024077760875499</v>
      </c>
      <c r="H3846">
        <v>0.42816195736784701</v>
      </c>
      <c r="I3846">
        <v>0.34578393913121003</v>
      </c>
      <c r="J3846">
        <v>0.23760339462767099</v>
      </c>
      <c r="K3846">
        <v>0.25107247251140302</v>
      </c>
      <c r="L3846">
        <v>512.61630381656505</v>
      </c>
      <c r="M3846">
        <v>9.6951066473732599</v>
      </c>
      <c r="N3846">
        <v>54.730071932959603</v>
      </c>
      <c r="O3846">
        <v>50.771244386622399</v>
      </c>
      <c r="P3846">
        <v>-4.1072332164846501E-2</v>
      </c>
      <c r="Q3846">
        <v>0.14012188241558299</v>
      </c>
      <c r="R3846">
        <v>0.99464190598294</v>
      </c>
      <c r="S3846" t="s">
        <v>9397</v>
      </c>
      <c r="T3846" t="s">
        <v>11100</v>
      </c>
      <c r="U3846" t="s">
        <v>11100</v>
      </c>
      <c r="V3846" t="s">
        <v>11100</v>
      </c>
      <c r="W3846" t="s">
        <v>14896</v>
      </c>
      <c r="X3846">
        <v>13</v>
      </c>
      <c r="Y3846" t="s">
        <v>20333</v>
      </c>
      <c r="Z3846" t="s">
        <v>25851</v>
      </c>
      <c r="AA3846">
        <v>0.61494174956439696</v>
      </c>
      <c r="AB3846" t="str">
        <f>HYPERLINK("Melting_Curves/meltCurve_Q8N573_2_OXR1.pdf", "Melting_Curves/meltCurve_Q8N573_2_OXR1.pdf")</f>
        <v>Melting_Curves/meltCurve_Q8N573_2_OXR1.pdf</v>
      </c>
    </row>
    <row r="3847" spans="1:28" x14ac:dyDescent="0.25">
      <c r="A3847" t="s">
        <v>3851</v>
      </c>
      <c r="B3847">
        <v>0.99299721793515405</v>
      </c>
      <c r="C3847">
        <v>0.88266119066028803</v>
      </c>
      <c r="D3847">
        <v>0.96083060604641901</v>
      </c>
      <c r="E3847">
        <v>0.80546606491779005</v>
      </c>
      <c r="F3847">
        <v>0.64809142685540699</v>
      </c>
      <c r="G3847">
        <v>0.64058210824533002</v>
      </c>
      <c r="H3847">
        <v>0.66023564981473004</v>
      </c>
      <c r="I3847">
        <v>0.65677748909548705</v>
      </c>
      <c r="J3847">
        <v>0.55802749115375305</v>
      </c>
      <c r="K3847">
        <v>0.29788353728892097</v>
      </c>
      <c r="L3847">
        <v>269.83820969331998</v>
      </c>
      <c r="M3847">
        <v>4.26135237323229</v>
      </c>
      <c r="N3847">
        <v>63.3222005872748</v>
      </c>
      <c r="O3847">
        <v>52.9969706786068</v>
      </c>
      <c r="P3847">
        <v>-2.0312330728257701E-2</v>
      </c>
      <c r="Q3847">
        <v>0</v>
      </c>
      <c r="R3847">
        <v>0.83485308958036797</v>
      </c>
      <c r="S3847" t="s">
        <v>9398</v>
      </c>
      <c r="T3847" t="s">
        <v>11100</v>
      </c>
      <c r="U3847" t="s">
        <v>11100</v>
      </c>
      <c r="V3847" t="s">
        <v>11100</v>
      </c>
      <c r="W3847" t="s">
        <v>14897</v>
      </c>
      <c r="X3847">
        <v>14</v>
      </c>
      <c r="Y3847" t="s">
        <v>20333</v>
      </c>
      <c r="Z3847" t="s">
        <v>25852</v>
      </c>
      <c r="AA3847">
        <v>0.71121313156972432</v>
      </c>
      <c r="AB3847" t="str">
        <f>HYPERLINK("Melting_Curves/meltCurve_Q8N573_8_OXR1.pdf", "Melting_Curves/meltCurve_Q8N573_8_OXR1.pdf")</f>
        <v>Melting_Curves/meltCurve_Q8N573_8_OXR1.pdf</v>
      </c>
    </row>
    <row r="3848" spans="1:28" x14ac:dyDescent="0.25">
      <c r="A3848" t="s">
        <v>3852</v>
      </c>
      <c r="B3848">
        <v>0.99299721793515405</v>
      </c>
      <c r="C3848">
        <v>0.93896510042609804</v>
      </c>
      <c r="D3848">
        <v>0.82773655306390104</v>
      </c>
      <c r="E3848">
        <v>0.733396812188155</v>
      </c>
      <c r="F3848">
        <v>0.68897331287317898</v>
      </c>
      <c r="G3848">
        <v>0.48310729287756998</v>
      </c>
      <c r="H3848">
        <v>0.46224322773168902</v>
      </c>
      <c r="I3848">
        <v>0.38736663752162298</v>
      </c>
      <c r="J3848">
        <v>0.28384098996515</v>
      </c>
      <c r="K3848">
        <v>0.231099579971937</v>
      </c>
      <c r="L3848">
        <v>347.25415099231202</v>
      </c>
      <c r="M3848">
        <v>6.3104451028861002</v>
      </c>
      <c r="N3848">
        <v>55.094303818120601</v>
      </c>
      <c r="O3848">
        <v>50.278232908459898</v>
      </c>
      <c r="P3848">
        <v>-3.1344247099885501E-2</v>
      </c>
      <c r="Q3848">
        <v>3.75632137365831E-3</v>
      </c>
      <c r="R3848">
        <v>0.98484049185249301</v>
      </c>
      <c r="S3848" t="s">
        <v>9399</v>
      </c>
      <c r="T3848" t="s">
        <v>11100</v>
      </c>
      <c r="U3848" t="s">
        <v>11100</v>
      </c>
      <c r="V3848" t="s">
        <v>11100</v>
      </c>
      <c r="W3848" t="s">
        <v>14898</v>
      </c>
      <c r="X3848">
        <v>3</v>
      </c>
      <c r="Y3848" t="s">
        <v>20334</v>
      </c>
      <c r="Z3848" t="s">
        <v>25853</v>
      </c>
      <c r="AA3848">
        <v>0.59989358735134979</v>
      </c>
      <c r="AB3848" t="str">
        <f>HYPERLINK("Melting_Curves/meltCurve_Q8N584_TTC39C.pdf", "Melting_Curves/meltCurve_Q8N584_TTC39C.pdf")</f>
        <v>Melting_Curves/meltCurve_Q8N584_TTC39C.pdf</v>
      </c>
    </row>
    <row r="3849" spans="1:28" x14ac:dyDescent="0.25">
      <c r="A3849" t="s">
        <v>3853</v>
      </c>
      <c r="B3849">
        <v>0.99299721793515405</v>
      </c>
      <c r="C3849">
        <v>0.950170563862756</v>
      </c>
      <c r="D3849">
        <v>0.92449488744535102</v>
      </c>
      <c r="E3849">
        <v>0.80114880110508002</v>
      </c>
      <c r="F3849">
        <v>0.53164909311948605</v>
      </c>
      <c r="G3849">
        <v>0.41241489623958</v>
      </c>
      <c r="H3849">
        <v>0.24502161250888899</v>
      </c>
      <c r="I3849">
        <v>0.17988533198001</v>
      </c>
      <c r="J3849">
        <v>0.19543543177068801</v>
      </c>
      <c r="K3849">
        <v>0.17500240432860301</v>
      </c>
      <c r="L3849">
        <v>717.08159271086299</v>
      </c>
      <c r="M3849">
        <v>14.3292989402744</v>
      </c>
      <c r="N3849">
        <v>51.266743616789398</v>
      </c>
      <c r="O3849">
        <v>49.098640924906398</v>
      </c>
      <c r="P3849">
        <v>-6.2401736868783503E-2</v>
      </c>
      <c r="Q3849">
        <v>0.14483698122868099</v>
      </c>
      <c r="R3849">
        <v>0.99545063078950902</v>
      </c>
      <c r="S3849" t="s">
        <v>9400</v>
      </c>
      <c r="T3849" t="s">
        <v>11100</v>
      </c>
      <c r="U3849" t="s">
        <v>11100</v>
      </c>
      <c r="V3849" t="s">
        <v>11100</v>
      </c>
      <c r="W3849" t="s">
        <v>14899</v>
      </c>
      <c r="X3849">
        <v>4</v>
      </c>
      <c r="Y3849" t="s">
        <v>20335</v>
      </c>
      <c r="Z3849" t="s">
        <v>25854</v>
      </c>
      <c r="AA3849">
        <v>0.53567635260335533</v>
      </c>
      <c r="AB3849" t="str">
        <f>HYPERLINK("Melting_Curves/meltCurve_Q8N5A5_3_ZGPAT.pdf", "Melting_Curves/meltCurve_Q8N5A5_3_ZGPAT.pdf")</f>
        <v>Melting_Curves/meltCurve_Q8N5A5_3_ZGPAT.pdf</v>
      </c>
    </row>
    <row r="3850" spans="1:28" x14ac:dyDescent="0.25">
      <c r="A3850" t="s">
        <v>3854</v>
      </c>
      <c r="B3850">
        <v>0.99299721793515405</v>
      </c>
      <c r="C3850">
        <v>0</v>
      </c>
      <c r="D3850">
        <v>0.44672724641249201</v>
      </c>
      <c r="E3850">
        <v>0.47305992048414602</v>
      </c>
      <c r="F3850">
        <v>0.37208734121152798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327.25504609401003</v>
      </c>
      <c r="M3850">
        <v>8.1089057705134504</v>
      </c>
      <c r="N3850">
        <v>40.3574854451577</v>
      </c>
      <c r="O3850">
        <v>38.125492494503703</v>
      </c>
      <c r="P3850">
        <v>-5.32296384006141E-2</v>
      </c>
      <c r="Q3850">
        <v>0</v>
      </c>
      <c r="R3850">
        <v>0.51599605837164697</v>
      </c>
      <c r="S3850" t="s">
        <v>9401</v>
      </c>
      <c r="T3850" t="s">
        <v>11100</v>
      </c>
      <c r="U3850" t="s">
        <v>11100</v>
      </c>
      <c r="V3850" t="s">
        <v>11100</v>
      </c>
      <c r="W3850" t="s">
        <v>14900</v>
      </c>
      <c r="X3850">
        <v>1</v>
      </c>
      <c r="Y3850" t="s">
        <v>20336</v>
      </c>
      <c r="Z3850" t="s">
        <v>25855</v>
      </c>
      <c r="AA3850">
        <v>0.2133558992103608</v>
      </c>
      <c r="AB3850" t="str">
        <f>HYPERLINK("Melting_Curves/meltCurve_Q8N5C7_DTWD1.pdf", "Melting_Curves/meltCurve_Q8N5C7_DTWD1.pdf")</f>
        <v>Melting_Curves/meltCurve_Q8N5C7_DTWD1.pdf</v>
      </c>
    </row>
    <row r="3851" spans="1:28" x14ac:dyDescent="0.25">
      <c r="A3851" t="s">
        <v>3855</v>
      </c>
      <c r="B3851">
        <v>0.99299721793515405</v>
      </c>
      <c r="C3851">
        <v>0.956510387723567</v>
      </c>
      <c r="D3851">
        <v>0.91275203693618301</v>
      </c>
      <c r="E3851">
        <v>0.90276554889198501</v>
      </c>
      <c r="F3851">
        <v>0.76636512672593404</v>
      </c>
      <c r="G3851">
        <v>0.57442098189092505</v>
      </c>
      <c r="H3851">
        <v>0.49492011401248098</v>
      </c>
      <c r="I3851">
        <v>0.56261447076805804</v>
      </c>
      <c r="J3851">
        <v>0.64340659483085505</v>
      </c>
      <c r="K3851">
        <v>0.48836393218120799</v>
      </c>
      <c r="L3851">
        <v>1056.6690080430501</v>
      </c>
      <c r="M3851">
        <v>21.376815769266798</v>
      </c>
      <c r="O3851">
        <v>49.004152603737097</v>
      </c>
      <c r="P3851">
        <v>-5.0519983392280997E-2</v>
      </c>
      <c r="Q3851">
        <v>0.53676429503112699</v>
      </c>
      <c r="R3851">
        <v>0.92637812736132097</v>
      </c>
      <c r="S3851" t="s">
        <v>9402</v>
      </c>
      <c r="T3851" t="s">
        <v>11100</v>
      </c>
      <c r="U3851" t="s">
        <v>11100</v>
      </c>
      <c r="V3851" t="s">
        <v>11100</v>
      </c>
      <c r="W3851" t="s">
        <v>14901</v>
      </c>
      <c r="X3851">
        <v>4</v>
      </c>
      <c r="Y3851" t="s">
        <v>20337</v>
      </c>
      <c r="Z3851" t="s">
        <v>25856</v>
      </c>
      <c r="AA3851">
        <v>0.73411682281107393</v>
      </c>
      <c r="AB3851" t="str">
        <f>HYPERLINK("Melting_Curves/meltCurve_Q8N5G0_2_SMIM20.pdf", "Melting_Curves/meltCurve_Q8N5G0_2_SMIM20.pdf")</f>
        <v>Melting_Curves/meltCurve_Q8N5G0_2_SMIM20.pdf</v>
      </c>
    </row>
    <row r="3852" spans="1:28" x14ac:dyDescent="0.25">
      <c r="A3852" t="s">
        <v>3856</v>
      </c>
      <c r="B3852">
        <v>0.99299721793515405</v>
      </c>
      <c r="C3852">
        <v>0.95575633180187003</v>
      </c>
      <c r="D3852">
        <v>1.2105720535561799</v>
      </c>
      <c r="E3852">
        <v>0.92298985438084502</v>
      </c>
      <c r="F3852">
        <v>0.80370276769052995</v>
      </c>
      <c r="G3852">
        <v>0.64616265741566603</v>
      </c>
      <c r="H3852">
        <v>0.64151383007541396</v>
      </c>
      <c r="I3852">
        <v>0.74241824506188803</v>
      </c>
      <c r="J3852">
        <v>0.87937418764622499</v>
      </c>
      <c r="K3852">
        <v>0.834202501440102</v>
      </c>
      <c r="L3852">
        <v>2289.4485773962001</v>
      </c>
      <c r="M3852">
        <v>48.029356735748003</v>
      </c>
      <c r="O3852">
        <v>47.585283000577597</v>
      </c>
      <c r="P3852">
        <v>-6.2178777096073397E-2</v>
      </c>
      <c r="Q3852">
        <v>0.75358477107900601</v>
      </c>
      <c r="R3852">
        <v>0.64231306118976805</v>
      </c>
      <c r="S3852" t="s">
        <v>9403</v>
      </c>
      <c r="T3852" t="s">
        <v>11100</v>
      </c>
      <c r="U3852" t="s">
        <v>11100</v>
      </c>
      <c r="V3852" t="s">
        <v>11100</v>
      </c>
      <c r="W3852" t="s">
        <v>14902</v>
      </c>
      <c r="X3852">
        <v>11</v>
      </c>
      <c r="Y3852" t="s">
        <v>20338</v>
      </c>
      <c r="Z3852" t="s">
        <v>25857</v>
      </c>
      <c r="AA3852">
        <v>0.84176926185523626</v>
      </c>
      <c r="AB3852" t="str">
        <f>HYPERLINK("Melting_Curves/meltCurve_Q8N5I9_C12orf45.pdf", "Melting_Curves/meltCurve_Q8N5I9_C12orf45.pdf")</f>
        <v>Melting_Curves/meltCurve_Q8N5I9_C12orf45.pdf</v>
      </c>
    </row>
    <row r="3853" spans="1:28" x14ac:dyDescent="0.25">
      <c r="A3853" t="s">
        <v>3857</v>
      </c>
      <c r="B3853">
        <v>0.99299721793515405</v>
      </c>
      <c r="C3853">
        <v>1.04683100741613</v>
      </c>
      <c r="D3853">
        <v>1.0184031625562999</v>
      </c>
      <c r="E3853">
        <v>0.93349715777124398</v>
      </c>
      <c r="F3853">
        <v>0.588394377760181</v>
      </c>
      <c r="G3853">
        <v>0.26742985706043099</v>
      </c>
      <c r="H3853">
        <v>0.19231808344187201</v>
      </c>
      <c r="I3853">
        <v>0.24688976385453801</v>
      </c>
      <c r="J3853">
        <v>0.21787219728718901</v>
      </c>
      <c r="K3853">
        <v>0.250134371730522</v>
      </c>
      <c r="L3853">
        <v>1852.11298057211</v>
      </c>
      <c r="M3853">
        <v>37.052969496437498</v>
      </c>
      <c r="N3853">
        <v>50.798551189432601</v>
      </c>
      <c r="O3853">
        <v>49.840618608914603</v>
      </c>
      <c r="P3853">
        <v>-0.14428704159280001</v>
      </c>
      <c r="Q3853">
        <v>0.22366975754003701</v>
      </c>
      <c r="R3853">
        <v>0.99560073236539803</v>
      </c>
      <c r="S3853" t="s">
        <v>9404</v>
      </c>
      <c r="T3853" t="s">
        <v>11100</v>
      </c>
      <c r="U3853" t="s">
        <v>11100</v>
      </c>
      <c r="V3853" t="s">
        <v>11100</v>
      </c>
      <c r="W3853" t="s">
        <v>14903</v>
      </c>
      <c r="X3853">
        <v>3</v>
      </c>
      <c r="Y3853" t="s">
        <v>20339</v>
      </c>
      <c r="Z3853" t="s">
        <v>25858</v>
      </c>
      <c r="AA3853">
        <v>0.56283153535841324</v>
      </c>
      <c r="AB3853" t="str">
        <f>HYPERLINK("Melting_Curves/meltCurve_Q8N5J2_FAM63A.pdf", "Melting_Curves/meltCurve_Q8N5J2_FAM63A.pdf")</f>
        <v>Melting_Curves/meltCurve_Q8N5J2_FAM63A.pdf</v>
      </c>
    </row>
    <row r="3854" spans="1:28" x14ac:dyDescent="0.25">
      <c r="A3854" t="s">
        <v>3858</v>
      </c>
      <c r="B3854">
        <v>0.99299721793515405</v>
      </c>
      <c r="C3854">
        <v>0.88774766622063195</v>
      </c>
      <c r="D3854">
        <v>1.35637455329305</v>
      </c>
      <c r="E3854">
        <v>0.64360932474264598</v>
      </c>
      <c r="F3854">
        <v>0.88367479541933003</v>
      </c>
      <c r="G3854">
        <v>0.72020743369780804</v>
      </c>
      <c r="H3854">
        <v>0.39904411437767801</v>
      </c>
      <c r="I3854">
        <v>0.41418248500371202</v>
      </c>
      <c r="J3854">
        <v>0.33045949742278902</v>
      </c>
      <c r="K3854">
        <v>0.39937264115971199</v>
      </c>
      <c r="L3854">
        <v>817.07499865241698</v>
      </c>
      <c r="M3854">
        <v>15.295148562246</v>
      </c>
      <c r="N3854">
        <v>57.155782541807902</v>
      </c>
      <c r="O3854">
        <v>52.532321749146597</v>
      </c>
      <c r="P3854">
        <v>-4.9793852338761997E-2</v>
      </c>
      <c r="Q3854">
        <v>0.31598110505564297</v>
      </c>
      <c r="R3854">
        <v>0.73752179506080495</v>
      </c>
      <c r="S3854" t="s">
        <v>9405</v>
      </c>
      <c r="T3854" t="s">
        <v>11100</v>
      </c>
      <c r="U3854" t="s">
        <v>11100</v>
      </c>
      <c r="V3854" t="s">
        <v>11100</v>
      </c>
      <c r="W3854" t="s">
        <v>14904</v>
      </c>
      <c r="X3854">
        <v>4</v>
      </c>
      <c r="Y3854" t="s">
        <v>20340</v>
      </c>
      <c r="Z3854" t="s">
        <v>25859</v>
      </c>
      <c r="AA3854">
        <v>0.70194505670550744</v>
      </c>
      <c r="AB3854" t="str">
        <f>HYPERLINK("Melting_Curves/meltCurve_Q8N5K1_CISD2.pdf", "Melting_Curves/meltCurve_Q8N5K1_CISD2.pdf")</f>
        <v>Melting_Curves/meltCurve_Q8N5K1_CISD2.pdf</v>
      </c>
    </row>
    <row r="3855" spans="1:28" x14ac:dyDescent="0.25">
      <c r="A3855" t="s">
        <v>3859</v>
      </c>
      <c r="B3855">
        <v>0.99299721793515405</v>
      </c>
      <c r="C3855">
        <v>0.85661661858165505</v>
      </c>
      <c r="D3855">
        <v>0.89911852357180999</v>
      </c>
      <c r="E3855">
        <v>1.02531550919128</v>
      </c>
      <c r="F3855">
        <v>0.88000693111581496</v>
      </c>
      <c r="G3855">
        <v>0.88440533123550702</v>
      </c>
      <c r="H3855">
        <v>0.71312095175211299</v>
      </c>
      <c r="I3855">
        <v>0.59236815467778703</v>
      </c>
      <c r="J3855">
        <v>0.48208175383225599</v>
      </c>
      <c r="K3855">
        <v>0.206157932076005</v>
      </c>
      <c r="L3855">
        <v>758.852592231985</v>
      </c>
      <c r="M3855">
        <v>12.1951456506991</v>
      </c>
      <c r="N3855">
        <v>62.2257718506971</v>
      </c>
      <c r="O3855">
        <v>60.623522911273199</v>
      </c>
      <c r="P3855">
        <v>-5.0301873621965601E-2</v>
      </c>
      <c r="Q3855">
        <v>0</v>
      </c>
      <c r="R3855">
        <v>0.91503979521220602</v>
      </c>
      <c r="S3855" t="s">
        <v>9406</v>
      </c>
      <c r="T3855" t="s">
        <v>11100</v>
      </c>
      <c r="U3855" t="s">
        <v>11100</v>
      </c>
      <c r="V3855" t="s">
        <v>11100</v>
      </c>
      <c r="W3855" t="s">
        <v>14905</v>
      </c>
      <c r="X3855">
        <v>1</v>
      </c>
      <c r="Y3855" t="s">
        <v>20341</v>
      </c>
      <c r="Z3855" t="s">
        <v>25860</v>
      </c>
      <c r="AA3855">
        <v>0.80365757856772191</v>
      </c>
      <c r="AB3855" t="str">
        <f>HYPERLINK("Melting_Curves/meltCurve_Q8N5L8_RPP25L.pdf", "Melting_Curves/meltCurve_Q8N5L8_RPP25L.pdf")</f>
        <v>Melting_Curves/meltCurve_Q8N5L8_RPP25L.pdf</v>
      </c>
    </row>
    <row r="3856" spans="1:28" x14ac:dyDescent="0.25">
      <c r="A3856" t="s">
        <v>3860</v>
      </c>
      <c r="B3856">
        <v>0.99299721793515405</v>
      </c>
      <c r="C3856">
        <v>1.93915129912916</v>
      </c>
      <c r="D3856">
        <v>1.5296150309249701</v>
      </c>
      <c r="E3856">
        <v>1.8014374812613301</v>
      </c>
      <c r="F3856">
        <v>1.21493477634588</v>
      </c>
      <c r="G3856">
        <v>1.2478387200834899</v>
      </c>
      <c r="H3856">
        <v>1.07707157245776</v>
      </c>
      <c r="I3856">
        <v>1.66578400166422</v>
      </c>
      <c r="J3856">
        <v>1.51714299183318</v>
      </c>
      <c r="K3856">
        <v>0</v>
      </c>
      <c r="L3856">
        <v>15000</v>
      </c>
      <c r="M3856">
        <v>227.44866018565</v>
      </c>
      <c r="N3856">
        <v>65.9489482052509</v>
      </c>
      <c r="O3856">
        <v>65.943850080959706</v>
      </c>
      <c r="P3856">
        <v>-0.862281548619384</v>
      </c>
      <c r="Q3856">
        <v>0</v>
      </c>
      <c r="R3856">
        <v>3.87871914280895E-2</v>
      </c>
      <c r="S3856" t="s">
        <v>9407</v>
      </c>
      <c r="T3856" t="s">
        <v>11100</v>
      </c>
      <c r="U3856" t="s">
        <v>11100</v>
      </c>
      <c r="V3856" t="s">
        <v>11100</v>
      </c>
      <c r="W3856" t="s">
        <v>14906</v>
      </c>
      <c r="X3856">
        <v>1</v>
      </c>
      <c r="Y3856" t="s">
        <v>20342</v>
      </c>
      <c r="Z3856" t="s">
        <v>25861</v>
      </c>
      <c r="AA3856">
        <v>0.96482473875157282</v>
      </c>
      <c r="AB3856" t="str">
        <f>HYPERLINK("Melting_Curves/meltCurve_Q8N5M1_ATPAF2.pdf", "Melting_Curves/meltCurve_Q8N5M1_ATPAF2.pdf")</f>
        <v>Melting_Curves/meltCurve_Q8N5M1_ATPAF2.pdf</v>
      </c>
    </row>
    <row r="3857" spans="1:28" x14ac:dyDescent="0.25">
      <c r="A3857" t="s">
        <v>3861</v>
      </c>
      <c r="B3857">
        <v>0.99299721793515405</v>
      </c>
      <c r="C3857">
        <v>0.73658422821194902</v>
      </c>
      <c r="D3857">
        <v>1.4996547164098799</v>
      </c>
      <c r="E3857">
        <v>0.73047728137850299</v>
      </c>
      <c r="F3857">
        <v>0.82698407633416005</v>
      </c>
      <c r="G3857">
        <v>1.0008033398314999</v>
      </c>
      <c r="H3857">
        <v>0.52427161690080504</v>
      </c>
      <c r="I3857">
        <v>0.54826921760935199</v>
      </c>
      <c r="J3857">
        <v>0.54621140145934599</v>
      </c>
      <c r="K3857">
        <v>0.44597824215105503</v>
      </c>
      <c r="L3857">
        <v>876.863783222194</v>
      </c>
      <c r="M3857">
        <v>15.643570494338</v>
      </c>
      <c r="N3857">
        <v>63.592235736960298</v>
      </c>
      <c r="O3857">
        <v>55.160676003805598</v>
      </c>
      <c r="P3857">
        <v>-4.1001333162984398E-2</v>
      </c>
      <c r="Q3857">
        <v>0.421751580867881</v>
      </c>
      <c r="R3857">
        <v>0.49834433294542801</v>
      </c>
      <c r="S3857" t="s">
        <v>9408</v>
      </c>
      <c r="T3857" t="s">
        <v>11100</v>
      </c>
      <c r="U3857" t="s">
        <v>11100</v>
      </c>
      <c r="V3857" t="s">
        <v>11100</v>
      </c>
      <c r="W3857" t="s">
        <v>14907</v>
      </c>
      <c r="X3857">
        <v>2</v>
      </c>
      <c r="Y3857" t="s">
        <v>20343</v>
      </c>
      <c r="Z3857" t="s">
        <v>25862</v>
      </c>
      <c r="AA3857">
        <v>0.79555121168519038</v>
      </c>
      <c r="AB3857" t="str">
        <f>HYPERLINK("Melting_Curves/meltCurve_Q8N5M9_JAGN1.pdf", "Melting_Curves/meltCurve_Q8N5M9_JAGN1.pdf")</f>
        <v>Melting_Curves/meltCurve_Q8N5M9_JAGN1.pdf</v>
      </c>
    </row>
    <row r="3858" spans="1:28" x14ac:dyDescent="0.25">
      <c r="A3858" t="s">
        <v>3862</v>
      </c>
      <c r="B3858">
        <v>0.99299721793515405</v>
      </c>
      <c r="C3858">
        <v>0.87235644126838496</v>
      </c>
      <c r="D3858">
        <v>0.87837024284680298</v>
      </c>
      <c r="E3858">
        <v>0.81470610015552603</v>
      </c>
      <c r="F3858">
        <v>0.72684794087407401</v>
      </c>
      <c r="G3858">
        <v>0.478368280741098</v>
      </c>
      <c r="H3858">
        <v>0.76016583153824502</v>
      </c>
      <c r="I3858">
        <v>1.1814205957516499</v>
      </c>
      <c r="J3858">
        <v>1.4448365642166501</v>
      </c>
      <c r="K3858">
        <v>1.0618707986865601</v>
      </c>
      <c r="L3858">
        <v>15000</v>
      </c>
      <c r="M3858">
        <v>246.826768541777</v>
      </c>
      <c r="O3858">
        <v>60.767377894664797</v>
      </c>
      <c r="P3858">
        <v>0.25726922225823201</v>
      </c>
      <c r="Q3858">
        <v>1.2533530030920801</v>
      </c>
      <c r="R3858">
        <v>0.15444179996190999</v>
      </c>
      <c r="S3858" t="s">
        <v>9409</v>
      </c>
      <c r="T3858" t="s">
        <v>11100</v>
      </c>
      <c r="U3858" t="s">
        <v>11100</v>
      </c>
      <c r="V3858" t="s">
        <v>11100</v>
      </c>
      <c r="W3858" t="s">
        <v>14908</v>
      </c>
      <c r="X3858">
        <v>6</v>
      </c>
      <c r="Y3858" t="s">
        <v>20344</v>
      </c>
      <c r="Z3858" t="s">
        <v>25863</v>
      </c>
      <c r="AA3858">
        <v>1.0525737136627891</v>
      </c>
      <c r="AB3858" t="str">
        <f>HYPERLINK("Melting_Curves/meltCurve_Q8N5N7_MRPL50.pdf", "Melting_Curves/meltCurve_Q8N5N7_MRPL50.pdf")</f>
        <v>Melting_Curves/meltCurve_Q8N5N7_MRPL50.pdf</v>
      </c>
    </row>
    <row r="3859" spans="1:28" x14ac:dyDescent="0.25">
      <c r="A3859" t="s">
        <v>3863</v>
      </c>
      <c r="B3859">
        <v>0.99299721793515405</v>
      </c>
      <c r="C3859">
        <v>0.83892787762760401</v>
      </c>
      <c r="D3859">
        <v>1.1295045333976801</v>
      </c>
      <c r="E3859">
        <v>0.87191816981683401</v>
      </c>
      <c r="F3859">
        <v>0.69434185790134295</v>
      </c>
      <c r="G3859">
        <v>0.51080081903526398</v>
      </c>
      <c r="H3859">
        <v>0.40913898863186798</v>
      </c>
      <c r="I3859">
        <v>0.28250208833316698</v>
      </c>
      <c r="J3859">
        <v>0.29543112307617297</v>
      </c>
      <c r="K3859">
        <v>0.23490187131056001</v>
      </c>
      <c r="L3859">
        <v>826.61174238142098</v>
      </c>
      <c r="M3859">
        <v>15.941902440655101</v>
      </c>
      <c r="N3859">
        <v>54.056543647560801</v>
      </c>
      <c r="O3859">
        <v>51.056196472385103</v>
      </c>
      <c r="P3859">
        <v>-5.9404658367598999E-2</v>
      </c>
      <c r="Q3859">
        <v>0.239053264935563</v>
      </c>
      <c r="R3859">
        <v>0.94429849563968704</v>
      </c>
      <c r="S3859" t="s">
        <v>9410</v>
      </c>
      <c r="T3859" t="s">
        <v>11100</v>
      </c>
      <c r="U3859" t="s">
        <v>11100</v>
      </c>
      <c r="V3859" t="s">
        <v>11100</v>
      </c>
      <c r="W3859" t="s">
        <v>14909</v>
      </c>
      <c r="X3859">
        <v>2</v>
      </c>
      <c r="Y3859" t="s">
        <v>20345</v>
      </c>
      <c r="Z3859" t="s">
        <v>25864</v>
      </c>
      <c r="AA3859">
        <v>0.62939202419522322</v>
      </c>
      <c r="AB3859" t="str">
        <f>HYPERLINK("Melting_Curves/meltCurve_Q8N5X7_EIF4E3.pdf", "Melting_Curves/meltCurve_Q8N5X7_EIF4E3.pdf")</f>
        <v>Melting_Curves/meltCurve_Q8N5X7_EIF4E3.pdf</v>
      </c>
    </row>
    <row r="3860" spans="1:28" x14ac:dyDescent="0.25">
      <c r="A3860" t="s">
        <v>3864</v>
      </c>
      <c r="B3860">
        <v>0.99299721793515405</v>
      </c>
      <c r="C3860">
        <v>0.78307668236025396</v>
      </c>
      <c r="D3860">
        <v>1.11839188594414</v>
      </c>
      <c r="E3860">
        <v>1.0024691250712501</v>
      </c>
      <c r="F3860">
        <v>0.79066930542618796</v>
      </c>
      <c r="G3860">
        <v>0.74477822806143001</v>
      </c>
      <c r="H3860">
        <v>0.60034611011826999</v>
      </c>
      <c r="I3860">
        <v>0.70844049038558499</v>
      </c>
      <c r="J3860">
        <v>0.59089380392266699</v>
      </c>
      <c r="K3860">
        <v>0.55682479722638201</v>
      </c>
      <c r="L3860">
        <v>1165.14930450626</v>
      </c>
      <c r="M3860">
        <v>22.8235838234021</v>
      </c>
      <c r="O3860">
        <v>50.663167441885399</v>
      </c>
      <c r="P3860">
        <v>-4.4145218136131502E-2</v>
      </c>
      <c r="Q3860">
        <v>0.608038113255984</v>
      </c>
      <c r="R3860">
        <v>0.75577452018342295</v>
      </c>
      <c r="S3860" t="s">
        <v>9411</v>
      </c>
      <c r="T3860" t="s">
        <v>11100</v>
      </c>
      <c r="U3860" t="s">
        <v>11100</v>
      </c>
      <c r="V3860" t="s">
        <v>11100</v>
      </c>
      <c r="W3860" t="s">
        <v>14910</v>
      </c>
      <c r="X3860">
        <v>3</v>
      </c>
      <c r="Y3860" t="s">
        <v>20346</v>
      </c>
      <c r="Z3860" t="s">
        <v>25865</v>
      </c>
      <c r="AA3860">
        <v>0.79569370890858104</v>
      </c>
      <c r="AB3860" t="str">
        <f>HYPERLINK("Melting_Curves/meltCurve_Q8N5Z5_2_KCTD17.pdf", "Melting_Curves/meltCurve_Q8N5Z5_2_KCTD17.pdf")</f>
        <v>Melting_Curves/meltCurve_Q8N5Z5_2_KCTD17.pdf</v>
      </c>
    </row>
    <row r="3861" spans="1:28" x14ac:dyDescent="0.25">
      <c r="A3861" t="s">
        <v>3865</v>
      </c>
      <c r="B3861">
        <v>0.99299721793515405</v>
      </c>
      <c r="C3861">
        <v>0.87777331185179597</v>
      </c>
      <c r="D3861">
        <v>0.96951367494743101</v>
      </c>
      <c r="E3861">
        <v>0.79811171486455001</v>
      </c>
      <c r="F3861">
        <v>0.69026296655587505</v>
      </c>
      <c r="G3861">
        <v>0.58357564183477495</v>
      </c>
      <c r="H3861">
        <v>0.31831909138708298</v>
      </c>
      <c r="I3861">
        <v>0.29569732131508403</v>
      </c>
      <c r="J3861">
        <v>0.254108073866746</v>
      </c>
      <c r="K3861">
        <v>0.19756708178708701</v>
      </c>
      <c r="L3861">
        <v>518.92651686297802</v>
      </c>
      <c r="M3861">
        <v>9.7068560876492995</v>
      </c>
      <c r="N3861">
        <v>54.4564452315837</v>
      </c>
      <c r="O3861">
        <v>51.3388274472182</v>
      </c>
      <c r="P3861">
        <v>-4.3445361660340201E-2</v>
      </c>
      <c r="Q3861">
        <v>8.1383624512559205E-2</v>
      </c>
      <c r="R3861">
        <v>0.97661092565971297</v>
      </c>
      <c r="S3861" t="s">
        <v>9412</v>
      </c>
      <c r="T3861" t="s">
        <v>11100</v>
      </c>
      <c r="U3861" t="s">
        <v>11100</v>
      </c>
      <c r="V3861" t="s">
        <v>11100</v>
      </c>
      <c r="W3861" t="s">
        <v>14911</v>
      </c>
      <c r="X3861">
        <v>3</v>
      </c>
      <c r="Y3861" t="s">
        <v>20347</v>
      </c>
      <c r="Z3861" t="s">
        <v>25866</v>
      </c>
      <c r="AA3861">
        <v>0.60393672797329845</v>
      </c>
      <c r="AB3861" t="str">
        <f>HYPERLINK("Melting_Curves/meltCurve_Q8N612_FAM160A2.pdf", "Melting_Curves/meltCurve_Q8N612_FAM160A2.pdf")</f>
        <v>Melting_Curves/meltCurve_Q8N612_FAM160A2.pdf</v>
      </c>
    </row>
    <row r="3862" spans="1:28" x14ac:dyDescent="0.25">
      <c r="A3862" t="s">
        <v>3866</v>
      </c>
      <c r="B3862">
        <v>0.99299721793515405</v>
      </c>
      <c r="C3862">
        <v>0.87234349285866997</v>
      </c>
      <c r="D3862">
        <v>0.89624241803358295</v>
      </c>
      <c r="E3862">
        <v>0.86993807866043205</v>
      </c>
      <c r="F3862">
        <v>0.73582399251841202</v>
      </c>
      <c r="G3862">
        <v>0.27774845310611201</v>
      </c>
      <c r="H3862">
        <v>0.38363661903095903</v>
      </c>
      <c r="I3862">
        <v>0.43295494152777703</v>
      </c>
      <c r="J3862">
        <v>0.38774966573772401</v>
      </c>
      <c r="K3862">
        <v>0.17127183498700799</v>
      </c>
      <c r="L3862">
        <v>12571.4678227598</v>
      </c>
      <c r="M3862">
        <v>250</v>
      </c>
      <c r="N3862">
        <v>50.5045940777404</v>
      </c>
      <c r="O3862">
        <v>50.282653311834899</v>
      </c>
      <c r="P3862">
        <v>-0.83195652817235399</v>
      </c>
      <c r="Q3862">
        <v>0.33067229373277401</v>
      </c>
      <c r="R3862">
        <v>0.89109997815836495</v>
      </c>
      <c r="S3862" t="s">
        <v>9413</v>
      </c>
      <c r="T3862" t="s">
        <v>11100</v>
      </c>
      <c r="U3862" t="s">
        <v>11100</v>
      </c>
      <c r="V3862" t="s">
        <v>11100</v>
      </c>
      <c r="W3862" t="s">
        <v>14912</v>
      </c>
      <c r="X3862">
        <v>1</v>
      </c>
      <c r="Y3862" t="s">
        <v>20348</v>
      </c>
      <c r="Z3862" t="s">
        <v>25867</v>
      </c>
      <c r="AA3862">
        <v>0.62715142108606237</v>
      </c>
      <c r="AB3862" t="str">
        <f>HYPERLINK("Melting_Curves/meltCurve_Q8N655_C10orf12.pdf", "Melting_Curves/meltCurve_Q8N655_C10orf12.pdf")</f>
        <v>Melting_Curves/meltCurve_Q8N655_C10orf12.pdf</v>
      </c>
    </row>
    <row r="3863" spans="1:28" x14ac:dyDescent="0.25">
      <c r="A3863" t="s">
        <v>3867</v>
      </c>
      <c r="B3863">
        <v>0.99299721793515405</v>
      </c>
      <c r="C3863">
        <v>0.98242500411238598</v>
      </c>
      <c r="D3863">
        <v>0.92286833420173897</v>
      </c>
      <c r="E3863">
        <v>0.74834951067023203</v>
      </c>
      <c r="F3863">
        <v>0.68294780023934099</v>
      </c>
      <c r="G3863">
        <v>0.48155544537554301</v>
      </c>
      <c r="H3863">
        <v>0.38766078693376899</v>
      </c>
      <c r="I3863">
        <v>0.28884274149214001</v>
      </c>
      <c r="J3863">
        <v>0.180565346564486</v>
      </c>
      <c r="K3863">
        <v>0.15338804821226901</v>
      </c>
      <c r="L3863">
        <v>469.53391763308503</v>
      </c>
      <c r="M3863">
        <v>8.7060986520401507</v>
      </c>
      <c r="N3863">
        <v>53.931622700532301</v>
      </c>
      <c r="O3863">
        <v>51.312888197393498</v>
      </c>
      <c r="P3863">
        <v>-4.2451629650419098E-2</v>
      </c>
      <c r="Q3863">
        <v>0</v>
      </c>
      <c r="R3863">
        <v>0.99361946434177195</v>
      </c>
      <c r="S3863" t="s">
        <v>9414</v>
      </c>
      <c r="T3863" t="s">
        <v>11100</v>
      </c>
      <c r="U3863" t="s">
        <v>11100</v>
      </c>
      <c r="V3863" t="s">
        <v>11100</v>
      </c>
      <c r="W3863" t="s">
        <v>14913</v>
      </c>
      <c r="X3863">
        <v>5</v>
      </c>
      <c r="Y3863" t="s">
        <v>20349</v>
      </c>
      <c r="Z3863" t="s">
        <v>25868</v>
      </c>
      <c r="AA3863">
        <v>0.58091090395730594</v>
      </c>
      <c r="AB3863" t="str">
        <f>HYPERLINK("Melting_Curves/meltCurve_Q8N684_2_CPSF7.pdf", "Melting_Curves/meltCurve_Q8N684_2_CPSF7.pdf")</f>
        <v>Melting_Curves/meltCurve_Q8N684_2_CPSF7.pdf</v>
      </c>
    </row>
    <row r="3864" spans="1:28" x14ac:dyDescent="0.25">
      <c r="A3864" t="s">
        <v>3868</v>
      </c>
      <c r="B3864">
        <v>0.99299721793515405</v>
      </c>
      <c r="C3864">
        <v>1.2186059364239501</v>
      </c>
      <c r="D3864">
        <v>1.0994244819299199</v>
      </c>
      <c r="E3864">
        <v>0.93129710836926805</v>
      </c>
      <c r="F3864">
        <v>0.91175862010949604</v>
      </c>
      <c r="G3864">
        <v>0.50644397637998595</v>
      </c>
      <c r="H3864">
        <v>0.71255329041526705</v>
      </c>
      <c r="I3864">
        <v>0.76851117255808399</v>
      </c>
      <c r="J3864">
        <v>0.99854771562062805</v>
      </c>
      <c r="K3864">
        <v>0.660293598185276</v>
      </c>
      <c r="L3864">
        <v>12586.4758385729</v>
      </c>
      <c r="M3864">
        <v>250</v>
      </c>
      <c r="O3864">
        <v>50.342690622281403</v>
      </c>
      <c r="P3864">
        <v>-0.336108988196129</v>
      </c>
      <c r="Q3864">
        <v>0.72926995603640998</v>
      </c>
      <c r="R3864">
        <v>0.54647456213392898</v>
      </c>
      <c r="S3864" t="s">
        <v>9415</v>
      </c>
      <c r="T3864" t="s">
        <v>11100</v>
      </c>
      <c r="U3864" t="s">
        <v>11100</v>
      </c>
      <c r="V3864" t="s">
        <v>11100</v>
      </c>
      <c r="W3864" t="s">
        <v>14914</v>
      </c>
      <c r="X3864">
        <v>1</v>
      </c>
      <c r="Y3864" t="s">
        <v>20350</v>
      </c>
      <c r="Z3864" t="s">
        <v>25869</v>
      </c>
      <c r="AA3864">
        <v>0.84973177679649248</v>
      </c>
      <c r="AB3864" t="str">
        <f>HYPERLINK("Melting_Curves/meltCurve_Q8N697_SLC15A4.pdf", "Melting_Curves/meltCurve_Q8N697_SLC15A4.pdf")</f>
        <v>Melting_Curves/meltCurve_Q8N697_SLC15A4.pdf</v>
      </c>
    </row>
    <row r="3865" spans="1:28" x14ac:dyDescent="0.25">
      <c r="A3865" t="s">
        <v>3869</v>
      </c>
      <c r="B3865">
        <v>0.99299721793515405</v>
      </c>
      <c r="C3865">
        <v>1.00480324690378</v>
      </c>
      <c r="D3865">
        <v>1.0305600581377501</v>
      </c>
      <c r="E3865">
        <v>0.93845654879583296</v>
      </c>
      <c r="F3865">
        <v>0.67173661351316505</v>
      </c>
      <c r="G3865">
        <v>0.72957659270924702</v>
      </c>
      <c r="H3865">
        <v>0.51391608119767096</v>
      </c>
      <c r="I3865">
        <v>0.73865819758219597</v>
      </c>
      <c r="J3865">
        <v>0.69528518888026902</v>
      </c>
      <c r="K3865">
        <v>0.565586468481307</v>
      </c>
      <c r="L3865">
        <v>2596.6186796755201</v>
      </c>
      <c r="M3865">
        <v>54.172275307127499</v>
      </c>
      <c r="O3865">
        <v>47.867427093148898</v>
      </c>
      <c r="P3865">
        <v>-9.9690359003455895E-2</v>
      </c>
      <c r="Q3865">
        <v>0.64764869143481596</v>
      </c>
      <c r="R3865">
        <v>0.86749912196114298</v>
      </c>
      <c r="S3865" t="s">
        <v>9416</v>
      </c>
      <c r="T3865" t="s">
        <v>11100</v>
      </c>
      <c r="U3865" t="s">
        <v>11100</v>
      </c>
      <c r="V3865" t="s">
        <v>11100</v>
      </c>
      <c r="W3865" t="s">
        <v>14915</v>
      </c>
      <c r="X3865">
        <v>1</v>
      </c>
      <c r="Y3865" t="s">
        <v>20351</v>
      </c>
      <c r="Z3865" t="s">
        <v>25870</v>
      </c>
      <c r="AA3865">
        <v>0.77668681935358697</v>
      </c>
      <c r="AB3865" t="str">
        <f>HYPERLINK("Melting_Curves/meltCurve_Q8N6B5_FOXP2.pdf", "Melting_Curves/meltCurve_Q8N6B5_FOXP2.pdf")</f>
        <v>Melting_Curves/meltCurve_Q8N6B5_FOXP2.pdf</v>
      </c>
    </row>
    <row r="3866" spans="1:28" x14ac:dyDescent="0.25">
      <c r="A3866" t="s">
        <v>3870</v>
      </c>
      <c r="B3866">
        <v>0.99299721793515405</v>
      </c>
      <c r="C3866">
        <v>1.0466611937852699</v>
      </c>
      <c r="D3866">
        <v>1.0562314872812599</v>
      </c>
      <c r="E3866">
        <v>1.0157747818862699</v>
      </c>
      <c r="F3866">
        <v>0.78402210660134797</v>
      </c>
      <c r="G3866">
        <v>0.42557777085863402</v>
      </c>
      <c r="H3866">
        <v>0.21222257216290699</v>
      </c>
      <c r="I3866">
        <v>0.183770880948185</v>
      </c>
      <c r="J3866">
        <v>0.17733524585371799</v>
      </c>
      <c r="K3866">
        <v>0.14845349377914899</v>
      </c>
      <c r="L3866">
        <v>1508.7854059142801</v>
      </c>
      <c r="M3866">
        <v>28.8863645451864</v>
      </c>
      <c r="N3866">
        <v>52.953206578435001</v>
      </c>
      <c r="O3866">
        <v>51.983361262907799</v>
      </c>
      <c r="P3866">
        <v>-0.116323153771451</v>
      </c>
      <c r="Q3866">
        <v>0.16267466618149001</v>
      </c>
      <c r="R3866">
        <v>0.99458394789120896</v>
      </c>
      <c r="S3866" t="s">
        <v>9417</v>
      </c>
      <c r="T3866" t="s">
        <v>11100</v>
      </c>
      <c r="U3866" t="s">
        <v>11100</v>
      </c>
      <c r="V3866" t="s">
        <v>11100</v>
      </c>
      <c r="W3866" t="s">
        <v>14916</v>
      </c>
      <c r="X3866">
        <v>16</v>
      </c>
      <c r="Y3866" t="s">
        <v>20352</v>
      </c>
      <c r="Z3866" t="s">
        <v>25871</v>
      </c>
      <c r="AA3866">
        <v>0.59349546888114846</v>
      </c>
      <c r="AB3866" t="str">
        <f>HYPERLINK("Melting_Curves/meltCurve_Q8N6H7_ARFGAP2.pdf", "Melting_Curves/meltCurve_Q8N6H7_ARFGAP2.pdf")</f>
        <v>Melting_Curves/meltCurve_Q8N6H7_ARFGAP2.pdf</v>
      </c>
    </row>
    <row r="3867" spans="1:28" x14ac:dyDescent="0.25">
      <c r="A3867" t="s">
        <v>3871</v>
      </c>
      <c r="B3867">
        <v>0.99299721793515405</v>
      </c>
      <c r="C3867">
        <v>1.0433154415981201</v>
      </c>
      <c r="D3867">
        <v>0.94433003492521295</v>
      </c>
      <c r="E3867">
        <v>0.89781490100386196</v>
      </c>
      <c r="F3867">
        <v>0.70196252783770496</v>
      </c>
      <c r="G3867">
        <v>0.32442104137663802</v>
      </c>
      <c r="H3867">
        <v>0.19881454800220699</v>
      </c>
      <c r="I3867">
        <v>0.198466531302848</v>
      </c>
      <c r="J3867">
        <v>0.17954092713877301</v>
      </c>
      <c r="K3867">
        <v>0.136463185475032</v>
      </c>
      <c r="L3867">
        <v>1269.10432244087</v>
      </c>
      <c r="M3867">
        <v>24.826143576438099</v>
      </c>
      <c r="N3867">
        <v>51.9096624547917</v>
      </c>
      <c r="O3867">
        <v>50.791462514305699</v>
      </c>
      <c r="P3867">
        <v>-0.10297365060208399</v>
      </c>
      <c r="Q3867">
        <v>0.15732236702788699</v>
      </c>
      <c r="R3867">
        <v>0.99379646809734801</v>
      </c>
      <c r="S3867" t="s">
        <v>9418</v>
      </c>
      <c r="T3867" t="s">
        <v>11100</v>
      </c>
      <c r="U3867" t="s">
        <v>11100</v>
      </c>
      <c r="V3867" t="s">
        <v>11100</v>
      </c>
      <c r="W3867" t="s">
        <v>14917</v>
      </c>
      <c r="X3867">
        <v>6</v>
      </c>
      <c r="Y3867" t="s">
        <v>20353</v>
      </c>
      <c r="Z3867" t="s">
        <v>25872</v>
      </c>
      <c r="AA3867">
        <v>0.56147042743566966</v>
      </c>
      <c r="AB3867" t="str">
        <f>HYPERLINK("Melting_Curves/meltCurve_Q8N6M0_OTUD6B.pdf", "Melting_Curves/meltCurve_Q8N6M0_OTUD6B.pdf")</f>
        <v>Melting_Curves/meltCurve_Q8N6M0_OTUD6B.pdf</v>
      </c>
    </row>
    <row r="3868" spans="1:28" x14ac:dyDescent="0.25">
      <c r="A3868" t="s">
        <v>3872</v>
      </c>
      <c r="B3868">
        <v>0.99299721793515405</v>
      </c>
      <c r="C3868">
        <v>0.96745879506706101</v>
      </c>
      <c r="D3868">
        <v>0.93782507342162602</v>
      </c>
      <c r="E3868">
        <v>0.91809417790592995</v>
      </c>
      <c r="F3868">
        <v>0.80751844234062098</v>
      </c>
      <c r="G3868">
        <v>0.61289462963937702</v>
      </c>
      <c r="H3868">
        <v>0.58831829324433804</v>
      </c>
      <c r="I3868">
        <v>0.66171121280050005</v>
      </c>
      <c r="J3868">
        <v>0.79863630307591105</v>
      </c>
      <c r="K3868">
        <v>0.67368494567381498</v>
      </c>
      <c r="L3868">
        <v>1451.5715550377599</v>
      </c>
      <c r="M3868">
        <v>29.766423120090899</v>
      </c>
      <c r="O3868">
        <v>48.546893893443503</v>
      </c>
      <c r="P3868">
        <v>-5.0886561688901197E-2</v>
      </c>
      <c r="Q3868">
        <v>0.66803295636469795</v>
      </c>
      <c r="R3868">
        <v>0.83264679984779799</v>
      </c>
      <c r="S3868" t="s">
        <v>9419</v>
      </c>
      <c r="T3868" t="s">
        <v>11100</v>
      </c>
      <c r="U3868" t="s">
        <v>11100</v>
      </c>
      <c r="V3868" t="s">
        <v>11100</v>
      </c>
      <c r="W3868" t="s">
        <v>14918</v>
      </c>
      <c r="X3868">
        <v>9</v>
      </c>
      <c r="Y3868" t="s">
        <v>20354</v>
      </c>
      <c r="Z3868" t="s">
        <v>25873</v>
      </c>
      <c r="AA3868">
        <v>0.80024909863421811</v>
      </c>
      <c r="AB3868" t="str">
        <f>HYPERLINK("Melting_Curves/meltCurve_Q8N6N3_C1orf52.pdf", "Melting_Curves/meltCurve_Q8N6N3_C1orf52.pdf")</f>
        <v>Melting_Curves/meltCurve_Q8N6N3_C1orf52.pdf</v>
      </c>
    </row>
    <row r="3869" spans="1:28" x14ac:dyDescent="0.25">
      <c r="A3869" t="s">
        <v>3873</v>
      </c>
      <c r="B3869">
        <v>0.99299721793515405</v>
      </c>
      <c r="C3869">
        <v>1.00072474594108</v>
      </c>
      <c r="D3869">
        <v>0.95175978547616802</v>
      </c>
      <c r="E3869">
        <v>1.00031463906916</v>
      </c>
      <c r="F3869">
        <v>0.76966643787536604</v>
      </c>
      <c r="G3869">
        <v>0.58282852395150297</v>
      </c>
      <c r="H3869">
        <v>0.51648102439858401</v>
      </c>
      <c r="I3869">
        <v>0.65414112390559798</v>
      </c>
      <c r="J3869">
        <v>0.71458486356346795</v>
      </c>
      <c r="K3869">
        <v>0.54978090130786905</v>
      </c>
      <c r="L3869">
        <v>12533.588638000099</v>
      </c>
      <c r="M3869">
        <v>250</v>
      </c>
      <c r="O3869">
        <v>50.131146583546602</v>
      </c>
      <c r="P3869">
        <v>-0.49424951484937102</v>
      </c>
      <c r="Q3869">
        <v>0.60356328477454402</v>
      </c>
      <c r="R3869">
        <v>0.92025977658727898</v>
      </c>
      <c r="S3869" t="s">
        <v>9420</v>
      </c>
      <c r="T3869" t="s">
        <v>11100</v>
      </c>
      <c r="U3869" t="s">
        <v>11100</v>
      </c>
      <c r="V3869" t="s">
        <v>11100</v>
      </c>
      <c r="W3869" t="s">
        <v>14919</v>
      </c>
      <c r="X3869">
        <v>6</v>
      </c>
      <c r="Y3869" t="s">
        <v>20355</v>
      </c>
      <c r="Z3869" t="s">
        <v>25874</v>
      </c>
      <c r="AA3869">
        <v>0.77716284443706596</v>
      </c>
      <c r="AB3869" t="str">
        <f>HYPERLINK("Melting_Curves/meltCurve_Q8N6N7_ACBD7.pdf", "Melting_Curves/meltCurve_Q8N6N7_ACBD7.pdf")</f>
        <v>Melting_Curves/meltCurve_Q8N6N7_ACBD7.pdf</v>
      </c>
    </row>
    <row r="3870" spans="1:28" x14ac:dyDescent="0.25">
      <c r="A3870" t="s">
        <v>3874</v>
      </c>
      <c r="B3870">
        <v>0.99299721793515405</v>
      </c>
      <c r="C3870">
        <v>0.87449374621255105</v>
      </c>
      <c r="D3870">
        <v>0.95474742634461796</v>
      </c>
      <c r="E3870">
        <v>0.90617875427627603</v>
      </c>
      <c r="F3870">
        <v>0.97439861459092003</v>
      </c>
      <c r="G3870">
        <v>0.80547039444531998</v>
      </c>
      <c r="H3870">
        <v>0.60506099756716303</v>
      </c>
      <c r="I3870">
        <v>0.49096887182210602</v>
      </c>
      <c r="J3870">
        <v>0.37774930373955001</v>
      </c>
      <c r="K3870">
        <v>0.29733884749261402</v>
      </c>
      <c r="L3870">
        <v>737.44319543000699</v>
      </c>
      <c r="M3870">
        <v>12.554582632071</v>
      </c>
      <c r="N3870">
        <v>60.491918735792403</v>
      </c>
      <c r="O3870">
        <v>57.308424274430102</v>
      </c>
      <c r="P3870">
        <v>-4.6425570487001903E-2</v>
      </c>
      <c r="Q3870">
        <v>0.15248854781545901</v>
      </c>
      <c r="R3870">
        <v>0.95820189582092496</v>
      </c>
      <c r="S3870" t="s">
        <v>9421</v>
      </c>
      <c r="T3870" t="s">
        <v>11100</v>
      </c>
      <c r="U3870" t="s">
        <v>11100</v>
      </c>
      <c r="V3870" t="s">
        <v>11100</v>
      </c>
      <c r="W3870" t="s">
        <v>14920</v>
      </c>
      <c r="X3870">
        <v>2</v>
      </c>
      <c r="Y3870" t="s">
        <v>20356</v>
      </c>
      <c r="Z3870" t="s">
        <v>25875</v>
      </c>
      <c r="AA3870">
        <v>0.76266616775322649</v>
      </c>
      <c r="AB3870" t="str">
        <f>HYPERLINK("Melting_Curves/meltCurve_Q8N6Q8_METTL25.pdf", "Melting_Curves/meltCurve_Q8N6Q8_METTL25.pdf")</f>
        <v>Melting_Curves/meltCurve_Q8N6Q8_METTL25.pdf</v>
      </c>
    </row>
    <row r="3871" spans="1:28" x14ac:dyDescent="0.25">
      <c r="A3871" t="s">
        <v>3875</v>
      </c>
      <c r="B3871">
        <v>0.99299721793515405</v>
      </c>
      <c r="C3871">
        <v>0.84671221005667796</v>
      </c>
      <c r="D3871">
        <v>0.73392534633022399</v>
      </c>
      <c r="E3871">
        <v>0.99005535649485799</v>
      </c>
      <c r="F3871">
        <v>0.59134264004832804</v>
      </c>
      <c r="G3871">
        <v>0.603880165485843</v>
      </c>
      <c r="H3871">
        <v>0.381156876079699</v>
      </c>
      <c r="I3871">
        <v>0.39039793983801502</v>
      </c>
      <c r="J3871">
        <v>0.212964114070188</v>
      </c>
      <c r="K3871">
        <v>0.19780575994326799</v>
      </c>
      <c r="L3871">
        <v>397.81824152623398</v>
      </c>
      <c r="M3871">
        <v>7.22311267630604</v>
      </c>
      <c r="N3871">
        <v>55.075745946536998</v>
      </c>
      <c r="O3871">
        <v>51.324094400612999</v>
      </c>
      <c r="P3871">
        <v>-3.5241957889937198E-2</v>
      </c>
      <c r="Q3871">
        <v>0</v>
      </c>
      <c r="R3871">
        <v>0.88488003224074996</v>
      </c>
      <c r="S3871" t="s">
        <v>9422</v>
      </c>
      <c r="T3871" t="s">
        <v>11100</v>
      </c>
      <c r="U3871" t="s">
        <v>11100</v>
      </c>
      <c r="V3871" t="s">
        <v>11100</v>
      </c>
      <c r="W3871" t="s">
        <v>14921</v>
      </c>
      <c r="X3871">
        <v>1</v>
      </c>
      <c r="Y3871" t="s">
        <v>20357</v>
      </c>
      <c r="Z3871" t="s">
        <v>25876</v>
      </c>
      <c r="AA3871">
        <v>0.60507374027999883</v>
      </c>
      <c r="AB3871" t="str">
        <f>HYPERLINK("Melting_Curves/meltCurve_Q8N6S4_2_ANKRD13C.pdf", "Melting_Curves/meltCurve_Q8N6S4_2_ANKRD13C.pdf")</f>
        <v>Melting_Curves/meltCurve_Q8N6S4_2_ANKRD13C.pdf</v>
      </c>
    </row>
    <row r="3872" spans="1:28" x14ac:dyDescent="0.25">
      <c r="A3872" t="s">
        <v>3876</v>
      </c>
      <c r="B3872">
        <v>0.99299721793515405</v>
      </c>
      <c r="C3872">
        <v>1.0624800973974899</v>
      </c>
      <c r="D3872">
        <v>0.95116854308866305</v>
      </c>
      <c r="E3872">
        <v>0.87621987669454504</v>
      </c>
      <c r="F3872">
        <v>0.76702593401499497</v>
      </c>
      <c r="G3872">
        <v>0.39207379936973102</v>
      </c>
      <c r="H3872">
        <v>0.30306411980057901</v>
      </c>
      <c r="I3872">
        <v>0.19729631392684399</v>
      </c>
      <c r="J3872">
        <v>0.240570224688475</v>
      </c>
      <c r="K3872">
        <v>0.13956032045922001</v>
      </c>
      <c r="L3872">
        <v>1025.4945200908401</v>
      </c>
      <c r="M3872">
        <v>19.788097203679101</v>
      </c>
      <c r="N3872">
        <v>52.944179620296097</v>
      </c>
      <c r="O3872">
        <v>51.303265842831998</v>
      </c>
      <c r="P3872">
        <v>-7.9934651458918399E-2</v>
      </c>
      <c r="Q3872">
        <v>0.171063668784251</v>
      </c>
      <c r="R3872">
        <v>0.98564845338224405</v>
      </c>
      <c r="S3872" t="s">
        <v>9423</v>
      </c>
      <c r="T3872" t="s">
        <v>11100</v>
      </c>
      <c r="U3872" t="s">
        <v>11100</v>
      </c>
      <c r="V3872" t="s">
        <v>11100</v>
      </c>
      <c r="W3872" t="s">
        <v>14922</v>
      </c>
      <c r="X3872">
        <v>3</v>
      </c>
      <c r="Y3872" t="s">
        <v>20358</v>
      </c>
      <c r="Z3872" t="s">
        <v>25877</v>
      </c>
      <c r="AA3872">
        <v>0.59158397554938558</v>
      </c>
      <c r="AB3872" t="str">
        <f>HYPERLINK("Melting_Curves/meltCurve_Q8N749_TOM1L1.pdf", "Melting_Curves/meltCurve_Q8N749_TOM1L1.pdf")</f>
        <v>Melting_Curves/meltCurve_Q8N749_TOM1L1.pdf</v>
      </c>
    </row>
    <row r="3873" spans="1:28" x14ac:dyDescent="0.25">
      <c r="A3873" t="s">
        <v>3877</v>
      </c>
      <c r="B3873">
        <v>0.99299721793515405</v>
      </c>
      <c r="C3873">
        <v>0.96819925323534295</v>
      </c>
      <c r="D3873">
        <v>0.84313594623160404</v>
      </c>
      <c r="E3873">
        <v>0.82921933294072503</v>
      </c>
      <c r="F3873">
        <v>0.70953312623214304</v>
      </c>
      <c r="G3873">
        <v>0.66432782211767105</v>
      </c>
      <c r="H3873">
        <v>0.74524504619963805</v>
      </c>
      <c r="I3873">
        <v>0.47994550372142297</v>
      </c>
      <c r="J3873">
        <v>0.48065026273393202</v>
      </c>
      <c r="K3873">
        <v>0.34625099357310501</v>
      </c>
      <c r="L3873">
        <v>305.60828324151902</v>
      </c>
      <c r="M3873">
        <v>4.9306556551613596</v>
      </c>
      <c r="N3873">
        <v>61.981280761437397</v>
      </c>
      <c r="O3873">
        <v>53.917661431705</v>
      </c>
      <c r="P3873">
        <v>-2.3008921803238099E-2</v>
      </c>
      <c r="Q3873">
        <v>0</v>
      </c>
      <c r="R3873">
        <v>0.91558564895771699</v>
      </c>
      <c r="S3873" t="s">
        <v>9424</v>
      </c>
      <c r="T3873" t="s">
        <v>11100</v>
      </c>
      <c r="U3873" t="s">
        <v>11100</v>
      </c>
      <c r="V3873" t="s">
        <v>11100</v>
      </c>
      <c r="W3873" t="s">
        <v>14923</v>
      </c>
      <c r="X3873">
        <v>6</v>
      </c>
      <c r="Y3873" t="s">
        <v>20359</v>
      </c>
      <c r="Z3873" t="s">
        <v>25878</v>
      </c>
      <c r="AA3873">
        <v>0.70959025293141942</v>
      </c>
      <c r="AB3873" t="str">
        <f>HYPERLINK("Melting_Curves/meltCurve_Q8N766_3_EMC1.pdf", "Melting_Curves/meltCurve_Q8N766_3_EMC1.pdf")</f>
        <v>Melting_Curves/meltCurve_Q8N766_3_EMC1.pdf</v>
      </c>
    </row>
    <row r="3874" spans="1:28" x14ac:dyDescent="0.25">
      <c r="A3874" t="s">
        <v>3878</v>
      </c>
      <c r="B3874">
        <v>0.99299721793515405</v>
      </c>
      <c r="C3874">
        <v>0.95906359005055297</v>
      </c>
      <c r="D3874">
        <v>0.91347494981569799</v>
      </c>
      <c r="E3874">
        <v>0.75632200420150297</v>
      </c>
      <c r="F3874">
        <v>0.50508122156017599</v>
      </c>
      <c r="G3874">
        <v>0.19466450363468499</v>
      </c>
      <c r="H3874">
        <v>0.15833482905103599</v>
      </c>
      <c r="I3874">
        <v>0.17358089928652801</v>
      </c>
      <c r="J3874">
        <v>0.17989194936057901</v>
      </c>
      <c r="K3874">
        <v>0.14556251414479601</v>
      </c>
      <c r="L3874">
        <v>979.97789567379903</v>
      </c>
      <c r="M3874">
        <v>20.067012669448001</v>
      </c>
      <c r="N3874">
        <v>49.653817928637601</v>
      </c>
      <c r="O3874">
        <v>48.358050203713503</v>
      </c>
      <c r="P3874">
        <v>-8.9134887221633999E-2</v>
      </c>
      <c r="Q3874">
        <v>0.140828590667024</v>
      </c>
      <c r="R3874">
        <v>0.99158485897837501</v>
      </c>
      <c r="S3874" t="s">
        <v>9425</v>
      </c>
      <c r="T3874" t="s">
        <v>11100</v>
      </c>
      <c r="U3874" t="s">
        <v>11100</v>
      </c>
      <c r="V3874" t="s">
        <v>11100</v>
      </c>
      <c r="W3874" t="s">
        <v>14924</v>
      </c>
      <c r="X3874">
        <v>10</v>
      </c>
      <c r="Y3874" t="s">
        <v>20360</v>
      </c>
      <c r="Z3874" t="s">
        <v>25879</v>
      </c>
      <c r="AA3874">
        <v>0.49102598500740591</v>
      </c>
      <c r="AB3874" t="str">
        <f>HYPERLINK("Melting_Curves/meltCurve_Q8N7H5_PAF1.pdf", "Melting_Curves/meltCurve_Q8N7H5_PAF1.pdf")</f>
        <v>Melting_Curves/meltCurve_Q8N7H5_PAF1.pdf</v>
      </c>
    </row>
    <row r="3875" spans="1:28" x14ac:dyDescent="0.25">
      <c r="A3875" t="s">
        <v>3879</v>
      </c>
      <c r="B3875">
        <v>0.99299721793515405</v>
      </c>
      <c r="C3875">
        <v>0.71555168715966799</v>
      </c>
      <c r="D3875">
        <v>0.88009020885171496</v>
      </c>
      <c r="E3875">
        <v>0.71194657683493201</v>
      </c>
      <c r="F3875">
        <v>0.53624212984882702</v>
      </c>
      <c r="G3875">
        <v>0.22794877333024699</v>
      </c>
      <c r="H3875">
        <v>0.18418799290102</v>
      </c>
      <c r="I3875">
        <v>0.12909673127065099</v>
      </c>
      <c r="J3875">
        <v>0.114823010191034</v>
      </c>
      <c r="K3875">
        <v>0.152126252902478</v>
      </c>
      <c r="L3875">
        <v>508.69875996416698</v>
      </c>
      <c r="M3875">
        <v>10.318809953193</v>
      </c>
      <c r="N3875">
        <v>49.616353134884697</v>
      </c>
      <c r="O3875">
        <v>47.554408460927</v>
      </c>
      <c r="P3875">
        <v>-5.2533286092549397E-2</v>
      </c>
      <c r="Q3875">
        <v>3.2015045745067298E-2</v>
      </c>
      <c r="R3875">
        <v>0.93633745441521499</v>
      </c>
      <c r="S3875" t="s">
        <v>9426</v>
      </c>
      <c r="T3875" t="s">
        <v>11100</v>
      </c>
      <c r="U3875" t="s">
        <v>11100</v>
      </c>
      <c r="V3875" t="s">
        <v>11100</v>
      </c>
      <c r="W3875" t="s">
        <v>14925</v>
      </c>
      <c r="X3875">
        <v>4</v>
      </c>
      <c r="Y3875" t="s">
        <v>20361</v>
      </c>
      <c r="Z3875" t="s">
        <v>25880</v>
      </c>
      <c r="AA3875">
        <v>0.46269478390634811</v>
      </c>
      <c r="AB3875" t="str">
        <f>HYPERLINK("Melting_Curves/meltCurve_Q8N7R7_3_CCNYL1.pdf", "Melting_Curves/meltCurve_Q8N7R7_3_CCNYL1.pdf")</f>
        <v>Melting_Curves/meltCurve_Q8N7R7_3_CCNYL1.pdf</v>
      </c>
    </row>
    <row r="3876" spans="1:28" x14ac:dyDescent="0.25">
      <c r="A3876" t="s">
        <v>3880</v>
      </c>
      <c r="B3876">
        <v>0.99299721793515405</v>
      </c>
      <c r="C3876">
        <v>0.94686416745318303</v>
      </c>
      <c r="D3876">
        <v>0.98361932343716796</v>
      </c>
      <c r="E3876">
        <v>0.87947100460041105</v>
      </c>
      <c r="F3876">
        <v>0.78509705207065605</v>
      </c>
      <c r="G3876">
        <v>0.48469367224781001</v>
      </c>
      <c r="H3876">
        <v>0.28510809308893098</v>
      </c>
      <c r="I3876">
        <v>0.21871583405352099</v>
      </c>
      <c r="J3876">
        <v>0.204609047458229</v>
      </c>
      <c r="K3876">
        <v>0.181606555537216</v>
      </c>
      <c r="L3876">
        <v>980.00707317362003</v>
      </c>
      <c r="M3876">
        <v>18.6717472813393</v>
      </c>
      <c r="N3876">
        <v>53.630219503195498</v>
      </c>
      <c r="O3876">
        <v>51.895177443240897</v>
      </c>
      <c r="P3876">
        <v>-7.5175527637051501E-2</v>
      </c>
      <c r="Q3876">
        <v>0.16428170736302999</v>
      </c>
      <c r="R3876">
        <v>0.99394188691373297</v>
      </c>
      <c r="S3876" t="s">
        <v>9427</v>
      </c>
      <c r="T3876" t="s">
        <v>11100</v>
      </c>
      <c r="U3876" t="s">
        <v>11100</v>
      </c>
      <c r="V3876" t="s">
        <v>11100</v>
      </c>
      <c r="W3876" t="s">
        <v>14926</v>
      </c>
      <c r="X3876">
        <v>7</v>
      </c>
      <c r="Y3876" t="s">
        <v>20362</v>
      </c>
      <c r="Z3876" t="s">
        <v>25881</v>
      </c>
      <c r="AA3876">
        <v>0.60749074795523161</v>
      </c>
      <c r="AB3876" t="str">
        <f>HYPERLINK("Melting_Curves/meltCurve_Q8N806_UBR7.pdf", "Melting_Curves/meltCurve_Q8N806_UBR7.pdf")</f>
        <v>Melting_Curves/meltCurve_Q8N806_UBR7.pdf</v>
      </c>
    </row>
    <row r="3877" spans="1:28" x14ac:dyDescent="0.25">
      <c r="A3877" t="s">
        <v>3881</v>
      </c>
      <c r="B3877">
        <v>0.99299721793515405</v>
      </c>
      <c r="C3877">
        <v>0.82518051804516401</v>
      </c>
      <c r="D3877">
        <v>0.79105071371882196</v>
      </c>
      <c r="E3877">
        <v>0.74432034535195701</v>
      </c>
      <c r="F3877">
        <v>0.78711559340055104</v>
      </c>
      <c r="G3877">
        <v>0.20494576181367899</v>
      </c>
      <c r="H3877">
        <v>0.51794309190964505</v>
      </c>
      <c r="I3877">
        <v>0.36183290724564898</v>
      </c>
      <c r="J3877">
        <v>0.64500440539814996</v>
      </c>
      <c r="K3877">
        <v>0.63584976330161003</v>
      </c>
      <c r="L3877">
        <v>557.34118525068504</v>
      </c>
      <c r="M3877">
        <v>12.4865740667286</v>
      </c>
      <c r="N3877">
        <v>66.430053497004295</v>
      </c>
      <c r="O3877">
        <v>43.536791511860599</v>
      </c>
      <c r="P3877">
        <v>-3.6454289516529299E-2</v>
      </c>
      <c r="Q3877">
        <v>0.49168609597527002</v>
      </c>
      <c r="R3877">
        <v>0.54366859966122105</v>
      </c>
      <c r="S3877" t="s">
        <v>9428</v>
      </c>
      <c r="T3877" t="s">
        <v>11100</v>
      </c>
      <c r="U3877" t="s">
        <v>11100</v>
      </c>
      <c r="V3877" t="s">
        <v>11100</v>
      </c>
      <c r="W3877" t="s">
        <v>14927</v>
      </c>
      <c r="X3877">
        <v>2</v>
      </c>
      <c r="Y3877" t="s">
        <v>20363</v>
      </c>
      <c r="Z3877" t="s">
        <v>25882</v>
      </c>
      <c r="AA3877">
        <v>0.63859719483267929</v>
      </c>
      <c r="AB3877" t="str">
        <f>HYPERLINK("Melting_Curves/meltCurve_Q8N8J7_C4orf32.pdf", "Melting_Curves/meltCurve_Q8N8J7_C4orf32.pdf")</f>
        <v>Melting_Curves/meltCurve_Q8N8J7_C4orf32.pdf</v>
      </c>
    </row>
    <row r="3878" spans="1:28" x14ac:dyDescent="0.25">
      <c r="A3878" t="s">
        <v>3882</v>
      </c>
      <c r="B3878">
        <v>0.99299721793515405</v>
      </c>
      <c r="C3878">
        <v>1.0273019305776701</v>
      </c>
      <c r="D3878">
        <v>0.77255690059262405</v>
      </c>
      <c r="E3878">
        <v>0.75853812609841598</v>
      </c>
      <c r="F3878">
        <v>0.66916174845173204</v>
      </c>
      <c r="G3878">
        <v>0.53575514172529803</v>
      </c>
      <c r="H3878">
        <v>0.45253369175541702</v>
      </c>
      <c r="I3878">
        <v>0.34191659114176698</v>
      </c>
      <c r="J3878">
        <v>0.33591582031054101</v>
      </c>
      <c r="K3878">
        <v>0.28708904961806597</v>
      </c>
      <c r="L3878">
        <v>413.26517942434901</v>
      </c>
      <c r="M3878">
        <v>7.9361975859666103</v>
      </c>
      <c r="N3878">
        <v>54.951566488715201</v>
      </c>
      <c r="O3878">
        <v>49.078608626895601</v>
      </c>
      <c r="P3878">
        <v>-3.35906837541173E-2</v>
      </c>
      <c r="Q3878">
        <v>0.170048614177473</v>
      </c>
      <c r="R3878">
        <v>0.96852821970464198</v>
      </c>
      <c r="S3878" t="s">
        <v>9429</v>
      </c>
      <c r="T3878" t="s">
        <v>11100</v>
      </c>
      <c r="U3878" t="s">
        <v>11100</v>
      </c>
      <c r="V3878" t="s">
        <v>11100</v>
      </c>
      <c r="W3878" t="s">
        <v>14928</v>
      </c>
      <c r="X3878">
        <v>1</v>
      </c>
      <c r="Y3878" t="s">
        <v>20364</v>
      </c>
      <c r="Z3878" t="s">
        <v>25883</v>
      </c>
      <c r="AA3878">
        <v>0.6103778438876295</v>
      </c>
      <c r="AB3878" t="str">
        <f>HYPERLINK("Melting_Curves/meltCurve_Q8N8L6_ARL10.pdf", "Melting_Curves/meltCurve_Q8N8L6_ARL10.pdf")</f>
        <v>Melting_Curves/meltCurve_Q8N8L6_ARL10.pdf</v>
      </c>
    </row>
    <row r="3879" spans="1:28" x14ac:dyDescent="0.25">
      <c r="A3879" t="s">
        <v>3883</v>
      </c>
      <c r="B3879">
        <v>0.99299721793515405</v>
      </c>
      <c r="C3879">
        <v>1.10443476432036</v>
      </c>
      <c r="D3879">
        <v>0.89603724576553201</v>
      </c>
      <c r="E3879">
        <v>1.07971472951058</v>
      </c>
      <c r="F3879">
        <v>0.723639264913434</v>
      </c>
      <c r="G3879">
        <v>0.29526637218726798</v>
      </c>
      <c r="H3879">
        <v>0.27440653472978099</v>
      </c>
      <c r="I3879">
        <v>0.232171052147532</v>
      </c>
      <c r="J3879">
        <v>0.21081929627693399</v>
      </c>
      <c r="K3879">
        <v>0.158799516072233</v>
      </c>
      <c r="L3879">
        <v>2310.3829826981701</v>
      </c>
      <c r="M3879">
        <v>45.361001896607803</v>
      </c>
      <c r="N3879">
        <v>51.591646116766199</v>
      </c>
      <c r="O3879">
        <v>50.834550107005001</v>
      </c>
      <c r="P3879">
        <v>-0.17406224148460001</v>
      </c>
      <c r="Q3879">
        <v>0.21973816919045799</v>
      </c>
      <c r="R3879">
        <v>0.97418738526216297</v>
      </c>
      <c r="S3879" t="s">
        <v>9430</v>
      </c>
      <c r="T3879" t="s">
        <v>11100</v>
      </c>
      <c r="U3879" t="s">
        <v>11100</v>
      </c>
      <c r="V3879" t="s">
        <v>11100</v>
      </c>
      <c r="W3879" t="s">
        <v>14929</v>
      </c>
      <c r="X3879">
        <v>7</v>
      </c>
      <c r="Y3879" t="s">
        <v>20365</v>
      </c>
      <c r="Z3879" t="s">
        <v>25884</v>
      </c>
      <c r="AA3879">
        <v>0.58425558986893789</v>
      </c>
      <c r="AB3879" t="str">
        <f>HYPERLINK("Melting_Curves/meltCurve_Q8N8N7_PTGR2.pdf", "Melting_Curves/meltCurve_Q8N8N7_PTGR2.pdf")</f>
        <v>Melting_Curves/meltCurve_Q8N8N7_PTGR2.pdf</v>
      </c>
    </row>
    <row r="3880" spans="1:28" x14ac:dyDescent="0.25">
      <c r="A3880" t="s">
        <v>3884</v>
      </c>
      <c r="B3880">
        <v>0.99299721793515405</v>
      </c>
      <c r="C3880">
        <v>0.95387116236450098</v>
      </c>
      <c r="D3880">
        <v>1.09259671645604</v>
      </c>
      <c r="E3880">
        <v>0.97442601395387696</v>
      </c>
      <c r="F3880">
        <v>0.87728886054409205</v>
      </c>
      <c r="G3880">
        <v>0.66461094985316005</v>
      </c>
      <c r="H3880">
        <v>0.42501414121457398</v>
      </c>
      <c r="I3880">
        <v>0.247194550754125</v>
      </c>
      <c r="J3880">
        <v>0.13811182613710599</v>
      </c>
      <c r="K3880">
        <v>0.15283540843749099</v>
      </c>
      <c r="L3880">
        <v>1013.19662868798</v>
      </c>
      <c r="M3880">
        <v>18.269069747554902</v>
      </c>
      <c r="N3880">
        <v>56.121374403081397</v>
      </c>
      <c r="O3880">
        <v>54.807983446671599</v>
      </c>
      <c r="P3880">
        <v>-7.5261573042700494E-2</v>
      </c>
      <c r="Q3880">
        <v>9.6890393594059696E-2</v>
      </c>
      <c r="R3880">
        <v>0.98984290255861496</v>
      </c>
      <c r="S3880" t="s">
        <v>9431</v>
      </c>
      <c r="T3880" t="s">
        <v>11100</v>
      </c>
      <c r="U3880" t="s">
        <v>11100</v>
      </c>
      <c r="V3880" t="s">
        <v>11100</v>
      </c>
      <c r="W3880" t="s">
        <v>14930</v>
      </c>
      <c r="X3880">
        <v>6</v>
      </c>
      <c r="Y3880" t="s">
        <v>20366</v>
      </c>
      <c r="Z3880" t="s">
        <v>25885</v>
      </c>
      <c r="AA3880">
        <v>0.66323754745837038</v>
      </c>
      <c r="AB3880" t="str">
        <f>HYPERLINK("Melting_Curves/meltCurve_Q8N8R5_C2orf69.pdf", "Melting_Curves/meltCurve_Q8N8R5_C2orf69.pdf")</f>
        <v>Melting_Curves/meltCurve_Q8N8R5_C2orf69.pdf</v>
      </c>
    </row>
    <row r="3881" spans="1:28" x14ac:dyDescent="0.25">
      <c r="A3881" t="s">
        <v>3885</v>
      </c>
      <c r="B3881">
        <v>0.99299721793515405</v>
      </c>
      <c r="C3881">
        <v>0.90092864343393697</v>
      </c>
      <c r="D3881">
        <v>0.87891663761129102</v>
      </c>
      <c r="E3881">
        <v>0.73960182281200804</v>
      </c>
      <c r="F3881">
        <v>0.55425686276445296</v>
      </c>
      <c r="G3881">
        <v>0.297994378638892</v>
      </c>
      <c r="H3881">
        <v>0.21507842395197599</v>
      </c>
      <c r="I3881">
        <v>0.204352109704104</v>
      </c>
      <c r="J3881">
        <v>0.183060985458181</v>
      </c>
      <c r="K3881">
        <v>0.175648300891246</v>
      </c>
      <c r="L3881">
        <v>669.70723540425695</v>
      </c>
      <c r="M3881">
        <v>13.612138644728301</v>
      </c>
      <c r="N3881">
        <v>50.385528162093699</v>
      </c>
      <c r="O3881">
        <v>48.173877924299703</v>
      </c>
      <c r="P3881">
        <v>-6.0964935231626098E-2</v>
      </c>
      <c r="Q3881">
        <v>0.13709877783126101</v>
      </c>
      <c r="R3881">
        <v>0.99035246030823998</v>
      </c>
      <c r="S3881" t="s">
        <v>9432</v>
      </c>
      <c r="T3881" t="s">
        <v>11100</v>
      </c>
      <c r="U3881" t="s">
        <v>11100</v>
      </c>
      <c r="V3881" t="s">
        <v>11100</v>
      </c>
      <c r="W3881" t="s">
        <v>14931</v>
      </c>
      <c r="X3881">
        <v>3</v>
      </c>
      <c r="Y3881" t="s">
        <v>20367</v>
      </c>
      <c r="Z3881" t="s">
        <v>25886</v>
      </c>
      <c r="AA3881">
        <v>0.50933713200314068</v>
      </c>
      <c r="AB3881" t="str">
        <f>HYPERLINK("Melting_Curves/meltCurve_Q8N8R7_ARL14EP.pdf", "Melting_Curves/meltCurve_Q8N8R7_ARL14EP.pdf")</f>
        <v>Melting_Curves/meltCurve_Q8N8R7_ARL14EP.pdf</v>
      </c>
    </row>
    <row r="3882" spans="1:28" x14ac:dyDescent="0.25">
      <c r="A3882" t="s">
        <v>3886</v>
      </c>
      <c r="B3882">
        <v>0.99299721793515405</v>
      </c>
      <c r="C3882">
        <v>0.94022043647852804</v>
      </c>
      <c r="D3882">
        <v>0.95221341961906103</v>
      </c>
      <c r="E3882">
        <v>0.72556074711402196</v>
      </c>
      <c r="F3882">
        <v>0.69499972551337497</v>
      </c>
      <c r="G3882">
        <v>0.605551168190267</v>
      </c>
      <c r="H3882">
        <v>0.61378402623978001</v>
      </c>
      <c r="I3882">
        <v>0.661095156402707</v>
      </c>
      <c r="J3882">
        <v>0.40626307544742102</v>
      </c>
      <c r="K3882">
        <v>0.238230145440325</v>
      </c>
      <c r="L3882">
        <v>312.70583550003801</v>
      </c>
      <c r="M3882">
        <v>5.20086128333958</v>
      </c>
      <c r="N3882">
        <v>60.125778978819902</v>
      </c>
      <c r="O3882">
        <v>52.947387816721502</v>
      </c>
      <c r="P3882">
        <v>-2.4688151500692E-2</v>
      </c>
      <c r="Q3882">
        <v>0</v>
      </c>
      <c r="R3882">
        <v>0.86623254584712805</v>
      </c>
      <c r="S3882" t="s">
        <v>9433</v>
      </c>
      <c r="T3882" t="s">
        <v>11100</v>
      </c>
      <c r="U3882" t="s">
        <v>11100</v>
      </c>
      <c r="V3882" t="s">
        <v>11100</v>
      </c>
      <c r="W3882" t="s">
        <v>14932</v>
      </c>
      <c r="X3882">
        <v>14</v>
      </c>
      <c r="Y3882" t="s">
        <v>20368</v>
      </c>
      <c r="Z3882" t="s">
        <v>25887</v>
      </c>
      <c r="AA3882">
        <v>0.6847303469396534</v>
      </c>
      <c r="AB3882" t="str">
        <f>HYPERLINK("Melting_Curves/meltCurve_Q8N8S7_ENAH.pdf", "Melting_Curves/meltCurve_Q8N8S7_ENAH.pdf")</f>
        <v>Melting_Curves/meltCurve_Q8N8S7_ENAH.pdf</v>
      </c>
    </row>
    <row r="3883" spans="1:28" x14ac:dyDescent="0.25">
      <c r="A3883" t="s">
        <v>3887</v>
      </c>
      <c r="B3883">
        <v>0.99299721793515405</v>
      </c>
      <c r="C3883">
        <v>1.2716191100304299</v>
      </c>
      <c r="D3883">
        <v>2.3927826267747299</v>
      </c>
      <c r="E3883">
        <v>1.1011317890633501</v>
      </c>
      <c r="F3883">
        <v>1.1298235973444299</v>
      </c>
      <c r="G3883">
        <v>2.2258408743146001</v>
      </c>
      <c r="H3883">
        <v>1.053787126654</v>
      </c>
      <c r="I3883">
        <v>0.52747585062031199</v>
      </c>
      <c r="J3883">
        <v>0.36240556401511198</v>
      </c>
      <c r="K3883">
        <v>0.38674373493254199</v>
      </c>
      <c r="L3883">
        <v>15000</v>
      </c>
      <c r="M3883">
        <v>247.02993159765799</v>
      </c>
      <c r="N3883">
        <v>61.063212997942898</v>
      </c>
      <c r="O3883">
        <v>60.717406939996501</v>
      </c>
      <c r="P3883">
        <v>-0.63613942552518699</v>
      </c>
      <c r="Q3883">
        <v>0.37457398675773701</v>
      </c>
      <c r="R3883">
        <v>0.183469124688631</v>
      </c>
      <c r="S3883" t="s">
        <v>9434</v>
      </c>
      <c r="T3883" t="s">
        <v>11100</v>
      </c>
      <c r="U3883" t="s">
        <v>11100</v>
      </c>
      <c r="V3883" t="s">
        <v>11100</v>
      </c>
      <c r="W3883" t="s">
        <v>14933</v>
      </c>
      <c r="X3883">
        <v>15</v>
      </c>
      <c r="Y3883" t="s">
        <v>20368</v>
      </c>
      <c r="Z3883" t="s">
        <v>25888</v>
      </c>
      <c r="AA3883">
        <v>0.86917465813947048</v>
      </c>
      <c r="AB3883" t="str">
        <f>HYPERLINK("Melting_Curves/meltCurve_Q8N8S7_2_ENAH.pdf", "Melting_Curves/meltCurve_Q8N8S7_2_ENAH.pdf")</f>
        <v>Melting_Curves/meltCurve_Q8N8S7_2_ENAH.pdf</v>
      </c>
    </row>
    <row r="3884" spans="1:28" x14ac:dyDescent="0.25">
      <c r="A3884" t="s">
        <v>3888</v>
      </c>
      <c r="B3884">
        <v>0.99299721793515405</v>
      </c>
      <c r="C3884">
        <v>1.2291345757218799</v>
      </c>
      <c r="D3884">
        <v>1.7897761733400099</v>
      </c>
      <c r="E3884">
        <v>1.1940797112321799</v>
      </c>
      <c r="F3884">
        <v>0.847049122401622</v>
      </c>
      <c r="G3884">
        <v>0.623873343634885</v>
      </c>
      <c r="H3884">
        <v>0.498379416178864</v>
      </c>
      <c r="I3884">
        <v>0.46864660183301099</v>
      </c>
      <c r="J3884">
        <v>0.35260054929157603</v>
      </c>
      <c r="K3884">
        <v>0.225865609205948</v>
      </c>
      <c r="L3884">
        <v>1263.75125714607</v>
      </c>
      <c r="M3884">
        <v>23.455362527433799</v>
      </c>
      <c r="N3884">
        <v>56.468713591595801</v>
      </c>
      <c r="O3884">
        <v>53.4919348440352</v>
      </c>
      <c r="P3884">
        <v>-7.3505576160293504E-2</v>
      </c>
      <c r="Q3884">
        <v>0.32946891958651098</v>
      </c>
      <c r="R3884">
        <v>0.64450052838317995</v>
      </c>
      <c r="S3884" t="s">
        <v>9435</v>
      </c>
      <c r="T3884" t="s">
        <v>11100</v>
      </c>
      <c r="U3884" t="s">
        <v>11100</v>
      </c>
      <c r="V3884" t="s">
        <v>11100</v>
      </c>
      <c r="W3884" t="s">
        <v>14934</v>
      </c>
      <c r="X3884">
        <v>6</v>
      </c>
      <c r="Y3884" t="s">
        <v>20369</v>
      </c>
      <c r="Z3884" t="s">
        <v>25889</v>
      </c>
      <c r="AA3884">
        <v>0.7132242543316768</v>
      </c>
      <c r="AB3884" t="str">
        <f>HYPERLINK("Melting_Curves/meltCurve_Q8N954_GPATCH11.pdf", "Melting_Curves/meltCurve_Q8N954_GPATCH11.pdf")</f>
        <v>Melting_Curves/meltCurve_Q8N954_GPATCH11.pdf</v>
      </c>
    </row>
    <row r="3885" spans="1:28" x14ac:dyDescent="0.25">
      <c r="A3885" t="s">
        <v>3889</v>
      </c>
      <c r="B3885">
        <v>0.99299721793515405</v>
      </c>
      <c r="C3885">
        <v>0.957976582142263</v>
      </c>
      <c r="D3885">
        <v>0.79112875540266803</v>
      </c>
      <c r="E3885">
        <v>0.81239098666327403</v>
      </c>
      <c r="F3885">
        <v>0.72546598629130998</v>
      </c>
      <c r="G3885">
        <v>0.56713358262824098</v>
      </c>
      <c r="H3885">
        <v>0.63035490820763296</v>
      </c>
      <c r="I3885">
        <v>0.68104270230189501</v>
      </c>
      <c r="J3885">
        <v>0.49793608890837299</v>
      </c>
      <c r="K3885">
        <v>0.32767832676478897</v>
      </c>
      <c r="L3885">
        <v>254.261865050983</v>
      </c>
      <c r="M3885">
        <v>4.0483021437690301</v>
      </c>
      <c r="N3885">
        <v>62.807037701445402</v>
      </c>
      <c r="O3885">
        <v>51.7570540874909</v>
      </c>
      <c r="P3885">
        <v>-1.97961791347834E-2</v>
      </c>
      <c r="Q3885">
        <v>0</v>
      </c>
      <c r="R3885">
        <v>0.85109387512183499</v>
      </c>
      <c r="S3885" t="s">
        <v>9436</v>
      </c>
      <c r="T3885" t="s">
        <v>11100</v>
      </c>
      <c r="U3885" t="s">
        <v>11100</v>
      </c>
      <c r="V3885" t="s">
        <v>11100</v>
      </c>
      <c r="W3885" t="s">
        <v>14935</v>
      </c>
      <c r="X3885">
        <v>3</v>
      </c>
      <c r="Y3885" t="s">
        <v>20370</v>
      </c>
      <c r="Z3885" t="s">
        <v>25890</v>
      </c>
      <c r="AA3885">
        <v>0.69719321193292727</v>
      </c>
      <c r="AB3885" t="str">
        <f>HYPERLINK("Melting_Curves/meltCurve_Q8N983_4_MRPL43.pdf", "Melting_Curves/meltCurve_Q8N983_4_MRPL43.pdf")</f>
        <v>Melting_Curves/meltCurve_Q8N983_4_MRPL43.pdf</v>
      </c>
    </row>
    <row r="3886" spans="1:28" x14ac:dyDescent="0.25">
      <c r="A3886" t="s">
        <v>3890</v>
      </c>
      <c r="B3886">
        <v>0.99299721793515405</v>
      </c>
      <c r="C3886">
        <v>1.0022186723400599</v>
      </c>
      <c r="D3886">
        <v>1.10014994014239</v>
      </c>
      <c r="E3886">
        <v>0.84678512632643499</v>
      </c>
      <c r="F3886">
        <v>0.81477690561055804</v>
      </c>
      <c r="G3886">
        <v>0.76133939724160204</v>
      </c>
      <c r="H3886">
        <v>0.57920384877803499</v>
      </c>
      <c r="I3886">
        <v>0.56135534528656805</v>
      </c>
      <c r="J3886">
        <v>0.48132425852319399</v>
      </c>
      <c r="K3886">
        <v>0.259494099238682</v>
      </c>
      <c r="L3886">
        <v>477.14679031672898</v>
      </c>
      <c r="M3886">
        <v>7.7950187553030297</v>
      </c>
      <c r="N3886">
        <v>61.211754139321698</v>
      </c>
      <c r="O3886">
        <v>57.5750285478141</v>
      </c>
      <c r="P3886">
        <v>-3.38893916500572E-2</v>
      </c>
      <c r="Q3886">
        <v>0</v>
      </c>
      <c r="R3886">
        <v>0.93488118240038598</v>
      </c>
      <c r="S3886" t="s">
        <v>9437</v>
      </c>
      <c r="T3886" t="s">
        <v>11100</v>
      </c>
      <c r="U3886" t="s">
        <v>11100</v>
      </c>
      <c r="V3886" t="s">
        <v>11100</v>
      </c>
      <c r="W3886" t="s">
        <v>14936</v>
      </c>
      <c r="X3886">
        <v>3</v>
      </c>
      <c r="Y3886" t="s">
        <v>20371</v>
      </c>
      <c r="Z3886" t="s">
        <v>25891</v>
      </c>
      <c r="AA3886">
        <v>0.74589994270367521</v>
      </c>
      <c r="AB3886" t="str">
        <f>HYPERLINK("Melting_Curves/meltCurve_Q8N999_C12orf29.pdf", "Melting_Curves/meltCurve_Q8N999_C12orf29.pdf")</f>
        <v>Melting_Curves/meltCurve_Q8N999_C12orf29.pdf</v>
      </c>
    </row>
    <row r="3887" spans="1:28" x14ac:dyDescent="0.25">
      <c r="A3887" t="s">
        <v>3891</v>
      </c>
      <c r="B3887">
        <v>0.99299721793515405</v>
      </c>
      <c r="C3887">
        <v>1.0389102590643799</v>
      </c>
      <c r="D3887">
        <v>0.89032312942963798</v>
      </c>
      <c r="E3887">
        <v>0.76147943554227104</v>
      </c>
      <c r="F3887">
        <v>0.44337849158347498</v>
      </c>
      <c r="G3887">
        <v>0.26987962468627402</v>
      </c>
      <c r="H3887">
        <v>0.128964261570718</v>
      </c>
      <c r="I3887">
        <v>0</v>
      </c>
      <c r="J3887">
        <v>6.3325360016045495E-2</v>
      </c>
      <c r="K3887">
        <v>0</v>
      </c>
      <c r="L3887">
        <v>773.490486513056</v>
      </c>
      <c r="M3887">
        <v>15.5265480784969</v>
      </c>
      <c r="N3887">
        <v>49.817293237588601</v>
      </c>
      <c r="O3887">
        <v>49.012850289112798</v>
      </c>
      <c r="P3887">
        <v>-7.9203301796140199E-2</v>
      </c>
      <c r="Q3887">
        <v>0</v>
      </c>
      <c r="R3887">
        <v>0.99319793942007195</v>
      </c>
      <c r="S3887" t="s">
        <v>9438</v>
      </c>
      <c r="T3887" t="s">
        <v>11100</v>
      </c>
      <c r="U3887" t="s">
        <v>11100</v>
      </c>
      <c r="V3887" t="s">
        <v>11100</v>
      </c>
      <c r="W3887" t="s">
        <v>14937</v>
      </c>
      <c r="X3887">
        <v>3</v>
      </c>
      <c r="Y3887" t="s">
        <v>20372</v>
      </c>
      <c r="Z3887" t="s">
        <v>25892</v>
      </c>
      <c r="AA3887">
        <v>0.44721420751749169</v>
      </c>
      <c r="AB3887" t="str">
        <f>HYPERLINK("Melting_Curves/meltCurve_Q8N9B5_2_JMY.pdf", "Melting_Curves/meltCurve_Q8N9B5_2_JMY.pdf")</f>
        <v>Melting_Curves/meltCurve_Q8N9B5_2_JMY.pdf</v>
      </c>
    </row>
    <row r="3888" spans="1:28" x14ac:dyDescent="0.25">
      <c r="A3888" t="s">
        <v>3892</v>
      </c>
      <c r="B3888">
        <v>0.99299721793515405</v>
      </c>
      <c r="C3888">
        <v>1.0199860555798199</v>
      </c>
      <c r="D3888">
        <v>0.96791779846787696</v>
      </c>
      <c r="E3888">
        <v>0.78699551108252097</v>
      </c>
      <c r="F3888">
        <v>0.716290993873268</v>
      </c>
      <c r="G3888">
        <v>0.55088761499644301</v>
      </c>
      <c r="H3888">
        <v>0.330850954564053</v>
      </c>
      <c r="I3888">
        <v>0.28685703286739</v>
      </c>
      <c r="J3888">
        <v>0.29384029073506301</v>
      </c>
      <c r="K3888">
        <v>0.36042087806124301</v>
      </c>
      <c r="L3888">
        <v>747.04234493750505</v>
      </c>
      <c r="M3888">
        <v>14.6465534181179</v>
      </c>
      <c r="N3888">
        <v>53.881831403495198</v>
      </c>
      <c r="O3888">
        <v>50.0821471709923</v>
      </c>
      <c r="P3888">
        <v>-5.3284780867517499E-2</v>
      </c>
      <c r="Q3888">
        <v>0.27127695106066801</v>
      </c>
      <c r="R3888">
        <v>0.97620115822460796</v>
      </c>
      <c r="S3888" t="s">
        <v>9439</v>
      </c>
      <c r="T3888" t="s">
        <v>11100</v>
      </c>
      <c r="U3888" t="s">
        <v>11100</v>
      </c>
      <c r="V3888" t="s">
        <v>11100</v>
      </c>
      <c r="W3888" t="s">
        <v>14938</v>
      </c>
      <c r="X3888">
        <v>7</v>
      </c>
      <c r="Y3888" t="s">
        <v>20373</v>
      </c>
      <c r="Z3888" t="s">
        <v>25893</v>
      </c>
      <c r="AA3888">
        <v>0.62658717355099547</v>
      </c>
      <c r="AB3888" t="str">
        <f>HYPERLINK("Melting_Curves/meltCurve_Q8N9D7_PTK2.pdf", "Melting_Curves/meltCurve_Q8N9D7_PTK2.pdf")</f>
        <v>Melting_Curves/meltCurve_Q8N9D7_PTK2.pdf</v>
      </c>
    </row>
    <row r="3889" spans="1:28" x14ac:dyDescent="0.25">
      <c r="A3889" t="s">
        <v>3893</v>
      </c>
      <c r="B3889">
        <v>0.99299721793515405</v>
      </c>
      <c r="C3889">
        <v>1.0792966111945801</v>
      </c>
      <c r="D3889">
        <v>0.92599583238692995</v>
      </c>
      <c r="E3889">
        <v>0.87839153071466303</v>
      </c>
      <c r="F3889">
        <v>0.73783058543740598</v>
      </c>
      <c r="G3889">
        <v>0.37859428157480102</v>
      </c>
      <c r="H3889">
        <v>0.242764729828229</v>
      </c>
      <c r="I3889">
        <v>0.16553897371967899</v>
      </c>
      <c r="J3889">
        <v>0.168648871126308</v>
      </c>
      <c r="K3889">
        <v>0.16007406019457501</v>
      </c>
      <c r="L3889">
        <v>1066.0533887405199</v>
      </c>
      <c r="M3889">
        <v>20.6410509971289</v>
      </c>
      <c r="N3889">
        <v>52.511201055730403</v>
      </c>
      <c r="O3889">
        <v>51.169782104525503</v>
      </c>
      <c r="P3889">
        <v>-8.6328999549234897E-2</v>
      </c>
      <c r="Q3889">
        <v>0.14397551347086901</v>
      </c>
      <c r="R3889">
        <v>0.98894302526267097</v>
      </c>
      <c r="S3889" t="s">
        <v>9440</v>
      </c>
      <c r="T3889" t="s">
        <v>11100</v>
      </c>
      <c r="U3889" t="s">
        <v>11100</v>
      </c>
      <c r="V3889" t="s">
        <v>11100</v>
      </c>
      <c r="W3889" t="s">
        <v>14939</v>
      </c>
      <c r="X3889">
        <v>7</v>
      </c>
      <c r="Y3889" t="s">
        <v>20374</v>
      </c>
      <c r="Z3889" t="s">
        <v>25894</v>
      </c>
      <c r="AA3889">
        <v>0.57248829855979644</v>
      </c>
      <c r="AB3889" t="str">
        <f>HYPERLINK("Melting_Curves/meltCurve_Q8N9F7_GDPD1.pdf", "Melting_Curves/meltCurve_Q8N9F7_GDPD1.pdf")</f>
        <v>Melting_Curves/meltCurve_Q8N9F7_GDPD1.pdf</v>
      </c>
    </row>
    <row r="3890" spans="1:28" x14ac:dyDescent="0.25">
      <c r="A3890" t="s">
        <v>3894</v>
      </c>
      <c r="B3890">
        <v>0.99299721793515405</v>
      </c>
      <c r="C3890">
        <v>0.97744873243161401</v>
      </c>
      <c r="D3890">
        <v>0.90502805446437695</v>
      </c>
      <c r="E3890">
        <v>0.83136997466264495</v>
      </c>
      <c r="F3890">
        <v>0.68313007263040604</v>
      </c>
      <c r="G3890">
        <v>0.50037582649734902</v>
      </c>
      <c r="H3890">
        <v>0.36835821315787798</v>
      </c>
      <c r="I3890">
        <v>0.18674867185966301</v>
      </c>
      <c r="J3890">
        <v>0.135448227824886</v>
      </c>
      <c r="K3890">
        <v>0.13721534749098699</v>
      </c>
      <c r="L3890">
        <v>561.67790824038605</v>
      </c>
      <c r="M3890">
        <v>10.4497394995816</v>
      </c>
      <c r="N3890">
        <v>53.750426328612498</v>
      </c>
      <c r="O3890">
        <v>51.893838130545397</v>
      </c>
      <c r="P3890">
        <v>-5.0362604540352698E-2</v>
      </c>
      <c r="Q3890">
        <v>0</v>
      </c>
      <c r="R3890">
        <v>0.99635791846966304</v>
      </c>
      <c r="S3890" t="s">
        <v>9441</v>
      </c>
      <c r="T3890" t="s">
        <v>11100</v>
      </c>
      <c r="U3890" t="s">
        <v>11100</v>
      </c>
      <c r="V3890" t="s">
        <v>11100</v>
      </c>
      <c r="W3890" t="s">
        <v>14940</v>
      </c>
      <c r="X3890">
        <v>10</v>
      </c>
      <c r="Y3890" t="s">
        <v>20375</v>
      </c>
      <c r="Z3890" t="s">
        <v>25895</v>
      </c>
      <c r="AA3890">
        <v>0.57732925650962597</v>
      </c>
      <c r="AB3890" t="str">
        <f>HYPERLINK("Melting_Curves/meltCurve_Q8N9N7_LRRC57.pdf", "Melting_Curves/meltCurve_Q8N9N7_LRRC57.pdf")</f>
        <v>Melting_Curves/meltCurve_Q8N9N7_LRRC57.pdf</v>
      </c>
    </row>
    <row r="3891" spans="1:28" x14ac:dyDescent="0.25">
      <c r="A3891" t="s">
        <v>3895</v>
      </c>
      <c r="B3891">
        <v>0.99299721793515405</v>
      </c>
      <c r="C3891">
        <v>0.76541152631411202</v>
      </c>
      <c r="D3891">
        <v>0.99520504006190103</v>
      </c>
      <c r="E3891">
        <v>0.75873512158324397</v>
      </c>
      <c r="F3891">
        <v>0.70308993934847397</v>
      </c>
      <c r="G3891">
        <v>0.50939787910772905</v>
      </c>
      <c r="H3891">
        <v>0.38390537231105498</v>
      </c>
      <c r="I3891">
        <v>0.39418021488771099</v>
      </c>
      <c r="J3891">
        <v>0.38261563235837298</v>
      </c>
      <c r="K3891">
        <v>0.33905273197076702</v>
      </c>
      <c r="L3891">
        <v>483.269755580994</v>
      </c>
      <c r="M3891">
        <v>9.5469193171895803</v>
      </c>
      <c r="N3891">
        <v>55.0273463956905</v>
      </c>
      <c r="O3891">
        <v>48.548854023211199</v>
      </c>
      <c r="P3891">
        <v>-3.6044824001313397E-2</v>
      </c>
      <c r="Q3891">
        <v>0.267231822217388</v>
      </c>
      <c r="R3891">
        <v>0.90705817251700405</v>
      </c>
      <c r="S3891" t="s">
        <v>9442</v>
      </c>
      <c r="T3891" t="s">
        <v>11100</v>
      </c>
      <c r="U3891" t="s">
        <v>11100</v>
      </c>
      <c r="V3891" t="s">
        <v>11100</v>
      </c>
      <c r="W3891" t="s">
        <v>14941</v>
      </c>
      <c r="X3891">
        <v>7</v>
      </c>
      <c r="Y3891" t="s">
        <v>20376</v>
      </c>
      <c r="Z3891" t="s">
        <v>25896</v>
      </c>
      <c r="AA3891">
        <v>0.62411727222133961</v>
      </c>
      <c r="AB3891" t="str">
        <f>HYPERLINK("Melting_Curves/meltCurve_Q8N9N8_EIF1AD.pdf", "Melting_Curves/meltCurve_Q8N9N8_EIF1AD.pdf")</f>
        <v>Melting_Curves/meltCurve_Q8N9N8_EIF1AD.pdf</v>
      </c>
    </row>
    <row r="3892" spans="1:28" x14ac:dyDescent="0.25">
      <c r="A3892" t="s">
        <v>3896</v>
      </c>
      <c r="B3892">
        <v>0.99299721793515405</v>
      </c>
      <c r="C3892">
        <v>0.89755746902959699</v>
      </c>
      <c r="D3892">
        <v>0.85050051494201695</v>
      </c>
      <c r="E3892">
        <v>0.82198575231565196</v>
      </c>
      <c r="F3892">
        <v>0.67827148397371995</v>
      </c>
      <c r="G3892">
        <v>0.43861386760346299</v>
      </c>
      <c r="H3892">
        <v>0.34081624760274998</v>
      </c>
      <c r="I3892">
        <v>0.38830282175935499</v>
      </c>
      <c r="J3892">
        <v>0.274667646278552</v>
      </c>
      <c r="K3892">
        <v>0.41303294678174202</v>
      </c>
      <c r="L3892">
        <v>622.49118375463797</v>
      </c>
      <c r="M3892">
        <v>12.5912051343327</v>
      </c>
      <c r="N3892">
        <v>53.326111570561203</v>
      </c>
      <c r="O3892">
        <v>48.241253352655598</v>
      </c>
      <c r="P3892">
        <v>-4.56638237254249E-2</v>
      </c>
      <c r="Q3892">
        <v>0.30032454524133401</v>
      </c>
      <c r="R3892">
        <v>0.94903063208277605</v>
      </c>
      <c r="S3892" t="s">
        <v>9443</v>
      </c>
      <c r="T3892" t="s">
        <v>11100</v>
      </c>
      <c r="U3892" t="s">
        <v>11100</v>
      </c>
      <c r="V3892" t="s">
        <v>11100</v>
      </c>
      <c r="W3892" t="s">
        <v>14942</v>
      </c>
      <c r="X3892">
        <v>1</v>
      </c>
      <c r="Y3892" t="s">
        <v>20377</v>
      </c>
      <c r="Z3892" t="s">
        <v>25897</v>
      </c>
      <c r="AA3892">
        <v>0.60948644963454657</v>
      </c>
      <c r="AB3892" t="str">
        <f>HYPERLINK("Melting_Curves/meltCurve_Q8N9U0_2_TC2N.pdf", "Melting_Curves/meltCurve_Q8N9U0_2_TC2N.pdf")</f>
        <v>Melting_Curves/meltCurve_Q8N9U0_2_TC2N.pdf</v>
      </c>
    </row>
    <row r="3893" spans="1:28" x14ac:dyDescent="0.25">
      <c r="A3893" t="s">
        <v>3897</v>
      </c>
      <c r="B3893">
        <v>0.99299721793515405</v>
      </c>
      <c r="C3893">
        <v>0.96769443795546095</v>
      </c>
      <c r="D3893">
        <v>0.73481528548783004</v>
      </c>
      <c r="E3893">
        <v>0.89127489989812203</v>
      </c>
      <c r="F3893">
        <v>0.72318654121827797</v>
      </c>
      <c r="G3893">
        <v>0.40087154922688101</v>
      </c>
      <c r="H3893">
        <v>0.329481864356575</v>
      </c>
      <c r="I3893">
        <v>0.30733146349021301</v>
      </c>
      <c r="J3893">
        <v>0.26673529814971197</v>
      </c>
      <c r="K3893">
        <v>0.157298800316023</v>
      </c>
      <c r="L3893">
        <v>487.98579512865098</v>
      </c>
      <c r="M3893">
        <v>9.2565194652278606</v>
      </c>
      <c r="N3893">
        <v>53.6045166366562</v>
      </c>
      <c r="O3893">
        <v>50.432813449345801</v>
      </c>
      <c r="P3893">
        <v>-4.2656886870444798E-2</v>
      </c>
      <c r="Q3893">
        <v>7.0966882739444903E-2</v>
      </c>
      <c r="R3893">
        <v>0.93622208697355502</v>
      </c>
      <c r="S3893" t="s">
        <v>9444</v>
      </c>
      <c r="T3893" t="s">
        <v>11100</v>
      </c>
      <c r="U3893" t="s">
        <v>11100</v>
      </c>
      <c r="V3893" t="s">
        <v>11100</v>
      </c>
      <c r="W3893" t="s">
        <v>14943</v>
      </c>
      <c r="X3893">
        <v>3</v>
      </c>
      <c r="Y3893" t="s">
        <v>20378</v>
      </c>
      <c r="Z3893" t="s">
        <v>25898</v>
      </c>
      <c r="AA3893">
        <v>0.57998061142626289</v>
      </c>
      <c r="AB3893" t="str">
        <f>HYPERLINK("Melting_Curves/meltCurve_Q8N9V3_2_WDSUB1.pdf", "Melting_Curves/meltCurve_Q8N9V3_2_WDSUB1.pdf")</f>
        <v>Melting_Curves/meltCurve_Q8N9V3_2_WDSUB1.pdf</v>
      </c>
    </row>
    <row r="3894" spans="1:28" x14ac:dyDescent="0.25">
      <c r="A3894" t="s">
        <v>3898</v>
      </c>
      <c r="B3894">
        <v>0.99299721793515405</v>
      </c>
      <c r="C3894">
        <v>0.712989803621916</v>
      </c>
      <c r="D3894">
        <v>1.26525211011448</v>
      </c>
      <c r="E3894">
        <v>0.87651779661268303</v>
      </c>
      <c r="F3894">
        <v>0.95068183377621596</v>
      </c>
      <c r="G3894">
        <v>0.84507791129044196</v>
      </c>
      <c r="H3894">
        <v>0.48543716202786702</v>
      </c>
      <c r="I3894">
        <v>0.57322221503085002</v>
      </c>
      <c r="J3894">
        <v>0.76436513385077298</v>
      </c>
      <c r="K3894">
        <v>0.59056356478863903</v>
      </c>
      <c r="L3894">
        <v>13473.9245767021</v>
      </c>
      <c r="M3894">
        <v>250</v>
      </c>
      <c r="O3894">
        <v>53.892248590595301</v>
      </c>
      <c r="P3894">
        <v>-0.45994900927098098</v>
      </c>
      <c r="Q3894">
        <v>0.60339701340551</v>
      </c>
      <c r="R3894">
        <v>0.56603879772695997</v>
      </c>
      <c r="S3894" t="s">
        <v>9445</v>
      </c>
      <c r="T3894" t="s">
        <v>11100</v>
      </c>
      <c r="U3894" t="s">
        <v>11100</v>
      </c>
      <c r="V3894" t="s">
        <v>11100</v>
      </c>
      <c r="W3894" t="s">
        <v>14944</v>
      </c>
      <c r="X3894">
        <v>9</v>
      </c>
      <c r="Y3894" t="s">
        <v>20379</v>
      </c>
      <c r="Z3894" t="s">
        <v>25899</v>
      </c>
      <c r="AA3894">
        <v>0.82679734017590034</v>
      </c>
      <c r="AB3894" t="str">
        <f>HYPERLINK("Melting_Curves/meltCurve_Q8NAF0_ZNF579.pdf", "Melting_Curves/meltCurve_Q8NAF0_ZNF579.pdf")</f>
        <v>Melting_Curves/meltCurve_Q8NAF0_ZNF579.pdf</v>
      </c>
    </row>
    <row r="3895" spans="1:28" x14ac:dyDescent="0.25">
      <c r="A3895" t="s">
        <v>3899</v>
      </c>
      <c r="B3895">
        <v>0.99299721793515405</v>
      </c>
      <c r="C3895">
        <v>1.01005863150272</v>
      </c>
      <c r="D3895">
        <v>0.953951932028409</v>
      </c>
      <c r="E3895">
        <v>0.85573737164642705</v>
      </c>
      <c r="F3895">
        <v>0.64396107137052006</v>
      </c>
      <c r="G3895">
        <v>0.50182686754478001</v>
      </c>
      <c r="H3895">
        <v>0.29313105007745799</v>
      </c>
      <c r="I3895">
        <v>0.27966058864580501</v>
      </c>
      <c r="J3895">
        <v>0.18808804862933101</v>
      </c>
      <c r="K3895">
        <v>0.11649368292883799</v>
      </c>
      <c r="L3895">
        <v>647.21239661909897</v>
      </c>
      <c r="M3895">
        <v>12.3127312074231</v>
      </c>
      <c r="N3895">
        <v>53.415832300864899</v>
      </c>
      <c r="O3895">
        <v>51.235646571312003</v>
      </c>
      <c r="P3895">
        <v>-5.4738254023841998E-2</v>
      </c>
      <c r="Q3895">
        <v>8.9093031727546804E-2</v>
      </c>
      <c r="R3895">
        <v>0.99362544498761796</v>
      </c>
      <c r="S3895" t="s">
        <v>9446</v>
      </c>
      <c r="T3895" t="s">
        <v>11100</v>
      </c>
      <c r="U3895" t="s">
        <v>11100</v>
      </c>
      <c r="V3895" t="s">
        <v>11100</v>
      </c>
      <c r="W3895" t="s">
        <v>14945</v>
      </c>
      <c r="X3895">
        <v>2</v>
      </c>
      <c r="Y3895" t="s">
        <v>20380</v>
      </c>
      <c r="Z3895" t="s">
        <v>25900</v>
      </c>
      <c r="AA3895">
        <v>0.58165210237988818</v>
      </c>
      <c r="AB3895" t="str">
        <f>HYPERLINK("Melting_Curves/meltCurve_Q8NAV1_PRPF38A.pdf", "Melting_Curves/meltCurve_Q8NAV1_PRPF38A.pdf")</f>
        <v>Melting_Curves/meltCurve_Q8NAV1_PRPF38A.pdf</v>
      </c>
    </row>
    <row r="3896" spans="1:28" x14ac:dyDescent="0.25">
      <c r="A3896" t="s">
        <v>3900</v>
      </c>
      <c r="B3896">
        <v>0.99299721793515405</v>
      </c>
      <c r="C3896">
        <v>0.75853984355360504</v>
      </c>
      <c r="D3896">
        <v>0.77266863876724501</v>
      </c>
      <c r="E3896">
        <v>0.78860214527497396</v>
      </c>
      <c r="F3896">
        <v>0.755216543338601</v>
      </c>
      <c r="G3896">
        <v>0.59834566532965205</v>
      </c>
      <c r="H3896">
        <v>0.336421508196318</v>
      </c>
      <c r="I3896">
        <v>0.34611601063049002</v>
      </c>
      <c r="J3896">
        <v>0.21688542913290801</v>
      </c>
      <c r="K3896">
        <v>0.106583507714706</v>
      </c>
      <c r="L3896">
        <v>396.35944386844398</v>
      </c>
      <c r="M3896">
        <v>7.3023625162955303</v>
      </c>
      <c r="N3896">
        <v>54.278241285510099</v>
      </c>
      <c r="O3896">
        <v>50.652155305143403</v>
      </c>
      <c r="P3896">
        <v>-3.60989130235898E-2</v>
      </c>
      <c r="Q3896">
        <v>0</v>
      </c>
      <c r="R3896">
        <v>0.90348087085905504</v>
      </c>
      <c r="S3896" t="s">
        <v>9447</v>
      </c>
      <c r="T3896" t="s">
        <v>11100</v>
      </c>
      <c r="U3896" t="s">
        <v>11100</v>
      </c>
      <c r="V3896" t="s">
        <v>11100</v>
      </c>
      <c r="W3896" t="s">
        <v>14946</v>
      </c>
      <c r="X3896">
        <v>1</v>
      </c>
      <c r="Y3896" t="s">
        <v>20381</v>
      </c>
      <c r="Z3896" t="s">
        <v>25901</v>
      </c>
      <c r="AA3896">
        <v>0.58608552649851231</v>
      </c>
      <c r="AB3896" t="str">
        <f>HYPERLINK("Melting_Curves/meltCurve_Q8NB15_2_ZNF511.pdf", "Melting_Curves/meltCurve_Q8NB15_2_ZNF511.pdf")</f>
        <v>Melting_Curves/meltCurve_Q8NB15_2_ZNF511.pdf</v>
      </c>
    </row>
    <row r="3897" spans="1:28" x14ac:dyDescent="0.25">
      <c r="A3897" t="s">
        <v>3901</v>
      </c>
      <c r="B3897">
        <v>0.99299721793515405</v>
      </c>
      <c r="C3897">
        <v>0.93874956290838396</v>
      </c>
      <c r="D3897">
        <v>0.94032723096573201</v>
      </c>
      <c r="E3897">
        <v>0.85750430794503596</v>
      </c>
      <c r="F3897">
        <v>0.68201325123067302</v>
      </c>
      <c r="G3897">
        <v>0.52114616016347104</v>
      </c>
      <c r="H3897">
        <v>0.51756371926712397</v>
      </c>
      <c r="I3897">
        <v>0.54143043374250999</v>
      </c>
      <c r="J3897">
        <v>0.42360585415465501</v>
      </c>
      <c r="K3897">
        <v>0.259723307434992</v>
      </c>
      <c r="L3897">
        <v>437.60265349212801</v>
      </c>
      <c r="M3897">
        <v>8.1961622373929206</v>
      </c>
      <c r="N3897">
        <v>57.686235390023299</v>
      </c>
      <c r="O3897">
        <v>50.495376320285303</v>
      </c>
      <c r="P3897">
        <v>-3.13432198593558E-2</v>
      </c>
      <c r="Q3897">
        <v>0.228392793563789</v>
      </c>
      <c r="R3897">
        <v>0.943970756366315</v>
      </c>
      <c r="S3897" t="s">
        <v>9448</v>
      </c>
      <c r="T3897" t="s">
        <v>11100</v>
      </c>
      <c r="U3897" t="s">
        <v>11100</v>
      </c>
      <c r="V3897" t="s">
        <v>11100</v>
      </c>
      <c r="W3897" t="s">
        <v>14947</v>
      </c>
      <c r="X3897">
        <v>5</v>
      </c>
      <c r="Y3897" t="s">
        <v>20382</v>
      </c>
      <c r="Z3897" t="s">
        <v>25902</v>
      </c>
      <c r="AA3897">
        <v>0.66492040955329113</v>
      </c>
      <c r="AB3897" t="str">
        <f>HYPERLINK("Melting_Curves/meltCurve_Q8NB37_PDDC1.pdf", "Melting_Curves/meltCurve_Q8NB37_PDDC1.pdf")</f>
        <v>Melting_Curves/meltCurve_Q8NB37_PDDC1.pdf</v>
      </c>
    </row>
    <row r="3898" spans="1:28" x14ac:dyDescent="0.25">
      <c r="A3898" t="s">
        <v>3902</v>
      </c>
      <c r="B3898">
        <v>0.99299721793515405</v>
      </c>
      <c r="C3898">
        <v>1.0070261292790901</v>
      </c>
      <c r="D3898">
        <v>0.98285976239355299</v>
      </c>
      <c r="E3898">
        <v>0.90246511860879797</v>
      </c>
      <c r="F3898">
        <v>0.81953843166721496</v>
      </c>
      <c r="G3898">
        <v>0.765592075942087</v>
      </c>
      <c r="H3898">
        <v>0.82039923171469697</v>
      </c>
      <c r="I3898">
        <v>0.58396711732779405</v>
      </c>
      <c r="J3898">
        <v>0.358489691336775</v>
      </c>
      <c r="K3898">
        <v>0.296206402781929</v>
      </c>
      <c r="L3898">
        <v>597.42033475315395</v>
      </c>
      <c r="M3898">
        <v>9.6300147106322793</v>
      </c>
      <c r="N3898">
        <v>62.037310989013598</v>
      </c>
      <c r="O3898">
        <v>59.539224916320798</v>
      </c>
      <c r="P3898">
        <v>-4.0458310383827398E-2</v>
      </c>
      <c r="Q3898">
        <v>0</v>
      </c>
      <c r="R3898">
        <v>0.93528682810113495</v>
      </c>
      <c r="S3898" t="s">
        <v>9449</v>
      </c>
      <c r="T3898" t="s">
        <v>11100</v>
      </c>
      <c r="U3898" t="s">
        <v>11100</v>
      </c>
      <c r="V3898" t="s">
        <v>11100</v>
      </c>
      <c r="W3898" t="s">
        <v>14948</v>
      </c>
      <c r="X3898">
        <v>10</v>
      </c>
      <c r="Y3898" t="s">
        <v>20383</v>
      </c>
      <c r="Z3898" t="s">
        <v>25903</v>
      </c>
      <c r="AA3898">
        <v>0.78152917615866702</v>
      </c>
      <c r="AB3898" t="str">
        <f>HYPERLINK("Melting_Curves/meltCurve_Q8NB49_ATP11C.pdf", "Melting_Curves/meltCurve_Q8NB49_ATP11C.pdf")</f>
        <v>Melting_Curves/meltCurve_Q8NB49_ATP11C.pdf</v>
      </c>
    </row>
    <row r="3899" spans="1:28" x14ac:dyDescent="0.25">
      <c r="A3899" t="s">
        <v>3903</v>
      </c>
      <c r="B3899">
        <v>0.99299721793515405</v>
      </c>
      <c r="C3899">
        <v>0.78093468077862505</v>
      </c>
      <c r="D3899">
        <v>0.73877218668830102</v>
      </c>
      <c r="E3899">
        <v>0.76054649066010205</v>
      </c>
      <c r="F3899">
        <v>0.67121348169989203</v>
      </c>
      <c r="G3899">
        <v>0.28700850097502001</v>
      </c>
      <c r="H3899">
        <v>0.193876205147997</v>
      </c>
      <c r="I3899">
        <v>0.17830185915968899</v>
      </c>
      <c r="J3899">
        <v>0.161211623581587</v>
      </c>
      <c r="K3899">
        <v>0.106786382738248</v>
      </c>
      <c r="L3899">
        <v>436.59534675445298</v>
      </c>
      <c r="M3899">
        <v>8.6204497169512901</v>
      </c>
      <c r="N3899">
        <v>50.6464692511409</v>
      </c>
      <c r="O3899">
        <v>48.142119751208597</v>
      </c>
      <c r="P3899">
        <v>-4.4803887243308603E-2</v>
      </c>
      <c r="Q3899">
        <v>0</v>
      </c>
      <c r="R3899">
        <v>0.93064249539979704</v>
      </c>
      <c r="S3899" t="s">
        <v>9450</v>
      </c>
      <c r="T3899" t="s">
        <v>11100</v>
      </c>
      <c r="U3899" t="s">
        <v>11100</v>
      </c>
      <c r="V3899" t="s">
        <v>11100</v>
      </c>
      <c r="W3899" t="s">
        <v>14949</v>
      </c>
      <c r="X3899">
        <v>2</v>
      </c>
      <c r="Y3899" t="s">
        <v>20384</v>
      </c>
      <c r="Z3899" t="s">
        <v>25904</v>
      </c>
      <c r="AA3899">
        <v>0.49022913023652959</v>
      </c>
      <c r="AB3899" t="str">
        <f>HYPERLINK("Melting_Curves/meltCurve_Q8NBA8_DTWD2.pdf", "Melting_Curves/meltCurve_Q8NBA8_DTWD2.pdf")</f>
        <v>Melting_Curves/meltCurve_Q8NBA8_DTWD2.pdf</v>
      </c>
    </row>
    <row r="3900" spans="1:28" x14ac:dyDescent="0.25">
      <c r="A3900" t="s">
        <v>3904</v>
      </c>
      <c r="B3900">
        <v>0.99299721793515405</v>
      </c>
      <c r="C3900">
        <v>0.99375360652549805</v>
      </c>
      <c r="D3900">
        <v>0.935637970603585</v>
      </c>
      <c r="E3900">
        <v>0.87332411261990395</v>
      </c>
      <c r="F3900">
        <v>0.76129196462152005</v>
      </c>
      <c r="G3900">
        <v>0.50425710335309704</v>
      </c>
      <c r="H3900">
        <v>0.26438055445241299</v>
      </c>
      <c r="I3900">
        <v>0.17945752542527199</v>
      </c>
      <c r="J3900">
        <v>0.14957455214985099</v>
      </c>
      <c r="K3900">
        <v>0.116695704346476</v>
      </c>
      <c r="L3900">
        <v>820.43610516799504</v>
      </c>
      <c r="M3900">
        <v>15.449116453253399</v>
      </c>
      <c r="N3900">
        <v>53.669853236801998</v>
      </c>
      <c r="O3900">
        <v>52.239774699403299</v>
      </c>
      <c r="P3900">
        <v>-6.8398708528782895E-2</v>
      </c>
      <c r="Q3900">
        <v>7.4947311539582603E-2</v>
      </c>
      <c r="R3900">
        <v>0.99605172059518499</v>
      </c>
      <c r="S3900" t="s">
        <v>9451</v>
      </c>
      <c r="T3900" t="s">
        <v>11100</v>
      </c>
      <c r="U3900" t="s">
        <v>11100</v>
      </c>
      <c r="V3900" t="s">
        <v>11100</v>
      </c>
      <c r="W3900" t="s">
        <v>14950</v>
      </c>
      <c r="X3900">
        <v>17</v>
      </c>
      <c r="Y3900" t="s">
        <v>20385</v>
      </c>
      <c r="Z3900" t="s">
        <v>25905</v>
      </c>
      <c r="AA3900">
        <v>0.58747428417052705</v>
      </c>
      <c r="AB3900" t="str">
        <f>HYPERLINK("Melting_Curves/meltCurve_Q8NBF2_NHLRC2.pdf", "Melting_Curves/meltCurve_Q8NBF2_NHLRC2.pdf")</f>
        <v>Melting_Curves/meltCurve_Q8NBF2_NHLRC2.pdf</v>
      </c>
    </row>
    <row r="3901" spans="1:28" x14ac:dyDescent="0.25">
      <c r="A3901" t="s">
        <v>3905</v>
      </c>
      <c r="B3901">
        <v>0.99299721793515405</v>
      </c>
      <c r="C3901">
        <v>1.0459486286825601</v>
      </c>
      <c r="D3901">
        <v>1.08543079072149</v>
      </c>
      <c r="E3901">
        <v>1.0887915716632901</v>
      </c>
      <c r="F3901">
        <v>0.73706748680282996</v>
      </c>
      <c r="G3901">
        <v>0.60205737588400798</v>
      </c>
      <c r="H3901">
        <v>0.66468215680314802</v>
      </c>
      <c r="I3901">
        <v>0.249395144089057</v>
      </c>
      <c r="J3901">
        <v>0.16843008952500399</v>
      </c>
      <c r="K3901">
        <v>0.22961496953934199</v>
      </c>
      <c r="L3901">
        <v>746.34164206424805</v>
      </c>
      <c r="M3901">
        <v>13.2078067602092</v>
      </c>
      <c r="N3901">
        <v>57.176195862091802</v>
      </c>
      <c r="O3901">
        <v>55.259345138307403</v>
      </c>
      <c r="P3901">
        <v>-5.54873150211816E-2</v>
      </c>
      <c r="Q3901">
        <v>7.1554097576383202E-2</v>
      </c>
      <c r="R3901">
        <v>0.92108905714647704</v>
      </c>
      <c r="S3901" t="s">
        <v>9452</v>
      </c>
      <c r="T3901" t="s">
        <v>11100</v>
      </c>
      <c r="U3901" t="s">
        <v>11100</v>
      </c>
      <c r="V3901" t="s">
        <v>11100</v>
      </c>
      <c r="W3901" t="s">
        <v>14951</v>
      </c>
      <c r="X3901">
        <v>6</v>
      </c>
      <c r="Y3901" t="s">
        <v>20386</v>
      </c>
      <c r="Z3901" t="s">
        <v>25906</v>
      </c>
      <c r="AA3901">
        <v>0.68343302474507472</v>
      </c>
      <c r="AB3901" t="str">
        <f>HYPERLINK("Melting_Curves/meltCurve_Q8NBF6_AVL9.pdf", "Melting_Curves/meltCurve_Q8NBF6_AVL9.pdf")</f>
        <v>Melting_Curves/meltCurve_Q8NBF6_AVL9.pdf</v>
      </c>
    </row>
    <row r="3902" spans="1:28" x14ac:dyDescent="0.25">
      <c r="A3902" t="s">
        <v>3906</v>
      </c>
      <c r="B3902">
        <v>0.99299721793515405</v>
      </c>
      <c r="C3902">
        <v>0.90641370101512397</v>
      </c>
      <c r="D3902">
        <v>0.85089211690535205</v>
      </c>
      <c r="E3902">
        <v>0.76306191068349005</v>
      </c>
      <c r="F3902">
        <v>0.74664116375596601</v>
      </c>
      <c r="G3902">
        <v>0.57991355936573796</v>
      </c>
      <c r="H3902">
        <v>0.47480604086157902</v>
      </c>
      <c r="I3902">
        <v>0.365578014631882</v>
      </c>
      <c r="J3902">
        <v>0.23987123104229799</v>
      </c>
      <c r="K3902">
        <v>0.178673732040982</v>
      </c>
      <c r="L3902">
        <v>407.81265900585799</v>
      </c>
      <c r="M3902">
        <v>7.3244177966685697</v>
      </c>
      <c r="N3902">
        <v>55.678509821658501</v>
      </c>
      <c r="O3902">
        <v>51.978859451527299</v>
      </c>
      <c r="P3902">
        <v>-3.5283166140507999E-2</v>
      </c>
      <c r="Q3902">
        <v>0</v>
      </c>
      <c r="R3902">
        <v>0.98072505251815101</v>
      </c>
      <c r="S3902" t="s">
        <v>9453</v>
      </c>
      <c r="T3902" t="s">
        <v>11100</v>
      </c>
      <c r="U3902" t="s">
        <v>11100</v>
      </c>
      <c r="V3902" t="s">
        <v>11100</v>
      </c>
      <c r="W3902" t="s">
        <v>14952</v>
      </c>
      <c r="X3902">
        <v>2</v>
      </c>
      <c r="Y3902" t="s">
        <v>20387</v>
      </c>
      <c r="Z3902" t="s">
        <v>25907</v>
      </c>
      <c r="AA3902">
        <v>0.62002388744776427</v>
      </c>
      <c r="AB3902" t="str">
        <f>HYPERLINK("Melting_Curves/meltCurve_Q8NBI6_XXYLT1.pdf", "Melting_Curves/meltCurve_Q8NBI6_XXYLT1.pdf")</f>
        <v>Melting_Curves/meltCurve_Q8NBI6_XXYLT1.pdf</v>
      </c>
    </row>
    <row r="3903" spans="1:28" x14ac:dyDescent="0.25">
      <c r="A3903" t="s">
        <v>3907</v>
      </c>
      <c r="B3903">
        <v>0.99299721793515405</v>
      </c>
      <c r="C3903">
        <v>0.92593452697950696</v>
      </c>
      <c r="D3903">
        <v>1.00813493870618</v>
      </c>
      <c r="E3903">
        <v>0.89217143455098302</v>
      </c>
      <c r="F3903">
        <v>0.80047783399984795</v>
      </c>
      <c r="G3903">
        <v>0.53410549948617503</v>
      </c>
      <c r="H3903">
        <v>0.57415193658661701</v>
      </c>
      <c r="I3903">
        <v>0.72995019324482302</v>
      </c>
      <c r="J3903">
        <v>0.89359164166883498</v>
      </c>
      <c r="K3903">
        <v>1.26264288256979</v>
      </c>
      <c r="L3903">
        <v>11643.114921374299</v>
      </c>
      <c r="M3903">
        <v>250</v>
      </c>
      <c r="O3903">
        <v>46.569479369146599</v>
      </c>
      <c r="P3903">
        <v>-0.269552441102896</v>
      </c>
      <c r="Q3903">
        <v>0.799153330770357</v>
      </c>
      <c r="R3903">
        <v>0.14787590875248</v>
      </c>
      <c r="S3903" t="s">
        <v>9454</v>
      </c>
      <c r="T3903" t="s">
        <v>11100</v>
      </c>
      <c r="U3903" t="s">
        <v>11100</v>
      </c>
      <c r="V3903" t="s">
        <v>11100</v>
      </c>
      <c r="W3903" t="s">
        <v>14953</v>
      </c>
      <c r="X3903">
        <v>16</v>
      </c>
      <c r="Y3903" t="s">
        <v>20388</v>
      </c>
      <c r="Z3903" t="s">
        <v>25908</v>
      </c>
      <c r="AA3903">
        <v>0.86325630156592481</v>
      </c>
      <c r="AB3903" t="str">
        <f>HYPERLINK("Melting_Curves/meltCurve_Q8NBJ4_2_GOLM1.pdf", "Melting_Curves/meltCurve_Q8NBJ4_2_GOLM1.pdf")</f>
        <v>Melting_Curves/meltCurve_Q8NBJ4_2_GOLM1.pdf</v>
      </c>
    </row>
    <row r="3904" spans="1:28" x14ac:dyDescent="0.25">
      <c r="A3904" t="s">
        <v>3908</v>
      </c>
      <c r="B3904">
        <v>0.99299721793515405</v>
      </c>
      <c r="C3904">
        <v>0.922637584770712</v>
      </c>
      <c r="D3904">
        <v>1.0010888356711301</v>
      </c>
      <c r="E3904">
        <v>0.81302030858399099</v>
      </c>
      <c r="F3904">
        <v>0.72230716541120099</v>
      </c>
      <c r="G3904">
        <v>0.45711792207030399</v>
      </c>
      <c r="H3904">
        <v>0.426440367123886</v>
      </c>
      <c r="I3904">
        <v>0.34103466091739398</v>
      </c>
      <c r="J3904">
        <v>0.29496280109101303</v>
      </c>
      <c r="K3904">
        <v>0.28802298113575098</v>
      </c>
      <c r="L3904">
        <v>710.32164490011996</v>
      </c>
      <c r="M3904">
        <v>13.894656408082</v>
      </c>
      <c r="N3904">
        <v>54.0321037079296</v>
      </c>
      <c r="O3904">
        <v>50.097933288475097</v>
      </c>
      <c r="P3904">
        <v>-5.1078813955321697E-2</v>
      </c>
      <c r="Q3904">
        <v>0.26343084320757498</v>
      </c>
      <c r="R3904">
        <v>0.982676026472452</v>
      </c>
      <c r="S3904" t="s">
        <v>9455</v>
      </c>
      <c r="T3904" t="s">
        <v>11100</v>
      </c>
      <c r="U3904" t="s">
        <v>11100</v>
      </c>
      <c r="V3904" t="s">
        <v>11100</v>
      </c>
      <c r="W3904" t="s">
        <v>14954</v>
      </c>
      <c r="X3904">
        <v>11</v>
      </c>
      <c r="Y3904" t="s">
        <v>20389</v>
      </c>
      <c r="Z3904" t="s">
        <v>25909</v>
      </c>
      <c r="AA3904">
        <v>0.62637057694214704</v>
      </c>
      <c r="AB3904" t="str">
        <f>HYPERLINK("Melting_Curves/meltCurve_Q8NBJ5_COLGALT1.pdf", "Melting_Curves/meltCurve_Q8NBJ5_COLGALT1.pdf")</f>
        <v>Melting_Curves/meltCurve_Q8NBJ5_COLGALT1.pdf</v>
      </c>
    </row>
    <row r="3905" spans="1:28" x14ac:dyDescent="0.25">
      <c r="A3905" t="s">
        <v>3909</v>
      </c>
      <c r="B3905">
        <v>0.99299721793515405</v>
      </c>
      <c r="C3905">
        <v>0.87994915511786997</v>
      </c>
      <c r="D3905">
        <v>0.78894456797451096</v>
      </c>
      <c r="E3905">
        <v>0.75975184768428405</v>
      </c>
      <c r="F3905">
        <v>0.67766004904314603</v>
      </c>
      <c r="G3905">
        <v>0.46774059284087399</v>
      </c>
      <c r="H3905">
        <v>0.54565669556102603</v>
      </c>
      <c r="I3905">
        <v>0.40498477543422401</v>
      </c>
      <c r="J3905">
        <v>0.32942815935886</v>
      </c>
      <c r="K3905">
        <v>0.18611510022145</v>
      </c>
      <c r="L3905">
        <v>318.14042327662202</v>
      </c>
      <c r="M3905">
        <v>5.7342453593319602</v>
      </c>
      <c r="N3905">
        <v>55.480776016791097</v>
      </c>
      <c r="O3905">
        <v>49.8438331940974</v>
      </c>
      <c r="P3905">
        <v>-2.8870458864816099E-2</v>
      </c>
      <c r="Q3905">
        <v>0</v>
      </c>
      <c r="R3905">
        <v>0.95070344728908496</v>
      </c>
      <c r="S3905" t="s">
        <v>9456</v>
      </c>
      <c r="T3905" t="s">
        <v>11100</v>
      </c>
      <c r="U3905" t="s">
        <v>11100</v>
      </c>
      <c r="V3905" t="s">
        <v>11100</v>
      </c>
      <c r="W3905" t="s">
        <v>14955</v>
      </c>
      <c r="X3905">
        <v>2</v>
      </c>
      <c r="Y3905" t="s">
        <v>20390</v>
      </c>
      <c r="Z3905" t="s">
        <v>25910</v>
      </c>
      <c r="AA3905">
        <v>0.60349459984390819</v>
      </c>
      <c r="AB3905" t="str">
        <f>HYPERLINK("Melting_Curves/meltCurve_Q8NBK3_4_SUMF1.pdf", "Melting_Curves/meltCurve_Q8NBK3_4_SUMF1.pdf")</f>
        <v>Melting_Curves/meltCurve_Q8NBK3_4_SUMF1.pdf</v>
      </c>
    </row>
    <row r="3906" spans="1:28" x14ac:dyDescent="0.25">
      <c r="A3906" t="s">
        <v>3910</v>
      </c>
      <c r="B3906">
        <v>0.99299721793515405</v>
      </c>
      <c r="C3906">
        <v>0.95653974776010198</v>
      </c>
      <c r="D3906">
        <v>0.89696702696610797</v>
      </c>
      <c r="E3906">
        <v>0.88408782953300602</v>
      </c>
      <c r="F3906">
        <v>0.73144176967352004</v>
      </c>
      <c r="G3906">
        <v>0.49331976043050402</v>
      </c>
      <c r="H3906">
        <v>0.36452916845724798</v>
      </c>
      <c r="I3906">
        <v>0.29133142596372902</v>
      </c>
      <c r="J3906">
        <v>0.30090697330937499</v>
      </c>
      <c r="K3906">
        <v>0.31070223330533903</v>
      </c>
      <c r="L3906">
        <v>815.85439132536305</v>
      </c>
      <c r="M3906">
        <v>15.887960286203599</v>
      </c>
      <c r="N3906">
        <v>53.896658511956502</v>
      </c>
      <c r="O3906">
        <v>50.557629926407401</v>
      </c>
      <c r="P3906">
        <v>-5.7831181567638203E-2</v>
      </c>
      <c r="Q3906">
        <v>0.26395290410761102</v>
      </c>
      <c r="R3906">
        <v>0.98808711207951705</v>
      </c>
      <c r="S3906" t="s">
        <v>9457</v>
      </c>
      <c r="T3906" t="s">
        <v>11100</v>
      </c>
      <c r="U3906" t="s">
        <v>11100</v>
      </c>
      <c r="V3906" t="s">
        <v>11100</v>
      </c>
      <c r="W3906" t="s">
        <v>14956</v>
      </c>
      <c r="X3906">
        <v>4</v>
      </c>
      <c r="Y3906" t="s">
        <v>20391</v>
      </c>
      <c r="Z3906" t="s">
        <v>25911</v>
      </c>
      <c r="AA3906">
        <v>0.62957358197215074</v>
      </c>
      <c r="AB3906" t="str">
        <f>HYPERLINK("Melting_Curves/meltCurve_Q8NBL1_POGLUT1.pdf", "Melting_Curves/meltCurve_Q8NBL1_POGLUT1.pdf")</f>
        <v>Melting_Curves/meltCurve_Q8NBL1_POGLUT1.pdf</v>
      </c>
    </row>
    <row r="3907" spans="1:28" x14ac:dyDescent="0.25">
      <c r="A3907" t="s">
        <v>3911</v>
      </c>
      <c r="B3907">
        <v>0.99299721793515405</v>
      </c>
      <c r="C3907">
        <v>0.76145156526661195</v>
      </c>
      <c r="D3907">
        <v>0.68457400346227404</v>
      </c>
      <c r="E3907">
        <v>0.68071561784253698</v>
      </c>
      <c r="F3907">
        <v>0.60067381752432003</v>
      </c>
      <c r="G3907">
        <v>0.16011631544021501</v>
      </c>
      <c r="H3907">
        <v>0.184980028194137</v>
      </c>
      <c r="I3907">
        <v>0.143973290005312</v>
      </c>
      <c r="J3907">
        <v>0.142686926349407</v>
      </c>
      <c r="K3907">
        <v>0.100790079549745</v>
      </c>
      <c r="L3907">
        <v>409.90881653860299</v>
      </c>
      <c r="M3907">
        <v>8.4026840252273303</v>
      </c>
      <c r="N3907">
        <v>48.783072957141897</v>
      </c>
      <c r="O3907">
        <v>46.254884951437603</v>
      </c>
      <c r="P3907">
        <v>-4.5457851312225198E-2</v>
      </c>
      <c r="Q3907">
        <v>0</v>
      </c>
      <c r="R3907">
        <v>0.92142313687656596</v>
      </c>
      <c r="S3907" t="s">
        <v>9458</v>
      </c>
      <c r="T3907" t="s">
        <v>11100</v>
      </c>
      <c r="U3907" t="s">
        <v>11100</v>
      </c>
      <c r="V3907" t="s">
        <v>11100</v>
      </c>
      <c r="W3907" t="s">
        <v>14957</v>
      </c>
      <c r="X3907">
        <v>2</v>
      </c>
      <c r="Y3907" t="s">
        <v>20392</v>
      </c>
      <c r="Z3907" t="s">
        <v>25912</v>
      </c>
      <c r="AA3907">
        <v>0.43821844392232412</v>
      </c>
      <c r="AB3907" t="str">
        <f>HYPERLINK("Melting_Curves/meltCurve_Q8NBM4_2_UBAC2.pdf", "Melting_Curves/meltCurve_Q8NBM4_2_UBAC2.pdf")</f>
        <v>Melting_Curves/meltCurve_Q8NBM4_2_UBAC2.pdf</v>
      </c>
    </row>
    <row r="3908" spans="1:28" x14ac:dyDescent="0.25">
      <c r="A3908" t="s">
        <v>3912</v>
      </c>
      <c r="B3908">
        <v>0.99299721793515405</v>
      </c>
      <c r="C3908">
        <v>1.07775267915898</v>
      </c>
      <c r="D3908">
        <v>0.96815698247694604</v>
      </c>
      <c r="E3908">
        <v>0.90669595598213404</v>
      </c>
      <c r="F3908">
        <v>0.72617385104602405</v>
      </c>
      <c r="G3908">
        <v>0.49602870013334099</v>
      </c>
      <c r="H3908">
        <v>0.47251599518370102</v>
      </c>
      <c r="I3908">
        <v>0.47170390707752802</v>
      </c>
      <c r="J3908">
        <v>0.33258796633948101</v>
      </c>
      <c r="K3908">
        <v>0.207220116574036</v>
      </c>
      <c r="L3908">
        <v>667.31470574520699</v>
      </c>
      <c r="M3908">
        <v>12.6859730271534</v>
      </c>
      <c r="N3908">
        <v>55.664664995817397</v>
      </c>
      <c r="O3908">
        <v>51.346832565664101</v>
      </c>
      <c r="P3908">
        <v>-4.6261093395129398E-2</v>
      </c>
      <c r="Q3908">
        <v>0.25117319428826401</v>
      </c>
      <c r="R3908">
        <v>0.95764722996009199</v>
      </c>
      <c r="S3908" t="s">
        <v>9459</v>
      </c>
      <c r="T3908" t="s">
        <v>11100</v>
      </c>
      <c r="U3908" t="s">
        <v>11100</v>
      </c>
      <c r="V3908" t="s">
        <v>11100</v>
      </c>
      <c r="W3908" t="s">
        <v>14958</v>
      </c>
      <c r="X3908">
        <v>3</v>
      </c>
      <c r="Y3908" t="s">
        <v>20393</v>
      </c>
      <c r="Z3908" t="s">
        <v>25913</v>
      </c>
      <c r="AA3908">
        <v>0.65662516952905559</v>
      </c>
      <c r="AB3908" t="str">
        <f>HYPERLINK("Melting_Curves/meltCurve_Q8NBM8_PCYOX1L.pdf", "Melting_Curves/meltCurve_Q8NBM8_PCYOX1L.pdf")</f>
        <v>Melting_Curves/meltCurve_Q8NBM8_PCYOX1L.pdf</v>
      </c>
    </row>
    <row r="3909" spans="1:28" x14ac:dyDescent="0.25">
      <c r="A3909" t="s">
        <v>3913</v>
      </c>
      <c r="B3909">
        <v>0.99299721793515405</v>
      </c>
      <c r="C3909">
        <v>1.03564790910656</v>
      </c>
      <c r="D3909">
        <v>0.98850812917839204</v>
      </c>
      <c r="E3909">
        <v>1.0225621032835099</v>
      </c>
      <c r="F3909">
        <v>0.86808285976314803</v>
      </c>
      <c r="G3909">
        <v>0.707847339659611</v>
      </c>
      <c r="H3909">
        <v>0.66990997468261304</v>
      </c>
      <c r="I3909">
        <v>0.67671347752962097</v>
      </c>
      <c r="J3909">
        <v>0.68296471209413701</v>
      </c>
      <c r="K3909">
        <v>0.45155623682147</v>
      </c>
      <c r="L3909">
        <v>896.86667799621398</v>
      </c>
      <c r="M3909">
        <v>16.967420282105799</v>
      </c>
      <c r="O3909">
        <v>52.140311339683201</v>
      </c>
      <c r="P3909">
        <v>-3.4824186094724298E-2</v>
      </c>
      <c r="Q3909">
        <v>0.57197240766035196</v>
      </c>
      <c r="R3909">
        <v>0.89537776942306702</v>
      </c>
      <c r="S3909" t="s">
        <v>9460</v>
      </c>
      <c r="T3909" t="s">
        <v>11100</v>
      </c>
      <c r="U3909" t="s">
        <v>11100</v>
      </c>
      <c r="V3909" t="s">
        <v>11100</v>
      </c>
      <c r="W3909" t="s">
        <v>14959</v>
      </c>
      <c r="X3909">
        <v>4</v>
      </c>
      <c r="Y3909" t="s">
        <v>20394</v>
      </c>
      <c r="Z3909" t="s">
        <v>25914</v>
      </c>
      <c r="AA3909">
        <v>0.80497713513834412</v>
      </c>
      <c r="AB3909" t="str">
        <f>HYPERLINK("Melting_Curves/meltCurve_Q8NBN3_TMEM87A.pdf", "Melting_Curves/meltCurve_Q8NBN3_TMEM87A.pdf")</f>
        <v>Melting_Curves/meltCurve_Q8NBN3_TMEM87A.pdf</v>
      </c>
    </row>
    <row r="3910" spans="1:28" x14ac:dyDescent="0.25">
      <c r="A3910" t="s">
        <v>3914</v>
      </c>
      <c r="B3910">
        <v>0.99299721793515405</v>
      </c>
      <c r="C3910">
        <v>1.03820208612266</v>
      </c>
      <c r="D3910">
        <v>1.00937585155445</v>
      </c>
      <c r="E3910">
        <v>1.0081511071802201</v>
      </c>
      <c r="F3910">
        <v>0.80533147191312104</v>
      </c>
      <c r="G3910">
        <v>0.37101362910761698</v>
      </c>
      <c r="H3910">
        <v>0.25354012139876198</v>
      </c>
      <c r="I3910">
        <v>0.22973918758460199</v>
      </c>
      <c r="J3910">
        <v>0.24000062645401499</v>
      </c>
      <c r="K3910">
        <v>0.17442480832599799</v>
      </c>
      <c r="L3910">
        <v>1884.00137341149</v>
      </c>
      <c r="M3910">
        <v>36.408937571754599</v>
      </c>
      <c r="N3910">
        <v>52.569928122362299</v>
      </c>
      <c r="O3910">
        <v>51.5902139094406</v>
      </c>
      <c r="P3910">
        <v>-0.13805938433800399</v>
      </c>
      <c r="Q3910">
        <v>0.217500740453451</v>
      </c>
      <c r="R3910">
        <v>0.99645600111880195</v>
      </c>
      <c r="S3910" t="s">
        <v>9461</v>
      </c>
      <c r="T3910" t="s">
        <v>11100</v>
      </c>
      <c r="U3910" t="s">
        <v>11100</v>
      </c>
      <c r="V3910" t="s">
        <v>11100</v>
      </c>
      <c r="W3910" t="s">
        <v>14960</v>
      </c>
      <c r="X3910">
        <v>11</v>
      </c>
      <c r="Y3910" t="s">
        <v>20395</v>
      </c>
      <c r="Z3910" t="s">
        <v>25915</v>
      </c>
      <c r="AA3910">
        <v>0.60548266921693739</v>
      </c>
      <c r="AB3910" t="str">
        <f>HYPERLINK("Melting_Curves/meltCurve_Q8NBN7_RDH13.pdf", "Melting_Curves/meltCurve_Q8NBN7_RDH13.pdf")</f>
        <v>Melting_Curves/meltCurve_Q8NBN7_RDH13.pdf</v>
      </c>
    </row>
    <row r="3911" spans="1:28" x14ac:dyDescent="0.25">
      <c r="A3911" t="s">
        <v>3915</v>
      </c>
      <c r="B3911">
        <v>0.99299721793515405</v>
      </c>
      <c r="C3911">
        <v>0.98685357155092202</v>
      </c>
      <c r="D3911">
        <v>0.97121971997501599</v>
      </c>
      <c r="E3911">
        <v>0.84023608005963202</v>
      </c>
      <c r="F3911">
        <v>0.66869331427796397</v>
      </c>
      <c r="G3911">
        <v>0.31752997524114002</v>
      </c>
      <c r="H3911">
        <v>0.22923953794186799</v>
      </c>
      <c r="I3911">
        <v>0.207542416789325</v>
      </c>
      <c r="J3911">
        <v>0.179405153054504</v>
      </c>
      <c r="K3911">
        <v>0.113956338436404</v>
      </c>
      <c r="L3911">
        <v>976.46545906297297</v>
      </c>
      <c r="M3911">
        <v>19.210435526603899</v>
      </c>
      <c r="N3911">
        <v>51.728424159912301</v>
      </c>
      <c r="O3911">
        <v>50.288757921873703</v>
      </c>
      <c r="P3911">
        <v>-8.1956628447903204E-2</v>
      </c>
      <c r="Q3911">
        <v>0.141853968885469</v>
      </c>
      <c r="R3911">
        <v>0.99355819593469996</v>
      </c>
      <c r="S3911" t="s">
        <v>9462</v>
      </c>
      <c r="T3911" t="s">
        <v>11100</v>
      </c>
      <c r="U3911" t="s">
        <v>11100</v>
      </c>
      <c r="V3911" t="s">
        <v>11100</v>
      </c>
      <c r="W3911" t="s">
        <v>14961</v>
      </c>
      <c r="X3911">
        <v>8</v>
      </c>
      <c r="Y3911" t="s">
        <v>20396</v>
      </c>
      <c r="Z3911" t="s">
        <v>25916</v>
      </c>
      <c r="AA3911">
        <v>0.54948790448830098</v>
      </c>
      <c r="AB3911" t="str">
        <f>HYPERLINK("Melting_Curves/meltCurve_Q8NBU5_ATAD1.pdf", "Melting_Curves/meltCurve_Q8NBU5_ATAD1.pdf")</f>
        <v>Melting_Curves/meltCurve_Q8NBU5_ATAD1.pdf</v>
      </c>
    </row>
    <row r="3912" spans="1:28" x14ac:dyDescent="0.25">
      <c r="A3912" t="s">
        <v>3916</v>
      </c>
      <c r="B3912">
        <v>0.99299721793515405</v>
      </c>
      <c r="C3912">
        <v>1.0515856416533</v>
      </c>
      <c r="D3912">
        <v>0.96793667766663205</v>
      </c>
      <c r="E3912">
        <v>0.88955083437585503</v>
      </c>
      <c r="F3912">
        <v>0.72084185857947702</v>
      </c>
      <c r="G3912">
        <v>0.59262434744130499</v>
      </c>
      <c r="H3912">
        <v>0.30056815478219501</v>
      </c>
      <c r="I3912">
        <v>0.198970482542393</v>
      </c>
      <c r="J3912">
        <v>0.16283769721401001</v>
      </c>
      <c r="K3912">
        <v>0.141316134739601</v>
      </c>
      <c r="L3912">
        <v>764.31675094831201</v>
      </c>
      <c r="M3912">
        <v>14.2344006497802</v>
      </c>
      <c r="N3912">
        <v>54.306797927676001</v>
      </c>
      <c r="O3912">
        <v>52.668617353277</v>
      </c>
      <c r="P3912">
        <v>-6.2568580169539201E-2</v>
      </c>
      <c r="Q3912">
        <v>7.4076231193078601E-2</v>
      </c>
      <c r="R3912">
        <v>0.99168581225373298</v>
      </c>
      <c r="S3912" t="s">
        <v>9463</v>
      </c>
      <c r="T3912" t="s">
        <v>11100</v>
      </c>
      <c r="U3912" t="s">
        <v>11100</v>
      </c>
      <c r="V3912" t="s">
        <v>11100</v>
      </c>
      <c r="W3912" t="s">
        <v>14962</v>
      </c>
      <c r="X3912">
        <v>16</v>
      </c>
      <c r="Y3912" t="s">
        <v>20397</v>
      </c>
      <c r="Z3912" t="s">
        <v>25917</v>
      </c>
      <c r="AA3912">
        <v>0.60547385821023725</v>
      </c>
      <c r="AB3912" t="str">
        <f>HYPERLINK("Melting_Curves/meltCurve_Q8NBX0_SCCPDH.pdf", "Melting_Curves/meltCurve_Q8NBX0_SCCPDH.pdf")</f>
        <v>Melting_Curves/meltCurve_Q8NBX0_SCCPDH.pdf</v>
      </c>
    </row>
    <row r="3913" spans="1:28" x14ac:dyDescent="0.25">
      <c r="A3913" t="s">
        <v>3917</v>
      </c>
      <c r="B3913">
        <v>0.99299721793515405</v>
      </c>
      <c r="C3913">
        <v>0.98039350429596495</v>
      </c>
      <c r="D3913">
        <v>1.3591322338227201</v>
      </c>
      <c r="E3913">
        <v>0.96644775013440898</v>
      </c>
      <c r="F3913">
        <v>0.86189667386959701</v>
      </c>
      <c r="G3913">
        <v>0.67526009763165695</v>
      </c>
      <c r="H3913">
        <v>0.67883185669225699</v>
      </c>
      <c r="I3913">
        <v>0.98705854025545303</v>
      </c>
      <c r="J3913">
        <v>1.2948453218426701</v>
      </c>
      <c r="K3913">
        <v>1.56859145923211</v>
      </c>
      <c r="L3913">
        <v>15000</v>
      </c>
      <c r="M3913">
        <v>234.372107775356</v>
      </c>
      <c r="O3913">
        <v>63.996129965713799</v>
      </c>
      <c r="P3913">
        <v>0.45778570671646401</v>
      </c>
      <c r="Q3913">
        <v>1.5</v>
      </c>
      <c r="R3913">
        <v>0.51925212099477902</v>
      </c>
      <c r="S3913" t="s">
        <v>9464</v>
      </c>
      <c r="T3913" t="s">
        <v>11100</v>
      </c>
      <c r="U3913" t="s">
        <v>11100</v>
      </c>
      <c r="V3913" t="s">
        <v>11100</v>
      </c>
      <c r="W3913" t="s">
        <v>14963</v>
      </c>
      <c r="X3913">
        <v>15</v>
      </c>
      <c r="Y3913" t="s">
        <v>20398</v>
      </c>
      <c r="Z3913" t="s">
        <v>25918</v>
      </c>
      <c r="AA3913">
        <v>1.0499230754235149</v>
      </c>
      <c r="AB3913" t="str">
        <f>HYPERLINK("Melting_Curves/meltCurve_Q8NC51_2_SERBP1.pdf", "Melting_Curves/meltCurve_Q8NC51_2_SERBP1.pdf")</f>
        <v>Melting_Curves/meltCurve_Q8NC51_2_SERBP1.pdf</v>
      </c>
    </row>
    <row r="3914" spans="1:28" x14ac:dyDescent="0.25">
      <c r="A3914" t="s">
        <v>3918</v>
      </c>
      <c r="B3914">
        <v>0.99299721793515405</v>
      </c>
      <c r="C3914">
        <v>1.0340396393521101</v>
      </c>
      <c r="D3914">
        <v>0.89099772095167695</v>
      </c>
      <c r="E3914">
        <v>0.82445103515312501</v>
      </c>
      <c r="F3914">
        <v>0.67390535165153198</v>
      </c>
      <c r="G3914">
        <v>0.56536488406381302</v>
      </c>
      <c r="H3914">
        <v>0.58487018187057604</v>
      </c>
      <c r="I3914">
        <v>0.65732026714287095</v>
      </c>
      <c r="J3914">
        <v>0.64100109724233201</v>
      </c>
      <c r="K3914">
        <v>0.44769526426858097</v>
      </c>
      <c r="L3914">
        <v>851.38398959915503</v>
      </c>
      <c r="M3914">
        <v>18.102387838442699</v>
      </c>
      <c r="O3914">
        <v>46.468926027827003</v>
      </c>
      <c r="P3914">
        <v>-4.2119421883419703E-2</v>
      </c>
      <c r="Q3914">
        <v>0.56753789520766895</v>
      </c>
      <c r="R3914">
        <v>0.90234001429615596</v>
      </c>
      <c r="S3914" t="s">
        <v>9465</v>
      </c>
      <c r="T3914" t="s">
        <v>11100</v>
      </c>
      <c r="U3914" t="s">
        <v>11100</v>
      </c>
      <c r="V3914" t="s">
        <v>11100</v>
      </c>
      <c r="W3914" t="s">
        <v>14964</v>
      </c>
      <c r="X3914">
        <v>2</v>
      </c>
      <c r="Y3914" t="s">
        <v>20399</v>
      </c>
      <c r="Z3914" t="s">
        <v>25919</v>
      </c>
      <c r="AA3914">
        <v>0.71901380059970321</v>
      </c>
      <c r="AB3914" t="str">
        <f>HYPERLINK("Melting_Curves/meltCurve_Q8NC54_KCT2.pdf", "Melting_Curves/meltCurve_Q8NC54_KCT2.pdf")</f>
        <v>Melting_Curves/meltCurve_Q8NC54_KCT2.pdf</v>
      </c>
    </row>
    <row r="3915" spans="1:28" x14ac:dyDescent="0.25">
      <c r="A3915" t="s">
        <v>3919</v>
      </c>
      <c r="B3915">
        <v>0.99299721793515405</v>
      </c>
      <c r="C3915">
        <v>1.0201290136977099</v>
      </c>
      <c r="D3915">
        <v>0.877214424926546</v>
      </c>
      <c r="E3915">
        <v>0.85908586726549596</v>
      </c>
      <c r="F3915">
        <v>0.88062422532331897</v>
      </c>
      <c r="G3915">
        <v>0.57660594464220205</v>
      </c>
      <c r="H3915">
        <v>0.40840342698645998</v>
      </c>
      <c r="I3915">
        <v>0.33055436479942202</v>
      </c>
      <c r="J3915">
        <v>0.278673090909766</v>
      </c>
      <c r="K3915">
        <v>0.21015646531899801</v>
      </c>
      <c r="L3915">
        <v>678.06284609117199</v>
      </c>
      <c r="M3915">
        <v>12.438079827755701</v>
      </c>
      <c r="N3915">
        <v>56.015255464115697</v>
      </c>
      <c r="O3915">
        <v>53.163434742271001</v>
      </c>
      <c r="P3915">
        <v>-5.0214980827990099E-2</v>
      </c>
      <c r="Q3915">
        <v>0.14165498363584</v>
      </c>
      <c r="R3915">
        <v>0.972881460946459</v>
      </c>
      <c r="S3915" t="s">
        <v>9466</v>
      </c>
      <c r="T3915" t="s">
        <v>11100</v>
      </c>
      <c r="U3915" t="s">
        <v>11100</v>
      </c>
      <c r="V3915" t="s">
        <v>11100</v>
      </c>
      <c r="W3915" t="s">
        <v>14965</v>
      </c>
      <c r="X3915">
        <v>2</v>
      </c>
      <c r="Y3915" t="s">
        <v>20400</v>
      </c>
      <c r="Z3915" t="s">
        <v>25920</v>
      </c>
      <c r="AA3915">
        <v>0.65659277456922283</v>
      </c>
      <c r="AB3915" t="str">
        <f>HYPERLINK("Melting_Curves/meltCurve_Q8NC56_LEMD2.pdf", "Melting_Curves/meltCurve_Q8NC56_LEMD2.pdf")</f>
        <v>Melting_Curves/meltCurve_Q8NC56_LEMD2.pdf</v>
      </c>
    </row>
    <row r="3916" spans="1:28" x14ac:dyDescent="0.25">
      <c r="A3916" t="s">
        <v>3920</v>
      </c>
      <c r="B3916">
        <v>0.99299721793515405</v>
      </c>
      <c r="C3916">
        <v>0.979267868116248</v>
      </c>
      <c r="D3916">
        <v>0.84655561866019602</v>
      </c>
      <c r="E3916">
        <v>0.88282146372832904</v>
      </c>
      <c r="F3916">
        <v>0.63839866523803501</v>
      </c>
      <c r="G3916">
        <v>0.58282414856642795</v>
      </c>
      <c r="H3916">
        <v>0.45270777886476898</v>
      </c>
      <c r="I3916">
        <v>0.51529182605879398</v>
      </c>
      <c r="J3916">
        <v>0.47527214685378</v>
      </c>
      <c r="K3916">
        <v>0.39478204285730101</v>
      </c>
      <c r="L3916">
        <v>589.56112941534604</v>
      </c>
      <c r="M3916">
        <v>11.933552763172001</v>
      </c>
      <c r="N3916">
        <v>57.611834964671502</v>
      </c>
      <c r="O3916">
        <v>48.077654431425003</v>
      </c>
      <c r="P3916">
        <v>-3.6702642969738297E-2</v>
      </c>
      <c r="Q3916">
        <v>0.40867820496662</v>
      </c>
      <c r="R3916">
        <v>0.95780982651833302</v>
      </c>
      <c r="S3916" t="s">
        <v>9467</v>
      </c>
      <c r="T3916" t="s">
        <v>11100</v>
      </c>
      <c r="U3916" t="s">
        <v>11100</v>
      </c>
      <c r="V3916" t="s">
        <v>11100</v>
      </c>
      <c r="W3916" t="s">
        <v>14966</v>
      </c>
      <c r="X3916">
        <v>3</v>
      </c>
      <c r="Y3916" t="s">
        <v>20401</v>
      </c>
      <c r="Z3916" t="s">
        <v>25921</v>
      </c>
      <c r="AA3916">
        <v>0.67045855051459236</v>
      </c>
      <c r="AB3916" t="str">
        <f>HYPERLINK("Melting_Curves/meltCurve_Q8NCC3_PLA2G15.pdf", "Melting_Curves/meltCurve_Q8NCC3_PLA2G15.pdf")</f>
        <v>Melting_Curves/meltCurve_Q8NCC3_PLA2G15.pdf</v>
      </c>
    </row>
    <row r="3917" spans="1:28" x14ac:dyDescent="0.25">
      <c r="A3917" t="s">
        <v>3921</v>
      </c>
      <c r="B3917">
        <v>0.99299721793515405</v>
      </c>
      <c r="C3917">
        <v>0.98633403208958803</v>
      </c>
      <c r="D3917">
        <v>0.90226688468651095</v>
      </c>
      <c r="E3917">
        <v>0.88933613468774897</v>
      </c>
      <c r="F3917">
        <v>0.76460506374116</v>
      </c>
      <c r="G3917">
        <v>0.51799898766213603</v>
      </c>
      <c r="H3917">
        <v>0.35387052967886801</v>
      </c>
      <c r="I3917">
        <v>0.24087725333107299</v>
      </c>
      <c r="J3917">
        <v>0.23907809377052799</v>
      </c>
      <c r="K3917">
        <v>0.154312531568843</v>
      </c>
      <c r="L3917">
        <v>701.08929640854399</v>
      </c>
      <c r="M3917">
        <v>13.1398231773567</v>
      </c>
      <c r="N3917">
        <v>54.415104357672</v>
      </c>
      <c r="O3917">
        <v>52.165616899861199</v>
      </c>
      <c r="P3917">
        <v>-5.5876372266978003E-2</v>
      </c>
      <c r="Q3917">
        <v>0.112824339254531</v>
      </c>
      <c r="R3917">
        <v>0.992907150097322</v>
      </c>
      <c r="S3917" t="s">
        <v>9468</v>
      </c>
      <c r="T3917" t="s">
        <v>11100</v>
      </c>
      <c r="U3917" t="s">
        <v>11100</v>
      </c>
      <c r="V3917" t="s">
        <v>11100</v>
      </c>
      <c r="W3917" t="s">
        <v>14967</v>
      </c>
      <c r="X3917">
        <v>7</v>
      </c>
      <c r="Y3917" t="s">
        <v>20402</v>
      </c>
      <c r="Z3917" t="s">
        <v>25922</v>
      </c>
      <c r="AA3917">
        <v>0.61346512030160583</v>
      </c>
      <c r="AB3917" t="str">
        <f>HYPERLINK("Melting_Curves/meltCurve_Q8NCE2_2_MTMR14.pdf", "Melting_Curves/meltCurve_Q8NCE2_2_MTMR14.pdf")</f>
        <v>Melting_Curves/meltCurve_Q8NCE2_2_MTMR14.pdf</v>
      </c>
    </row>
    <row r="3918" spans="1:28" x14ac:dyDescent="0.25">
      <c r="A3918" t="s">
        <v>3922</v>
      </c>
      <c r="B3918">
        <v>0.99299721793515405</v>
      </c>
      <c r="C3918">
        <v>1.1527299306952401</v>
      </c>
      <c r="D3918">
        <v>0.74231512507616204</v>
      </c>
      <c r="E3918">
        <v>1.06105113636657</v>
      </c>
      <c r="F3918">
        <v>0.72733860430687503</v>
      </c>
      <c r="G3918">
        <v>0.37525786207491302</v>
      </c>
      <c r="H3918">
        <v>0.42042128759709102</v>
      </c>
      <c r="I3918">
        <v>0.40278086676598301</v>
      </c>
      <c r="J3918">
        <v>0.407892393785936</v>
      </c>
      <c r="K3918">
        <v>0.25424995457688898</v>
      </c>
      <c r="L3918">
        <v>12563.277968967401</v>
      </c>
      <c r="M3918">
        <v>250</v>
      </c>
      <c r="N3918">
        <v>50.528702189745701</v>
      </c>
      <c r="O3918">
        <v>50.249896027696998</v>
      </c>
      <c r="P3918">
        <v>-0.78094631320491104</v>
      </c>
      <c r="Q3918">
        <v>0.37212046428854001</v>
      </c>
      <c r="R3918">
        <v>0.88316242645813503</v>
      </c>
      <c r="S3918" t="s">
        <v>9469</v>
      </c>
      <c r="T3918" t="s">
        <v>11100</v>
      </c>
      <c r="U3918" t="s">
        <v>11100</v>
      </c>
      <c r="V3918" t="s">
        <v>11100</v>
      </c>
      <c r="W3918" t="s">
        <v>14968</v>
      </c>
      <c r="X3918">
        <v>2</v>
      </c>
      <c r="Y3918" t="s">
        <v>20403</v>
      </c>
      <c r="Z3918" t="s">
        <v>25923</v>
      </c>
      <c r="AA3918">
        <v>0.64955443018304038</v>
      </c>
      <c r="AB3918" t="str">
        <f>HYPERLINK("Melting_Curves/meltCurve_Q8NCF5_NFATC2IP.pdf", "Melting_Curves/meltCurve_Q8NCF5_NFATC2IP.pdf")</f>
        <v>Melting_Curves/meltCurve_Q8NCF5_NFATC2IP.pdf</v>
      </c>
    </row>
    <row r="3919" spans="1:28" x14ac:dyDescent="0.25">
      <c r="A3919" t="s">
        <v>3923</v>
      </c>
      <c r="B3919">
        <v>0.99299721793515405</v>
      </c>
      <c r="C3919">
        <v>0.98336806787201303</v>
      </c>
      <c r="D3919">
        <v>1.07091301154478</v>
      </c>
      <c r="E3919">
        <v>0.74464014961741298</v>
      </c>
      <c r="F3919">
        <v>0.65753365834065602</v>
      </c>
      <c r="G3919">
        <v>0.45795714791259201</v>
      </c>
      <c r="H3919">
        <v>0.23795202171066801</v>
      </c>
      <c r="I3919">
        <v>0.205645999326871</v>
      </c>
      <c r="J3919">
        <v>0.22591682664027801</v>
      </c>
      <c r="K3919">
        <v>0.211701303325774</v>
      </c>
      <c r="L3919">
        <v>808.26947537446404</v>
      </c>
      <c r="M3919">
        <v>15.9105808932405</v>
      </c>
      <c r="N3919">
        <v>52.227515244236798</v>
      </c>
      <c r="O3919">
        <v>50.018560683364598</v>
      </c>
      <c r="P3919">
        <v>-6.5512394853518494E-2</v>
      </c>
      <c r="Q3919">
        <v>0.17625306981324701</v>
      </c>
      <c r="R3919">
        <v>0.974359093965385</v>
      </c>
      <c r="S3919" t="s">
        <v>9470</v>
      </c>
      <c r="T3919" t="s">
        <v>11100</v>
      </c>
      <c r="U3919" t="s">
        <v>11100</v>
      </c>
      <c r="V3919" t="s">
        <v>11100</v>
      </c>
      <c r="W3919" t="s">
        <v>14969</v>
      </c>
      <c r="X3919">
        <v>3</v>
      </c>
      <c r="Y3919" t="s">
        <v>20404</v>
      </c>
      <c r="Z3919" t="s">
        <v>25924</v>
      </c>
      <c r="AA3919">
        <v>0.57061667148587358</v>
      </c>
      <c r="AB3919" t="str">
        <f>HYPERLINK("Melting_Curves/meltCurve_Q8NCH0_CHST14.pdf", "Melting_Curves/meltCurve_Q8NCH0_CHST14.pdf")</f>
        <v>Melting_Curves/meltCurve_Q8NCH0_CHST14.pdf</v>
      </c>
    </row>
    <row r="3920" spans="1:28" x14ac:dyDescent="0.25">
      <c r="A3920" t="s">
        <v>3924</v>
      </c>
      <c r="B3920">
        <v>0.99299721793515405</v>
      </c>
      <c r="C3920">
        <v>1.01666764066078</v>
      </c>
      <c r="D3920">
        <v>0.95122841426625804</v>
      </c>
      <c r="E3920">
        <v>0.90911419214295097</v>
      </c>
      <c r="F3920">
        <v>0.78298249973470802</v>
      </c>
      <c r="G3920">
        <v>0.80059239428501505</v>
      </c>
      <c r="H3920">
        <v>0.54511825052296303</v>
      </c>
      <c r="I3920">
        <v>0.25744623908821201</v>
      </c>
      <c r="J3920">
        <v>0.227163354340021</v>
      </c>
      <c r="K3920">
        <v>0.18046990527138801</v>
      </c>
      <c r="L3920">
        <v>704.31781350590302</v>
      </c>
      <c r="M3920">
        <v>12.2099393047571</v>
      </c>
      <c r="N3920">
        <v>57.683973469241799</v>
      </c>
      <c r="O3920">
        <v>56.202099076231903</v>
      </c>
      <c r="P3920">
        <v>-5.4324889909850599E-2</v>
      </c>
      <c r="Q3920">
        <v>0</v>
      </c>
      <c r="R3920">
        <v>0.97407297325286002</v>
      </c>
      <c r="S3920" t="s">
        <v>9471</v>
      </c>
      <c r="T3920" t="s">
        <v>11100</v>
      </c>
      <c r="U3920" t="s">
        <v>11100</v>
      </c>
      <c r="V3920" t="s">
        <v>11100</v>
      </c>
      <c r="W3920" t="s">
        <v>14970</v>
      </c>
      <c r="X3920">
        <v>7</v>
      </c>
      <c r="Y3920" t="s">
        <v>20405</v>
      </c>
      <c r="Z3920" t="s">
        <v>25925</v>
      </c>
      <c r="AA3920">
        <v>0.69061734449706735</v>
      </c>
      <c r="AB3920" t="str">
        <f>HYPERLINK("Melting_Curves/meltCurve_Q8NCN5_PDPR.pdf", "Melting_Curves/meltCurve_Q8NCN5_PDPR.pdf")</f>
        <v>Melting_Curves/meltCurve_Q8NCN5_PDPR.pdf</v>
      </c>
    </row>
    <row r="3921" spans="1:28" x14ac:dyDescent="0.25">
      <c r="A3921" t="s">
        <v>3925</v>
      </c>
      <c r="B3921">
        <v>0.99299721793515405</v>
      </c>
      <c r="C3921">
        <v>0.970628617161302</v>
      </c>
      <c r="D3921">
        <v>0.99127856825954896</v>
      </c>
      <c r="E3921">
        <v>0.933777193529298</v>
      </c>
      <c r="F3921">
        <v>0.75465239778948501</v>
      </c>
      <c r="G3921">
        <v>0.67484044572261304</v>
      </c>
      <c r="H3921">
        <v>0.61601919504310898</v>
      </c>
      <c r="I3921">
        <v>0.74294015215533504</v>
      </c>
      <c r="J3921">
        <v>0.86101406814586701</v>
      </c>
      <c r="K3921">
        <v>0.69090503047807905</v>
      </c>
      <c r="L3921">
        <v>2164.3213106015301</v>
      </c>
      <c r="M3921">
        <v>45.236729345677396</v>
      </c>
      <c r="O3921">
        <v>47.751131592863601</v>
      </c>
      <c r="P3921">
        <v>-6.6808917897061698E-2</v>
      </c>
      <c r="Q3921">
        <v>0.71791094343323902</v>
      </c>
      <c r="R3921">
        <v>0.81043108332257696</v>
      </c>
      <c r="S3921" t="s">
        <v>9472</v>
      </c>
      <c r="T3921" t="s">
        <v>11100</v>
      </c>
      <c r="U3921" t="s">
        <v>11100</v>
      </c>
      <c r="V3921" t="s">
        <v>11100</v>
      </c>
      <c r="W3921" t="s">
        <v>14971</v>
      </c>
      <c r="X3921">
        <v>15</v>
      </c>
      <c r="Y3921" t="s">
        <v>20406</v>
      </c>
      <c r="Z3921" t="s">
        <v>25926</v>
      </c>
      <c r="AA3921">
        <v>0.82060807572984984</v>
      </c>
      <c r="AB3921" t="str">
        <f>HYPERLINK("Melting_Curves/meltCurve_Q8NCW5_APOA1BP.pdf", "Melting_Curves/meltCurve_Q8NCW5_APOA1BP.pdf")</f>
        <v>Melting_Curves/meltCurve_Q8NCW5_APOA1BP.pdf</v>
      </c>
    </row>
    <row r="3922" spans="1:28" x14ac:dyDescent="0.25">
      <c r="A3922" t="s">
        <v>3926</v>
      </c>
      <c r="B3922">
        <v>0.99299721793515405</v>
      </c>
      <c r="C3922">
        <v>0.99136091498829704</v>
      </c>
      <c r="D3922">
        <v>1.01335315527155</v>
      </c>
      <c r="E3922">
        <v>0.83382259105359402</v>
      </c>
      <c r="F3922">
        <v>0.67219560827910896</v>
      </c>
      <c r="G3922">
        <v>0.30167336903352998</v>
      </c>
      <c r="H3922">
        <v>0.18843563999165799</v>
      </c>
      <c r="I3922">
        <v>0.156321065713176</v>
      </c>
      <c r="J3922">
        <v>0.140095668774813</v>
      </c>
      <c r="K3922">
        <v>0.12685599628875799</v>
      </c>
      <c r="L3922">
        <v>1079.3372813905401</v>
      </c>
      <c r="M3922">
        <v>21.2074570105354</v>
      </c>
      <c r="N3922">
        <v>51.5725272556463</v>
      </c>
      <c r="O3922">
        <v>50.448193038989999</v>
      </c>
      <c r="P3922">
        <v>-9.2307340242435698E-2</v>
      </c>
      <c r="Q3922">
        <v>0.121701717265147</v>
      </c>
      <c r="R3922">
        <v>0.99444147766942503</v>
      </c>
      <c r="S3922" t="s">
        <v>9473</v>
      </c>
      <c r="T3922" t="s">
        <v>11100</v>
      </c>
      <c r="U3922" t="s">
        <v>11100</v>
      </c>
      <c r="V3922" t="s">
        <v>11100</v>
      </c>
      <c r="W3922" t="s">
        <v>14972</v>
      </c>
      <c r="X3922">
        <v>19</v>
      </c>
      <c r="Y3922" t="s">
        <v>20407</v>
      </c>
      <c r="Z3922" t="s">
        <v>25927</v>
      </c>
      <c r="AA3922">
        <v>0.53889330645384326</v>
      </c>
      <c r="AB3922" t="str">
        <f>HYPERLINK("Melting_Curves/meltCurve_Q8ND24_RNF214.pdf", "Melting_Curves/meltCurve_Q8ND24_RNF214.pdf")</f>
        <v>Melting_Curves/meltCurve_Q8ND24_RNF214.pdf</v>
      </c>
    </row>
    <row r="3923" spans="1:28" x14ac:dyDescent="0.25">
      <c r="A3923" t="s">
        <v>3927</v>
      </c>
      <c r="B3923">
        <v>0.99299721793515405</v>
      </c>
      <c r="C3923">
        <v>1.0683315874282899</v>
      </c>
      <c r="D3923">
        <v>0.99417129353744604</v>
      </c>
      <c r="E3923">
        <v>0.98174125594065398</v>
      </c>
      <c r="F3923">
        <v>0.78180097538414195</v>
      </c>
      <c r="G3923">
        <v>0.62820874541837102</v>
      </c>
      <c r="H3923">
        <v>0.271231886100468</v>
      </c>
      <c r="I3923">
        <v>0.22991100902752401</v>
      </c>
      <c r="J3923">
        <v>0.186479834044607</v>
      </c>
      <c r="K3923">
        <v>0.16504735141413501</v>
      </c>
      <c r="L3923">
        <v>1088.1703966949899</v>
      </c>
      <c r="M3923">
        <v>20.263516209712201</v>
      </c>
      <c r="N3923">
        <v>54.642515890689197</v>
      </c>
      <c r="O3923">
        <v>53.186170484288297</v>
      </c>
      <c r="P3923">
        <v>-8.1214630251441794E-2</v>
      </c>
      <c r="Q3923">
        <v>0.14736186587514799</v>
      </c>
      <c r="R3923">
        <v>0.98825839745717303</v>
      </c>
      <c r="S3923" t="s">
        <v>9474</v>
      </c>
      <c r="T3923" t="s">
        <v>11100</v>
      </c>
      <c r="U3923" t="s">
        <v>11100</v>
      </c>
      <c r="V3923" t="s">
        <v>11100</v>
      </c>
      <c r="W3923" t="s">
        <v>14973</v>
      </c>
      <c r="X3923">
        <v>10</v>
      </c>
      <c r="Y3923" t="s">
        <v>20408</v>
      </c>
      <c r="Z3923" t="s">
        <v>25928</v>
      </c>
      <c r="AA3923">
        <v>0.63230034584267036</v>
      </c>
      <c r="AB3923" t="str">
        <f>HYPERLINK("Melting_Curves/meltCurve_Q8ND56_2_LSM14A.pdf", "Melting_Curves/meltCurve_Q8ND56_2_LSM14A.pdf")</f>
        <v>Melting_Curves/meltCurve_Q8ND56_2_LSM14A.pdf</v>
      </c>
    </row>
    <row r="3924" spans="1:28" x14ac:dyDescent="0.25">
      <c r="A3924" t="s">
        <v>3928</v>
      </c>
      <c r="B3924">
        <v>0.99299721793515405</v>
      </c>
      <c r="C3924">
        <v>1.14864780029754</v>
      </c>
      <c r="D3924">
        <v>1.1252383620788999</v>
      </c>
      <c r="E3924">
        <v>0.92512190723514498</v>
      </c>
      <c r="F3924">
        <v>0.67811726754217005</v>
      </c>
      <c r="G3924">
        <v>0.30715170406820003</v>
      </c>
      <c r="H3924">
        <v>0.22431005251127101</v>
      </c>
      <c r="I3924">
        <v>0.25020490103250598</v>
      </c>
      <c r="J3924">
        <v>0.284816682733884</v>
      </c>
      <c r="K3924">
        <v>0.19327052398220401</v>
      </c>
      <c r="L3924">
        <v>1779.07521784453</v>
      </c>
      <c r="M3924">
        <v>35.173603009249803</v>
      </c>
      <c r="N3924">
        <v>51.5004384132247</v>
      </c>
      <c r="O3924">
        <v>50.417168512942702</v>
      </c>
      <c r="P3924">
        <v>-0.13371067276870099</v>
      </c>
      <c r="Q3924">
        <v>0.23336915781741299</v>
      </c>
      <c r="R3924">
        <v>0.96921566572518003</v>
      </c>
      <c r="S3924" t="s">
        <v>9475</v>
      </c>
      <c r="T3924" t="s">
        <v>11100</v>
      </c>
      <c r="U3924" t="s">
        <v>11100</v>
      </c>
      <c r="V3924" t="s">
        <v>11100</v>
      </c>
      <c r="W3924" t="s">
        <v>14974</v>
      </c>
      <c r="X3924">
        <v>2</v>
      </c>
      <c r="Y3924" t="s">
        <v>20409</v>
      </c>
      <c r="Z3924" t="s">
        <v>25929</v>
      </c>
      <c r="AA3924">
        <v>0.58385718640590301</v>
      </c>
      <c r="AB3924" t="str">
        <f>HYPERLINK("Melting_Curves/meltCurve_Q8ND76_3_CCNY.pdf", "Melting_Curves/meltCurve_Q8ND76_3_CCNY.pdf")</f>
        <v>Melting_Curves/meltCurve_Q8ND76_3_CCNY.pdf</v>
      </c>
    </row>
    <row r="3925" spans="1:28" x14ac:dyDescent="0.25">
      <c r="A3925" t="s">
        <v>3929</v>
      </c>
      <c r="B3925">
        <v>0.99299721793515405</v>
      </c>
      <c r="C3925">
        <v>0.94549049868158497</v>
      </c>
      <c r="D3925">
        <v>0.79675099175362496</v>
      </c>
      <c r="E3925">
        <v>0.87959171595374996</v>
      </c>
      <c r="F3925">
        <v>0.72503304412830105</v>
      </c>
      <c r="G3925">
        <v>0.520940030651314</v>
      </c>
      <c r="H3925">
        <v>0.51658634331476505</v>
      </c>
      <c r="I3925">
        <v>0.61706591463932703</v>
      </c>
      <c r="J3925">
        <v>0.588899386298259</v>
      </c>
      <c r="K3925">
        <v>0.49262309780862701</v>
      </c>
      <c r="L3925">
        <v>526.26569150875002</v>
      </c>
      <c r="M3925">
        <v>11.0445774444881</v>
      </c>
      <c r="O3925">
        <v>46.167101563547803</v>
      </c>
      <c r="P3925">
        <v>-2.94064916410222E-2</v>
      </c>
      <c r="Q3925">
        <v>0.50847854984188401</v>
      </c>
      <c r="R3925">
        <v>0.87407301929644299</v>
      </c>
      <c r="S3925" t="s">
        <v>9476</v>
      </c>
      <c r="T3925" t="s">
        <v>11100</v>
      </c>
      <c r="U3925" t="s">
        <v>11100</v>
      </c>
      <c r="V3925" t="s">
        <v>11100</v>
      </c>
      <c r="W3925" t="s">
        <v>14975</v>
      </c>
      <c r="X3925">
        <v>1</v>
      </c>
      <c r="Y3925" t="s">
        <v>20410</v>
      </c>
      <c r="Z3925" t="s">
        <v>25930</v>
      </c>
      <c r="AA3925">
        <v>0.70063583418024733</v>
      </c>
      <c r="AB3925" t="str">
        <f>HYPERLINK("Melting_Curves/meltCurve_Q8NDC0_MAPK1IP1L.pdf", "Melting_Curves/meltCurve_Q8NDC0_MAPK1IP1L.pdf")</f>
        <v>Melting_Curves/meltCurve_Q8NDC0_MAPK1IP1L.pdf</v>
      </c>
    </row>
    <row r="3926" spans="1:28" x14ac:dyDescent="0.25">
      <c r="A3926" t="s">
        <v>3930</v>
      </c>
      <c r="B3926">
        <v>0.99299721793515405</v>
      </c>
      <c r="C3926">
        <v>0.95563392696067295</v>
      </c>
      <c r="D3926">
        <v>0.84511981192906704</v>
      </c>
      <c r="E3926">
        <v>0.75421157874255995</v>
      </c>
      <c r="F3926">
        <v>0.72583356986395497</v>
      </c>
      <c r="G3926">
        <v>0.85128592478546405</v>
      </c>
      <c r="H3926">
        <v>0.94805242656604904</v>
      </c>
      <c r="I3926">
        <v>0.85061491043486104</v>
      </c>
      <c r="J3926">
        <v>0.72315648952773603</v>
      </c>
      <c r="K3926">
        <v>0.52935896070375099</v>
      </c>
      <c r="L3926">
        <v>162.03790980371701</v>
      </c>
      <c r="M3926">
        <v>1.6095088999272</v>
      </c>
      <c r="O3926">
        <v>51.843753271931497</v>
      </c>
      <c r="P3926">
        <v>-8.9003642633250397E-3</v>
      </c>
      <c r="Q3926">
        <v>0</v>
      </c>
      <c r="R3926">
        <v>0.40683762112432498</v>
      </c>
      <c r="S3926" t="s">
        <v>9477</v>
      </c>
      <c r="T3926" t="s">
        <v>11100</v>
      </c>
      <c r="U3926" t="s">
        <v>11100</v>
      </c>
      <c r="V3926" t="s">
        <v>11100</v>
      </c>
      <c r="W3926" t="s">
        <v>14976</v>
      </c>
      <c r="X3926">
        <v>5</v>
      </c>
      <c r="Y3926" t="s">
        <v>20411</v>
      </c>
      <c r="Z3926" t="s">
        <v>25931</v>
      </c>
      <c r="AA3926">
        <v>0.81816081842755284</v>
      </c>
      <c r="AB3926" t="str">
        <f>HYPERLINK("Melting_Curves/meltCurve_Q8NDH3_5_NPEPL1.pdf", "Melting_Curves/meltCurve_Q8NDH3_5_NPEPL1.pdf")</f>
        <v>Melting_Curves/meltCurve_Q8NDH3_5_NPEPL1.pdf</v>
      </c>
    </row>
    <row r="3927" spans="1:28" x14ac:dyDescent="0.25">
      <c r="A3927" t="s">
        <v>3931</v>
      </c>
      <c r="B3927">
        <v>0.99299721793515405</v>
      </c>
      <c r="C3927">
        <v>0.90854076370823</v>
      </c>
      <c r="D3927">
        <v>1.2210432905278701</v>
      </c>
      <c r="E3927">
        <v>0.83692566219656395</v>
      </c>
      <c r="F3927">
        <v>0.71719753286496402</v>
      </c>
      <c r="G3927">
        <v>0.571745334835984</v>
      </c>
      <c r="H3927">
        <v>0.230737485624566</v>
      </c>
      <c r="I3927">
        <v>0.184871582815747</v>
      </c>
      <c r="J3927">
        <v>0.18966655354884199</v>
      </c>
      <c r="K3927">
        <v>0.17476925142001101</v>
      </c>
      <c r="L3927">
        <v>944.79948016991705</v>
      </c>
      <c r="M3927">
        <v>17.936656614104599</v>
      </c>
      <c r="N3927">
        <v>53.632289163092203</v>
      </c>
      <c r="O3927">
        <v>52.0325829387696</v>
      </c>
      <c r="P3927">
        <v>-7.4370562810976107E-2</v>
      </c>
      <c r="Q3927">
        <v>0.13707472135190699</v>
      </c>
      <c r="R3927">
        <v>0.93789743976298601</v>
      </c>
      <c r="S3927" t="s">
        <v>9478</v>
      </c>
      <c r="T3927" t="s">
        <v>11100</v>
      </c>
      <c r="U3927" t="s">
        <v>11100</v>
      </c>
      <c r="V3927" t="s">
        <v>11100</v>
      </c>
      <c r="W3927" t="s">
        <v>14977</v>
      </c>
      <c r="X3927">
        <v>8</v>
      </c>
      <c r="Y3927" t="s">
        <v>20412</v>
      </c>
      <c r="Z3927" t="s">
        <v>25932</v>
      </c>
      <c r="AA3927">
        <v>0.6007222912276845</v>
      </c>
      <c r="AB3927" t="str">
        <f>HYPERLINK("Melting_Curves/meltCurve_Q8NDI1_3_EHBP1.pdf", "Melting_Curves/meltCurve_Q8NDI1_3_EHBP1.pdf")</f>
        <v>Melting_Curves/meltCurve_Q8NDI1_3_EHBP1.pdf</v>
      </c>
    </row>
    <row r="3928" spans="1:28" x14ac:dyDescent="0.25">
      <c r="A3928" t="s">
        <v>3932</v>
      </c>
      <c r="B3928">
        <v>0.99299721793515405</v>
      </c>
      <c r="C3928">
        <v>1.0783286593630199</v>
      </c>
      <c r="D3928">
        <v>0.95043042553818702</v>
      </c>
      <c r="E3928">
        <v>0.86941177823886595</v>
      </c>
      <c r="F3928">
        <v>0.74083975690288195</v>
      </c>
      <c r="G3928">
        <v>0.44255336797557099</v>
      </c>
      <c r="H3928">
        <v>0.34246120252620699</v>
      </c>
      <c r="I3928">
        <v>0.28449723902387902</v>
      </c>
      <c r="J3928">
        <v>0.21884706004495699</v>
      </c>
      <c r="K3928">
        <v>0.17722932859123</v>
      </c>
      <c r="L3928">
        <v>827.09731755463804</v>
      </c>
      <c r="M3928">
        <v>15.898610725157999</v>
      </c>
      <c r="N3928">
        <v>53.518923539082799</v>
      </c>
      <c r="O3928">
        <v>51.221055374701201</v>
      </c>
      <c r="P3928">
        <v>-6.3684542319814699E-2</v>
      </c>
      <c r="Q3928">
        <v>0.17936800110291701</v>
      </c>
      <c r="R3928">
        <v>0.988360847467183</v>
      </c>
      <c r="S3928" t="s">
        <v>9479</v>
      </c>
      <c r="T3928" t="s">
        <v>11100</v>
      </c>
      <c r="U3928" t="s">
        <v>11100</v>
      </c>
      <c r="V3928" t="s">
        <v>11100</v>
      </c>
      <c r="W3928" t="s">
        <v>14978</v>
      </c>
      <c r="X3928">
        <v>4</v>
      </c>
      <c r="Y3928" t="s">
        <v>20413</v>
      </c>
      <c r="Z3928" t="s">
        <v>25933</v>
      </c>
      <c r="AA3928">
        <v>0.60494946880868949</v>
      </c>
      <c r="AB3928" t="str">
        <f>HYPERLINK("Melting_Curves/meltCurve_Q8NDZ4_C3orf58.pdf", "Melting_Curves/meltCurve_Q8NDZ4_C3orf58.pdf")</f>
        <v>Melting_Curves/meltCurve_Q8NDZ4_C3orf58.pdf</v>
      </c>
    </row>
    <row r="3929" spans="1:28" x14ac:dyDescent="0.25">
      <c r="A3929" t="s">
        <v>3933</v>
      </c>
      <c r="B3929">
        <v>0.99299721793515405</v>
      </c>
      <c r="C3929">
        <v>0.82905921868185295</v>
      </c>
      <c r="D3929">
        <v>1.0433448477966301</v>
      </c>
      <c r="E3929">
        <v>0.99145612311924203</v>
      </c>
      <c r="F3929">
        <v>0.80943321922697198</v>
      </c>
      <c r="G3929">
        <v>0.60463629726564705</v>
      </c>
      <c r="H3929">
        <v>0.44236946661871601</v>
      </c>
      <c r="I3929">
        <v>0.28899263525806101</v>
      </c>
      <c r="J3929">
        <v>0.387057354247966</v>
      </c>
      <c r="K3929">
        <v>0.285733839134717</v>
      </c>
      <c r="L3929">
        <v>1088.479009784</v>
      </c>
      <c r="M3929">
        <v>20.535578031267601</v>
      </c>
      <c r="N3929">
        <v>55.515222430503698</v>
      </c>
      <c r="O3929">
        <v>52.509594873010002</v>
      </c>
      <c r="P3929">
        <v>-6.8199855057894096E-2</v>
      </c>
      <c r="Q3929">
        <v>0.30247072005561099</v>
      </c>
      <c r="R3929">
        <v>0.94936704346229694</v>
      </c>
      <c r="S3929" t="s">
        <v>9480</v>
      </c>
      <c r="T3929" t="s">
        <v>11100</v>
      </c>
      <c r="U3929" t="s">
        <v>11100</v>
      </c>
      <c r="V3929" t="s">
        <v>11100</v>
      </c>
      <c r="W3929" t="s">
        <v>14979</v>
      </c>
      <c r="X3929">
        <v>4</v>
      </c>
      <c r="Y3929" t="s">
        <v>20414</v>
      </c>
      <c r="Z3929" t="s">
        <v>25934</v>
      </c>
      <c r="AA3929">
        <v>0.68304459746647972</v>
      </c>
      <c r="AB3929" t="str">
        <f>HYPERLINK("Melting_Curves/meltCurve_Q8NE01_CNNM3.pdf", "Melting_Curves/meltCurve_Q8NE01_CNNM3.pdf")</f>
        <v>Melting_Curves/meltCurve_Q8NE01_CNNM3.pdf</v>
      </c>
    </row>
    <row r="3930" spans="1:28" x14ac:dyDescent="0.25">
      <c r="A3930" t="s">
        <v>3934</v>
      </c>
      <c r="B3930">
        <v>0.99299721793515405</v>
      </c>
      <c r="C3930">
        <v>1.0286853573952</v>
      </c>
      <c r="D3930">
        <v>0.96956674774664298</v>
      </c>
      <c r="E3930">
        <v>0.77508765894146603</v>
      </c>
      <c r="F3930">
        <v>0.60208316000040696</v>
      </c>
      <c r="G3930">
        <v>0.26189086551746299</v>
      </c>
      <c r="H3930">
        <v>0.215520728085069</v>
      </c>
      <c r="I3930">
        <v>0.206634795638032</v>
      </c>
      <c r="J3930">
        <v>0.190991247947945</v>
      </c>
      <c r="K3930">
        <v>0.18444424414312999</v>
      </c>
      <c r="L3930">
        <v>994.15899603625701</v>
      </c>
      <c r="M3930">
        <v>20.0360058494838</v>
      </c>
      <c r="N3930">
        <v>50.696180405230997</v>
      </c>
      <c r="O3930">
        <v>49.1322736657592</v>
      </c>
      <c r="P3930">
        <v>-8.4274094965215096E-2</v>
      </c>
      <c r="Q3930">
        <v>0.17339930461170999</v>
      </c>
      <c r="R3930">
        <v>0.99105058591647699</v>
      </c>
      <c r="S3930" t="s">
        <v>9481</v>
      </c>
      <c r="T3930" t="s">
        <v>11100</v>
      </c>
      <c r="U3930" t="s">
        <v>11100</v>
      </c>
      <c r="V3930" t="s">
        <v>11100</v>
      </c>
      <c r="W3930" t="s">
        <v>14980</v>
      </c>
      <c r="X3930">
        <v>7</v>
      </c>
      <c r="Y3930" t="s">
        <v>20415</v>
      </c>
      <c r="Z3930" t="s">
        <v>25935</v>
      </c>
      <c r="AA3930">
        <v>0.53194274940579567</v>
      </c>
      <c r="AB3930" t="str">
        <f>HYPERLINK("Melting_Curves/meltCurve_Q8NE62_CHDH.pdf", "Melting_Curves/meltCurve_Q8NE62_CHDH.pdf")</f>
        <v>Melting_Curves/meltCurve_Q8NE62_CHDH.pdf</v>
      </c>
    </row>
    <row r="3931" spans="1:28" x14ac:dyDescent="0.25">
      <c r="A3931" t="s">
        <v>3935</v>
      </c>
      <c r="B3931">
        <v>0.99299721793515405</v>
      </c>
      <c r="C3931">
        <v>0.93613034073339896</v>
      </c>
      <c r="D3931">
        <v>1.02929550903163</v>
      </c>
      <c r="E3931">
        <v>0.77204201169779796</v>
      </c>
      <c r="F3931">
        <v>0.61921249440269399</v>
      </c>
      <c r="G3931">
        <v>0.34231940002201</v>
      </c>
      <c r="H3931">
        <v>0.19723552499208999</v>
      </c>
      <c r="I3931">
        <v>0.14317420295247299</v>
      </c>
      <c r="J3931">
        <v>0.13824081610171901</v>
      </c>
      <c r="K3931">
        <v>0.10860909251853</v>
      </c>
      <c r="L3931">
        <v>831.99144829730005</v>
      </c>
      <c r="M3931">
        <v>16.403228582231101</v>
      </c>
      <c r="N3931">
        <v>51.373975899942799</v>
      </c>
      <c r="O3931">
        <v>49.9853289288721</v>
      </c>
      <c r="P3931">
        <v>-7.4328053025667404E-2</v>
      </c>
      <c r="Q3931">
        <v>9.4069034305595198E-2</v>
      </c>
      <c r="R3931">
        <v>0.99001524822882303</v>
      </c>
      <c r="S3931" t="s">
        <v>9482</v>
      </c>
      <c r="T3931" t="s">
        <v>11100</v>
      </c>
      <c r="U3931" t="s">
        <v>11100</v>
      </c>
      <c r="V3931" t="s">
        <v>11100</v>
      </c>
      <c r="W3931" t="s">
        <v>14981</v>
      </c>
      <c r="X3931">
        <v>18</v>
      </c>
      <c r="Y3931" t="s">
        <v>20416</v>
      </c>
      <c r="Z3931" t="s">
        <v>25936</v>
      </c>
      <c r="AA3931">
        <v>0.52468593991613688</v>
      </c>
      <c r="AB3931" t="str">
        <f>HYPERLINK("Melting_Curves/meltCurve_Q8NE71_2_ABCF1.pdf", "Melting_Curves/meltCurve_Q8NE71_2_ABCF1.pdf")</f>
        <v>Melting_Curves/meltCurve_Q8NE71_2_ABCF1.pdf</v>
      </c>
    </row>
    <row r="3932" spans="1:28" x14ac:dyDescent="0.25">
      <c r="A3932" t="s">
        <v>3936</v>
      </c>
      <c r="B3932">
        <v>0.99299721793515405</v>
      </c>
      <c r="C3932">
        <v>0.95377951537685002</v>
      </c>
      <c r="D3932">
        <v>0.89048588167897302</v>
      </c>
      <c r="E3932">
        <v>0.81146155751131499</v>
      </c>
      <c r="F3932">
        <v>0.62231507320535095</v>
      </c>
      <c r="G3932">
        <v>0.52849911733856003</v>
      </c>
      <c r="H3932">
        <v>0.31965386789843198</v>
      </c>
      <c r="I3932">
        <v>0.23044693912182199</v>
      </c>
      <c r="J3932">
        <v>0.216875205358387</v>
      </c>
      <c r="K3932">
        <v>0.173000376540835</v>
      </c>
      <c r="L3932">
        <v>522.03927202257398</v>
      </c>
      <c r="M3932">
        <v>9.9230484754427106</v>
      </c>
      <c r="N3932">
        <v>53.365362635856599</v>
      </c>
      <c r="O3932">
        <v>50.605919863524498</v>
      </c>
      <c r="P3932">
        <v>-4.5827392307058602E-2</v>
      </c>
      <c r="Q3932">
        <v>6.5619372420760602E-2</v>
      </c>
      <c r="R3932">
        <v>0.994640023728248</v>
      </c>
      <c r="S3932" t="s">
        <v>9483</v>
      </c>
      <c r="T3932" t="s">
        <v>11100</v>
      </c>
      <c r="U3932" t="s">
        <v>11100</v>
      </c>
      <c r="V3932" t="s">
        <v>11100</v>
      </c>
      <c r="W3932" t="s">
        <v>14982</v>
      </c>
      <c r="X3932">
        <v>3</v>
      </c>
      <c r="Y3932" t="s">
        <v>20417</v>
      </c>
      <c r="Z3932" t="s">
        <v>25937</v>
      </c>
      <c r="AA3932">
        <v>0.57435780093287236</v>
      </c>
      <c r="AB3932" t="str">
        <f>HYPERLINK("Melting_Curves/meltCurve_Q8NE86_3_MCU.pdf", "Melting_Curves/meltCurve_Q8NE86_3_MCU.pdf")</f>
        <v>Melting_Curves/meltCurve_Q8NE86_3_MCU.pdf</v>
      </c>
    </row>
    <row r="3933" spans="1:28" x14ac:dyDescent="0.25">
      <c r="A3933" t="s">
        <v>3937</v>
      </c>
      <c r="B3933">
        <v>0.99299721793515405</v>
      </c>
      <c r="C3933">
        <v>0.75462277801057798</v>
      </c>
      <c r="D3933">
        <v>0.79748610182848501</v>
      </c>
      <c r="E3933">
        <v>0.78221399872828801</v>
      </c>
      <c r="F3933">
        <v>0.83961583091200198</v>
      </c>
      <c r="G3933">
        <v>0.40723921332518997</v>
      </c>
      <c r="H3933">
        <v>0.444312561438854</v>
      </c>
      <c r="I3933">
        <v>0.44266330136300902</v>
      </c>
      <c r="J3933">
        <v>0.32420454372681301</v>
      </c>
      <c r="K3933">
        <v>0.26171553888994697</v>
      </c>
      <c r="L3933">
        <v>301.27782434082599</v>
      </c>
      <c r="M3933">
        <v>5.3926206023767298</v>
      </c>
      <c r="N3933">
        <v>55.868526034060999</v>
      </c>
      <c r="O3933">
        <v>49.581984394102797</v>
      </c>
      <c r="P3933">
        <v>-2.7318740796322599E-2</v>
      </c>
      <c r="Q3933">
        <v>0</v>
      </c>
      <c r="R3933">
        <v>0.850226418679358</v>
      </c>
      <c r="S3933" t="s">
        <v>9484</v>
      </c>
      <c r="T3933" t="s">
        <v>11100</v>
      </c>
      <c r="U3933" t="s">
        <v>11100</v>
      </c>
      <c r="V3933" t="s">
        <v>11100</v>
      </c>
      <c r="W3933" t="s">
        <v>14983</v>
      </c>
      <c r="X3933">
        <v>3</v>
      </c>
      <c r="Y3933" t="s">
        <v>20418</v>
      </c>
      <c r="Z3933" t="s">
        <v>25938</v>
      </c>
      <c r="AA3933">
        <v>0.607956573966138</v>
      </c>
      <c r="AB3933" t="str">
        <f>HYPERLINK("Melting_Curves/meltCurve_Q8NEC6_MTMR1.pdf", "Melting_Curves/meltCurve_Q8NEC6_MTMR1.pdf")</f>
        <v>Melting_Curves/meltCurve_Q8NEC6_MTMR1.pdf</v>
      </c>
    </row>
    <row r="3934" spans="1:28" x14ac:dyDescent="0.25">
      <c r="A3934" t="s">
        <v>3938</v>
      </c>
      <c r="B3934">
        <v>0.99299721793515405</v>
      </c>
      <c r="C3934">
        <v>1.02228794042202</v>
      </c>
      <c r="D3934">
        <v>0.96931397023360999</v>
      </c>
      <c r="E3934">
        <v>0.89182868895655898</v>
      </c>
      <c r="F3934">
        <v>0.76302034779621697</v>
      </c>
      <c r="G3934">
        <v>0.34253360384746401</v>
      </c>
      <c r="H3934">
        <v>0.30733054079173799</v>
      </c>
      <c r="I3934">
        <v>0.29089660876430601</v>
      </c>
      <c r="J3934">
        <v>0.28125195029531003</v>
      </c>
      <c r="K3934">
        <v>0.25591501795636601</v>
      </c>
      <c r="L3934">
        <v>1742.23745404803</v>
      </c>
      <c r="M3934">
        <v>34.1623656466993</v>
      </c>
      <c r="N3934">
        <v>52.207163464845898</v>
      </c>
      <c r="O3934">
        <v>50.824937533256097</v>
      </c>
      <c r="P3934">
        <v>-0.122123532130261</v>
      </c>
      <c r="Q3934">
        <v>0.27324746603426298</v>
      </c>
      <c r="R3934">
        <v>0.989522352762642</v>
      </c>
      <c r="S3934" t="s">
        <v>9485</v>
      </c>
      <c r="T3934" t="s">
        <v>11100</v>
      </c>
      <c r="U3934" t="s">
        <v>11100</v>
      </c>
      <c r="V3934" t="s">
        <v>11100</v>
      </c>
      <c r="W3934" t="s">
        <v>14984</v>
      </c>
      <c r="X3934">
        <v>8</v>
      </c>
      <c r="Y3934" t="s">
        <v>20419</v>
      </c>
      <c r="Z3934" t="s">
        <v>25939</v>
      </c>
      <c r="AA3934">
        <v>0.6158736628342355</v>
      </c>
      <c r="AB3934" t="str">
        <f>HYPERLINK("Melting_Curves/meltCurve_Q8NEC7_GSTCD.pdf", "Melting_Curves/meltCurve_Q8NEC7_GSTCD.pdf")</f>
        <v>Melting_Curves/meltCurve_Q8NEC7_GSTCD.pdf</v>
      </c>
    </row>
    <row r="3935" spans="1:28" x14ac:dyDescent="0.25">
      <c r="A3935" t="s">
        <v>3939</v>
      </c>
      <c r="B3935">
        <v>0.99299721793515405</v>
      </c>
      <c r="C3935">
        <v>0.96250423435671695</v>
      </c>
      <c r="D3935">
        <v>0.82523794287679297</v>
      </c>
      <c r="E3935">
        <v>0.85743529342958602</v>
      </c>
      <c r="F3935">
        <v>0.788696848735853</v>
      </c>
      <c r="G3935">
        <v>0.53339538638092099</v>
      </c>
      <c r="H3935">
        <v>0.327016194004702</v>
      </c>
      <c r="I3935">
        <v>0.18951114260757301</v>
      </c>
      <c r="J3935">
        <v>0.21349026917437799</v>
      </c>
      <c r="K3935">
        <v>0.19552734509726799</v>
      </c>
      <c r="L3935">
        <v>643.00392357448402</v>
      </c>
      <c r="M3935">
        <v>12.033480619056</v>
      </c>
      <c r="N3935">
        <v>54.260365056729</v>
      </c>
      <c r="O3935">
        <v>52.023072517750599</v>
      </c>
      <c r="P3935">
        <v>-5.3001620674054499E-2</v>
      </c>
      <c r="Q3935">
        <v>8.3673325373596799E-2</v>
      </c>
      <c r="R3935">
        <v>0.96988906619590198</v>
      </c>
      <c r="S3935" t="s">
        <v>9486</v>
      </c>
      <c r="T3935" t="s">
        <v>11100</v>
      </c>
      <c r="U3935" t="s">
        <v>11100</v>
      </c>
      <c r="V3935" t="s">
        <v>11100</v>
      </c>
      <c r="W3935" t="s">
        <v>14985</v>
      </c>
      <c r="X3935">
        <v>3</v>
      </c>
      <c r="Y3935" t="s">
        <v>20420</v>
      </c>
      <c r="Z3935" t="s">
        <v>25940</v>
      </c>
      <c r="AA3935">
        <v>0.60374959798661199</v>
      </c>
      <c r="AB3935" t="str">
        <f>HYPERLINK("Melting_Curves/meltCurve_Q8NEN9_PDZD8.pdf", "Melting_Curves/meltCurve_Q8NEN9_PDZD8.pdf")</f>
        <v>Melting_Curves/meltCurve_Q8NEN9_PDZD8.pdf</v>
      </c>
    </row>
    <row r="3936" spans="1:28" x14ac:dyDescent="0.25">
      <c r="A3936" t="s">
        <v>3940</v>
      </c>
      <c r="B3936">
        <v>0.99299721793515405</v>
      </c>
      <c r="C3936">
        <v>1.03368561734241</v>
      </c>
      <c r="D3936">
        <v>0.96906675367992201</v>
      </c>
      <c r="E3936">
        <v>0.881022615806623</v>
      </c>
      <c r="F3936">
        <v>0.63749230310770999</v>
      </c>
      <c r="G3936">
        <v>0.28747972705698099</v>
      </c>
      <c r="H3936">
        <v>0.228755276766517</v>
      </c>
      <c r="I3936">
        <v>0.27859660873935899</v>
      </c>
      <c r="J3936">
        <v>0.26892104260417599</v>
      </c>
      <c r="K3936">
        <v>0.23417097326660399</v>
      </c>
      <c r="L3936">
        <v>1467.3911017681701</v>
      </c>
      <c r="M3936">
        <v>29.322691287554701</v>
      </c>
      <c r="N3936">
        <v>51.1939206876811</v>
      </c>
      <c r="O3936">
        <v>49.811830127495803</v>
      </c>
      <c r="P3936">
        <v>-0.11164269070270399</v>
      </c>
      <c r="Q3936">
        <v>0.24139465062482099</v>
      </c>
      <c r="R3936">
        <v>0.99201987853379903</v>
      </c>
      <c r="S3936" t="s">
        <v>9487</v>
      </c>
      <c r="T3936" t="s">
        <v>11100</v>
      </c>
      <c r="U3936" t="s">
        <v>11100</v>
      </c>
      <c r="V3936" t="s">
        <v>11100</v>
      </c>
      <c r="W3936" t="s">
        <v>14986</v>
      </c>
      <c r="X3936">
        <v>3</v>
      </c>
      <c r="Y3936" t="s">
        <v>20421</v>
      </c>
      <c r="Z3936" t="s">
        <v>25941</v>
      </c>
      <c r="AA3936">
        <v>0.57607939061042779</v>
      </c>
      <c r="AB3936" t="str">
        <f>HYPERLINK("Melting_Curves/meltCurve_Q8NEU8_APPL2.pdf", "Melting_Curves/meltCurve_Q8NEU8_APPL2.pdf")</f>
        <v>Melting_Curves/meltCurve_Q8NEU8_APPL2.pdf</v>
      </c>
    </row>
    <row r="3937" spans="1:28" x14ac:dyDescent="0.25">
      <c r="A3937" t="s">
        <v>3941</v>
      </c>
      <c r="B3937">
        <v>0.99299721793515405</v>
      </c>
      <c r="C3937">
        <v>0.97071037077894995</v>
      </c>
      <c r="D3937">
        <v>0.90041145803633404</v>
      </c>
      <c r="E3937">
        <v>0.85653210715268002</v>
      </c>
      <c r="F3937">
        <v>0.76372004876252197</v>
      </c>
      <c r="G3937">
        <v>0.50837773940317599</v>
      </c>
      <c r="H3937">
        <v>0.25297062966897998</v>
      </c>
      <c r="I3937">
        <v>0.17746321670259199</v>
      </c>
      <c r="J3937">
        <v>0.124827419412637</v>
      </c>
      <c r="K3937">
        <v>8.0323389810506005E-2</v>
      </c>
      <c r="L3937">
        <v>711.83125774567998</v>
      </c>
      <c r="M3937">
        <v>13.2722265708206</v>
      </c>
      <c r="N3937">
        <v>53.7103198281376</v>
      </c>
      <c r="O3937">
        <v>52.459434055132199</v>
      </c>
      <c r="P3937">
        <v>-6.2662727244930494E-2</v>
      </c>
      <c r="Q3937">
        <v>9.4456112093766597E-3</v>
      </c>
      <c r="R3937">
        <v>0.99189575615243797</v>
      </c>
      <c r="S3937" t="s">
        <v>9488</v>
      </c>
      <c r="T3937" t="s">
        <v>11100</v>
      </c>
      <c r="U3937" t="s">
        <v>11100</v>
      </c>
      <c r="V3937" t="s">
        <v>11100</v>
      </c>
      <c r="W3937" t="s">
        <v>14987</v>
      </c>
      <c r="X3937">
        <v>9</v>
      </c>
      <c r="Y3937" t="s">
        <v>20422</v>
      </c>
      <c r="Z3937" t="s">
        <v>25942</v>
      </c>
      <c r="AA3937">
        <v>0.57679551311703614</v>
      </c>
      <c r="AB3937" t="str">
        <f>HYPERLINK("Melting_Curves/meltCurve_Q8NEZ5_FBXO22.pdf", "Melting_Curves/meltCurve_Q8NEZ5_FBXO22.pdf")</f>
        <v>Melting_Curves/meltCurve_Q8NEZ5_FBXO22.pdf</v>
      </c>
    </row>
    <row r="3938" spans="1:28" x14ac:dyDescent="0.25">
      <c r="A3938" t="s">
        <v>3942</v>
      </c>
      <c r="B3938">
        <v>0.99299721793515405</v>
      </c>
      <c r="C3938">
        <v>1.1115263973727401</v>
      </c>
      <c r="D3938">
        <v>1.1523983249864</v>
      </c>
      <c r="E3938">
        <v>1.0638423986935099</v>
      </c>
      <c r="F3938">
        <v>0.84083965321335397</v>
      </c>
      <c r="G3938">
        <v>0.85882089082857305</v>
      </c>
      <c r="H3938">
        <v>0.37483256127901399</v>
      </c>
      <c r="I3938">
        <v>0.116109968766135</v>
      </c>
      <c r="J3938">
        <v>7.9985402622553298E-2</v>
      </c>
      <c r="K3938">
        <v>6.7268934764123406E-2</v>
      </c>
      <c r="L3938">
        <v>1815.3393164623999</v>
      </c>
      <c r="M3938">
        <v>32.2612733007741</v>
      </c>
      <c r="N3938">
        <v>56.4772302796163</v>
      </c>
      <c r="O3938">
        <v>56.055045671904601</v>
      </c>
      <c r="P3938">
        <v>-0.135848627151443</v>
      </c>
      <c r="Q3938">
        <v>5.5838529127125801E-2</v>
      </c>
      <c r="R3938">
        <v>0.96710926584625401</v>
      </c>
      <c r="S3938" t="s">
        <v>9489</v>
      </c>
      <c r="T3938" t="s">
        <v>11100</v>
      </c>
      <c r="U3938" t="s">
        <v>11100</v>
      </c>
      <c r="V3938" t="s">
        <v>11100</v>
      </c>
      <c r="W3938" t="s">
        <v>14988</v>
      </c>
      <c r="X3938">
        <v>9</v>
      </c>
      <c r="Y3938" t="s">
        <v>20423</v>
      </c>
      <c r="Z3938" t="s">
        <v>25943</v>
      </c>
      <c r="AA3938">
        <v>0.66749728805702047</v>
      </c>
      <c r="AB3938" t="str">
        <f>HYPERLINK("Melting_Curves/meltCurve_Q8NF37_LPCAT1.pdf", "Melting_Curves/meltCurve_Q8NF37_LPCAT1.pdf")</f>
        <v>Melting_Curves/meltCurve_Q8NF37_LPCAT1.pdf</v>
      </c>
    </row>
    <row r="3939" spans="1:28" x14ac:dyDescent="0.25">
      <c r="A3939" t="s">
        <v>3943</v>
      </c>
      <c r="B3939">
        <v>0.99299721793515405</v>
      </c>
      <c r="C3939">
        <v>1.02404536695392</v>
      </c>
      <c r="D3939">
        <v>0.87119968187448005</v>
      </c>
      <c r="E3939">
        <v>0.92771895803632298</v>
      </c>
      <c r="F3939">
        <v>0.73544534479137702</v>
      </c>
      <c r="G3939">
        <v>0.41772846497180999</v>
      </c>
      <c r="H3939">
        <v>0.49146624822614399</v>
      </c>
      <c r="I3939">
        <v>0.56806371774307596</v>
      </c>
      <c r="J3939">
        <v>0.66622126281032401</v>
      </c>
      <c r="K3939">
        <v>0.59588150650369898</v>
      </c>
      <c r="L3939">
        <v>12532.737254080601</v>
      </c>
      <c r="M3939">
        <v>250</v>
      </c>
      <c r="O3939">
        <v>50.127740991293599</v>
      </c>
      <c r="P3939">
        <v>-0.56371949931389198</v>
      </c>
      <c r="Q3939">
        <v>0.54787223988560596</v>
      </c>
      <c r="R3939">
        <v>0.85796991569593595</v>
      </c>
      <c r="S3939" t="s">
        <v>9490</v>
      </c>
      <c r="T3939" t="s">
        <v>11100</v>
      </c>
      <c r="U3939" t="s">
        <v>11100</v>
      </c>
      <c r="V3939" t="s">
        <v>11100</v>
      </c>
      <c r="W3939" t="s">
        <v>14989</v>
      </c>
      <c r="X3939">
        <v>2</v>
      </c>
      <c r="Z3939" t="s">
        <v>25944</v>
      </c>
      <c r="AA3939">
        <v>0.74580756988065111</v>
      </c>
      <c r="AB3939" t="str">
        <f>HYPERLINK("Melting_Curves/meltCurve_Q8NF67_.pdf", "Melting_Curves/meltCurve_Q8NF67_.pdf")</f>
        <v>Melting_Curves/meltCurve_Q8NF67_.pdf</v>
      </c>
    </row>
    <row r="3940" spans="1:28" x14ac:dyDescent="0.25">
      <c r="A3940" t="s">
        <v>3944</v>
      </c>
      <c r="B3940">
        <v>0.99299721793515405</v>
      </c>
      <c r="C3940">
        <v>0.93532344599150397</v>
      </c>
      <c r="D3940">
        <v>0.95703982277649602</v>
      </c>
      <c r="E3940">
        <v>0.82890469557278701</v>
      </c>
      <c r="F3940">
        <v>0.71870414416325301</v>
      </c>
      <c r="G3940">
        <v>0.56820214014831105</v>
      </c>
      <c r="H3940">
        <v>0.48721440885112199</v>
      </c>
      <c r="I3940">
        <v>0.51983509481339496</v>
      </c>
      <c r="J3940">
        <v>0.53490580548319899</v>
      </c>
      <c r="K3940">
        <v>0.46165085185468602</v>
      </c>
      <c r="L3940">
        <v>751.854739948717</v>
      </c>
      <c r="M3940">
        <v>15.3422091323086</v>
      </c>
      <c r="N3940">
        <v>61.432909013122298</v>
      </c>
      <c r="O3940">
        <v>48.195700554047797</v>
      </c>
      <c r="P3940">
        <v>-4.1581444694797201E-2</v>
      </c>
      <c r="Q3940">
        <v>0.47755593228725701</v>
      </c>
      <c r="R3940">
        <v>0.97997514657056894</v>
      </c>
      <c r="S3940" t="s">
        <v>9491</v>
      </c>
      <c r="T3940" t="s">
        <v>11100</v>
      </c>
      <c r="U3940" t="s">
        <v>11100</v>
      </c>
      <c r="V3940" t="s">
        <v>11100</v>
      </c>
      <c r="W3940" t="s">
        <v>14990</v>
      </c>
      <c r="X3940">
        <v>25</v>
      </c>
      <c r="Y3940" t="s">
        <v>20424</v>
      </c>
      <c r="Z3940" t="s">
        <v>25945</v>
      </c>
      <c r="AA3940">
        <v>0.69747565608576145</v>
      </c>
      <c r="AB3940" t="str">
        <f>HYPERLINK("Melting_Curves/meltCurve_Q8NFC6_BOD1L1.pdf", "Melting_Curves/meltCurve_Q8NFC6_BOD1L1.pdf")</f>
        <v>Melting_Curves/meltCurve_Q8NFC6_BOD1L1.pdf</v>
      </c>
    </row>
    <row r="3941" spans="1:28" x14ac:dyDescent="0.25">
      <c r="A3941" t="s">
        <v>3945</v>
      </c>
      <c r="B3941">
        <v>0.99299721793515405</v>
      </c>
      <c r="C3941">
        <v>0.96953238426737598</v>
      </c>
      <c r="D3941">
        <v>0.87474117286090503</v>
      </c>
      <c r="E3941">
        <v>0.74656011998202798</v>
      </c>
      <c r="F3941">
        <v>0.66282410704031902</v>
      </c>
      <c r="G3941">
        <v>0.35699700493234898</v>
      </c>
      <c r="H3941">
        <v>0.15096649204308701</v>
      </c>
      <c r="I3941">
        <v>0.12482449588528401</v>
      </c>
      <c r="J3941">
        <v>0.110323323339434</v>
      </c>
      <c r="K3941">
        <v>9.8382312241012404E-2</v>
      </c>
      <c r="L3941">
        <v>656.50951820455396</v>
      </c>
      <c r="M3941">
        <v>12.823498085921001</v>
      </c>
      <c r="N3941">
        <v>51.398326796093002</v>
      </c>
      <c r="O3941">
        <v>49.998740715419302</v>
      </c>
      <c r="P3941">
        <v>-6.2551240843922704E-2</v>
      </c>
      <c r="Q3941">
        <v>2.4634102960622701E-2</v>
      </c>
      <c r="R3941">
        <v>0.98626767813846405</v>
      </c>
      <c r="S3941" t="s">
        <v>9492</v>
      </c>
      <c r="T3941" t="s">
        <v>11100</v>
      </c>
      <c r="U3941" t="s">
        <v>11100</v>
      </c>
      <c r="V3941" t="s">
        <v>11100</v>
      </c>
      <c r="W3941" t="s">
        <v>14991</v>
      </c>
      <c r="X3941">
        <v>11</v>
      </c>
      <c r="Y3941" t="s">
        <v>20425</v>
      </c>
      <c r="Z3941" t="s">
        <v>25946</v>
      </c>
      <c r="AA3941">
        <v>0.50954486314464809</v>
      </c>
      <c r="AB3941" t="str">
        <f>HYPERLINK("Melting_Curves/meltCurve_Q8NFF5_2_FLAD1.pdf", "Melting_Curves/meltCurve_Q8NFF5_2_FLAD1.pdf")</f>
        <v>Melting_Curves/meltCurve_Q8NFF5_2_FLAD1.pdf</v>
      </c>
    </row>
    <row r="3942" spans="1:28" x14ac:dyDescent="0.25">
      <c r="A3942" t="s">
        <v>3946</v>
      </c>
      <c r="B3942">
        <v>0.99299721793515405</v>
      </c>
      <c r="C3942">
        <v>0.86724938028986798</v>
      </c>
      <c r="D3942">
        <v>0.86226611959126098</v>
      </c>
      <c r="E3942">
        <v>0.776454709042391</v>
      </c>
      <c r="F3942">
        <v>0.64963498068696102</v>
      </c>
      <c r="G3942">
        <v>0.41998795474899198</v>
      </c>
      <c r="H3942">
        <v>0.27901552962633902</v>
      </c>
      <c r="I3942">
        <v>0.214768578098919</v>
      </c>
      <c r="J3942">
        <v>0.171709588514283</v>
      </c>
      <c r="K3942">
        <v>0.13720228761325501</v>
      </c>
      <c r="L3942">
        <v>470.62838027598701</v>
      </c>
      <c r="M3942">
        <v>8.9795207426839792</v>
      </c>
      <c r="N3942">
        <v>52.411302748207497</v>
      </c>
      <c r="O3942">
        <v>50.007652664909202</v>
      </c>
      <c r="P3942">
        <v>-4.4923615820499398E-2</v>
      </c>
      <c r="Q3942">
        <v>0</v>
      </c>
      <c r="R3942">
        <v>0.98811179529040705</v>
      </c>
      <c r="S3942" t="s">
        <v>9493</v>
      </c>
      <c r="T3942" t="s">
        <v>11100</v>
      </c>
      <c r="U3942" t="s">
        <v>11100</v>
      </c>
      <c r="V3942" t="s">
        <v>11100</v>
      </c>
      <c r="W3942" t="s">
        <v>14992</v>
      </c>
      <c r="X3942">
        <v>3</v>
      </c>
      <c r="Y3942" t="s">
        <v>20426</v>
      </c>
      <c r="Z3942" t="s">
        <v>25947</v>
      </c>
      <c r="AA3942">
        <v>0.53937871431078521</v>
      </c>
      <c r="AB3942" t="str">
        <f>HYPERLINK("Melting_Curves/meltCurve_Q8NFG4_FLCN.pdf", "Melting_Curves/meltCurve_Q8NFG4_FLCN.pdf")</f>
        <v>Melting_Curves/meltCurve_Q8NFG4_FLCN.pdf</v>
      </c>
    </row>
    <row r="3943" spans="1:28" x14ac:dyDescent="0.25">
      <c r="A3943" t="s">
        <v>3947</v>
      </c>
      <c r="B3943">
        <v>0.99299721793515405</v>
      </c>
      <c r="C3943">
        <v>0.94507026354111001</v>
      </c>
      <c r="D3943">
        <v>0.89292744819509895</v>
      </c>
      <c r="E3943">
        <v>0.880818028590441</v>
      </c>
      <c r="F3943">
        <v>0.71340025078949498</v>
      </c>
      <c r="G3943">
        <v>0.60913980715015703</v>
      </c>
      <c r="H3943">
        <v>0.49431849831660402</v>
      </c>
      <c r="I3943">
        <v>0.446908590103961</v>
      </c>
      <c r="J3943">
        <v>0.29214914355020399</v>
      </c>
      <c r="K3943">
        <v>0.178296918068789</v>
      </c>
      <c r="L3943">
        <v>439.51658504971402</v>
      </c>
      <c r="M3943">
        <v>7.7063968843933797</v>
      </c>
      <c r="N3943">
        <v>57.032695123250697</v>
      </c>
      <c r="O3943">
        <v>53.573559665301197</v>
      </c>
      <c r="P3943">
        <v>-3.6008507495867599E-2</v>
      </c>
      <c r="Q3943">
        <v>0</v>
      </c>
      <c r="R3943">
        <v>0.98351082865844197</v>
      </c>
      <c r="S3943" t="s">
        <v>9494</v>
      </c>
      <c r="T3943" t="s">
        <v>11100</v>
      </c>
      <c r="U3943" t="s">
        <v>11100</v>
      </c>
      <c r="V3943" t="s">
        <v>11100</v>
      </c>
      <c r="W3943" t="s">
        <v>14993</v>
      </c>
      <c r="X3943">
        <v>5</v>
      </c>
      <c r="Y3943" t="s">
        <v>20427</v>
      </c>
      <c r="Z3943" t="s">
        <v>25948</v>
      </c>
      <c r="AA3943">
        <v>0.65446858376016825</v>
      </c>
      <c r="AB3943" t="str">
        <f>HYPERLINK("Melting_Curves/meltCurve_Q8NFH3_NUP43.pdf", "Melting_Curves/meltCurve_Q8NFH3_NUP43.pdf")</f>
        <v>Melting_Curves/meltCurve_Q8NFH3_NUP43.pdf</v>
      </c>
    </row>
    <row r="3944" spans="1:28" x14ac:dyDescent="0.25">
      <c r="A3944" t="s">
        <v>3948</v>
      </c>
      <c r="B3944">
        <v>0.99299721793515405</v>
      </c>
      <c r="C3944">
        <v>0.89515103300964605</v>
      </c>
      <c r="D3944">
        <v>0.85929176466308199</v>
      </c>
      <c r="E3944">
        <v>0.72743224358036196</v>
      </c>
      <c r="F3944">
        <v>0.71388718388223005</v>
      </c>
      <c r="G3944">
        <v>0.48558127111639698</v>
      </c>
      <c r="H3944">
        <v>0.53139926850484098</v>
      </c>
      <c r="I3944">
        <v>0.56027032952279299</v>
      </c>
      <c r="J3944">
        <v>0.173568625716254</v>
      </c>
      <c r="K3944">
        <v>0.13444776853377499</v>
      </c>
      <c r="L3944">
        <v>365.61969871551298</v>
      </c>
      <c r="M3944">
        <v>6.5711755671403802</v>
      </c>
      <c r="N3944">
        <v>55.639934602776201</v>
      </c>
      <c r="O3944">
        <v>51.162469427260497</v>
      </c>
      <c r="P3944">
        <v>-3.2184333516684503E-2</v>
      </c>
      <c r="Q3944">
        <v>0</v>
      </c>
      <c r="R3944">
        <v>0.88541606315404398</v>
      </c>
      <c r="S3944" t="s">
        <v>9495</v>
      </c>
      <c r="T3944" t="s">
        <v>11100</v>
      </c>
      <c r="U3944" t="s">
        <v>11100</v>
      </c>
      <c r="V3944" t="s">
        <v>11100</v>
      </c>
      <c r="W3944" t="s">
        <v>14994</v>
      </c>
      <c r="X3944">
        <v>5</v>
      </c>
      <c r="Y3944" t="s">
        <v>20428</v>
      </c>
      <c r="Z3944" t="s">
        <v>25949</v>
      </c>
      <c r="AA3944">
        <v>0.61401271383224165</v>
      </c>
      <c r="AB3944" t="str">
        <f>HYPERLINK("Melting_Curves/meltCurve_Q8NFH4_NUP37.pdf", "Melting_Curves/meltCurve_Q8NFH4_NUP37.pdf")</f>
        <v>Melting_Curves/meltCurve_Q8NFH4_NUP37.pdf</v>
      </c>
    </row>
    <row r="3945" spans="1:28" x14ac:dyDescent="0.25">
      <c r="A3945" t="s">
        <v>3949</v>
      </c>
      <c r="B3945">
        <v>0.99299721793515405</v>
      </c>
      <c r="C3945">
        <v>0.70251327519469897</v>
      </c>
      <c r="D3945">
        <v>0.78101398500336205</v>
      </c>
      <c r="E3945">
        <v>0.65927997285782403</v>
      </c>
      <c r="F3945">
        <v>0.33598700033186601</v>
      </c>
      <c r="G3945">
        <v>0.13232134900543899</v>
      </c>
      <c r="H3945">
        <v>0.19626814359016101</v>
      </c>
      <c r="I3945">
        <v>6.7703059797810702E-2</v>
      </c>
      <c r="J3945">
        <v>6.36954962899655E-2</v>
      </c>
      <c r="K3945">
        <v>0</v>
      </c>
      <c r="L3945">
        <v>498.84583548506998</v>
      </c>
      <c r="M3945">
        <v>10.517733134451699</v>
      </c>
      <c r="N3945">
        <v>47.429025714559202</v>
      </c>
      <c r="O3945">
        <v>45.810716047918298</v>
      </c>
      <c r="P3945">
        <v>-5.7420787476790199E-2</v>
      </c>
      <c r="Q3945">
        <v>0</v>
      </c>
      <c r="R3945">
        <v>0.94692741565965</v>
      </c>
      <c r="S3945" t="s">
        <v>9496</v>
      </c>
      <c r="T3945" t="s">
        <v>11100</v>
      </c>
      <c r="U3945" t="s">
        <v>11100</v>
      </c>
      <c r="V3945" t="s">
        <v>11100</v>
      </c>
      <c r="W3945" t="s">
        <v>14995</v>
      </c>
      <c r="X3945">
        <v>2</v>
      </c>
      <c r="Y3945" t="s">
        <v>20429</v>
      </c>
      <c r="Z3945" t="s">
        <v>25950</v>
      </c>
      <c r="AA3945">
        <v>0.38670157974333907</v>
      </c>
      <c r="AB3945" t="str">
        <f>HYPERLINK("Melting_Curves/meltCurve_Q8NFH8_4_REPS2.pdf", "Melting_Curves/meltCurve_Q8NFH8_4_REPS2.pdf")</f>
        <v>Melting_Curves/meltCurve_Q8NFH8_4_REPS2.pdf</v>
      </c>
    </row>
    <row r="3946" spans="1:28" x14ac:dyDescent="0.25">
      <c r="A3946" t="s">
        <v>3950</v>
      </c>
      <c r="B3946">
        <v>0.99299721793515405</v>
      </c>
      <c r="C3946">
        <v>0.96295502422752699</v>
      </c>
      <c r="D3946">
        <v>0.664082637694558</v>
      </c>
      <c r="E3946">
        <v>0.65645521636258397</v>
      </c>
      <c r="F3946">
        <v>0.71179930251149703</v>
      </c>
      <c r="G3946">
        <v>0.48014639231893902</v>
      </c>
      <c r="H3946">
        <v>0.38155519881268102</v>
      </c>
      <c r="I3946">
        <v>0.122965807190785</v>
      </c>
      <c r="J3946">
        <v>0.12580615428592501</v>
      </c>
      <c r="K3946">
        <v>7.5016724343890395E-2</v>
      </c>
      <c r="L3946">
        <v>424.15352282745698</v>
      </c>
      <c r="M3946">
        <v>8.1804011896424296</v>
      </c>
      <c r="N3946">
        <v>51.849965855750703</v>
      </c>
      <c r="O3946">
        <v>49.027897842508303</v>
      </c>
      <c r="P3946">
        <v>-4.1756410062803999E-2</v>
      </c>
      <c r="Q3946">
        <v>0</v>
      </c>
      <c r="R3946">
        <v>0.91853860170830304</v>
      </c>
      <c r="S3946" t="s">
        <v>9497</v>
      </c>
      <c r="T3946" t="s">
        <v>11100</v>
      </c>
      <c r="U3946" t="s">
        <v>11100</v>
      </c>
      <c r="V3946" t="s">
        <v>11100</v>
      </c>
      <c r="W3946" t="s">
        <v>14996</v>
      </c>
      <c r="X3946">
        <v>2</v>
      </c>
      <c r="Y3946" t="s">
        <v>20430</v>
      </c>
      <c r="Z3946" t="s">
        <v>25951</v>
      </c>
      <c r="AA3946">
        <v>0.52438179731510437</v>
      </c>
      <c r="AB3946" t="str">
        <f>HYPERLINK("Melting_Curves/meltCurve_Q8NFI3_ENGASE.pdf", "Melting_Curves/meltCurve_Q8NFI3_ENGASE.pdf")</f>
        <v>Melting_Curves/meltCurve_Q8NFI3_ENGASE.pdf</v>
      </c>
    </row>
    <row r="3947" spans="1:28" x14ac:dyDescent="0.25">
      <c r="A3947" t="s">
        <v>3951</v>
      </c>
      <c r="B3947">
        <v>0.99299721793515405</v>
      </c>
      <c r="C3947">
        <v>0.94288254863360699</v>
      </c>
      <c r="D3947">
        <v>0.90577811077692305</v>
      </c>
      <c r="E3947">
        <v>0.95565049166913196</v>
      </c>
      <c r="F3947">
        <v>0.73233257115778005</v>
      </c>
      <c r="G3947">
        <v>0.38692798093674102</v>
      </c>
      <c r="H3947">
        <v>0.31526898095815498</v>
      </c>
      <c r="I3947">
        <v>0.33984614350680098</v>
      </c>
      <c r="J3947">
        <v>0.26412576729716403</v>
      </c>
      <c r="K3947">
        <v>0.147334456433967</v>
      </c>
      <c r="L3947">
        <v>1242.13089810462</v>
      </c>
      <c r="M3947">
        <v>24.2270323508776</v>
      </c>
      <c r="N3947">
        <v>52.701327878995002</v>
      </c>
      <c r="O3947">
        <v>50.924963292704597</v>
      </c>
      <c r="P3947">
        <v>-9.0272984296812894E-2</v>
      </c>
      <c r="Q3947">
        <v>0.24100012044718899</v>
      </c>
      <c r="R3947">
        <v>0.97087462291611903</v>
      </c>
      <c r="S3947" t="s">
        <v>9498</v>
      </c>
      <c r="T3947" t="s">
        <v>11100</v>
      </c>
      <c r="U3947" t="s">
        <v>11100</v>
      </c>
      <c r="V3947" t="s">
        <v>11100</v>
      </c>
      <c r="W3947" t="s">
        <v>14997</v>
      </c>
      <c r="X3947">
        <v>13</v>
      </c>
      <c r="Y3947" t="s">
        <v>20431</v>
      </c>
      <c r="Z3947" t="s">
        <v>25952</v>
      </c>
      <c r="AA3947">
        <v>0.60914702936882459</v>
      </c>
      <c r="AB3947" t="str">
        <f>HYPERLINK("Melting_Curves/meltCurve_Q8NFP7_NUDT10.pdf", "Melting_Curves/meltCurve_Q8NFP7_NUDT10.pdf")</f>
        <v>Melting_Curves/meltCurve_Q8NFP7_NUDT10.pdf</v>
      </c>
    </row>
    <row r="3948" spans="1:28" x14ac:dyDescent="0.25">
      <c r="A3948" t="s">
        <v>3952</v>
      </c>
      <c r="B3948">
        <v>0.99299721793515405</v>
      </c>
      <c r="C3948">
        <v>0.93213745325770103</v>
      </c>
      <c r="D3948">
        <v>0.96478111009534695</v>
      </c>
      <c r="E3948">
        <v>0.83757398389764204</v>
      </c>
      <c r="F3948">
        <v>0.76618587788553405</v>
      </c>
      <c r="G3948">
        <v>0.46301209106543401</v>
      </c>
      <c r="H3948">
        <v>0.37452685222230903</v>
      </c>
      <c r="I3948">
        <v>0.31081903010571799</v>
      </c>
      <c r="J3948">
        <v>0.343817895326333</v>
      </c>
      <c r="K3948">
        <v>0.31373577580060102</v>
      </c>
      <c r="L3948">
        <v>876.60326917112798</v>
      </c>
      <c r="M3948">
        <v>17.169517193267399</v>
      </c>
      <c r="N3948">
        <v>53.8245872547514</v>
      </c>
      <c r="O3948">
        <v>50.378276733904499</v>
      </c>
      <c r="P3948">
        <v>-6.0218631521890102E-2</v>
      </c>
      <c r="Q3948">
        <v>0.29327507984710099</v>
      </c>
      <c r="R3948">
        <v>0.98197545289607902</v>
      </c>
      <c r="S3948" t="s">
        <v>9499</v>
      </c>
      <c r="T3948" t="s">
        <v>11100</v>
      </c>
      <c r="U3948" t="s">
        <v>11100</v>
      </c>
      <c r="V3948" t="s">
        <v>11100</v>
      </c>
      <c r="W3948" t="s">
        <v>14998</v>
      </c>
      <c r="X3948">
        <v>7</v>
      </c>
      <c r="Y3948" t="s">
        <v>20432</v>
      </c>
      <c r="Z3948" t="s">
        <v>25953</v>
      </c>
      <c r="AA3948">
        <v>0.63615286676164329</v>
      </c>
      <c r="AB3948" t="str">
        <f>HYPERLINK("Melting_Curves/meltCurve_Q8NFQ8_TOR1AIP2.pdf", "Melting_Curves/meltCurve_Q8NFQ8_TOR1AIP2.pdf")</f>
        <v>Melting_Curves/meltCurve_Q8NFQ8_TOR1AIP2.pdf</v>
      </c>
    </row>
    <row r="3949" spans="1:28" x14ac:dyDescent="0.25">
      <c r="A3949" t="s">
        <v>3953</v>
      </c>
      <c r="B3949">
        <v>0.99299721793515405</v>
      </c>
      <c r="C3949">
        <v>0.86050570808641702</v>
      </c>
      <c r="D3949">
        <v>1.0038859618179601</v>
      </c>
      <c r="E3949">
        <v>0.82989325405949199</v>
      </c>
      <c r="F3949">
        <v>0.80303384745279405</v>
      </c>
      <c r="G3949">
        <v>0.29426495198110197</v>
      </c>
      <c r="H3949">
        <v>0.12003371251326</v>
      </c>
      <c r="I3949">
        <v>5.1796463613598402E-2</v>
      </c>
      <c r="J3949">
        <v>0.14635089278642299</v>
      </c>
      <c r="K3949">
        <v>0.12554218068089701</v>
      </c>
      <c r="L3949">
        <v>1687.0644760090099</v>
      </c>
      <c r="M3949">
        <v>32.5539377800472</v>
      </c>
      <c r="N3949">
        <v>52.175502920552098</v>
      </c>
      <c r="O3949">
        <v>51.629285524405198</v>
      </c>
      <c r="P3949">
        <v>-0.14209917383190801</v>
      </c>
      <c r="Q3949">
        <v>9.8549097231590305E-2</v>
      </c>
      <c r="R3949">
        <v>0.96705684717052798</v>
      </c>
      <c r="S3949" t="s">
        <v>9500</v>
      </c>
      <c r="T3949" t="s">
        <v>11100</v>
      </c>
      <c r="U3949" t="s">
        <v>11100</v>
      </c>
      <c r="V3949" t="s">
        <v>11100</v>
      </c>
      <c r="W3949" t="s">
        <v>14999</v>
      </c>
      <c r="X3949">
        <v>2</v>
      </c>
      <c r="Y3949" t="s">
        <v>20433</v>
      </c>
      <c r="Z3949" t="s">
        <v>25954</v>
      </c>
      <c r="AA3949">
        <v>0.54882056661573675</v>
      </c>
      <c r="AB3949" t="str">
        <f>HYPERLINK("Melting_Curves/meltCurve_Q8NFU5_IPMK.pdf", "Melting_Curves/meltCurve_Q8NFU5_IPMK.pdf")</f>
        <v>Melting_Curves/meltCurve_Q8NFU5_IPMK.pdf</v>
      </c>
    </row>
    <row r="3950" spans="1:28" x14ac:dyDescent="0.25">
      <c r="A3950" t="s">
        <v>3954</v>
      </c>
      <c r="B3950">
        <v>0.99299721793515405</v>
      </c>
      <c r="C3950">
        <v>0.96475355106795402</v>
      </c>
      <c r="D3950">
        <v>0.99823974768553203</v>
      </c>
      <c r="E3950">
        <v>0.83490999397909105</v>
      </c>
      <c r="F3950">
        <v>0.62643111533022899</v>
      </c>
      <c r="G3950">
        <v>0.24814552908795301</v>
      </c>
      <c r="H3950">
        <v>0.216723123111737</v>
      </c>
      <c r="I3950">
        <v>0.19822888613004599</v>
      </c>
      <c r="J3950">
        <v>0.18980585572650399</v>
      </c>
      <c r="K3950">
        <v>0.18359221798123401</v>
      </c>
      <c r="L3950">
        <v>1220.32509539027</v>
      </c>
      <c r="M3950">
        <v>24.376646300374201</v>
      </c>
      <c r="N3950">
        <v>50.976680564908897</v>
      </c>
      <c r="O3950">
        <v>49.727963427112698</v>
      </c>
      <c r="P3950">
        <v>-0.10082838434288199</v>
      </c>
      <c r="Q3950">
        <v>0.17725882066674201</v>
      </c>
      <c r="R3950">
        <v>0.992039035138086</v>
      </c>
      <c r="S3950" t="s">
        <v>9501</v>
      </c>
      <c r="T3950" t="s">
        <v>11100</v>
      </c>
      <c r="U3950" t="s">
        <v>11100</v>
      </c>
      <c r="V3950" t="s">
        <v>11100</v>
      </c>
      <c r="W3950" t="s">
        <v>15000</v>
      </c>
      <c r="X3950">
        <v>9</v>
      </c>
      <c r="Y3950" t="s">
        <v>20434</v>
      </c>
      <c r="Z3950" t="s">
        <v>25955</v>
      </c>
      <c r="AA3950">
        <v>0.54301228201175822</v>
      </c>
      <c r="AB3950" t="str">
        <f>HYPERLINK("Melting_Curves/meltCurve_Q8NFV4_ABHD11.pdf", "Melting_Curves/meltCurve_Q8NFV4_ABHD11.pdf")</f>
        <v>Melting_Curves/meltCurve_Q8NFV4_ABHD11.pdf</v>
      </c>
    </row>
    <row r="3951" spans="1:28" x14ac:dyDescent="0.25">
      <c r="A3951" t="s">
        <v>3955</v>
      </c>
      <c r="B3951">
        <v>0.99299721793515405</v>
      </c>
      <c r="C3951">
        <v>1.0627655888540599</v>
      </c>
      <c r="D3951">
        <v>1.4269523869237599</v>
      </c>
      <c r="E3951">
        <v>1.1034471656705001</v>
      </c>
      <c r="F3951">
        <v>0.71392961219335305</v>
      </c>
      <c r="G3951">
        <v>0.369161391323096</v>
      </c>
      <c r="H3951">
        <v>0.27926825005241401</v>
      </c>
      <c r="I3951">
        <v>0.20107355671030999</v>
      </c>
      <c r="J3951">
        <v>0.20249503374872299</v>
      </c>
      <c r="K3951">
        <v>0.152482229145709</v>
      </c>
      <c r="L3951">
        <v>1738.68596551169</v>
      </c>
      <c r="M3951">
        <v>33.824073858447001</v>
      </c>
      <c r="N3951">
        <v>52.211692312459299</v>
      </c>
      <c r="O3951">
        <v>51.225118112093497</v>
      </c>
      <c r="P3951">
        <v>-0.13144354896216501</v>
      </c>
      <c r="Q3951">
        <v>0.20374060265241001</v>
      </c>
      <c r="R3951">
        <v>0.892738328696142</v>
      </c>
      <c r="S3951" t="s">
        <v>9502</v>
      </c>
      <c r="T3951" t="s">
        <v>11100</v>
      </c>
      <c r="U3951" t="s">
        <v>11100</v>
      </c>
      <c r="V3951" t="s">
        <v>11100</v>
      </c>
      <c r="W3951" t="s">
        <v>15001</v>
      </c>
      <c r="X3951">
        <v>4</v>
      </c>
      <c r="Y3951" t="s">
        <v>20435</v>
      </c>
      <c r="Z3951" t="s">
        <v>25956</v>
      </c>
      <c r="AA3951">
        <v>0.58998975094614581</v>
      </c>
      <c r="AB3951" t="str">
        <f>HYPERLINK("Melting_Curves/meltCurve_Q8NFX7_2_STXBP6.pdf", "Melting_Curves/meltCurve_Q8NFX7_2_STXBP6.pdf")</f>
        <v>Melting_Curves/meltCurve_Q8NFX7_2_STXBP6.pdf</v>
      </c>
    </row>
    <row r="3952" spans="1:28" x14ac:dyDescent="0.25">
      <c r="A3952" t="s">
        <v>3956</v>
      </c>
      <c r="B3952">
        <v>0.99299721793515405</v>
      </c>
      <c r="C3952">
        <v>0.87895692895368904</v>
      </c>
      <c r="D3952">
        <v>1.00345263515074</v>
      </c>
      <c r="E3952">
        <v>1.0431631862637301</v>
      </c>
      <c r="F3952">
        <v>0.78746901391670399</v>
      </c>
      <c r="G3952">
        <v>0.60009857505533604</v>
      </c>
      <c r="H3952">
        <v>0.58332447806056498</v>
      </c>
      <c r="I3952">
        <v>0.419174102520605</v>
      </c>
      <c r="J3952">
        <v>0.28411792712691097</v>
      </c>
      <c r="K3952">
        <v>0.32165000652836101</v>
      </c>
      <c r="L3952">
        <v>737.55148597771495</v>
      </c>
      <c r="M3952">
        <v>13.4801978244152</v>
      </c>
      <c r="N3952">
        <v>57.649204975996902</v>
      </c>
      <c r="O3952">
        <v>53.551717594218601</v>
      </c>
      <c r="P3952">
        <v>-4.7311607194571302E-2</v>
      </c>
      <c r="Q3952">
        <v>0.248310953096606</v>
      </c>
      <c r="R3952">
        <v>0.94536544708134096</v>
      </c>
      <c r="S3952" t="s">
        <v>9503</v>
      </c>
      <c r="T3952" t="s">
        <v>11100</v>
      </c>
      <c r="U3952" t="s">
        <v>11100</v>
      </c>
      <c r="V3952" t="s">
        <v>11100</v>
      </c>
      <c r="W3952" t="s">
        <v>15002</v>
      </c>
      <c r="X3952">
        <v>1</v>
      </c>
      <c r="Y3952" t="s">
        <v>20436</v>
      </c>
      <c r="Z3952" t="s">
        <v>25957</v>
      </c>
      <c r="AA3952">
        <v>0.7036581730811925</v>
      </c>
      <c r="AB3952" t="str">
        <f>HYPERLINK("Melting_Curves/meltCurve_Q8NFZ4_NLGN2.pdf", "Melting_Curves/meltCurve_Q8NFZ4_NLGN2.pdf")</f>
        <v>Melting_Curves/meltCurve_Q8NFZ4_NLGN2.pdf</v>
      </c>
    </row>
    <row r="3953" spans="1:28" x14ac:dyDescent="0.25">
      <c r="A3953" t="s">
        <v>3957</v>
      </c>
      <c r="B3953">
        <v>0.99299721793515405</v>
      </c>
      <c r="C3953">
        <v>0.94318522199119703</v>
      </c>
      <c r="D3953">
        <v>0.93657040250075796</v>
      </c>
      <c r="E3953">
        <v>0.88377719145301203</v>
      </c>
      <c r="F3953">
        <v>0.74381317962906002</v>
      </c>
      <c r="G3953">
        <v>0.57255221495262298</v>
      </c>
      <c r="H3953">
        <v>0.58139988882950999</v>
      </c>
      <c r="I3953">
        <v>0.73740113289128095</v>
      </c>
      <c r="J3953">
        <v>0.75583772002458105</v>
      </c>
      <c r="K3953">
        <v>0.53121582165710202</v>
      </c>
      <c r="L3953">
        <v>1219.6633297133601</v>
      </c>
      <c r="M3953">
        <v>25.546751366653599</v>
      </c>
      <c r="O3953">
        <v>47.452744349959502</v>
      </c>
      <c r="P3953">
        <v>-4.9030288550689603E-2</v>
      </c>
      <c r="Q3953">
        <v>0.63571209754834301</v>
      </c>
      <c r="R3953">
        <v>0.79777177703800195</v>
      </c>
      <c r="S3953" t="s">
        <v>9504</v>
      </c>
      <c r="T3953" t="s">
        <v>11100</v>
      </c>
      <c r="U3953" t="s">
        <v>11100</v>
      </c>
      <c r="V3953" t="s">
        <v>11100</v>
      </c>
      <c r="W3953" t="s">
        <v>15003</v>
      </c>
      <c r="X3953">
        <v>7</v>
      </c>
      <c r="Y3953" t="s">
        <v>20437</v>
      </c>
      <c r="Z3953" t="s">
        <v>25958</v>
      </c>
      <c r="AA3953">
        <v>0.76911881105620539</v>
      </c>
      <c r="AB3953" t="str">
        <f>HYPERLINK("Melting_Curves/meltCurve_Q8NFZ8_CADM4.pdf", "Melting_Curves/meltCurve_Q8NFZ8_CADM4.pdf")</f>
        <v>Melting_Curves/meltCurve_Q8NFZ8_CADM4.pdf</v>
      </c>
    </row>
    <row r="3954" spans="1:28" x14ac:dyDescent="0.25">
      <c r="A3954" t="s">
        <v>3958</v>
      </c>
      <c r="B3954">
        <v>0.99299721793515405</v>
      </c>
      <c r="C3954">
        <v>0.98495636097971595</v>
      </c>
      <c r="D3954">
        <v>1.0288798386179101</v>
      </c>
      <c r="E3954">
        <v>1.04801634057899</v>
      </c>
      <c r="F3954">
        <v>0.82469234871595298</v>
      </c>
      <c r="G3954">
        <v>0.77659639092931398</v>
      </c>
      <c r="H3954">
        <v>0.59601544092790804</v>
      </c>
      <c r="I3954">
        <v>0.30396688767233998</v>
      </c>
      <c r="J3954">
        <v>0.20188283279924399</v>
      </c>
      <c r="K3954">
        <v>0.14418843239538001</v>
      </c>
      <c r="L3954">
        <v>843.68396747954796</v>
      </c>
      <c r="M3954">
        <v>14.4915543113607</v>
      </c>
      <c r="N3954">
        <v>58.219011538635399</v>
      </c>
      <c r="O3954">
        <v>57.144068869377399</v>
      </c>
      <c r="P3954">
        <v>-6.3406536903184901E-2</v>
      </c>
      <c r="Q3954">
        <v>0</v>
      </c>
      <c r="R3954">
        <v>0.98429852340522295</v>
      </c>
      <c r="S3954" t="s">
        <v>9505</v>
      </c>
      <c r="T3954" t="s">
        <v>11100</v>
      </c>
      <c r="U3954" t="s">
        <v>11100</v>
      </c>
      <c r="V3954" t="s">
        <v>11100</v>
      </c>
      <c r="W3954" t="s">
        <v>15004</v>
      </c>
      <c r="X3954">
        <v>5</v>
      </c>
      <c r="Y3954" t="s">
        <v>20438</v>
      </c>
      <c r="Z3954" t="s">
        <v>25959</v>
      </c>
      <c r="AA3954">
        <v>0.70976299798853715</v>
      </c>
      <c r="AB3954" t="str">
        <f>HYPERLINK("Melting_Curves/meltCurve_Q8NG08_HELB.pdf", "Melting_Curves/meltCurve_Q8NG08_HELB.pdf")</f>
        <v>Melting_Curves/meltCurve_Q8NG08_HELB.pdf</v>
      </c>
    </row>
    <row r="3955" spans="1:28" x14ac:dyDescent="0.25">
      <c r="A3955" t="s">
        <v>3959</v>
      </c>
      <c r="B3955">
        <v>0.99299721793515405</v>
      </c>
      <c r="C3955">
        <v>0.834078877399129</v>
      </c>
      <c r="D3955">
        <v>0.82839784848860398</v>
      </c>
      <c r="E3955">
        <v>0.66451445060486902</v>
      </c>
      <c r="F3955">
        <v>0.41817094288879703</v>
      </c>
      <c r="G3955">
        <v>0.336689588049501</v>
      </c>
      <c r="H3955">
        <v>0.239240940613279</v>
      </c>
      <c r="I3955">
        <v>0.27950223632650201</v>
      </c>
      <c r="J3955">
        <v>0.221117527388628</v>
      </c>
      <c r="K3955">
        <v>0.23778181466593101</v>
      </c>
      <c r="L3955">
        <v>574.86622485851899</v>
      </c>
      <c r="M3955">
        <v>12.2426005529882</v>
      </c>
      <c r="N3955">
        <v>49.010409483526402</v>
      </c>
      <c r="O3955">
        <v>45.7560916815127</v>
      </c>
      <c r="P3955">
        <v>-5.3478273833338801E-2</v>
      </c>
      <c r="Q3955">
        <v>0.20068906648162599</v>
      </c>
      <c r="R3955">
        <v>0.98194897504476697</v>
      </c>
      <c r="S3955" t="s">
        <v>9506</v>
      </c>
      <c r="T3955" t="s">
        <v>11100</v>
      </c>
      <c r="U3955" t="s">
        <v>11100</v>
      </c>
      <c r="V3955" t="s">
        <v>11100</v>
      </c>
      <c r="W3955" t="s">
        <v>15005</v>
      </c>
      <c r="X3955">
        <v>2</v>
      </c>
      <c r="Y3955" t="s">
        <v>20439</v>
      </c>
      <c r="Z3955" t="s">
        <v>25960</v>
      </c>
      <c r="AA3955">
        <v>0.49144741202923681</v>
      </c>
      <c r="AB3955" t="str">
        <f>HYPERLINK("Melting_Curves/meltCurve_Q8NG31_2_CASC5.pdf", "Melting_Curves/meltCurve_Q8NG31_2_CASC5.pdf")</f>
        <v>Melting_Curves/meltCurve_Q8NG31_2_CASC5.pdf</v>
      </c>
    </row>
    <row r="3956" spans="1:28" x14ac:dyDescent="0.25">
      <c r="A3956" t="s">
        <v>3960</v>
      </c>
      <c r="B3956">
        <v>0.99299721793515405</v>
      </c>
      <c r="C3956">
        <v>0.89435499409723396</v>
      </c>
      <c r="D3956">
        <v>0.85755084237818702</v>
      </c>
      <c r="E3956">
        <v>0.814603244804602</v>
      </c>
      <c r="F3956">
        <v>0.69025356714082997</v>
      </c>
      <c r="G3956">
        <v>0.62753254169274397</v>
      </c>
      <c r="H3956">
        <v>0.343898522501356</v>
      </c>
      <c r="I3956">
        <v>0.26062714069141502</v>
      </c>
      <c r="J3956">
        <v>0.136532827889884</v>
      </c>
      <c r="K3956">
        <v>9.0217289920566004E-2</v>
      </c>
      <c r="L3956">
        <v>532.82537712377598</v>
      </c>
      <c r="M3956">
        <v>9.8143556609114206</v>
      </c>
      <c r="N3956">
        <v>54.290408408693601</v>
      </c>
      <c r="O3956">
        <v>52.180441395751998</v>
      </c>
      <c r="P3956">
        <v>-4.7045809493596102E-2</v>
      </c>
      <c r="Q3956">
        <v>0</v>
      </c>
      <c r="R3956">
        <v>0.97284298556058701</v>
      </c>
      <c r="S3956" t="s">
        <v>9507</v>
      </c>
      <c r="T3956" t="s">
        <v>11100</v>
      </c>
      <c r="U3956" t="s">
        <v>11100</v>
      </c>
      <c r="V3956" t="s">
        <v>11100</v>
      </c>
      <c r="W3956" t="s">
        <v>15006</v>
      </c>
      <c r="X3956">
        <v>4</v>
      </c>
      <c r="Y3956" t="s">
        <v>20440</v>
      </c>
      <c r="Z3956" t="s">
        <v>25961</v>
      </c>
      <c r="AA3956">
        <v>0.59223640288173174</v>
      </c>
      <c r="AB3956" t="str">
        <f>HYPERLINK("Melting_Curves/meltCurve_Q8NG68_TTL.pdf", "Melting_Curves/meltCurve_Q8NG68_TTL.pdf")</f>
        <v>Melting_Curves/meltCurve_Q8NG68_TTL.pdf</v>
      </c>
    </row>
    <row r="3957" spans="1:28" x14ac:dyDescent="0.25">
      <c r="A3957" t="s">
        <v>3961</v>
      </c>
      <c r="B3957">
        <v>0.99299721793515405</v>
      </c>
      <c r="C3957">
        <v>0.99504080873735101</v>
      </c>
      <c r="D3957">
        <v>0.930009485649544</v>
      </c>
      <c r="E3957">
        <v>0.88326598387990995</v>
      </c>
      <c r="F3957">
        <v>0.77849787648503399</v>
      </c>
      <c r="G3957">
        <v>0.55177877993333002</v>
      </c>
      <c r="H3957">
        <v>0.64291250911959896</v>
      </c>
      <c r="I3957">
        <v>0.801969598219052</v>
      </c>
      <c r="J3957">
        <v>0.99931575582880094</v>
      </c>
      <c r="K3957">
        <v>0.93220845393867802</v>
      </c>
      <c r="L3957">
        <v>1312.4946575623201</v>
      </c>
      <c r="M3957">
        <v>29.1235264255339</v>
      </c>
      <c r="O3957">
        <v>44.855602680507097</v>
      </c>
      <c r="P3957">
        <v>-3.4661502633479599E-2</v>
      </c>
      <c r="Q3957">
        <v>0.786461160984671</v>
      </c>
      <c r="R3957">
        <v>0.32800836597048499</v>
      </c>
      <c r="S3957" t="s">
        <v>9508</v>
      </c>
      <c r="T3957" t="s">
        <v>11100</v>
      </c>
      <c r="U3957" t="s">
        <v>11100</v>
      </c>
      <c r="V3957" t="s">
        <v>11100</v>
      </c>
      <c r="W3957" t="s">
        <v>15007</v>
      </c>
      <c r="X3957">
        <v>5</v>
      </c>
      <c r="Y3957" t="s">
        <v>20441</v>
      </c>
      <c r="Z3957" t="s">
        <v>25962</v>
      </c>
      <c r="AA3957">
        <v>0.84515362682902195</v>
      </c>
      <c r="AB3957" t="str">
        <f>HYPERLINK("Melting_Curves/meltCurve_Q8NHG7_SVIP.pdf", "Melting_Curves/meltCurve_Q8NHG7_SVIP.pdf")</f>
        <v>Melting_Curves/meltCurve_Q8NHG7_SVIP.pdf</v>
      </c>
    </row>
    <row r="3958" spans="1:28" x14ac:dyDescent="0.25">
      <c r="A3958" t="s">
        <v>3962</v>
      </c>
      <c r="B3958">
        <v>0.99299721793515405</v>
      </c>
      <c r="C3958">
        <v>0.81900459857738395</v>
      </c>
      <c r="D3958">
        <v>0.95261238240497204</v>
      </c>
      <c r="E3958">
        <v>0.92825245142469903</v>
      </c>
      <c r="F3958">
        <v>0.79104849622831197</v>
      </c>
      <c r="G3958">
        <v>0.512452086533846</v>
      </c>
      <c r="H3958">
        <v>0.39597471476166801</v>
      </c>
      <c r="I3958">
        <v>0.41678504833958702</v>
      </c>
      <c r="J3958">
        <v>0.69623094256643103</v>
      </c>
      <c r="K3958">
        <v>0.53296350168517903</v>
      </c>
      <c r="L3958">
        <v>2493.66263633166</v>
      </c>
      <c r="M3958">
        <v>49.435185606210403</v>
      </c>
      <c r="O3958">
        <v>50.3607334993333</v>
      </c>
      <c r="P3958">
        <v>-0.120983403120515</v>
      </c>
      <c r="Q3958">
        <v>0.50700640697563104</v>
      </c>
      <c r="R3958">
        <v>0.78981748094624105</v>
      </c>
      <c r="S3958" t="s">
        <v>9509</v>
      </c>
      <c r="T3958" t="s">
        <v>11100</v>
      </c>
      <c r="U3958" t="s">
        <v>11100</v>
      </c>
      <c r="V3958" t="s">
        <v>11100</v>
      </c>
      <c r="W3958" t="s">
        <v>15008</v>
      </c>
      <c r="X3958">
        <v>4</v>
      </c>
      <c r="Y3958" t="s">
        <v>20442</v>
      </c>
      <c r="Z3958" t="s">
        <v>25963</v>
      </c>
      <c r="AA3958">
        <v>0.72904016559905194</v>
      </c>
      <c r="AB3958" t="str">
        <f>HYPERLINK("Melting_Curves/meltCurve_Q8NHG8_ZNRF2.pdf", "Melting_Curves/meltCurve_Q8NHG8_ZNRF2.pdf")</f>
        <v>Melting_Curves/meltCurve_Q8NHG8_ZNRF2.pdf</v>
      </c>
    </row>
    <row r="3959" spans="1:28" x14ac:dyDescent="0.25">
      <c r="A3959" t="s">
        <v>3963</v>
      </c>
      <c r="B3959">
        <v>0.99299721793515405</v>
      </c>
      <c r="C3959">
        <v>0.87169808211005295</v>
      </c>
      <c r="D3959">
        <v>0.93956310483206096</v>
      </c>
      <c r="E3959">
        <v>0.74910720596084701</v>
      </c>
      <c r="F3959">
        <v>0.73719890478958805</v>
      </c>
      <c r="G3959">
        <v>0.447099115049644</v>
      </c>
      <c r="H3959">
        <v>0.56720866308968598</v>
      </c>
      <c r="I3959">
        <v>0.59965346552411702</v>
      </c>
      <c r="J3959">
        <v>0.67824882207888304</v>
      </c>
      <c r="K3959">
        <v>0.49516683729802602</v>
      </c>
      <c r="L3959">
        <v>725.17523446687403</v>
      </c>
      <c r="M3959">
        <v>15.6944717912322</v>
      </c>
      <c r="O3959">
        <v>45.475132098635697</v>
      </c>
      <c r="P3959">
        <v>-3.8331639072592197E-2</v>
      </c>
      <c r="Q3959">
        <v>0.555770068760432</v>
      </c>
      <c r="R3959">
        <v>0.80622469965962296</v>
      </c>
      <c r="S3959" t="s">
        <v>9510</v>
      </c>
      <c r="T3959" t="s">
        <v>11100</v>
      </c>
      <c r="U3959" t="s">
        <v>11100</v>
      </c>
      <c r="V3959" t="s">
        <v>11100</v>
      </c>
      <c r="W3959" t="s">
        <v>15009</v>
      </c>
      <c r="X3959">
        <v>4</v>
      </c>
      <c r="Y3959" t="s">
        <v>20443</v>
      </c>
      <c r="Z3959" t="s">
        <v>25964</v>
      </c>
      <c r="AA3959">
        <v>0.70144087678921474</v>
      </c>
      <c r="AB3959" t="str">
        <f>HYPERLINK("Melting_Curves/meltCurve_Q8NHP8_PLBD2.pdf", "Melting_Curves/meltCurve_Q8NHP8_PLBD2.pdf")</f>
        <v>Melting_Curves/meltCurve_Q8NHP8_PLBD2.pdf</v>
      </c>
    </row>
    <row r="3960" spans="1:28" x14ac:dyDescent="0.25">
      <c r="A3960" t="s">
        <v>3964</v>
      </c>
      <c r="B3960">
        <v>0.99299721793515405</v>
      </c>
      <c r="C3960">
        <v>1.01206613445823</v>
      </c>
      <c r="D3960">
        <v>0.79184119447642298</v>
      </c>
      <c r="E3960">
        <v>0.885742247935417</v>
      </c>
      <c r="F3960">
        <v>0.64041364850619298</v>
      </c>
      <c r="G3960">
        <v>0.348188721995141</v>
      </c>
      <c r="H3960">
        <v>0.169686486664584</v>
      </c>
      <c r="I3960">
        <v>0.271280647105553</v>
      </c>
      <c r="J3960">
        <v>0.22279087686591001</v>
      </c>
      <c r="K3960">
        <v>0.173560472871364</v>
      </c>
      <c r="L3960">
        <v>937.35432919842594</v>
      </c>
      <c r="M3960">
        <v>18.613163042408601</v>
      </c>
      <c r="N3960">
        <v>51.584532722423297</v>
      </c>
      <c r="O3960">
        <v>49.789278472261302</v>
      </c>
      <c r="P3960">
        <v>-7.6770746866472298E-2</v>
      </c>
      <c r="Q3960">
        <v>0.17860415751931299</v>
      </c>
      <c r="R3960">
        <v>0.95775324409854401</v>
      </c>
      <c r="S3960" t="s">
        <v>9511</v>
      </c>
      <c r="T3960" t="s">
        <v>11100</v>
      </c>
      <c r="U3960" t="s">
        <v>11100</v>
      </c>
      <c r="V3960" t="s">
        <v>11100</v>
      </c>
      <c r="W3960" t="s">
        <v>15010</v>
      </c>
      <c r="X3960">
        <v>3</v>
      </c>
      <c r="Y3960" t="s">
        <v>20444</v>
      </c>
      <c r="Z3960" t="s">
        <v>25965</v>
      </c>
      <c r="AA3960">
        <v>0.55658650394770648</v>
      </c>
      <c r="AB3960" t="str">
        <f>HYPERLINK("Melting_Curves/meltCurve_Q8NHU6_TDRD7.pdf", "Melting_Curves/meltCurve_Q8NHU6_TDRD7.pdf")</f>
        <v>Melting_Curves/meltCurve_Q8NHU6_TDRD7.pdf</v>
      </c>
    </row>
    <row r="3961" spans="1:28" x14ac:dyDescent="0.25">
      <c r="A3961" t="s">
        <v>3965</v>
      </c>
      <c r="B3961">
        <v>0.99299721793515405</v>
      </c>
      <c r="C3961">
        <v>1.0717931211859499</v>
      </c>
      <c r="D3961">
        <v>0.93170190973940403</v>
      </c>
      <c r="E3961">
        <v>0.98796909016054002</v>
      </c>
      <c r="F3961">
        <v>0.69564384690560499</v>
      </c>
      <c r="G3961">
        <v>0.62581470486632196</v>
      </c>
      <c r="H3961">
        <v>0.61902873005582704</v>
      </c>
      <c r="I3961">
        <v>0.53683153924243199</v>
      </c>
      <c r="J3961">
        <v>0.15722286807901001</v>
      </c>
      <c r="K3961">
        <v>2.99851087541851E-2</v>
      </c>
      <c r="L3961">
        <v>619.95485347784995</v>
      </c>
      <c r="M3961">
        <v>10.7558252765602</v>
      </c>
      <c r="N3961">
        <v>57.638985195048001</v>
      </c>
      <c r="O3961">
        <v>55.753794454656202</v>
      </c>
      <c r="P3961">
        <v>-4.8246857881098601E-2</v>
      </c>
      <c r="Q3961">
        <v>0</v>
      </c>
      <c r="R3961">
        <v>0.90256942419518604</v>
      </c>
      <c r="S3961" t="s">
        <v>9512</v>
      </c>
      <c r="T3961" t="s">
        <v>11100</v>
      </c>
      <c r="U3961" t="s">
        <v>11100</v>
      </c>
      <c r="V3961" t="s">
        <v>11100</v>
      </c>
      <c r="W3961" t="s">
        <v>15011</v>
      </c>
      <c r="X3961">
        <v>1</v>
      </c>
      <c r="Y3961" t="s">
        <v>20445</v>
      </c>
      <c r="Z3961" t="s">
        <v>25966</v>
      </c>
      <c r="AA3961">
        <v>0.68523105194103195</v>
      </c>
      <c r="AB3961" t="str">
        <f>HYPERLINK("Melting_Curves/meltCurve_Q8NHV1_GIMAP7.pdf", "Melting_Curves/meltCurve_Q8NHV1_GIMAP7.pdf")</f>
        <v>Melting_Curves/meltCurve_Q8NHV1_GIMAP7.pdf</v>
      </c>
    </row>
    <row r="3962" spans="1:28" x14ac:dyDescent="0.25">
      <c r="A3962" t="s">
        <v>3966</v>
      </c>
      <c r="B3962">
        <v>0.99299721793515405</v>
      </c>
      <c r="C3962">
        <v>1.03246134303675</v>
      </c>
      <c r="D3962">
        <v>0.86359776277251599</v>
      </c>
      <c r="E3962">
        <v>0.84183470868832</v>
      </c>
      <c r="F3962">
        <v>0.65038773549142903</v>
      </c>
      <c r="G3962">
        <v>0.59168193403251101</v>
      </c>
      <c r="H3962">
        <v>0.47695663687018502</v>
      </c>
      <c r="I3962">
        <v>0.26588829642096401</v>
      </c>
      <c r="J3962">
        <v>0.206980818409432</v>
      </c>
      <c r="K3962">
        <v>0.127865276612532</v>
      </c>
      <c r="L3962">
        <v>495.72282541835699</v>
      </c>
      <c r="M3962">
        <v>9.0043921203585402</v>
      </c>
      <c r="N3962">
        <v>55.0534470941462</v>
      </c>
      <c r="O3962">
        <v>52.541521813617202</v>
      </c>
      <c r="P3962">
        <v>-4.2875232115483698E-2</v>
      </c>
      <c r="Q3962">
        <v>0</v>
      </c>
      <c r="R3962">
        <v>0.97987098646390902</v>
      </c>
      <c r="S3962" t="s">
        <v>9513</v>
      </c>
      <c r="T3962" t="s">
        <v>11100</v>
      </c>
      <c r="U3962" t="s">
        <v>11100</v>
      </c>
      <c r="V3962" t="s">
        <v>11100</v>
      </c>
      <c r="W3962" t="s">
        <v>15012</v>
      </c>
      <c r="X3962">
        <v>11</v>
      </c>
      <c r="Y3962" t="s">
        <v>20446</v>
      </c>
      <c r="Z3962" t="s">
        <v>25967</v>
      </c>
      <c r="AA3962">
        <v>0.61145231154581092</v>
      </c>
      <c r="AB3962" t="str">
        <f>HYPERLINK("Melting_Curves/meltCurve_Q8NHV4_NEDD1.pdf", "Melting_Curves/meltCurve_Q8NHV4_NEDD1.pdf")</f>
        <v>Melting_Curves/meltCurve_Q8NHV4_NEDD1.pdf</v>
      </c>
    </row>
    <row r="3963" spans="1:28" x14ac:dyDescent="0.25">
      <c r="A3963" t="s">
        <v>3967</v>
      </c>
      <c r="B3963">
        <v>0.99299721793515405</v>
      </c>
      <c r="C3963">
        <v>1.0110073566829501</v>
      </c>
      <c r="D3963">
        <v>1.01460734557521</v>
      </c>
      <c r="E3963">
        <v>0.94752185893255403</v>
      </c>
      <c r="F3963">
        <v>0.76396212874381797</v>
      </c>
      <c r="G3963">
        <v>0.53043963434651098</v>
      </c>
      <c r="H3963">
        <v>0.53908035724984704</v>
      </c>
      <c r="I3963">
        <v>0.85285056126602499</v>
      </c>
      <c r="J3963">
        <v>1.29645731791643</v>
      </c>
      <c r="K3963">
        <v>1.05633619868636</v>
      </c>
      <c r="L3963">
        <v>11683.4891223463</v>
      </c>
      <c r="M3963">
        <v>250</v>
      </c>
      <c r="O3963">
        <v>46.7309659298379</v>
      </c>
      <c r="P3963">
        <v>-0.214185646012196</v>
      </c>
      <c r="Q3963">
        <v>0.83985436651973999</v>
      </c>
      <c r="R3963">
        <v>0.114099767500874</v>
      </c>
      <c r="S3963" t="s">
        <v>9514</v>
      </c>
      <c r="T3963" t="s">
        <v>11100</v>
      </c>
      <c r="U3963" t="s">
        <v>11100</v>
      </c>
      <c r="V3963" t="s">
        <v>11100</v>
      </c>
      <c r="W3963" t="s">
        <v>15013</v>
      </c>
      <c r="X3963">
        <v>4</v>
      </c>
      <c r="Y3963" t="s">
        <v>20447</v>
      </c>
      <c r="Z3963" t="s">
        <v>25968</v>
      </c>
      <c r="AA3963">
        <v>0.8918291888515516</v>
      </c>
      <c r="AB3963" t="str">
        <f>HYPERLINK("Melting_Curves/meltCurve_Q8NHZ8_CDC26.pdf", "Melting_Curves/meltCurve_Q8NHZ8_CDC26.pdf")</f>
        <v>Melting_Curves/meltCurve_Q8NHZ8_CDC26.pdf</v>
      </c>
    </row>
    <row r="3964" spans="1:28" x14ac:dyDescent="0.25">
      <c r="A3964" t="s">
        <v>3968</v>
      </c>
      <c r="B3964">
        <v>0.99299721793515405</v>
      </c>
      <c r="C3964">
        <v>0.83651399893041101</v>
      </c>
      <c r="D3964">
        <v>1.03489974575522</v>
      </c>
      <c r="E3964">
        <v>0.72712153796786505</v>
      </c>
      <c r="F3964">
        <v>0.56969920585766998</v>
      </c>
      <c r="G3964">
        <v>0.39479838455346999</v>
      </c>
      <c r="H3964">
        <v>0.288240759381513</v>
      </c>
      <c r="I3964">
        <v>0.20966185470986801</v>
      </c>
      <c r="J3964">
        <v>0.21507394114414199</v>
      </c>
      <c r="K3964">
        <v>0.22538677139309701</v>
      </c>
      <c r="L3964">
        <v>722.29904958775103</v>
      </c>
      <c r="M3964">
        <v>14.556195675766199</v>
      </c>
      <c r="N3964">
        <v>51.274151039453699</v>
      </c>
      <c r="O3964">
        <v>48.713091950102203</v>
      </c>
      <c r="P3964">
        <v>-6.0722575382782903E-2</v>
      </c>
      <c r="Q3964">
        <v>0.18724690086394999</v>
      </c>
      <c r="R3964">
        <v>0.962944768693901</v>
      </c>
      <c r="S3964" t="s">
        <v>9515</v>
      </c>
      <c r="T3964" t="s">
        <v>11100</v>
      </c>
      <c r="U3964" t="s">
        <v>11100</v>
      </c>
      <c r="V3964" t="s">
        <v>11100</v>
      </c>
      <c r="W3964" t="s">
        <v>15014</v>
      </c>
      <c r="X3964">
        <v>3</v>
      </c>
      <c r="Y3964" t="s">
        <v>20448</v>
      </c>
      <c r="Z3964" t="s">
        <v>25969</v>
      </c>
      <c r="AA3964">
        <v>0.54715214276779311</v>
      </c>
      <c r="AB3964" t="str">
        <f>HYPERLINK("Melting_Curves/meltCurve_Q8NI27_THOC2.pdf", "Melting_Curves/meltCurve_Q8NI27_THOC2.pdf")</f>
        <v>Melting_Curves/meltCurve_Q8NI27_THOC2.pdf</v>
      </c>
    </row>
    <row r="3965" spans="1:28" x14ac:dyDescent="0.25">
      <c r="A3965" t="s">
        <v>3969</v>
      </c>
      <c r="B3965">
        <v>0.99299721793515405</v>
      </c>
      <c r="C3965">
        <v>1.02071170673717</v>
      </c>
      <c r="D3965">
        <v>1.13136914434221</v>
      </c>
      <c r="E3965">
        <v>1.05723024397209</v>
      </c>
      <c r="F3965">
        <v>0.76345728667864798</v>
      </c>
      <c r="G3965">
        <v>0.53318660157926101</v>
      </c>
      <c r="H3965">
        <v>0.25485797008101402</v>
      </c>
      <c r="I3965">
        <v>0.15624332287378301</v>
      </c>
      <c r="J3965">
        <v>0.120060714065773</v>
      </c>
      <c r="K3965">
        <v>0.13645085735809701</v>
      </c>
      <c r="L3965">
        <v>1222.5540603802301</v>
      </c>
      <c r="M3965">
        <v>22.958848405588299</v>
      </c>
      <c r="N3965">
        <v>53.867363069378897</v>
      </c>
      <c r="O3965">
        <v>52.850746648578003</v>
      </c>
      <c r="P3965">
        <v>-9.60374402236574E-2</v>
      </c>
      <c r="Q3965">
        <v>0.11571266120350999</v>
      </c>
      <c r="R3965">
        <v>0.98043868597223804</v>
      </c>
      <c r="S3965" t="s">
        <v>9516</v>
      </c>
      <c r="T3965" t="s">
        <v>11100</v>
      </c>
      <c r="U3965" t="s">
        <v>11100</v>
      </c>
      <c r="V3965" t="s">
        <v>11100</v>
      </c>
      <c r="W3965" t="s">
        <v>15015</v>
      </c>
      <c r="X3965">
        <v>5</v>
      </c>
      <c r="Y3965" t="s">
        <v>20449</v>
      </c>
      <c r="Z3965" t="s">
        <v>25970</v>
      </c>
      <c r="AA3965">
        <v>0.6036695549839971</v>
      </c>
      <c r="AB3965" t="str">
        <f>HYPERLINK("Melting_Curves/meltCurve_Q8NI37_PPTC7.pdf", "Melting_Curves/meltCurve_Q8NI37_PPTC7.pdf")</f>
        <v>Melting_Curves/meltCurve_Q8NI37_PPTC7.pdf</v>
      </c>
    </row>
    <row r="3966" spans="1:28" x14ac:dyDescent="0.25">
      <c r="A3966" t="s">
        <v>3970</v>
      </c>
      <c r="B3966">
        <v>0.99299721793515405</v>
      </c>
      <c r="C3966">
        <v>1.06922500721007</v>
      </c>
      <c r="D3966">
        <v>0.93808603135170698</v>
      </c>
      <c r="E3966">
        <v>0.94907931619263197</v>
      </c>
      <c r="F3966">
        <v>0.75786686135365</v>
      </c>
      <c r="G3966">
        <v>0.50115822890023298</v>
      </c>
      <c r="H3966">
        <v>0.36538517579955998</v>
      </c>
      <c r="I3966">
        <v>0.33869062389138499</v>
      </c>
      <c r="J3966">
        <v>0.358836376184966</v>
      </c>
      <c r="K3966">
        <v>0.23726967690582801</v>
      </c>
      <c r="L3966">
        <v>1088.0695439792901</v>
      </c>
      <c r="M3966">
        <v>21.043348785816001</v>
      </c>
      <c r="N3966">
        <v>53.9696855187807</v>
      </c>
      <c r="O3966">
        <v>51.245954746960699</v>
      </c>
      <c r="P3966">
        <v>-7.2566570321850807E-2</v>
      </c>
      <c r="Q3966">
        <v>0.29314592996281202</v>
      </c>
      <c r="R3966">
        <v>0.98386470343065802</v>
      </c>
      <c r="S3966" t="s">
        <v>9517</v>
      </c>
      <c r="T3966" t="s">
        <v>11100</v>
      </c>
      <c r="U3966" t="s">
        <v>11100</v>
      </c>
      <c r="V3966" t="s">
        <v>11100</v>
      </c>
      <c r="W3966" t="s">
        <v>15016</v>
      </c>
      <c r="X3966">
        <v>12</v>
      </c>
      <c r="Y3966" t="s">
        <v>20450</v>
      </c>
      <c r="Z3966" t="s">
        <v>25971</v>
      </c>
      <c r="AA3966">
        <v>0.64809453083112067</v>
      </c>
      <c r="AB3966" t="str">
        <f>HYPERLINK("Melting_Curves/meltCurve_Q8NI60_ADCK3.pdf", "Melting_Curves/meltCurve_Q8NI60_ADCK3.pdf")</f>
        <v>Melting_Curves/meltCurve_Q8NI60_ADCK3.pdf</v>
      </c>
    </row>
    <row r="3967" spans="1:28" x14ac:dyDescent="0.25">
      <c r="A3967" t="s">
        <v>3971</v>
      </c>
      <c r="B3967">
        <v>0.99299721793515405</v>
      </c>
      <c r="C3967">
        <v>0.88374285573354805</v>
      </c>
      <c r="D3967">
        <v>0.99603094669270398</v>
      </c>
      <c r="E3967">
        <v>0.83612745893840901</v>
      </c>
      <c r="F3967">
        <v>0.55450395762751603</v>
      </c>
      <c r="G3967">
        <v>0.34608365854272999</v>
      </c>
      <c r="H3967">
        <v>0.20420413993469</v>
      </c>
      <c r="I3967">
        <v>0.17040728096077601</v>
      </c>
      <c r="J3967">
        <v>0.15839603843895</v>
      </c>
      <c r="K3967">
        <v>0.14234239451557401</v>
      </c>
      <c r="L3967">
        <v>918.50746322597604</v>
      </c>
      <c r="M3967">
        <v>18.303284873407001</v>
      </c>
      <c r="N3967">
        <v>51.074614700315301</v>
      </c>
      <c r="O3967">
        <v>49.595136156996197</v>
      </c>
      <c r="P3967">
        <v>-7.9645918231291205E-2</v>
      </c>
      <c r="Q3967">
        <v>0.13679589026744399</v>
      </c>
      <c r="R3967">
        <v>0.98874904526493301</v>
      </c>
      <c r="S3967" t="s">
        <v>9518</v>
      </c>
      <c r="T3967" t="s">
        <v>11100</v>
      </c>
      <c r="U3967" t="s">
        <v>11100</v>
      </c>
      <c r="V3967" t="s">
        <v>11100</v>
      </c>
      <c r="W3967" t="s">
        <v>15017</v>
      </c>
      <c r="X3967">
        <v>7</v>
      </c>
      <c r="Y3967" t="s">
        <v>20451</v>
      </c>
      <c r="Z3967" t="s">
        <v>25972</v>
      </c>
      <c r="AA3967">
        <v>0.52930793492910122</v>
      </c>
      <c r="AB3967" t="str">
        <f>HYPERLINK("Melting_Curves/meltCurve_Q8TAA5_GRPEL2.pdf", "Melting_Curves/meltCurve_Q8TAA5_GRPEL2.pdf")</f>
        <v>Melting_Curves/meltCurve_Q8TAA5_GRPEL2.pdf</v>
      </c>
    </row>
    <row r="3968" spans="1:28" x14ac:dyDescent="0.25">
      <c r="A3968" t="s">
        <v>3972</v>
      </c>
      <c r="B3968">
        <v>0.99299721793515405</v>
      </c>
      <c r="C3968">
        <v>0.80992423129438895</v>
      </c>
      <c r="D3968">
        <v>0.815155456200921</v>
      </c>
      <c r="E3968">
        <v>0.73456541711630696</v>
      </c>
      <c r="F3968">
        <v>0.791019866876573</v>
      </c>
      <c r="G3968">
        <v>0.50960772881135297</v>
      </c>
      <c r="H3968">
        <v>0.53054329299098602</v>
      </c>
      <c r="I3968">
        <v>0.92609775368420399</v>
      </c>
      <c r="J3968">
        <v>0.94016928227298802</v>
      </c>
      <c r="K3968">
        <v>1.5962132364067101</v>
      </c>
      <c r="L3968">
        <v>15000</v>
      </c>
      <c r="M3968">
        <v>229.16656490006201</v>
      </c>
      <c r="O3968">
        <v>65.449589785823704</v>
      </c>
      <c r="P3968">
        <v>0.43767761972124702</v>
      </c>
      <c r="Q3968">
        <v>1.5</v>
      </c>
      <c r="R3968">
        <v>0.195965889417267</v>
      </c>
      <c r="S3968" t="s">
        <v>9519</v>
      </c>
      <c r="T3968" t="s">
        <v>11100</v>
      </c>
      <c r="U3968" t="s">
        <v>11100</v>
      </c>
      <c r="V3968" t="s">
        <v>11100</v>
      </c>
      <c r="W3968" t="s">
        <v>15018</v>
      </c>
      <c r="X3968">
        <v>4</v>
      </c>
      <c r="Y3968" t="s">
        <v>20452</v>
      </c>
      <c r="Z3968" t="s">
        <v>25973</v>
      </c>
      <c r="AA3968">
        <v>1.0257141483713541</v>
      </c>
      <c r="AB3968" t="str">
        <f>HYPERLINK("Melting_Curves/meltCurve_Q8TAE6_PPP1R14C.pdf", "Melting_Curves/meltCurve_Q8TAE6_PPP1R14C.pdf")</f>
        <v>Melting_Curves/meltCurve_Q8TAE6_PPP1R14C.pdf</v>
      </c>
    </row>
    <row r="3969" spans="1:28" x14ac:dyDescent="0.25">
      <c r="A3969" t="s">
        <v>3973</v>
      </c>
      <c r="B3969">
        <v>0.99299721793515405</v>
      </c>
      <c r="C3969">
        <v>0.99877718396216997</v>
      </c>
      <c r="D3969">
        <v>0.84090733474980195</v>
      </c>
      <c r="E3969">
        <v>0.97056792611519205</v>
      </c>
      <c r="F3969">
        <v>0.71176663538569296</v>
      </c>
      <c r="G3969">
        <v>0.50079802264504603</v>
      </c>
      <c r="H3969">
        <v>0.64128007619864702</v>
      </c>
      <c r="I3969">
        <v>0.69384600824484599</v>
      </c>
      <c r="J3969">
        <v>0.55497200708521199</v>
      </c>
      <c r="K3969">
        <v>0.50830151686187197</v>
      </c>
      <c r="L3969">
        <v>12510.767646280699</v>
      </c>
      <c r="M3969">
        <v>250</v>
      </c>
      <c r="O3969">
        <v>50.0398694549027</v>
      </c>
      <c r="P3969">
        <v>-0.52478215133913797</v>
      </c>
      <c r="Q3969">
        <v>0.57983952583196896</v>
      </c>
      <c r="R3969">
        <v>0.84384483733938898</v>
      </c>
      <c r="S3969" t="s">
        <v>9520</v>
      </c>
      <c r="T3969" t="s">
        <v>11100</v>
      </c>
      <c r="U3969" t="s">
        <v>11100</v>
      </c>
      <c r="V3969" t="s">
        <v>11100</v>
      </c>
      <c r="W3969" t="s">
        <v>15019</v>
      </c>
      <c r="X3969">
        <v>2</v>
      </c>
      <c r="Y3969" t="s">
        <v>20453</v>
      </c>
      <c r="Z3969" t="s">
        <v>25974</v>
      </c>
      <c r="AA3969">
        <v>0.76254918373420622</v>
      </c>
      <c r="AB3969" t="str">
        <f>HYPERLINK("Melting_Curves/meltCurve_Q8TAE8_GADD45GIP1.pdf", "Melting_Curves/meltCurve_Q8TAE8_GADD45GIP1.pdf")</f>
        <v>Melting_Curves/meltCurve_Q8TAE8_GADD45GIP1.pdf</v>
      </c>
    </row>
    <row r="3970" spans="1:28" x14ac:dyDescent="0.25">
      <c r="A3970" t="s">
        <v>3974</v>
      </c>
      <c r="B3970">
        <v>0.99299721793515405</v>
      </c>
      <c r="C3970">
        <v>1.1478029663304199</v>
      </c>
      <c r="D3970">
        <v>0.97362376398675299</v>
      </c>
      <c r="E3970">
        <v>1.1770044031268401</v>
      </c>
      <c r="F3970">
        <v>0.85902142437859197</v>
      </c>
      <c r="G3970">
        <v>0.65163927352337603</v>
      </c>
      <c r="H3970">
        <v>0.68917700604450305</v>
      </c>
      <c r="I3970">
        <v>0.72843065049766798</v>
      </c>
      <c r="J3970">
        <v>0.68138986821422698</v>
      </c>
      <c r="K3970">
        <v>0.62315180130411096</v>
      </c>
      <c r="L3970">
        <v>12563.4415493505</v>
      </c>
      <c r="M3970">
        <v>250</v>
      </c>
      <c r="O3970">
        <v>50.250550307282303</v>
      </c>
      <c r="P3970">
        <v>-0.40452577397432699</v>
      </c>
      <c r="Q3970">
        <v>0.67475771640405802</v>
      </c>
      <c r="R3970">
        <v>0.84600365944718203</v>
      </c>
      <c r="S3970" t="s">
        <v>9521</v>
      </c>
      <c r="T3970" t="s">
        <v>11100</v>
      </c>
      <c r="U3970" t="s">
        <v>11100</v>
      </c>
      <c r="V3970" t="s">
        <v>11100</v>
      </c>
      <c r="W3970" t="s">
        <v>15020</v>
      </c>
      <c r="X3970">
        <v>1</v>
      </c>
      <c r="Y3970" t="s">
        <v>20454</v>
      </c>
      <c r="Z3970" t="s">
        <v>25975</v>
      </c>
      <c r="AA3970">
        <v>0.81847590715285423</v>
      </c>
      <c r="AB3970" t="str">
        <f>HYPERLINK("Melting_Curves/meltCurve_Q8TAP8_PPP1R35.pdf", "Melting_Curves/meltCurve_Q8TAP8_PPP1R35.pdf")</f>
        <v>Melting_Curves/meltCurve_Q8TAP8_PPP1R35.pdf</v>
      </c>
    </row>
    <row r="3971" spans="1:28" x14ac:dyDescent="0.25">
      <c r="A3971" t="s">
        <v>3975</v>
      </c>
      <c r="B3971">
        <v>0.99299721793515405</v>
      </c>
      <c r="C3971">
        <v>0.94621771017733103</v>
      </c>
      <c r="D3971">
        <v>0.95162260195177795</v>
      </c>
      <c r="E3971">
        <v>0.89821726410106395</v>
      </c>
      <c r="F3971">
        <v>0.80676804999891405</v>
      </c>
      <c r="G3971">
        <v>0.56233743890461696</v>
      </c>
      <c r="H3971">
        <v>0.30671422093425299</v>
      </c>
      <c r="I3971">
        <v>0.17618273846222701</v>
      </c>
      <c r="J3971">
        <v>0.14263548097720799</v>
      </c>
      <c r="K3971">
        <v>0.12198791164218301</v>
      </c>
      <c r="L3971">
        <v>874.90161941047097</v>
      </c>
      <c r="M3971">
        <v>16.217080049360799</v>
      </c>
      <c r="N3971">
        <v>54.457822778392497</v>
      </c>
      <c r="O3971">
        <v>53.149042227288</v>
      </c>
      <c r="P3971">
        <v>-7.0927591901454104E-2</v>
      </c>
      <c r="Q3971">
        <v>7.0250751386635599E-2</v>
      </c>
      <c r="R3971">
        <v>0.99470814538383601</v>
      </c>
      <c r="S3971" t="s">
        <v>9522</v>
      </c>
      <c r="T3971" t="s">
        <v>11100</v>
      </c>
      <c r="U3971" t="s">
        <v>11100</v>
      </c>
      <c r="V3971" t="s">
        <v>11100</v>
      </c>
      <c r="W3971" t="s">
        <v>15021</v>
      </c>
      <c r="X3971">
        <v>13</v>
      </c>
      <c r="Y3971" t="s">
        <v>20455</v>
      </c>
      <c r="Z3971" t="s">
        <v>25976</v>
      </c>
      <c r="AA3971">
        <v>0.60975079016412614</v>
      </c>
      <c r="AB3971" t="str">
        <f>HYPERLINK("Melting_Curves/meltCurve_Q8TAT6_NPLOC4.pdf", "Melting_Curves/meltCurve_Q8TAT6_NPLOC4.pdf")</f>
        <v>Melting_Curves/meltCurve_Q8TAT6_NPLOC4.pdf</v>
      </c>
    </row>
    <row r="3972" spans="1:28" x14ac:dyDescent="0.25">
      <c r="A3972" t="s">
        <v>3976</v>
      </c>
      <c r="B3972">
        <v>0.99299721793515405</v>
      </c>
      <c r="C3972">
        <v>0.99057193677089606</v>
      </c>
      <c r="D3972">
        <v>1.01145474017257</v>
      </c>
      <c r="E3972">
        <v>0.90621336606229197</v>
      </c>
      <c r="F3972">
        <v>0.80543431697142498</v>
      </c>
      <c r="G3972">
        <v>0.63486040056529902</v>
      </c>
      <c r="H3972">
        <v>0.316330252325143</v>
      </c>
      <c r="I3972">
        <v>0.23070302661519601</v>
      </c>
      <c r="J3972">
        <v>0.172624354575698</v>
      </c>
      <c r="K3972">
        <v>0.18208912411991701</v>
      </c>
      <c r="L3972">
        <v>950.09900236242299</v>
      </c>
      <c r="M3972">
        <v>17.579129817612099</v>
      </c>
      <c r="N3972">
        <v>54.988992359010098</v>
      </c>
      <c r="O3972">
        <v>53.362146038974103</v>
      </c>
      <c r="P3972">
        <v>-7.1653989307098806E-2</v>
      </c>
      <c r="Q3972">
        <v>0.130013192251999</v>
      </c>
      <c r="R3972">
        <v>0.99323524895582205</v>
      </c>
      <c r="S3972" t="s">
        <v>9523</v>
      </c>
      <c r="T3972" t="s">
        <v>11100</v>
      </c>
      <c r="U3972" t="s">
        <v>11100</v>
      </c>
      <c r="V3972" t="s">
        <v>11100</v>
      </c>
      <c r="W3972" t="s">
        <v>15022</v>
      </c>
      <c r="X3972">
        <v>7</v>
      </c>
      <c r="Y3972" t="s">
        <v>20456</v>
      </c>
      <c r="Z3972" t="s">
        <v>25977</v>
      </c>
      <c r="AA3972">
        <v>0.63656219813694248</v>
      </c>
      <c r="AB3972" t="str">
        <f>HYPERLINK("Melting_Curves/meltCurve_Q8TB03_CXorf38.pdf", "Melting_Curves/meltCurve_Q8TB03_CXorf38.pdf")</f>
        <v>Melting_Curves/meltCurve_Q8TB03_CXorf38.pdf</v>
      </c>
    </row>
    <row r="3973" spans="1:28" x14ac:dyDescent="0.25">
      <c r="A3973" t="s">
        <v>3977</v>
      </c>
      <c r="B3973">
        <v>0.99299721793515405</v>
      </c>
      <c r="C3973">
        <v>0.97327468570632902</v>
      </c>
      <c r="D3973">
        <v>0.87710420279937795</v>
      </c>
      <c r="E3973">
        <v>0.85222859793924199</v>
      </c>
      <c r="F3973">
        <v>0.81713512685405199</v>
      </c>
      <c r="G3973">
        <v>0.51825178866154598</v>
      </c>
      <c r="H3973">
        <v>0.49694085957504402</v>
      </c>
      <c r="I3973">
        <v>0.34247483148556701</v>
      </c>
      <c r="J3973">
        <v>0.196620338268923</v>
      </c>
      <c r="K3973">
        <v>0.13592921557287099</v>
      </c>
      <c r="L3973">
        <v>530.67334377869304</v>
      </c>
      <c r="M3973">
        <v>9.4915176078838002</v>
      </c>
      <c r="N3973">
        <v>55.910268348694103</v>
      </c>
      <c r="O3973">
        <v>53.597182077284899</v>
      </c>
      <c r="P3973">
        <v>-4.4298750164952203E-2</v>
      </c>
      <c r="Q3973">
        <v>0</v>
      </c>
      <c r="R3973">
        <v>0.97644393901064896</v>
      </c>
      <c r="S3973" t="s">
        <v>9524</v>
      </c>
      <c r="T3973" t="s">
        <v>11100</v>
      </c>
      <c r="U3973" t="s">
        <v>11100</v>
      </c>
      <c r="V3973" t="s">
        <v>11100</v>
      </c>
      <c r="W3973" t="s">
        <v>15023</v>
      </c>
      <c r="X3973">
        <v>6</v>
      </c>
      <c r="Y3973" t="s">
        <v>20457</v>
      </c>
      <c r="Z3973" t="s">
        <v>25978</v>
      </c>
      <c r="AA3973">
        <v>0.63552071293981138</v>
      </c>
      <c r="AB3973" t="str">
        <f>HYPERLINK("Melting_Curves/meltCurve_Q8TB36_GDAP1.pdf", "Melting_Curves/meltCurve_Q8TB36_GDAP1.pdf")</f>
        <v>Melting_Curves/meltCurve_Q8TB36_GDAP1.pdf</v>
      </c>
    </row>
    <row r="3974" spans="1:28" x14ac:dyDescent="0.25">
      <c r="A3974" t="s">
        <v>3978</v>
      </c>
      <c r="B3974">
        <v>0.99299721793515405</v>
      </c>
      <c r="C3974">
        <v>0.93434305868575596</v>
      </c>
      <c r="D3974">
        <v>0.95711429042453999</v>
      </c>
      <c r="E3974">
        <v>0.91636675032844594</v>
      </c>
      <c r="F3974">
        <v>0.74606585520664503</v>
      </c>
      <c r="G3974">
        <v>0.46319454923223002</v>
      </c>
      <c r="H3974">
        <v>0.23584230160724501</v>
      </c>
      <c r="I3974">
        <v>0.16551897494260501</v>
      </c>
      <c r="J3974">
        <v>0.16577289471395301</v>
      </c>
      <c r="K3974">
        <v>0.104401543607681</v>
      </c>
      <c r="L3974">
        <v>978.00778806465598</v>
      </c>
      <c r="M3974">
        <v>18.6123362493299</v>
      </c>
      <c r="N3974">
        <v>53.2159357137621</v>
      </c>
      <c r="O3974">
        <v>51.950904375932801</v>
      </c>
      <c r="P3974">
        <v>-8.0218518272571399E-2</v>
      </c>
      <c r="Q3974">
        <v>0.10441246485612</v>
      </c>
      <c r="R3974">
        <v>0.99468583775501995</v>
      </c>
      <c r="S3974" t="s">
        <v>9525</v>
      </c>
      <c r="T3974" t="s">
        <v>11100</v>
      </c>
      <c r="U3974" t="s">
        <v>11100</v>
      </c>
      <c r="V3974" t="s">
        <v>11100</v>
      </c>
      <c r="W3974" t="s">
        <v>15024</v>
      </c>
      <c r="X3974">
        <v>7</v>
      </c>
      <c r="Y3974" t="s">
        <v>20458</v>
      </c>
      <c r="Z3974" t="s">
        <v>25979</v>
      </c>
      <c r="AA3974">
        <v>0.58119768494968183</v>
      </c>
      <c r="AB3974" t="str">
        <f>HYPERLINK("Melting_Curves/meltCurve_Q8TB37_NUBPL.pdf", "Melting_Curves/meltCurve_Q8TB37_NUBPL.pdf")</f>
        <v>Melting_Curves/meltCurve_Q8TB37_NUBPL.pdf</v>
      </c>
    </row>
    <row r="3975" spans="1:28" x14ac:dyDescent="0.25">
      <c r="A3975" t="s">
        <v>3979</v>
      </c>
      <c r="B3975">
        <v>0.99299721793515405</v>
      </c>
      <c r="C3975">
        <v>1.1542994746426101</v>
      </c>
      <c r="D3975">
        <v>0.883607465711998</v>
      </c>
      <c r="E3975">
        <v>0.77353055760410305</v>
      </c>
      <c r="F3975">
        <v>0.778057121268806</v>
      </c>
      <c r="G3975">
        <v>0.44132782138353599</v>
      </c>
      <c r="H3975">
        <v>0.186941018988072</v>
      </c>
      <c r="I3975">
        <v>0.127060446335864</v>
      </c>
      <c r="J3975">
        <v>0.10465142766355801</v>
      </c>
      <c r="K3975">
        <v>2.5237592667556801E-2</v>
      </c>
      <c r="L3975">
        <v>766.41307601937399</v>
      </c>
      <c r="M3975">
        <v>14.494942226402801</v>
      </c>
      <c r="N3975">
        <v>52.874520355950402</v>
      </c>
      <c r="O3975">
        <v>51.898718078968798</v>
      </c>
      <c r="P3975">
        <v>-6.9831314309722906E-2</v>
      </c>
      <c r="Q3975">
        <v>0</v>
      </c>
      <c r="R3975">
        <v>0.96370250149860104</v>
      </c>
      <c r="S3975" t="s">
        <v>9526</v>
      </c>
      <c r="T3975" t="s">
        <v>11100</v>
      </c>
      <c r="U3975" t="s">
        <v>11100</v>
      </c>
      <c r="V3975" t="s">
        <v>11100</v>
      </c>
      <c r="W3975" t="s">
        <v>15025</v>
      </c>
      <c r="X3975">
        <v>3</v>
      </c>
      <c r="Y3975" t="s">
        <v>20459</v>
      </c>
      <c r="Z3975" t="s">
        <v>25980</v>
      </c>
      <c r="AA3975">
        <v>0.54777856989709428</v>
      </c>
      <c r="AB3975" t="str">
        <f>HYPERLINK("Melting_Curves/meltCurve_Q8TB52_FBXO30.pdf", "Melting_Curves/meltCurve_Q8TB52_FBXO30.pdf")</f>
        <v>Melting_Curves/meltCurve_Q8TB52_FBXO30.pdf</v>
      </c>
    </row>
    <row r="3976" spans="1:28" x14ac:dyDescent="0.25">
      <c r="A3976" t="s">
        <v>3980</v>
      </c>
      <c r="B3976">
        <v>0.99299721793515405</v>
      </c>
      <c r="C3976">
        <v>0.93625146953579097</v>
      </c>
      <c r="D3976">
        <v>0.84316168933345903</v>
      </c>
      <c r="E3976">
        <v>0.75216180129894705</v>
      </c>
      <c r="F3976">
        <v>0.651325768414871</v>
      </c>
      <c r="G3976">
        <v>0.49316172624104099</v>
      </c>
      <c r="H3976">
        <v>0.46750660514587999</v>
      </c>
      <c r="I3976">
        <v>0.46642384394848202</v>
      </c>
      <c r="J3976">
        <v>0.27193597233286698</v>
      </c>
      <c r="K3976">
        <v>0.158022374524452</v>
      </c>
      <c r="L3976">
        <v>356.04494554202699</v>
      </c>
      <c r="M3976">
        <v>6.4544013348738796</v>
      </c>
      <c r="N3976">
        <v>55.163104887065202</v>
      </c>
      <c r="O3976">
        <v>50.583453836443901</v>
      </c>
      <c r="P3976">
        <v>-3.1979238691580501E-2</v>
      </c>
      <c r="Q3976">
        <v>0</v>
      </c>
      <c r="R3976">
        <v>0.96312759496656197</v>
      </c>
      <c r="S3976" t="s">
        <v>9527</v>
      </c>
      <c r="T3976" t="s">
        <v>11100</v>
      </c>
      <c r="U3976" t="s">
        <v>11100</v>
      </c>
      <c r="V3976" t="s">
        <v>11100</v>
      </c>
      <c r="W3976" t="s">
        <v>15026</v>
      </c>
      <c r="X3976">
        <v>5</v>
      </c>
      <c r="Y3976" t="s">
        <v>20460</v>
      </c>
      <c r="Z3976" t="s">
        <v>25981</v>
      </c>
      <c r="AA3976">
        <v>0.60241751664076348</v>
      </c>
      <c r="AB3976" t="str">
        <f>HYPERLINK("Melting_Curves/meltCurve_Q8TB61_3_SLC35B2.pdf", "Melting_Curves/meltCurve_Q8TB61_3_SLC35B2.pdf")</f>
        <v>Melting_Curves/meltCurve_Q8TB61_3_SLC35B2.pdf</v>
      </c>
    </row>
    <row r="3977" spans="1:28" x14ac:dyDescent="0.25">
      <c r="A3977" t="s">
        <v>3981</v>
      </c>
      <c r="B3977">
        <v>0.99299721793515405</v>
      </c>
      <c r="C3977">
        <v>0.68453615373474197</v>
      </c>
      <c r="D3977">
        <v>1.00424873402406</v>
      </c>
      <c r="E3977">
        <v>0.65692656319303</v>
      </c>
      <c r="F3977">
        <v>0.59835686678085598</v>
      </c>
      <c r="G3977">
        <v>0.37406695676220802</v>
      </c>
      <c r="H3977">
        <v>0.35643458273494399</v>
      </c>
      <c r="I3977">
        <v>0.35444331432848902</v>
      </c>
      <c r="J3977">
        <v>0.30504111547274099</v>
      </c>
      <c r="K3977">
        <v>0.29879710345118399</v>
      </c>
      <c r="L3977">
        <v>456.62372934619901</v>
      </c>
      <c r="M3977">
        <v>9.4199705588742297</v>
      </c>
      <c r="N3977">
        <v>51.902738825253799</v>
      </c>
      <c r="O3977">
        <v>46.440075194239803</v>
      </c>
      <c r="P3977">
        <v>-3.8987437355011902E-2</v>
      </c>
      <c r="Q3977">
        <v>0.23164342152922501</v>
      </c>
      <c r="R3977">
        <v>0.85670435070360296</v>
      </c>
      <c r="S3977" t="s">
        <v>9528</v>
      </c>
      <c r="T3977" t="s">
        <v>11100</v>
      </c>
      <c r="U3977" t="s">
        <v>11100</v>
      </c>
      <c r="V3977" t="s">
        <v>11100</v>
      </c>
      <c r="W3977" t="s">
        <v>15027</v>
      </c>
      <c r="X3977">
        <v>8</v>
      </c>
      <c r="Y3977" t="s">
        <v>20461</v>
      </c>
      <c r="Z3977" t="s">
        <v>25982</v>
      </c>
      <c r="AA3977">
        <v>0.55742878736557455</v>
      </c>
      <c r="AB3977" t="str">
        <f>HYPERLINK("Melting_Curves/meltCurve_Q8TB72_3_PUM2.pdf", "Melting_Curves/meltCurve_Q8TB72_3_PUM2.pdf")</f>
        <v>Melting_Curves/meltCurve_Q8TB72_3_PUM2.pdf</v>
      </c>
    </row>
    <row r="3978" spans="1:28" x14ac:dyDescent="0.25">
      <c r="A3978" t="s">
        <v>3982</v>
      </c>
      <c r="B3978">
        <v>0.99299721793515405</v>
      </c>
      <c r="C3978">
        <v>0.96526248640643098</v>
      </c>
      <c r="D3978">
        <v>1.0512283894219601</v>
      </c>
      <c r="E3978">
        <v>0.91175186337173897</v>
      </c>
      <c r="F3978">
        <v>0.71932928567299803</v>
      </c>
      <c r="G3978">
        <v>0.70370563961536403</v>
      </c>
      <c r="H3978">
        <v>0.51565882834601495</v>
      </c>
      <c r="I3978">
        <v>0.42579283831023201</v>
      </c>
      <c r="J3978">
        <v>0.34138965533048399</v>
      </c>
      <c r="K3978">
        <v>0.29334461156820502</v>
      </c>
      <c r="L3978">
        <v>579.82252465745398</v>
      </c>
      <c r="M3978">
        <v>10.4400916268086</v>
      </c>
      <c r="N3978">
        <v>58.067018274417599</v>
      </c>
      <c r="O3978">
        <v>53.6163848499815</v>
      </c>
      <c r="P3978">
        <v>-3.9803344382323198E-2</v>
      </c>
      <c r="Q3978">
        <v>0.18267705100625201</v>
      </c>
      <c r="R3978">
        <v>0.97708135174385302</v>
      </c>
      <c r="S3978" t="s">
        <v>9529</v>
      </c>
      <c r="T3978" t="s">
        <v>11100</v>
      </c>
      <c r="U3978" t="s">
        <v>11100</v>
      </c>
      <c r="V3978" t="s">
        <v>11100</v>
      </c>
      <c r="W3978" t="s">
        <v>15028</v>
      </c>
      <c r="X3978">
        <v>17</v>
      </c>
      <c r="Y3978" t="s">
        <v>20462</v>
      </c>
      <c r="Z3978" t="s">
        <v>25983</v>
      </c>
      <c r="AA3978">
        <v>0.69579411559375715</v>
      </c>
      <c r="AB3978" t="str">
        <f>HYPERLINK("Melting_Curves/meltCurve_Q8TBA6_2_GOLGA5.pdf", "Melting_Curves/meltCurve_Q8TBA6_2_GOLGA5.pdf")</f>
        <v>Melting_Curves/meltCurve_Q8TBA6_2_GOLGA5.pdf</v>
      </c>
    </row>
    <row r="3979" spans="1:28" x14ac:dyDescent="0.25">
      <c r="A3979" t="s">
        <v>3983</v>
      </c>
      <c r="B3979">
        <v>0.99299721793515405</v>
      </c>
      <c r="C3979">
        <v>1.07714376995798</v>
      </c>
      <c r="D3979">
        <v>1.0879713219435101</v>
      </c>
      <c r="E3979">
        <v>0.97104289252570597</v>
      </c>
      <c r="F3979">
        <v>0.60235541459422604</v>
      </c>
      <c r="G3979">
        <v>0.44711115167877802</v>
      </c>
      <c r="H3979">
        <v>0.306532410728315</v>
      </c>
      <c r="I3979">
        <v>0.29412221655573101</v>
      </c>
      <c r="J3979">
        <v>0.20024983664995</v>
      </c>
      <c r="K3979">
        <v>0.14099924515430901</v>
      </c>
      <c r="L3979">
        <v>1065.7202926285299</v>
      </c>
      <c r="M3979">
        <v>20.840670744865999</v>
      </c>
      <c r="N3979">
        <v>52.471374670798802</v>
      </c>
      <c r="O3979">
        <v>50.672727632033897</v>
      </c>
      <c r="P3979">
        <v>-8.1667497494235006E-2</v>
      </c>
      <c r="Q3979">
        <v>0.20574530903209201</v>
      </c>
      <c r="R3979">
        <v>0.97162007374904602</v>
      </c>
      <c r="S3979" t="s">
        <v>9530</v>
      </c>
      <c r="T3979" t="s">
        <v>11100</v>
      </c>
      <c r="U3979" t="s">
        <v>11100</v>
      </c>
      <c r="V3979" t="s">
        <v>11100</v>
      </c>
      <c r="W3979" t="s">
        <v>15029</v>
      </c>
      <c r="X3979">
        <v>5</v>
      </c>
      <c r="Y3979" t="s">
        <v>20463</v>
      </c>
      <c r="Z3979" t="s">
        <v>25984</v>
      </c>
      <c r="AA3979">
        <v>0.58970600385879246</v>
      </c>
      <c r="AB3979" t="str">
        <f>HYPERLINK("Melting_Curves/meltCurve_Q8TBB5_3_KLHDC4.pdf", "Melting_Curves/meltCurve_Q8TBB5_3_KLHDC4.pdf")</f>
        <v>Melting_Curves/meltCurve_Q8TBB5_3_KLHDC4.pdf</v>
      </c>
    </row>
    <row r="3980" spans="1:28" x14ac:dyDescent="0.25">
      <c r="A3980" t="s">
        <v>3984</v>
      </c>
      <c r="B3980">
        <v>0.99299721793515405</v>
      </c>
      <c r="C3980">
        <v>1.1302312130623899</v>
      </c>
      <c r="D3980">
        <v>0.97292967664102803</v>
      </c>
      <c r="E3980">
        <v>0.99923581906534598</v>
      </c>
      <c r="F3980">
        <v>0.842126677877852</v>
      </c>
      <c r="G3980">
        <v>0.62032692251356802</v>
      </c>
      <c r="H3980">
        <v>0.25234474777688098</v>
      </c>
      <c r="I3980">
        <v>0.20134212642127899</v>
      </c>
      <c r="J3980">
        <v>0.16562720708036299</v>
      </c>
      <c r="K3980">
        <v>0.14102850318469201</v>
      </c>
      <c r="L3980">
        <v>1331.52271204108</v>
      </c>
      <c r="M3980">
        <v>24.694748773287198</v>
      </c>
      <c r="N3980">
        <v>54.636646641514503</v>
      </c>
      <c r="O3980">
        <v>53.569416561830401</v>
      </c>
      <c r="P3980">
        <v>-9.9290623063033601E-2</v>
      </c>
      <c r="Q3980">
        <v>0.138462077130068</v>
      </c>
      <c r="R3980">
        <v>0.98405013276366304</v>
      </c>
      <c r="S3980" t="s">
        <v>9531</v>
      </c>
      <c r="T3980" t="s">
        <v>11100</v>
      </c>
      <c r="U3980" t="s">
        <v>11100</v>
      </c>
      <c r="V3980" t="s">
        <v>11100</v>
      </c>
      <c r="W3980" t="s">
        <v>15030</v>
      </c>
      <c r="X3980">
        <v>19</v>
      </c>
      <c r="Y3980" t="s">
        <v>20464</v>
      </c>
      <c r="Z3980" t="s">
        <v>25985</v>
      </c>
      <c r="AA3980">
        <v>0.63203187001879213</v>
      </c>
      <c r="AB3980" t="str">
        <f>HYPERLINK("Melting_Curves/meltCurve_Q8TBC4_UBA3.pdf", "Melting_Curves/meltCurve_Q8TBC4_UBA3.pdf")</f>
        <v>Melting_Curves/meltCurve_Q8TBC4_UBA3.pdf</v>
      </c>
    </row>
    <row r="3981" spans="1:28" x14ac:dyDescent="0.25">
      <c r="A3981" t="s">
        <v>3985</v>
      </c>
      <c r="B3981">
        <v>0.99299721793515405</v>
      </c>
      <c r="C3981">
        <v>0.87372983618979405</v>
      </c>
      <c r="D3981">
        <v>0.83091954320200201</v>
      </c>
      <c r="E3981">
        <v>0.70746656593350998</v>
      </c>
      <c r="F3981">
        <v>0.56503759031520595</v>
      </c>
      <c r="G3981">
        <v>0.41658849518807101</v>
      </c>
      <c r="H3981">
        <v>0.28987511255793302</v>
      </c>
      <c r="I3981">
        <v>0.30519339740572099</v>
      </c>
      <c r="J3981">
        <v>0.39968238451537202</v>
      </c>
      <c r="K3981">
        <v>0.31089283959207298</v>
      </c>
      <c r="L3981">
        <v>552.96234637609302</v>
      </c>
      <c r="M3981">
        <v>11.6469794342604</v>
      </c>
      <c r="N3981">
        <v>51.176314171477699</v>
      </c>
      <c r="O3981">
        <v>46.142056785864803</v>
      </c>
      <c r="P3981">
        <v>-4.5159161307100099E-2</v>
      </c>
      <c r="Q3981">
        <v>0.28456201552514199</v>
      </c>
      <c r="R3981">
        <v>0.96938973504585102</v>
      </c>
      <c r="S3981" t="s">
        <v>9532</v>
      </c>
      <c r="T3981" t="s">
        <v>11100</v>
      </c>
      <c r="U3981" t="s">
        <v>11100</v>
      </c>
      <c r="V3981" t="s">
        <v>11100</v>
      </c>
      <c r="W3981" t="s">
        <v>15031</v>
      </c>
      <c r="X3981">
        <v>3</v>
      </c>
      <c r="Y3981" t="s">
        <v>20465</v>
      </c>
      <c r="Z3981" t="s">
        <v>25986</v>
      </c>
      <c r="AA3981">
        <v>0.55845544885577647</v>
      </c>
      <c r="AB3981" t="str">
        <f>HYPERLINK("Melting_Curves/meltCurve_Q8TBE9_NANP.pdf", "Melting_Curves/meltCurve_Q8TBE9_NANP.pdf")</f>
        <v>Melting_Curves/meltCurve_Q8TBE9_NANP.pdf</v>
      </c>
    </row>
    <row r="3982" spans="1:28" x14ac:dyDescent="0.25">
      <c r="A3982" t="s">
        <v>3986</v>
      </c>
      <c r="B3982">
        <v>0.99299721793515405</v>
      </c>
      <c r="C3982">
        <v>0.89909512160429805</v>
      </c>
      <c r="D3982">
        <v>0.92372661198285999</v>
      </c>
      <c r="E3982">
        <v>0.762414473722414</v>
      </c>
      <c r="F3982">
        <v>0.72299119728204897</v>
      </c>
      <c r="G3982">
        <v>0.51266451049475603</v>
      </c>
      <c r="H3982">
        <v>0.56772308076256095</v>
      </c>
      <c r="I3982">
        <v>0.64330061817840101</v>
      </c>
      <c r="J3982">
        <v>0.64745513238987396</v>
      </c>
      <c r="K3982">
        <v>0.416816029200132</v>
      </c>
      <c r="L3982">
        <v>583.53872859792796</v>
      </c>
      <c r="M3982">
        <v>12.4402488336213</v>
      </c>
      <c r="O3982">
        <v>45.744693692964702</v>
      </c>
      <c r="P3982">
        <v>-3.1874510128652597E-2</v>
      </c>
      <c r="Q3982">
        <v>0.53126849626344996</v>
      </c>
      <c r="R3982">
        <v>0.84338180953585495</v>
      </c>
      <c r="S3982" t="s">
        <v>9533</v>
      </c>
      <c r="T3982" t="s">
        <v>11100</v>
      </c>
      <c r="U3982" t="s">
        <v>11100</v>
      </c>
      <c r="V3982" t="s">
        <v>11100</v>
      </c>
      <c r="W3982" t="s">
        <v>15032</v>
      </c>
      <c r="X3982">
        <v>3</v>
      </c>
      <c r="Y3982" t="s">
        <v>20466</v>
      </c>
      <c r="Z3982" t="s">
        <v>25987</v>
      </c>
      <c r="AA3982">
        <v>0.70065843811122908</v>
      </c>
      <c r="AB3982" t="str">
        <f>HYPERLINK("Melting_Curves/meltCurve_Q8TBP6_SLC25A40.pdf", "Melting_Curves/meltCurve_Q8TBP6_SLC25A40.pdf")</f>
        <v>Melting_Curves/meltCurve_Q8TBP6_SLC25A40.pdf</v>
      </c>
    </row>
    <row r="3983" spans="1:28" x14ac:dyDescent="0.25">
      <c r="A3983" t="s">
        <v>3987</v>
      </c>
      <c r="B3983">
        <v>0.99299721793515405</v>
      </c>
      <c r="C3983">
        <v>1.0271511918613301</v>
      </c>
      <c r="D3983">
        <v>0.90144098255848204</v>
      </c>
      <c r="E3983">
        <v>0.97304678001391098</v>
      </c>
      <c r="F3983">
        <v>0.61593664521186597</v>
      </c>
      <c r="G3983">
        <v>0.225749271369864</v>
      </c>
      <c r="H3983">
        <v>0.159923652388165</v>
      </c>
      <c r="I3983">
        <v>0.184878993976579</v>
      </c>
      <c r="J3983">
        <v>0.190457962522422</v>
      </c>
      <c r="K3983">
        <v>0.17045119397810299</v>
      </c>
      <c r="L3983">
        <v>2140.1264547113801</v>
      </c>
      <c r="M3983">
        <v>42.498618106393401</v>
      </c>
      <c r="N3983">
        <v>50.873814510781202</v>
      </c>
      <c r="O3983">
        <v>50.246425015578801</v>
      </c>
      <c r="P3983">
        <v>-0.17441251607865099</v>
      </c>
      <c r="Q3983">
        <v>0.17516438479211499</v>
      </c>
      <c r="R3983">
        <v>0.99202721727408805</v>
      </c>
      <c r="S3983" t="s">
        <v>9534</v>
      </c>
      <c r="T3983" t="s">
        <v>11100</v>
      </c>
      <c r="U3983" t="s">
        <v>11100</v>
      </c>
      <c r="V3983" t="s">
        <v>11100</v>
      </c>
      <c r="W3983" t="s">
        <v>15033</v>
      </c>
      <c r="X3983">
        <v>7</v>
      </c>
      <c r="Y3983" t="s">
        <v>20467</v>
      </c>
      <c r="Z3983" t="s">
        <v>25988</v>
      </c>
      <c r="AA3983">
        <v>0.54496393164968782</v>
      </c>
      <c r="AB3983" t="str">
        <f>HYPERLINK("Melting_Curves/meltCurve_Q8TBX8_PIP4K2C.pdf", "Melting_Curves/meltCurve_Q8TBX8_PIP4K2C.pdf")</f>
        <v>Melting_Curves/meltCurve_Q8TBX8_PIP4K2C.pdf</v>
      </c>
    </row>
    <row r="3984" spans="1:28" x14ac:dyDescent="0.25">
      <c r="A3984" t="s">
        <v>3988</v>
      </c>
      <c r="B3984">
        <v>0.99299721793515405</v>
      </c>
      <c r="C3984">
        <v>0.76290677226192005</v>
      </c>
      <c r="D3984">
        <v>0.85065165107899499</v>
      </c>
      <c r="E3984">
        <v>0.61347964410505595</v>
      </c>
      <c r="F3984">
        <v>0.69108895503768097</v>
      </c>
      <c r="G3984">
        <v>0.47762420410371198</v>
      </c>
      <c r="H3984">
        <v>0.327238149649554</v>
      </c>
      <c r="I3984">
        <v>0.15685006315950101</v>
      </c>
      <c r="J3984">
        <v>0.12623233336584799</v>
      </c>
      <c r="K3984">
        <v>9.9944206441356501E-2</v>
      </c>
      <c r="L3984">
        <v>409.93223673630899</v>
      </c>
      <c r="M3984">
        <v>7.9400004839885003</v>
      </c>
      <c r="N3984">
        <v>51.628741946706498</v>
      </c>
      <c r="O3984">
        <v>48.662036629297802</v>
      </c>
      <c r="P3984">
        <v>-4.0839002404831799E-2</v>
      </c>
      <c r="Q3984">
        <v>0</v>
      </c>
      <c r="R3984">
        <v>0.93309088382600902</v>
      </c>
      <c r="S3984" t="s">
        <v>9535</v>
      </c>
      <c r="T3984" t="s">
        <v>11100</v>
      </c>
      <c r="U3984" t="s">
        <v>11100</v>
      </c>
      <c r="V3984" t="s">
        <v>11100</v>
      </c>
      <c r="W3984" t="s">
        <v>15034</v>
      </c>
      <c r="X3984">
        <v>6</v>
      </c>
      <c r="Y3984" t="s">
        <v>20468</v>
      </c>
      <c r="Z3984" t="s">
        <v>25989</v>
      </c>
      <c r="AA3984">
        <v>0.51861781627436276</v>
      </c>
      <c r="AB3984" t="str">
        <f>HYPERLINK("Melting_Curves/meltCurve_Q8TBZ6_TRMT10A.pdf", "Melting_Curves/meltCurve_Q8TBZ6_TRMT10A.pdf")</f>
        <v>Melting_Curves/meltCurve_Q8TBZ6_TRMT10A.pdf</v>
      </c>
    </row>
    <row r="3985" spans="1:28" x14ac:dyDescent="0.25">
      <c r="A3985" t="s">
        <v>3989</v>
      </c>
      <c r="B3985">
        <v>0.99299721793515405</v>
      </c>
      <c r="C3985">
        <v>0.95621894396506102</v>
      </c>
      <c r="D3985">
        <v>0.93511719036327101</v>
      </c>
      <c r="E3985">
        <v>0.83176992210712297</v>
      </c>
      <c r="F3985">
        <v>0.71064834825235801</v>
      </c>
      <c r="G3985">
        <v>0.37681379794806902</v>
      </c>
      <c r="H3985">
        <v>0.19120658532177001</v>
      </c>
      <c r="I3985">
        <v>0.164333017763411</v>
      </c>
      <c r="J3985">
        <v>0.13289277498493901</v>
      </c>
      <c r="K3985">
        <v>0.103055783012235</v>
      </c>
      <c r="L3985">
        <v>859.84834032135302</v>
      </c>
      <c r="M3985">
        <v>16.638964758809301</v>
      </c>
      <c r="N3985">
        <v>52.243536129534597</v>
      </c>
      <c r="O3985">
        <v>50.947660929553997</v>
      </c>
      <c r="P3985">
        <v>-7.4910492843864099E-2</v>
      </c>
      <c r="Q3985">
        <v>8.2573252486405194E-2</v>
      </c>
      <c r="R3985">
        <v>0.992350712894017</v>
      </c>
      <c r="S3985" t="s">
        <v>9536</v>
      </c>
      <c r="T3985" t="s">
        <v>11100</v>
      </c>
      <c r="U3985" t="s">
        <v>11100</v>
      </c>
      <c r="V3985" t="s">
        <v>11100</v>
      </c>
      <c r="W3985" t="s">
        <v>15035</v>
      </c>
      <c r="X3985">
        <v>15</v>
      </c>
      <c r="Y3985" t="s">
        <v>20469</v>
      </c>
      <c r="Z3985" t="s">
        <v>25990</v>
      </c>
      <c r="AA3985">
        <v>0.54705303541550909</v>
      </c>
      <c r="AB3985" t="str">
        <f>HYPERLINK("Melting_Curves/meltCurve_Q8TC07_2_TBC1D15.pdf", "Melting_Curves/meltCurve_Q8TC07_2_TBC1D15.pdf")</f>
        <v>Melting_Curves/meltCurve_Q8TC07_2_TBC1D15.pdf</v>
      </c>
    </row>
    <row r="3986" spans="1:28" x14ac:dyDescent="0.25">
      <c r="A3986" t="s">
        <v>3990</v>
      </c>
      <c r="B3986">
        <v>0.99299721793515405</v>
      </c>
      <c r="C3986">
        <v>1.20333074875998</v>
      </c>
      <c r="D3986">
        <v>1.5236612887818499</v>
      </c>
      <c r="E3986">
        <v>1.05428931558971</v>
      </c>
      <c r="F3986">
        <v>0.85734313348774505</v>
      </c>
      <c r="G3986">
        <v>0.25196549049605599</v>
      </c>
      <c r="H3986">
        <v>0.157284440898598</v>
      </c>
      <c r="I3986">
        <v>0.135379421656629</v>
      </c>
      <c r="J3986">
        <v>0.13057344056737699</v>
      </c>
      <c r="K3986">
        <v>9.9894116404635303E-2</v>
      </c>
      <c r="L3986">
        <v>2589.4077639777602</v>
      </c>
      <c r="M3986">
        <v>49.929527278031998</v>
      </c>
      <c r="N3986">
        <v>52.1722551983042</v>
      </c>
      <c r="O3986">
        <v>51.778252407468599</v>
      </c>
      <c r="P3986">
        <v>-0.210044481562146</v>
      </c>
      <c r="Q3986">
        <v>0.12871366990007299</v>
      </c>
      <c r="R3986">
        <v>0.87827192657074804</v>
      </c>
      <c r="S3986" t="s">
        <v>9537</v>
      </c>
      <c r="T3986" t="s">
        <v>11100</v>
      </c>
      <c r="U3986" t="s">
        <v>11100</v>
      </c>
      <c r="V3986" t="s">
        <v>11100</v>
      </c>
      <c r="W3986" t="s">
        <v>15036</v>
      </c>
      <c r="X3986">
        <v>8</v>
      </c>
      <c r="Y3986" t="s">
        <v>20470</v>
      </c>
      <c r="Z3986" t="s">
        <v>25991</v>
      </c>
      <c r="AA3986">
        <v>0.56232534171814941</v>
      </c>
      <c r="AB3986" t="str">
        <f>HYPERLINK("Melting_Curves/meltCurve_Q8TC12_RDH11.pdf", "Melting_Curves/meltCurve_Q8TC12_RDH11.pdf")</f>
        <v>Melting_Curves/meltCurve_Q8TC12_RDH11.pdf</v>
      </c>
    </row>
    <row r="3987" spans="1:28" x14ac:dyDescent="0.25">
      <c r="A3987" t="s">
        <v>3991</v>
      </c>
      <c r="B3987">
        <v>0.99299721793515405</v>
      </c>
      <c r="C3987">
        <v>1.0883356366238299</v>
      </c>
      <c r="D3987">
        <v>0.98088776183239601</v>
      </c>
      <c r="E3987">
        <v>0.84100413035617905</v>
      </c>
      <c r="F3987">
        <v>0.68757293445916601</v>
      </c>
      <c r="G3987">
        <v>0.37720759312900498</v>
      </c>
      <c r="H3987">
        <v>0.45876215006695198</v>
      </c>
      <c r="I3987">
        <v>0.65631819420277604</v>
      </c>
      <c r="J3987">
        <v>0.66608313893513704</v>
      </c>
      <c r="K3987">
        <v>0.65847214029541701</v>
      </c>
      <c r="L3987">
        <v>1651.1725336612201</v>
      </c>
      <c r="M3987">
        <v>34.7614722901913</v>
      </c>
      <c r="O3987">
        <v>47.343699872242198</v>
      </c>
      <c r="P3987">
        <v>-7.8638056784035806E-2</v>
      </c>
      <c r="Q3987">
        <v>0.571594328276119</v>
      </c>
      <c r="R3987">
        <v>0.81716697831146301</v>
      </c>
      <c r="S3987" t="s">
        <v>9538</v>
      </c>
      <c r="T3987" t="s">
        <v>11100</v>
      </c>
      <c r="U3987" t="s">
        <v>11100</v>
      </c>
      <c r="V3987" t="s">
        <v>11100</v>
      </c>
      <c r="W3987" t="s">
        <v>15037</v>
      </c>
      <c r="X3987">
        <v>1</v>
      </c>
      <c r="Y3987" t="s">
        <v>20471</v>
      </c>
      <c r="Z3987" t="s">
        <v>25992</v>
      </c>
      <c r="AA3987">
        <v>0.72340470780151256</v>
      </c>
      <c r="AB3987" t="str">
        <f>HYPERLINK("Melting_Curves/meltCurve_Q8TC26_TMEM163.pdf", "Melting_Curves/meltCurve_Q8TC26_TMEM163.pdf")</f>
        <v>Melting_Curves/meltCurve_Q8TC26_TMEM163.pdf</v>
      </c>
    </row>
    <row r="3988" spans="1:28" x14ac:dyDescent="0.25">
      <c r="A3988" t="s">
        <v>3992</v>
      </c>
      <c r="B3988">
        <v>0.99299721793515405</v>
      </c>
      <c r="C3988">
        <v>0.85646721505062096</v>
      </c>
      <c r="D3988">
        <v>0.90688285294320703</v>
      </c>
      <c r="E3988">
        <v>0.87374158215839404</v>
      </c>
      <c r="F3988">
        <v>0.77605554495660301</v>
      </c>
      <c r="G3988">
        <v>0.39837571037831798</v>
      </c>
      <c r="H3988">
        <v>0.25379078617502399</v>
      </c>
      <c r="I3988">
        <v>0.30562913591143098</v>
      </c>
      <c r="J3988">
        <v>0.214235509470347</v>
      </c>
      <c r="K3988">
        <v>0.19513550568670601</v>
      </c>
      <c r="L3988">
        <v>1063.29723896115</v>
      </c>
      <c r="M3988">
        <v>20.635947382021602</v>
      </c>
      <c r="N3988">
        <v>52.884201437011001</v>
      </c>
      <c r="O3988">
        <v>51.049903802526799</v>
      </c>
      <c r="P3988">
        <v>-8.0278240716596005E-2</v>
      </c>
      <c r="Q3988">
        <v>0.20564275415399</v>
      </c>
      <c r="R3988">
        <v>0.95756607212828304</v>
      </c>
      <c r="S3988" t="s">
        <v>9539</v>
      </c>
      <c r="T3988" t="s">
        <v>11100</v>
      </c>
      <c r="U3988" t="s">
        <v>11100</v>
      </c>
      <c r="V3988" t="s">
        <v>11100</v>
      </c>
      <c r="W3988" t="s">
        <v>15038</v>
      </c>
      <c r="X3988">
        <v>1</v>
      </c>
      <c r="Y3988" t="s">
        <v>20472</v>
      </c>
      <c r="Z3988" t="s">
        <v>25993</v>
      </c>
      <c r="AA3988">
        <v>0.60010497516881733</v>
      </c>
      <c r="AB3988" t="str">
        <f>HYPERLINK("Melting_Curves/meltCurve_Q8TC71_2_SPATA18.pdf", "Melting_Curves/meltCurve_Q8TC71_2_SPATA18.pdf")</f>
        <v>Melting_Curves/meltCurve_Q8TC71_2_SPATA18.pdf</v>
      </c>
    </row>
    <row r="3989" spans="1:28" x14ac:dyDescent="0.25">
      <c r="A3989" t="s">
        <v>3993</v>
      </c>
      <c r="B3989">
        <v>0.99299721793515405</v>
      </c>
      <c r="C3989">
        <v>1.1494248984600599</v>
      </c>
      <c r="D3989">
        <v>0.86851386504332595</v>
      </c>
      <c r="E3989">
        <v>0.89217293716341295</v>
      </c>
      <c r="F3989">
        <v>0.793764019805559</v>
      </c>
      <c r="G3989">
        <v>0.64392569935817001</v>
      </c>
      <c r="H3989">
        <v>0.52947956229808002</v>
      </c>
      <c r="I3989">
        <v>0.47643569315437501</v>
      </c>
      <c r="J3989">
        <v>0.42665371163728799</v>
      </c>
      <c r="K3989">
        <v>0.30686900430923097</v>
      </c>
      <c r="L3989">
        <v>533.31596511115197</v>
      </c>
      <c r="M3989">
        <v>9.6752000513681402</v>
      </c>
      <c r="N3989">
        <v>58.914076514274498</v>
      </c>
      <c r="O3989">
        <v>52.921654438504703</v>
      </c>
      <c r="P3989">
        <v>-3.5131560653937403E-2</v>
      </c>
      <c r="Q3989">
        <v>0.23176994407027099</v>
      </c>
      <c r="R3989">
        <v>0.94072507279392803</v>
      </c>
      <c r="S3989" t="s">
        <v>9540</v>
      </c>
      <c r="T3989" t="s">
        <v>11100</v>
      </c>
      <c r="U3989" t="s">
        <v>11100</v>
      </c>
      <c r="V3989" t="s">
        <v>11100</v>
      </c>
      <c r="W3989" t="s">
        <v>15039</v>
      </c>
      <c r="X3989">
        <v>1</v>
      </c>
      <c r="Y3989" t="s">
        <v>20473</v>
      </c>
      <c r="Z3989" t="s">
        <v>25994</v>
      </c>
      <c r="AA3989">
        <v>0.70415019866103379</v>
      </c>
      <c r="AB3989" t="str">
        <f>HYPERLINK("Melting_Curves/meltCurve_Q8TCD1_C18orf32.pdf", "Melting_Curves/meltCurve_Q8TCD1_C18orf32.pdf")</f>
        <v>Melting_Curves/meltCurve_Q8TCD1_C18orf32.pdf</v>
      </c>
    </row>
    <row r="3990" spans="1:28" x14ac:dyDescent="0.25">
      <c r="A3990" t="s">
        <v>3994</v>
      </c>
      <c r="B3990">
        <v>0.99299721793515405</v>
      </c>
      <c r="C3990">
        <v>0.96321071215537701</v>
      </c>
      <c r="D3990">
        <v>1.0194870140065599</v>
      </c>
      <c r="E3990">
        <v>0.92149417184020699</v>
      </c>
      <c r="F3990">
        <v>0.76907627620966101</v>
      </c>
      <c r="G3990">
        <v>0.82730450517793896</v>
      </c>
      <c r="H3990">
        <v>0.53886527491298397</v>
      </c>
      <c r="I3990">
        <v>0.58937919876801803</v>
      </c>
      <c r="J3990">
        <v>0.55827584534054497</v>
      </c>
      <c r="K3990">
        <v>0.34958574767196698</v>
      </c>
      <c r="L3990">
        <v>430.55480902142602</v>
      </c>
      <c r="M3990">
        <v>7.0525618392065503</v>
      </c>
      <c r="N3990">
        <v>62.975052632891597</v>
      </c>
      <c r="O3990">
        <v>56.710572502274999</v>
      </c>
      <c r="P3990">
        <v>-2.8125305026717E-2</v>
      </c>
      <c r="Q3990">
        <v>9.6991794899505601E-2</v>
      </c>
      <c r="R3990">
        <v>0.91648680325311205</v>
      </c>
      <c r="S3990" t="s">
        <v>9541</v>
      </c>
      <c r="T3990" t="s">
        <v>11100</v>
      </c>
      <c r="U3990" t="s">
        <v>11100</v>
      </c>
      <c r="V3990" t="s">
        <v>11100</v>
      </c>
      <c r="W3990" t="s">
        <v>15040</v>
      </c>
      <c r="X3990">
        <v>8</v>
      </c>
      <c r="Y3990" t="s">
        <v>20474</v>
      </c>
      <c r="Z3990" t="s">
        <v>25995</v>
      </c>
      <c r="AA3990">
        <v>0.75896093548888421</v>
      </c>
      <c r="AB3990" t="str">
        <f>HYPERLINK("Melting_Curves/meltCurve_Q8TCD5_NT5C.pdf", "Melting_Curves/meltCurve_Q8TCD5_NT5C.pdf")</f>
        <v>Melting_Curves/meltCurve_Q8TCD5_NT5C.pdf</v>
      </c>
    </row>
    <row r="3991" spans="1:28" x14ac:dyDescent="0.25">
      <c r="A3991" t="s">
        <v>3995</v>
      </c>
      <c r="B3991">
        <v>0.99299721793515405</v>
      </c>
      <c r="C3991">
        <v>0.97628076993232205</v>
      </c>
      <c r="D3991">
        <v>1.0507126021611299</v>
      </c>
      <c r="E3991">
        <v>0.84007089844040395</v>
      </c>
      <c r="F3991">
        <v>0.61033276787174195</v>
      </c>
      <c r="G3991">
        <v>0.36734377057634598</v>
      </c>
      <c r="H3991">
        <v>0.26532378498298698</v>
      </c>
      <c r="I3991">
        <v>0.24099854556879299</v>
      </c>
      <c r="J3991">
        <v>0.221318073696229</v>
      </c>
      <c r="K3991">
        <v>0.17761654119918499</v>
      </c>
      <c r="L3991">
        <v>1019.23442295386</v>
      </c>
      <c r="M3991">
        <v>20.2744202974988</v>
      </c>
      <c r="N3991">
        <v>51.586035732069902</v>
      </c>
      <c r="O3991">
        <v>49.790525411583999</v>
      </c>
      <c r="P3991">
        <v>-8.1269538084582801E-2</v>
      </c>
      <c r="Q3991">
        <v>0.201688011978537</v>
      </c>
      <c r="R3991">
        <v>0.99306186718423795</v>
      </c>
      <c r="S3991" t="s">
        <v>9542</v>
      </c>
      <c r="T3991" t="s">
        <v>11100</v>
      </c>
      <c r="U3991" t="s">
        <v>11100</v>
      </c>
      <c r="V3991" t="s">
        <v>11100</v>
      </c>
      <c r="W3991" t="s">
        <v>15041</v>
      </c>
      <c r="X3991">
        <v>13</v>
      </c>
      <c r="Y3991" t="s">
        <v>20475</v>
      </c>
      <c r="Z3991" t="s">
        <v>25996</v>
      </c>
      <c r="AA3991">
        <v>0.56511723503106104</v>
      </c>
      <c r="AB3991" t="str">
        <f>HYPERLINK("Melting_Curves/meltCurve_Q8TCG1_KIAA1524.pdf", "Melting_Curves/meltCurve_Q8TCG1_KIAA1524.pdf")</f>
        <v>Melting_Curves/meltCurve_Q8TCG1_KIAA1524.pdf</v>
      </c>
    </row>
    <row r="3992" spans="1:28" x14ac:dyDescent="0.25">
      <c r="A3992" t="s">
        <v>3996</v>
      </c>
      <c r="B3992">
        <v>0.99299721793515405</v>
      </c>
      <c r="C3992">
        <v>0.91475882237050299</v>
      </c>
      <c r="D3992">
        <v>1.1627830574673901</v>
      </c>
      <c r="E3992">
        <v>0.68759341158957199</v>
      </c>
      <c r="F3992">
        <v>0.73718110055543595</v>
      </c>
      <c r="G3992">
        <v>1.03580133846469</v>
      </c>
      <c r="H3992">
        <v>1.0815456400533201</v>
      </c>
      <c r="I3992">
        <v>0.76453265274108495</v>
      </c>
      <c r="J3992">
        <v>0.63301852694433103</v>
      </c>
      <c r="K3992">
        <v>0.705238831757937</v>
      </c>
      <c r="L3992">
        <v>325.92088688348201</v>
      </c>
      <c r="M3992">
        <v>4.0033282224059299</v>
      </c>
      <c r="O3992">
        <v>66.853659412394094</v>
      </c>
      <c r="P3992">
        <v>-1.51624071791319E-2</v>
      </c>
      <c r="Q3992">
        <v>0</v>
      </c>
      <c r="R3992">
        <v>0.254194875280566</v>
      </c>
      <c r="S3992" t="s">
        <v>9543</v>
      </c>
      <c r="T3992" t="s">
        <v>11100</v>
      </c>
      <c r="U3992" t="s">
        <v>11100</v>
      </c>
      <c r="V3992" t="s">
        <v>11100</v>
      </c>
      <c r="W3992" t="s">
        <v>15042</v>
      </c>
      <c r="X3992">
        <v>2</v>
      </c>
      <c r="Y3992" t="s">
        <v>20476</v>
      </c>
      <c r="Z3992" t="s">
        <v>25997</v>
      </c>
      <c r="AA3992">
        <v>0.88511233664479738</v>
      </c>
      <c r="AB3992" t="str">
        <f>HYPERLINK("Melting_Curves/meltCurve_Q8TCJ2_STT3B.pdf", "Melting_Curves/meltCurve_Q8TCJ2_STT3B.pdf")</f>
        <v>Melting_Curves/meltCurve_Q8TCJ2_STT3B.pdf</v>
      </c>
    </row>
    <row r="3993" spans="1:28" x14ac:dyDescent="0.25">
      <c r="A3993" t="s">
        <v>3997</v>
      </c>
      <c r="B3993">
        <v>0.99299721793515405</v>
      </c>
      <c r="C3993">
        <v>1.03718609259258</v>
      </c>
      <c r="D3993">
        <v>1.00812795706929</v>
      </c>
      <c r="E3993">
        <v>0.87158184820126805</v>
      </c>
      <c r="F3993">
        <v>0.59985657848815899</v>
      </c>
      <c r="G3993">
        <v>0.36096296601312799</v>
      </c>
      <c r="H3993">
        <v>0.19191842529226399</v>
      </c>
      <c r="I3993">
        <v>0.130804283311208</v>
      </c>
      <c r="J3993">
        <v>0.110181673258162</v>
      </c>
      <c r="K3993">
        <v>0.100491308795948</v>
      </c>
      <c r="L3993">
        <v>965.02422445066395</v>
      </c>
      <c r="M3993">
        <v>18.9040237708892</v>
      </c>
      <c r="N3993">
        <v>51.610133250117897</v>
      </c>
      <c r="O3993">
        <v>50.487658235036299</v>
      </c>
      <c r="P3993">
        <v>-8.4909599861957605E-2</v>
      </c>
      <c r="Q3993">
        <v>9.2952393788719501E-2</v>
      </c>
      <c r="R3993">
        <v>0.99757028273047399</v>
      </c>
      <c r="S3993" t="s">
        <v>9544</v>
      </c>
      <c r="T3993" t="s">
        <v>11100</v>
      </c>
      <c r="U3993" t="s">
        <v>11100</v>
      </c>
      <c r="V3993" t="s">
        <v>11100</v>
      </c>
      <c r="W3993" t="s">
        <v>15043</v>
      </c>
      <c r="X3993">
        <v>11</v>
      </c>
      <c r="Y3993" t="s">
        <v>20477</v>
      </c>
      <c r="Z3993" t="s">
        <v>25998</v>
      </c>
      <c r="AA3993">
        <v>0.53072385844335357</v>
      </c>
      <c r="AB3993" t="str">
        <f>HYPERLINK("Melting_Curves/meltCurve_Q8TCS8_PNPT1.pdf", "Melting_Curves/meltCurve_Q8TCS8_PNPT1.pdf")</f>
        <v>Melting_Curves/meltCurve_Q8TCS8_PNPT1.pdf</v>
      </c>
    </row>
    <row r="3994" spans="1:28" x14ac:dyDescent="0.25">
      <c r="A3994" t="s">
        <v>3998</v>
      </c>
      <c r="B3994">
        <v>0.99299721793515405</v>
      </c>
      <c r="C3994">
        <v>1.0584270969154199</v>
      </c>
      <c r="D3994">
        <v>1.1339373801492201</v>
      </c>
      <c r="E3994">
        <v>0.93184773777990604</v>
      </c>
      <c r="F3994">
        <v>0.97721401183470302</v>
      </c>
      <c r="G3994">
        <v>0.69539360840210795</v>
      </c>
      <c r="H3994">
        <v>0.76897320239688305</v>
      </c>
      <c r="I3994">
        <v>0.85092937243877298</v>
      </c>
      <c r="J3994">
        <v>0.67113994974121705</v>
      </c>
      <c r="K3994">
        <v>0.50931156049639204</v>
      </c>
      <c r="L3994">
        <v>441.89114978284601</v>
      </c>
      <c r="M3994">
        <v>6.3107668787318296</v>
      </c>
      <c r="O3994">
        <v>63.977786191264599</v>
      </c>
      <c r="P3994">
        <v>-2.4726626684906099E-2</v>
      </c>
      <c r="Q3994">
        <v>0</v>
      </c>
      <c r="R3994">
        <v>0.75279490622393297</v>
      </c>
      <c r="S3994" t="s">
        <v>9545</v>
      </c>
      <c r="T3994" t="s">
        <v>11100</v>
      </c>
      <c r="U3994" t="s">
        <v>11100</v>
      </c>
      <c r="V3994" t="s">
        <v>11100</v>
      </c>
      <c r="W3994" t="s">
        <v>15044</v>
      </c>
      <c r="X3994">
        <v>6</v>
      </c>
      <c r="Y3994" t="s">
        <v>20478</v>
      </c>
      <c r="Z3994" t="s">
        <v>25999</v>
      </c>
      <c r="AA3994">
        <v>0.85606062326400634</v>
      </c>
      <c r="AB3994" t="str">
        <f>HYPERLINK("Melting_Curves/meltCurve_Q8TCT9_5_HM13.pdf", "Melting_Curves/meltCurve_Q8TCT9_5_HM13.pdf")</f>
        <v>Melting_Curves/meltCurve_Q8TCT9_5_HM13.pdf</v>
      </c>
    </row>
    <row r="3995" spans="1:28" x14ac:dyDescent="0.25">
      <c r="A3995" t="s">
        <v>3999</v>
      </c>
      <c r="B3995">
        <v>0.99299721793515405</v>
      </c>
      <c r="C3995">
        <v>0.91125650110079803</v>
      </c>
      <c r="D3995">
        <v>0.96224511614424002</v>
      </c>
      <c r="E3995">
        <v>0.83787979374404697</v>
      </c>
      <c r="F3995">
        <v>0.73666564929433997</v>
      </c>
      <c r="G3995">
        <v>0.33033105700624399</v>
      </c>
      <c r="H3995">
        <v>0.22898077291837099</v>
      </c>
      <c r="I3995">
        <v>0.205915403975479</v>
      </c>
      <c r="J3995">
        <v>0.179977622902628</v>
      </c>
      <c r="K3995">
        <v>0.15322185593191801</v>
      </c>
      <c r="L3995">
        <v>1050.9661557382899</v>
      </c>
      <c r="M3995">
        <v>20.5231748629366</v>
      </c>
      <c r="N3995">
        <v>52.145617882731003</v>
      </c>
      <c r="O3995">
        <v>50.7299987249366</v>
      </c>
      <c r="P3995">
        <v>-8.5546821601655207E-2</v>
      </c>
      <c r="Q3995">
        <v>0.154192735473905</v>
      </c>
      <c r="R3995">
        <v>0.982167319323627</v>
      </c>
      <c r="S3995" t="s">
        <v>9546</v>
      </c>
      <c r="T3995" t="s">
        <v>11100</v>
      </c>
      <c r="U3995" t="s">
        <v>11100</v>
      </c>
      <c r="V3995" t="s">
        <v>11100</v>
      </c>
      <c r="W3995" t="s">
        <v>15045</v>
      </c>
      <c r="X3995">
        <v>32</v>
      </c>
      <c r="Y3995" t="s">
        <v>20479</v>
      </c>
      <c r="Z3995" t="s">
        <v>26000</v>
      </c>
      <c r="AA3995">
        <v>0.56537497566544037</v>
      </c>
      <c r="AB3995" t="str">
        <f>HYPERLINK("Melting_Curves/meltCurve_Q8TD16_BICD2.pdf", "Melting_Curves/meltCurve_Q8TD16_BICD2.pdf")</f>
        <v>Melting_Curves/meltCurve_Q8TD16_BICD2.pdf</v>
      </c>
    </row>
    <row r="3996" spans="1:28" x14ac:dyDescent="0.25">
      <c r="A3996" t="s">
        <v>4000</v>
      </c>
      <c r="B3996">
        <v>0.99299721793515405</v>
      </c>
      <c r="C3996">
        <v>0.90529488718908602</v>
      </c>
      <c r="D3996">
        <v>0.90689158980026296</v>
      </c>
      <c r="E3996">
        <v>0.78905291538868005</v>
      </c>
      <c r="F3996">
        <v>0.70947449515223704</v>
      </c>
      <c r="G3996">
        <v>0.50901646656072796</v>
      </c>
      <c r="H3996">
        <v>0.26584820536279302</v>
      </c>
      <c r="I3996">
        <v>0.24375749009338399</v>
      </c>
      <c r="J3996">
        <v>0.20846427424045699</v>
      </c>
      <c r="K3996">
        <v>0.171283828954926</v>
      </c>
      <c r="L3996">
        <v>549.33064345705498</v>
      </c>
      <c r="M3996">
        <v>10.419983784926499</v>
      </c>
      <c r="N3996">
        <v>53.420772347365599</v>
      </c>
      <c r="O3996">
        <v>50.888166847262099</v>
      </c>
      <c r="P3996">
        <v>-4.7935934053713998E-2</v>
      </c>
      <c r="Q3996">
        <v>6.3968305041330803E-2</v>
      </c>
      <c r="R3996">
        <v>0.98415449500925001</v>
      </c>
      <c r="S3996" t="s">
        <v>9547</v>
      </c>
      <c r="T3996" t="s">
        <v>11100</v>
      </c>
      <c r="U3996" t="s">
        <v>11100</v>
      </c>
      <c r="V3996" t="s">
        <v>11100</v>
      </c>
      <c r="W3996" t="s">
        <v>15046</v>
      </c>
      <c r="X3996">
        <v>12</v>
      </c>
      <c r="Y3996" t="s">
        <v>20480</v>
      </c>
      <c r="Z3996" t="s">
        <v>26001</v>
      </c>
      <c r="AA3996">
        <v>0.57628643380874123</v>
      </c>
      <c r="AB3996" t="str">
        <f>HYPERLINK("Melting_Curves/meltCurve_Q8TD19_NEK9.pdf", "Melting_Curves/meltCurve_Q8TD19_NEK9.pdf")</f>
        <v>Melting_Curves/meltCurve_Q8TD19_NEK9.pdf</v>
      </c>
    </row>
    <row r="3997" spans="1:28" x14ac:dyDescent="0.25">
      <c r="A3997" t="s">
        <v>4001</v>
      </c>
      <c r="B3997">
        <v>0.99299721793515405</v>
      </c>
      <c r="C3997">
        <v>1.0148731528454</v>
      </c>
      <c r="D3997">
        <v>0.89873021849546597</v>
      </c>
      <c r="E3997">
        <v>0.86295830762111703</v>
      </c>
      <c r="F3997">
        <v>0.71473409919001196</v>
      </c>
      <c r="G3997">
        <v>0.41449791253679602</v>
      </c>
      <c r="H3997">
        <v>0.33068769108606699</v>
      </c>
      <c r="I3997">
        <v>0.29158464850812899</v>
      </c>
      <c r="J3997">
        <v>0.25724654555780302</v>
      </c>
      <c r="K3997">
        <v>0.166438878231496</v>
      </c>
      <c r="L3997">
        <v>755.19539678916601</v>
      </c>
      <c r="M3997">
        <v>14.656541055716</v>
      </c>
      <c r="N3997">
        <v>53.1697443111468</v>
      </c>
      <c r="O3997">
        <v>50.595446893351301</v>
      </c>
      <c r="P3997">
        <v>-5.9234701993983098E-2</v>
      </c>
      <c r="Q3997">
        <v>0.18216018754234101</v>
      </c>
      <c r="R3997">
        <v>0.98699537292162098</v>
      </c>
      <c r="S3997" t="s">
        <v>9548</v>
      </c>
      <c r="T3997" t="s">
        <v>11100</v>
      </c>
      <c r="U3997" t="s">
        <v>11100</v>
      </c>
      <c r="V3997" t="s">
        <v>11100</v>
      </c>
      <c r="W3997" t="s">
        <v>15047</v>
      </c>
      <c r="X3997">
        <v>9</v>
      </c>
      <c r="Y3997" t="s">
        <v>20481</v>
      </c>
      <c r="Z3997" t="s">
        <v>26002</v>
      </c>
      <c r="AA3997">
        <v>0.59468233301976214</v>
      </c>
      <c r="AB3997" t="str">
        <f>HYPERLINK("Melting_Curves/meltCurve_Q8TD30_GPT2.pdf", "Melting_Curves/meltCurve_Q8TD30_GPT2.pdf")</f>
        <v>Melting_Curves/meltCurve_Q8TD30_GPT2.pdf</v>
      </c>
    </row>
    <row r="3998" spans="1:28" x14ac:dyDescent="0.25">
      <c r="A3998" t="s">
        <v>4002</v>
      </c>
      <c r="B3998">
        <v>0.99299721793515405</v>
      </c>
      <c r="C3998">
        <v>0.89325362259601104</v>
      </c>
      <c r="D3998">
        <v>1.4123721773512501</v>
      </c>
      <c r="E3998">
        <v>0.72099161639041198</v>
      </c>
      <c r="F3998">
        <v>0.80423292087576204</v>
      </c>
      <c r="G3998">
        <v>0.75956609521118001</v>
      </c>
      <c r="H3998">
        <v>0.460539435426289</v>
      </c>
      <c r="I3998">
        <v>0.49147770334629198</v>
      </c>
      <c r="J3998">
        <v>0.31120146200613602</v>
      </c>
      <c r="K3998">
        <v>0.36583932676844599</v>
      </c>
      <c r="L3998">
        <v>724.92423493432398</v>
      </c>
      <c r="M3998">
        <v>13.3022793834176</v>
      </c>
      <c r="N3998">
        <v>58.2380979095961</v>
      </c>
      <c r="O3998">
        <v>53.308831697977801</v>
      </c>
      <c r="P3998">
        <v>-4.4468138199171003E-2</v>
      </c>
      <c r="Q3998">
        <v>0.287291583150734</v>
      </c>
      <c r="R3998">
        <v>0.73855393954655602</v>
      </c>
      <c r="S3998" t="s">
        <v>9549</v>
      </c>
      <c r="T3998" t="s">
        <v>11100</v>
      </c>
      <c r="U3998" t="s">
        <v>11100</v>
      </c>
      <c r="V3998" t="s">
        <v>11100</v>
      </c>
      <c r="W3998" t="s">
        <v>15048</v>
      </c>
      <c r="X3998">
        <v>2</v>
      </c>
      <c r="Y3998" t="s">
        <v>20482</v>
      </c>
      <c r="Z3998" t="s">
        <v>26003</v>
      </c>
      <c r="AA3998">
        <v>0.71434471562636959</v>
      </c>
      <c r="AB3998" t="str">
        <f>HYPERLINK("Melting_Curves/meltCurve_Q8TD55_2_PLEKHO2.pdf", "Melting_Curves/meltCurve_Q8TD55_2_PLEKHO2.pdf")</f>
        <v>Melting_Curves/meltCurve_Q8TD55_2_PLEKHO2.pdf</v>
      </c>
    </row>
    <row r="3999" spans="1:28" x14ac:dyDescent="0.25">
      <c r="A3999" t="s">
        <v>4003</v>
      </c>
      <c r="B3999">
        <v>0.99299721793515405</v>
      </c>
      <c r="C3999">
        <v>0.89788773104733699</v>
      </c>
      <c r="D3999">
        <v>0.98315132451185105</v>
      </c>
      <c r="E3999">
        <v>0.89918248565405401</v>
      </c>
      <c r="F3999">
        <v>0.69603300417871306</v>
      </c>
      <c r="G3999">
        <v>0.22188897124568399</v>
      </c>
      <c r="H3999">
        <v>0.28585334892575098</v>
      </c>
      <c r="I3999">
        <v>0.160110362975832</v>
      </c>
      <c r="J3999">
        <v>0.230115709342359</v>
      </c>
      <c r="K3999">
        <v>0.137626498708908</v>
      </c>
      <c r="L3999">
        <v>1922.1523018428099</v>
      </c>
      <c r="M3999">
        <v>37.913296829784201</v>
      </c>
      <c r="N3999">
        <v>51.350025891315802</v>
      </c>
      <c r="O3999">
        <v>50.558201190229298</v>
      </c>
      <c r="P3999">
        <v>-0.151685674604701</v>
      </c>
      <c r="Q3999">
        <v>0.190897571302418</v>
      </c>
      <c r="R3999">
        <v>0.97443596760705498</v>
      </c>
      <c r="S3999" t="s">
        <v>9550</v>
      </c>
      <c r="T3999" t="s">
        <v>11100</v>
      </c>
      <c r="U3999" t="s">
        <v>11100</v>
      </c>
      <c r="V3999" t="s">
        <v>11100</v>
      </c>
      <c r="W3999" t="s">
        <v>15049</v>
      </c>
      <c r="X3999">
        <v>2</v>
      </c>
      <c r="Y3999" t="s">
        <v>20483</v>
      </c>
      <c r="Z3999" t="s">
        <v>26004</v>
      </c>
      <c r="AA3999">
        <v>0.5635043730166952</v>
      </c>
      <c r="AB3999" t="str">
        <f>HYPERLINK("Melting_Curves/meltCurve_Q8TDD1_DDX54.pdf", "Melting_Curves/meltCurve_Q8TDD1_DDX54.pdf")</f>
        <v>Melting_Curves/meltCurve_Q8TDD1_DDX54.pdf</v>
      </c>
    </row>
    <row r="4000" spans="1:28" x14ac:dyDescent="0.25">
      <c r="A4000" t="s">
        <v>4004</v>
      </c>
      <c r="B4000">
        <v>0.99299721793515405</v>
      </c>
      <c r="C4000">
        <v>0.94408149522719598</v>
      </c>
      <c r="D4000">
        <v>1.03617998491247</v>
      </c>
      <c r="E4000">
        <v>0.902871832771591</v>
      </c>
      <c r="F4000">
        <v>0.80536003235842901</v>
      </c>
      <c r="G4000">
        <v>0.70582347311525995</v>
      </c>
      <c r="H4000">
        <v>0.61832864765123297</v>
      </c>
      <c r="I4000">
        <v>0.55650348883798095</v>
      </c>
      <c r="J4000">
        <v>0.356940685534823</v>
      </c>
      <c r="K4000">
        <v>0.31351322338795601</v>
      </c>
      <c r="L4000">
        <v>470.33637296517401</v>
      </c>
      <c r="M4000">
        <v>7.7533657270873597</v>
      </c>
      <c r="N4000">
        <v>60.662216847662698</v>
      </c>
      <c r="O4000">
        <v>57.023077483201099</v>
      </c>
      <c r="P4000">
        <v>-3.4035431455897998E-2</v>
      </c>
      <c r="Q4000">
        <v>0</v>
      </c>
      <c r="R4000">
        <v>0.97484433642372803</v>
      </c>
      <c r="S4000" t="s">
        <v>9551</v>
      </c>
      <c r="T4000" t="s">
        <v>11100</v>
      </c>
      <c r="U4000" t="s">
        <v>11100</v>
      </c>
      <c r="V4000" t="s">
        <v>11100</v>
      </c>
      <c r="W4000" t="s">
        <v>15050</v>
      </c>
      <c r="X4000">
        <v>5</v>
      </c>
      <c r="Y4000" t="s">
        <v>20484</v>
      </c>
      <c r="Z4000" t="s">
        <v>26005</v>
      </c>
      <c r="AA4000">
        <v>0.73435078453876967</v>
      </c>
      <c r="AB4000" t="str">
        <f>HYPERLINK("Melting_Curves/meltCurve_Q8TDH9_BLOC1S5.pdf", "Melting_Curves/meltCurve_Q8TDH9_BLOC1S5.pdf")</f>
        <v>Melting_Curves/meltCurve_Q8TDH9_BLOC1S5.pdf</v>
      </c>
    </row>
    <row r="4001" spans="1:28" x14ac:dyDescent="0.25">
      <c r="A4001" t="s">
        <v>4005</v>
      </c>
      <c r="B4001">
        <v>0.99299721793515405</v>
      </c>
      <c r="C4001">
        <v>0.79558251297466098</v>
      </c>
      <c r="D4001">
        <v>0.69845198584322299</v>
      </c>
      <c r="E4001">
        <v>0.89059554281084796</v>
      </c>
      <c r="F4001">
        <v>0.74608374529999</v>
      </c>
      <c r="G4001">
        <v>0.53134708569671996</v>
      </c>
      <c r="H4001">
        <v>0.52404107907345299</v>
      </c>
      <c r="I4001">
        <v>0.62587978830582702</v>
      </c>
      <c r="J4001">
        <v>0.646415237477036</v>
      </c>
      <c r="K4001">
        <v>0.56501512728361003</v>
      </c>
      <c r="L4001">
        <v>328.85790882848499</v>
      </c>
      <c r="M4001">
        <v>7.3495184937957303</v>
      </c>
      <c r="O4001">
        <v>41.790402500522198</v>
      </c>
      <c r="P4001">
        <v>-2.0387088103368801E-2</v>
      </c>
      <c r="Q4001">
        <v>0.53702181175623298</v>
      </c>
      <c r="R4001">
        <v>0.65757495701775304</v>
      </c>
      <c r="S4001" t="s">
        <v>9552</v>
      </c>
      <c r="T4001" t="s">
        <v>11100</v>
      </c>
      <c r="U4001" t="s">
        <v>11100</v>
      </c>
      <c r="V4001" t="s">
        <v>11100</v>
      </c>
      <c r="W4001" t="s">
        <v>15051</v>
      </c>
      <c r="X4001">
        <v>3</v>
      </c>
      <c r="Y4001" t="s">
        <v>20485</v>
      </c>
      <c r="Z4001" t="s">
        <v>26006</v>
      </c>
      <c r="AA4001">
        <v>0.6928272256870821</v>
      </c>
      <c r="AB4001" t="str">
        <f>HYPERLINK("Melting_Curves/meltCurve_Q8TDQ7_GNPDA2.pdf", "Melting_Curves/meltCurve_Q8TDQ7_GNPDA2.pdf")</f>
        <v>Melting_Curves/meltCurve_Q8TDQ7_GNPDA2.pdf</v>
      </c>
    </row>
    <row r="4002" spans="1:28" x14ac:dyDescent="0.25">
      <c r="A4002" t="s">
        <v>4006</v>
      </c>
      <c r="B4002">
        <v>0.99299721793515405</v>
      </c>
      <c r="C4002">
        <v>1.10340530882633</v>
      </c>
      <c r="D4002">
        <v>0.872235141695067</v>
      </c>
      <c r="E4002">
        <v>0.86873012460455901</v>
      </c>
      <c r="F4002">
        <v>0.67835742481207795</v>
      </c>
      <c r="G4002">
        <v>0.29543597987042702</v>
      </c>
      <c r="H4002">
        <v>0.22861838254099501</v>
      </c>
      <c r="I4002">
        <v>0.23040575359423501</v>
      </c>
      <c r="J4002">
        <v>0.26278213694735097</v>
      </c>
      <c r="K4002">
        <v>0.17151446116622501</v>
      </c>
      <c r="L4002">
        <v>1209.36542358625</v>
      </c>
      <c r="M4002">
        <v>23.973893580912801</v>
      </c>
      <c r="N4002">
        <v>51.560250264072501</v>
      </c>
      <c r="O4002">
        <v>50.098041050111298</v>
      </c>
      <c r="P4002">
        <v>-9.5434663846612103E-2</v>
      </c>
      <c r="Q4002">
        <v>0.20229666105725899</v>
      </c>
      <c r="R4002">
        <v>0.97048305962773196</v>
      </c>
      <c r="S4002" t="s">
        <v>9553</v>
      </c>
      <c r="T4002" t="s">
        <v>11100</v>
      </c>
      <c r="U4002" t="s">
        <v>11100</v>
      </c>
      <c r="V4002" t="s">
        <v>11100</v>
      </c>
      <c r="W4002" t="s">
        <v>15052</v>
      </c>
      <c r="X4002">
        <v>6</v>
      </c>
      <c r="Y4002" t="s">
        <v>20486</v>
      </c>
      <c r="Z4002" t="s">
        <v>26007</v>
      </c>
      <c r="AA4002">
        <v>0.56738232107319031</v>
      </c>
      <c r="AB4002" t="str">
        <f>HYPERLINK("Melting_Curves/meltCurve_Q8TDX7_NEK7.pdf", "Melting_Curves/meltCurve_Q8TDX7_NEK7.pdf")</f>
        <v>Melting_Curves/meltCurve_Q8TDX7_NEK7.pdf</v>
      </c>
    </row>
    <row r="4003" spans="1:28" x14ac:dyDescent="0.25">
      <c r="A4003" t="s">
        <v>4007</v>
      </c>
      <c r="B4003">
        <v>0.99299721793515405</v>
      </c>
      <c r="C4003">
        <v>0.98009481047897795</v>
      </c>
      <c r="D4003">
        <v>1.0454076579098901</v>
      </c>
      <c r="E4003">
        <v>0.89758619331521805</v>
      </c>
      <c r="F4003">
        <v>0.73217234237922402</v>
      </c>
      <c r="G4003">
        <v>0.46150928879097802</v>
      </c>
      <c r="H4003">
        <v>0.31597651656158798</v>
      </c>
      <c r="I4003">
        <v>0.20711631033175501</v>
      </c>
      <c r="J4003">
        <v>9.3489511863560901E-2</v>
      </c>
      <c r="K4003">
        <v>4.8400381215874901E-2</v>
      </c>
      <c r="L4003">
        <v>762.45486877535404</v>
      </c>
      <c r="M4003">
        <v>14.2094512949689</v>
      </c>
      <c r="N4003">
        <v>53.784291894785099</v>
      </c>
      <c r="O4003">
        <v>52.629085252896502</v>
      </c>
      <c r="P4003">
        <v>-6.6401239106322701E-2</v>
      </c>
      <c r="Q4003">
        <v>1.6372959396867798E-2</v>
      </c>
      <c r="R4003">
        <v>0.99314006234291696</v>
      </c>
      <c r="S4003" t="s">
        <v>9554</v>
      </c>
      <c r="T4003" t="s">
        <v>11100</v>
      </c>
      <c r="U4003" t="s">
        <v>11100</v>
      </c>
      <c r="V4003" t="s">
        <v>11100</v>
      </c>
      <c r="W4003" t="s">
        <v>15053</v>
      </c>
      <c r="X4003">
        <v>2</v>
      </c>
      <c r="Y4003" t="s">
        <v>20487</v>
      </c>
      <c r="Z4003" t="s">
        <v>26008</v>
      </c>
      <c r="AA4003">
        <v>0.57977647919495168</v>
      </c>
      <c r="AB4003" t="str">
        <f>HYPERLINK("Melting_Curves/meltCurve_Q8TDY2_2_RB1CC1.pdf", "Melting_Curves/meltCurve_Q8TDY2_2_RB1CC1.pdf")</f>
        <v>Melting_Curves/meltCurve_Q8TDY2_2_RB1CC1.pdf</v>
      </c>
    </row>
    <row r="4004" spans="1:28" x14ac:dyDescent="0.25">
      <c r="A4004" t="s">
        <v>4008</v>
      </c>
      <c r="B4004">
        <v>0.99299721793515405</v>
      </c>
      <c r="C4004">
        <v>0.85887841765063599</v>
      </c>
      <c r="D4004">
        <v>0.87884677652533905</v>
      </c>
      <c r="E4004">
        <v>0.75821645784744895</v>
      </c>
      <c r="F4004">
        <v>0.71565529657489002</v>
      </c>
      <c r="G4004">
        <v>0.31747726210175597</v>
      </c>
      <c r="H4004">
        <v>0.190079064410274</v>
      </c>
      <c r="I4004">
        <v>0.16544552750503599</v>
      </c>
      <c r="J4004">
        <v>0.170271156015812</v>
      </c>
      <c r="K4004">
        <v>0.165867613547662</v>
      </c>
      <c r="L4004">
        <v>661.54464341105097</v>
      </c>
      <c r="M4004">
        <v>13.024867895474801</v>
      </c>
      <c r="N4004">
        <v>51.558855470233702</v>
      </c>
      <c r="O4004">
        <v>49.638334445155699</v>
      </c>
      <c r="P4004">
        <v>-5.9825267938344501E-2</v>
      </c>
      <c r="Q4004">
        <v>8.8172803553324894E-2</v>
      </c>
      <c r="R4004">
        <v>0.95784386613810701</v>
      </c>
      <c r="S4004" t="s">
        <v>9555</v>
      </c>
      <c r="T4004" t="s">
        <v>11100</v>
      </c>
      <c r="U4004" t="s">
        <v>11100</v>
      </c>
      <c r="V4004" t="s">
        <v>11100</v>
      </c>
      <c r="W4004" t="s">
        <v>15054</v>
      </c>
      <c r="X4004">
        <v>6</v>
      </c>
      <c r="Y4004" t="s">
        <v>20488</v>
      </c>
      <c r="Z4004" t="s">
        <v>26009</v>
      </c>
      <c r="AA4004">
        <v>0.52940876202501241</v>
      </c>
      <c r="AB4004" t="str">
        <f>HYPERLINK("Melting_Curves/meltCurve_Q8TDZ2_MICAL1.pdf", "Melting_Curves/meltCurve_Q8TDZ2_MICAL1.pdf")</f>
        <v>Melting_Curves/meltCurve_Q8TDZ2_MICAL1.pdf</v>
      </c>
    </row>
    <row r="4005" spans="1:28" x14ac:dyDescent="0.25">
      <c r="A4005" t="s">
        <v>4009</v>
      </c>
      <c r="B4005">
        <v>0.99299721793515405</v>
      </c>
      <c r="C4005">
        <v>0.982897543922296</v>
      </c>
      <c r="D4005">
        <v>0.90997580386980303</v>
      </c>
      <c r="E4005">
        <v>0.83105380904349802</v>
      </c>
      <c r="F4005">
        <v>0.708230918572616</v>
      </c>
      <c r="G4005">
        <v>0.530149659088756</v>
      </c>
      <c r="H4005">
        <v>0.30050500772995498</v>
      </c>
      <c r="I4005">
        <v>0.25637166395182498</v>
      </c>
      <c r="J4005">
        <v>0.226807361719088</v>
      </c>
      <c r="K4005">
        <v>0.14799112371027301</v>
      </c>
      <c r="L4005">
        <v>599.44928844089497</v>
      </c>
      <c r="M4005">
        <v>11.2906042516247</v>
      </c>
      <c r="N4005">
        <v>53.914953775931501</v>
      </c>
      <c r="O4005">
        <v>51.508999240515898</v>
      </c>
      <c r="P4005">
        <v>-5.0480702933541302E-2</v>
      </c>
      <c r="Q4005">
        <v>7.9086506675854804E-2</v>
      </c>
      <c r="R4005">
        <v>0.99374779313227402</v>
      </c>
      <c r="S4005" t="s">
        <v>9556</v>
      </c>
      <c r="T4005" t="s">
        <v>11100</v>
      </c>
      <c r="U4005" t="s">
        <v>11100</v>
      </c>
      <c r="V4005" t="s">
        <v>11100</v>
      </c>
      <c r="W4005" t="s">
        <v>15055</v>
      </c>
      <c r="X4005">
        <v>7</v>
      </c>
      <c r="Y4005" t="s">
        <v>20489</v>
      </c>
      <c r="Z4005" t="s">
        <v>26010</v>
      </c>
      <c r="AA4005">
        <v>0.59275773617876915</v>
      </c>
      <c r="AB4005" t="str">
        <f>HYPERLINK("Melting_Curves/meltCurve_Q8TE04_2_PANK1.pdf", "Melting_Curves/meltCurve_Q8TE04_2_PANK1.pdf")</f>
        <v>Melting_Curves/meltCurve_Q8TE04_2_PANK1.pdf</v>
      </c>
    </row>
    <row r="4006" spans="1:28" x14ac:dyDescent="0.25">
      <c r="A4006" t="s">
        <v>4010</v>
      </c>
      <c r="B4006">
        <v>0.99299721793515405</v>
      </c>
      <c r="C4006">
        <v>0.90117661894561696</v>
      </c>
      <c r="D4006">
        <v>0.70198254898422596</v>
      </c>
      <c r="E4006">
        <v>0.72082405333397903</v>
      </c>
      <c r="F4006">
        <v>0.52976659174422103</v>
      </c>
      <c r="G4006">
        <v>0.20613378855307499</v>
      </c>
      <c r="H4006">
        <v>0.169247422514785</v>
      </c>
      <c r="I4006">
        <v>0.123916303679329</v>
      </c>
      <c r="J4006">
        <v>0.13761954623846101</v>
      </c>
      <c r="K4006">
        <v>9.94555481074786E-2</v>
      </c>
      <c r="L4006">
        <v>501.10432080251201</v>
      </c>
      <c r="M4006">
        <v>10.223848969943299</v>
      </c>
      <c r="N4006">
        <v>49.217975037250397</v>
      </c>
      <c r="O4006">
        <v>47.249132494599102</v>
      </c>
      <c r="P4006">
        <v>-5.2992971724802898E-2</v>
      </c>
      <c r="Q4006">
        <v>2.08175491845254E-2</v>
      </c>
      <c r="R4006">
        <v>0.96577443036052901</v>
      </c>
      <c r="S4006" t="s">
        <v>9557</v>
      </c>
      <c r="T4006" t="s">
        <v>11100</v>
      </c>
      <c r="U4006" t="s">
        <v>11100</v>
      </c>
      <c r="V4006" t="s">
        <v>11100</v>
      </c>
      <c r="W4006" t="s">
        <v>15056</v>
      </c>
      <c r="X4006">
        <v>3</v>
      </c>
      <c r="Y4006" t="s">
        <v>20490</v>
      </c>
      <c r="Z4006" t="s">
        <v>26011</v>
      </c>
      <c r="AA4006">
        <v>0.44834327408721941</v>
      </c>
      <c r="AB4006" t="str">
        <f>HYPERLINK("Melting_Curves/meltCurve_Q8TE77_SSH3.pdf", "Melting_Curves/meltCurve_Q8TE77_SSH3.pdf")</f>
        <v>Melting_Curves/meltCurve_Q8TE77_SSH3.pdf</v>
      </c>
    </row>
    <row r="4007" spans="1:28" x14ac:dyDescent="0.25">
      <c r="A4007" t="s">
        <v>4011</v>
      </c>
      <c r="B4007">
        <v>0.99299721793515405</v>
      </c>
      <c r="C4007">
        <v>1.0185814878850199</v>
      </c>
      <c r="D4007">
        <v>0.93559560437840505</v>
      </c>
      <c r="E4007">
        <v>0.88314307966244598</v>
      </c>
      <c r="F4007">
        <v>0.75352385537951105</v>
      </c>
      <c r="G4007">
        <v>0.477322288392317</v>
      </c>
      <c r="H4007">
        <v>0.30382223972595301</v>
      </c>
      <c r="I4007">
        <v>0.19931778189701099</v>
      </c>
      <c r="J4007">
        <v>0.166631944955801</v>
      </c>
      <c r="K4007">
        <v>0.14212911015513699</v>
      </c>
      <c r="L4007">
        <v>820.68633533127297</v>
      </c>
      <c r="M4007">
        <v>15.542251506514701</v>
      </c>
      <c r="N4007">
        <v>53.633502716525399</v>
      </c>
      <c r="O4007">
        <v>51.952586858074298</v>
      </c>
      <c r="P4007">
        <v>-6.68025066677293E-2</v>
      </c>
      <c r="Q4007">
        <v>0.106884096960438</v>
      </c>
      <c r="R4007">
        <v>0.997058074357413</v>
      </c>
      <c r="S4007" t="s">
        <v>9558</v>
      </c>
      <c r="T4007" t="s">
        <v>11100</v>
      </c>
      <c r="U4007" t="s">
        <v>11100</v>
      </c>
      <c r="V4007" t="s">
        <v>11100</v>
      </c>
      <c r="W4007" t="s">
        <v>15057</v>
      </c>
      <c r="X4007">
        <v>13</v>
      </c>
      <c r="Y4007" t="s">
        <v>20491</v>
      </c>
      <c r="Z4007" t="s">
        <v>26012</v>
      </c>
      <c r="AA4007">
        <v>0.59297109967900119</v>
      </c>
      <c r="AB4007" t="str">
        <f>HYPERLINK("Melting_Curves/meltCurve_Q8TEA1_NSUN6.pdf", "Melting_Curves/meltCurve_Q8TEA1_NSUN6.pdf")</f>
        <v>Melting_Curves/meltCurve_Q8TEA1_NSUN6.pdf</v>
      </c>
    </row>
    <row r="4008" spans="1:28" x14ac:dyDescent="0.25">
      <c r="A4008" t="s">
        <v>4012</v>
      </c>
      <c r="B4008">
        <v>0.99299721793515405</v>
      </c>
      <c r="C4008">
        <v>0.85141094030755005</v>
      </c>
      <c r="D4008">
        <v>0.80815452270968902</v>
      </c>
      <c r="E4008">
        <v>0.84121376025748595</v>
      </c>
      <c r="F4008">
        <v>0.67659998754563</v>
      </c>
      <c r="G4008">
        <v>0.34237289943691201</v>
      </c>
      <c r="H4008">
        <v>0.56074088824537704</v>
      </c>
      <c r="I4008">
        <v>0.73995730676039695</v>
      </c>
      <c r="J4008">
        <v>0.81449704291196401</v>
      </c>
      <c r="K4008">
        <v>0.64646518070196701</v>
      </c>
      <c r="L4008">
        <v>647.02087786777702</v>
      </c>
      <c r="M4008">
        <v>15.103129728596301</v>
      </c>
      <c r="O4008">
        <v>42.110208051476697</v>
      </c>
      <c r="P4008">
        <v>-3.2790902389824197E-2</v>
      </c>
      <c r="Q4008">
        <v>0.63432868293066302</v>
      </c>
      <c r="R4008">
        <v>0.45423643800487301</v>
      </c>
      <c r="S4008" t="s">
        <v>9559</v>
      </c>
      <c r="T4008" t="s">
        <v>11100</v>
      </c>
      <c r="U4008" t="s">
        <v>11100</v>
      </c>
      <c r="V4008" t="s">
        <v>11100</v>
      </c>
      <c r="W4008" t="s">
        <v>15058</v>
      </c>
      <c r="X4008">
        <v>2</v>
      </c>
      <c r="Y4008" t="s">
        <v>20492</v>
      </c>
      <c r="Z4008" t="s">
        <v>26013</v>
      </c>
      <c r="AA4008">
        <v>0.71515253111010113</v>
      </c>
      <c r="AB4008" t="str">
        <f>HYPERLINK("Melting_Curves/meltCurve_Q8TEA8_DTD1.pdf", "Melting_Curves/meltCurve_Q8TEA8_DTD1.pdf")</f>
        <v>Melting_Curves/meltCurve_Q8TEA8_DTD1.pdf</v>
      </c>
    </row>
    <row r="4009" spans="1:28" x14ac:dyDescent="0.25">
      <c r="A4009" t="s">
        <v>4013</v>
      </c>
      <c r="B4009">
        <v>0.99299721793515405</v>
      </c>
      <c r="C4009">
        <v>0.92862876002011296</v>
      </c>
      <c r="D4009">
        <v>0.89960105971753401</v>
      </c>
      <c r="E4009">
        <v>0.67470819096221701</v>
      </c>
      <c r="F4009">
        <v>0.64566531142904504</v>
      </c>
      <c r="G4009">
        <v>0.40996491048419598</v>
      </c>
      <c r="H4009">
        <v>0.33906268440292298</v>
      </c>
      <c r="I4009">
        <v>0.27986384893234301</v>
      </c>
      <c r="J4009">
        <v>0.31794439600706498</v>
      </c>
      <c r="K4009">
        <v>0.34932043521468598</v>
      </c>
      <c r="L4009">
        <v>609.27677402241397</v>
      </c>
      <c r="M4009">
        <v>12.5700018150386</v>
      </c>
      <c r="N4009">
        <v>51.796319782626</v>
      </c>
      <c r="O4009">
        <v>47.292987859498297</v>
      </c>
      <c r="P4009">
        <v>-4.80566713904962E-2</v>
      </c>
      <c r="Q4009">
        <v>0.27691745966612002</v>
      </c>
      <c r="R4009">
        <v>0.97507220036908204</v>
      </c>
      <c r="S4009" t="s">
        <v>9560</v>
      </c>
      <c r="T4009" t="s">
        <v>11100</v>
      </c>
      <c r="U4009" t="s">
        <v>11100</v>
      </c>
      <c r="V4009" t="s">
        <v>11100</v>
      </c>
      <c r="W4009" t="s">
        <v>15059</v>
      </c>
      <c r="X4009">
        <v>1</v>
      </c>
      <c r="Y4009" t="s">
        <v>20493</v>
      </c>
      <c r="Z4009" t="s">
        <v>26014</v>
      </c>
      <c r="AA4009">
        <v>0.57408423767732264</v>
      </c>
      <c r="AB4009" t="str">
        <f>HYPERLINK("Melting_Curves/meltCurve_Q8TEB7_2_RNF128.pdf", "Melting_Curves/meltCurve_Q8TEB7_2_RNF128.pdf")</f>
        <v>Melting_Curves/meltCurve_Q8TEB7_2_RNF128.pdf</v>
      </c>
    </row>
    <row r="4010" spans="1:28" x14ac:dyDescent="0.25">
      <c r="A4010" t="s">
        <v>4014</v>
      </c>
      <c r="B4010">
        <v>0.99299721793515405</v>
      </c>
      <c r="C4010">
        <v>0.89000217196939002</v>
      </c>
      <c r="D4010">
        <v>0.90221715559788396</v>
      </c>
      <c r="E4010">
        <v>0.74521985623328202</v>
      </c>
      <c r="F4010">
        <v>0.64971364095366801</v>
      </c>
      <c r="G4010">
        <v>0.64671945486965898</v>
      </c>
      <c r="H4010">
        <v>0.34698897446030003</v>
      </c>
      <c r="I4010">
        <v>0.29422591992640001</v>
      </c>
      <c r="J4010">
        <v>0.27795438336397199</v>
      </c>
      <c r="K4010">
        <v>0.246344667551816</v>
      </c>
      <c r="L4010">
        <v>392.73937266295201</v>
      </c>
      <c r="M4010">
        <v>7.1872618565070896</v>
      </c>
      <c r="N4010">
        <v>54.872410817739699</v>
      </c>
      <c r="O4010">
        <v>50.888464352780097</v>
      </c>
      <c r="P4010">
        <v>-3.4846607078187403E-2</v>
      </c>
      <c r="Q4010">
        <v>1.4750189466256201E-2</v>
      </c>
      <c r="R4010">
        <v>0.96653176109991301</v>
      </c>
      <c r="S4010" t="s">
        <v>9561</v>
      </c>
      <c r="T4010" t="s">
        <v>11100</v>
      </c>
      <c r="U4010" t="s">
        <v>11100</v>
      </c>
      <c r="V4010" t="s">
        <v>11100</v>
      </c>
      <c r="W4010" t="s">
        <v>15060</v>
      </c>
      <c r="X4010">
        <v>3</v>
      </c>
      <c r="Y4010" t="s">
        <v>20494</v>
      </c>
      <c r="Z4010" t="s">
        <v>26015</v>
      </c>
      <c r="AA4010">
        <v>0.60048444218897001</v>
      </c>
      <c r="AB4010" t="str">
        <f>HYPERLINK("Melting_Curves/meltCurve_Q8TEH3_DENND1A.pdf", "Melting_Curves/meltCurve_Q8TEH3_DENND1A.pdf")</f>
        <v>Melting_Curves/meltCurve_Q8TEH3_DENND1A.pdf</v>
      </c>
    </row>
    <row r="4011" spans="1:28" x14ac:dyDescent="0.25">
      <c r="A4011" t="s">
        <v>4015</v>
      </c>
      <c r="B4011">
        <v>0.99299721793515405</v>
      </c>
      <c r="C4011">
        <v>1.15932764715139</v>
      </c>
      <c r="D4011">
        <v>1.2388289109186801</v>
      </c>
      <c r="E4011">
        <v>0.88557551009832902</v>
      </c>
      <c r="F4011">
        <v>0.94695517766440995</v>
      </c>
      <c r="G4011">
        <v>1.0592713580944699</v>
      </c>
      <c r="H4011">
        <v>0.78391034067784704</v>
      </c>
      <c r="I4011">
        <v>0.26476383688490701</v>
      </c>
      <c r="J4011">
        <v>8.8051626175270098E-2</v>
      </c>
      <c r="K4011">
        <v>5.9613011901690598E-2</v>
      </c>
      <c r="L4011">
        <v>2525.4346121453</v>
      </c>
      <c r="M4011">
        <v>42.704858413333397</v>
      </c>
      <c r="N4011">
        <v>59.302022843271097</v>
      </c>
      <c r="O4011">
        <v>59.0077059540234</v>
      </c>
      <c r="P4011">
        <v>-0.170789588107989</v>
      </c>
      <c r="Q4011">
        <v>5.6043198320869798E-2</v>
      </c>
      <c r="R4011">
        <v>0.94132466931569003</v>
      </c>
      <c r="S4011" t="s">
        <v>9562</v>
      </c>
      <c r="T4011" t="s">
        <v>11100</v>
      </c>
      <c r="U4011" t="s">
        <v>11100</v>
      </c>
      <c r="V4011" t="s">
        <v>11100</v>
      </c>
      <c r="W4011" t="s">
        <v>15061</v>
      </c>
      <c r="X4011">
        <v>4</v>
      </c>
      <c r="Y4011" t="s">
        <v>20495</v>
      </c>
      <c r="Z4011" t="s">
        <v>26016</v>
      </c>
      <c r="AA4011">
        <v>0.75557690785411469</v>
      </c>
      <c r="AB4011" t="str">
        <f>HYPERLINK("Melting_Curves/meltCurve_Q8TEM1_NUP210.pdf", "Melting_Curves/meltCurve_Q8TEM1_NUP210.pdf")</f>
        <v>Melting_Curves/meltCurve_Q8TEM1_NUP210.pdf</v>
      </c>
    </row>
    <row r="4012" spans="1:28" x14ac:dyDescent="0.25">
      <c r="A4012" t="s">
        <v>4016</v>
      </c>
      <c r="B4012">
        <v>0.99299721793515405</v>
      </c>
      <c r="C4012">
        <v>1.11977122111828</v>
      </c>
      <c r="D4012">
        <v>0.98832405496056397</v>
      </c>
      <c r="E4012">
        <v>0.961460179948326</v>
      </c>
      <c r="F4012">
        <v>0.634324948339549</v>
      </c>
      <c r="G4012">
        <v>0.32635652827901301</v>
      </c>
      <c r="H4012">
        <v>0.151130256208762</v>
      </c>
      <c r="I4012">
        <v>0.102955420669015</v>
      </c>
      <c r="J4012">
        <v>6.8220597508151806E-2</v>
      </c>
      <c r="K4012">
        <v>5.3026408961107101E-2</v>
      </c>
      <c r="L4012">
        <v>1188.53664576089</v>
      </c>
      <c r="M4012">
        <v>23.107281479741999</v>
      </c>
      <c r="N4012">
        <v>51.7488765562642</v>
      </c>
      <c r="O4012">
        <v>51.054991274230602</v>
      </c>
      <c r="P4012">
        <v>-0.10576525333390201</v>
      </c>
      <c r="Q4012">
        <v>6.5273570663568897E-2</v>
      </c>
      <c r="R4012">
        <v>0.99002522718341401</v>
      </c>
      <c r="S4012" t="s">
        <v>9563</v>
      </c>
      <c r="T4012" t="s">
        <v>11100</v>
      </c>
      <c r="U4012" t="s">
        <v>11100</v>
      </c>
      <c r="V4012" t="s">
        <v>11100</v>
      </c>
      <c r="W4012" t="s">
        <v>15062</v>
      </c>
      <c r="X4012">
        <v>3</v>
      </c>
      <c r="Y4012" t="s">
        <v>20496</v>
      </c>
      <c r="Z4012" t="s">
        <v>26017</v>
      </c>
      <c r="AA4012">
        <v>0.52457876521908042</v>
      </c>
      <c r="AB4012" t="str">
        <f>HYPERLINK("Melting_Curves/meltCurve_Q8TEQ6_GEMIN5.pdf", "Melting_Curves/meltCurve_Q8TEQ6_GEMIN5.pdf")</f>
        <v>Melting_Curves/meltCurve_Q8TEQ6_GEMIN5.pdf</v>
      </c>
    </row>
    <row r="4013" spans="1:28" x14ac:dyDescent="0.25">
      <c r="A4013" t="s">
        <v>4017</v>
      </c>
      <c r="B4013">
        <v>0.99299721793515405</v>
      </c>
      <c r="C4013">
        <v>0.67312753247420898</v>
      </c>
      <c r="D4013">
        <v>1.02311183310082</v>
      </c>
      <c r="E4013">
        <v>0.70830435853863005</v>
      </c>
      <c r="F4013">
        <v>0.74863762140313905</v>
      </c>
      <c r="G4013">
        <v>0.75306503319555895</v>
      </c>
      <c r="H4013">
        <v>0.30322460269213702</v>
      </c>
      <c r="I4013">
        <v>0</v>
      </c>
      <c r="J4013">
        <v>0</v>
      </c>
      <c r="K4013">
        <v>0</v>
      </c>
      <c r="L4013">
        <v>1065.4262016267501</v>
      </c>
      <c r="M4013">
        <v>19.4151459166326</v>
      </c>
      <c r="N4013">
        <v>54.876037939327603</v>
      </c>
      <c r="O4013">
        <v>54.3038076275243</v>
      </c>
      <c r="P4013">
        <v>-8.9385336823390699E-2</v>
      </c>
      <c r="Q4013">
        <v>0</v>
      </c>
      <c r="R4013">
        <v>0.84544330194074802</v>
      </c>
      <c r="S4013" t="s">
        <v>9564</v>
      </c>
      <c r="T4013" t="s">
        <v>11100</v>
      </c>
      <c r="U4013" t="s">
        <v>11100</v>
      </c>
      <c r="V4013" t="s">
        <v>11100</v>
      </c>
      <c r="W4013" t="s">
        <v>15063</v>
      </c>
      <c r="X4013">
        <v>1</v>
      </c>
      <c r="Y4013" t="s">
        <v>20497</v>
      </c>
      <c r="Z4013" t="s">
        <v>26018</v>
      </c>
      <c r="AA4013">
        <v>0.60769539699454955</v>
      </c>
      <c r="AB4013" t="str">
        <f>HYPERLINK("Melting_Curves/meltCurve_Q8TEQ8_2_PIGO.pdf", "Melting_Curves/meltCurve_Q8TEQ8_2_PIGO.pdf")</f>
        <v>Melting_Curves/meltCurve_Q8TEQ8_2_PIGO.pdf</v>
      </c>
    </row>
    <row r="4014" spans="1:28" x14ac:dyDescent="0.25">
      <c r="A4014" t="s">
        <v>4018</v>
      </c>
      <c r="B4014">
        <v>0.99299721793515405</v>
      </c>
      <c r="C4014">
        <v>0.98999186111045001</v>
      </c>
      <c r="D4014">
        <v>1.0324797240869099</v>
      </c>
      <c r="E4014">
        <v>0.85357104080649404</v>
      </c>
      <c r="F4014">
        <v>0.46417444241654099</v>
      </c>
      <c r="G4014">
        <v>0.33035918196651798</v>
      </c>
      <c r="H4014">
        <v>0.28673153386350803</v>
      </c>
      <c r="I4014">
        <v>0.26960350897935498</v>
      </c>
      <c r="J4014">
        <v>0.24398144504747499</v>
      </c>
      <c r="K4014">
        <v>0.18444275099156701</v>
      </c>
      <c r="L4014">
        <v>1419.41661088663</v>
      </c>
      <c r="M4014">
        <v>29.069489940298901</v>
      </c>
      <c r="N4014">
        <v>50.008197215079001</v>
      </c>
      <c r="O4014">
        <v>48.5990846426415</v>
      </c>
      <c r="P4014">
        <v>-0.112429018580896</v>
      </c>
      <c r="Q4014">
        <v>0.24815938097332399</v>
      </c>
      <c r="R4014">
        <v>0.99199659197519496</v>
      </c>
      <c r="S4014" t="s">
        <v>9565</v>
      </c>
      <c r="T4014" t="s">
        <v>11100</v>
      </c>
      <c r="U4014" t="s">
        <v>11100</v>
      </c>
      <c r="V4014" t="s">
        <v>11100</v>
      </c>
      <c r="W4014" t="s">
        <v>15064</v>
      </c>
      <c r="X4014">
        <v>6</v>
      </c>
      <c r="Y4014" t="s">
        <v>20498</v>
      </c>
      <c r="Z4014" t="s">
        <v>26019</v>
      </c>
      <c r="AA4014">
        <v>0.54940908248116427</v>
      </c>
      <c r="AB4014" t="str">
        <f>HYPERLINK("Melting_Curves/meltCurve_Q8TEW0_4_PARD3.pdf", "Melting_Curves/meltCurve_Q8TEW0_4_PARD3.pdf")</f>
        <v>Melting_Curves/meltCurve_Q8TEW0_4_PARD3.pdf</v>
      </c>
    </row>
    <row r="4015" spans="1:28" x14ac:dyDescent="0.25">
      <c r="A4015" t="s">
        <v>4019</v>
      </c>
      <c r="B4015">
        <v>0.99299721793515405</v>
      </c>
      <c r="C4015">
        <v>1.0804195413015401</v>
      </c>
      <c r="D4015">
        <v>0.91646603743859101</v>
      </c>
      <c r="E4015">
        <v>0.872345125325244</v>
      </c>
      <c r="F4015">
        <v>0.667272355185346</v>
      </c>
      <c r="G4015">
        <v>0.35156162339180602</v>
      </c>
      <c r="H4015">
        <v>0.20415702830857299</v>
      </c>
      <c r="I4015">
        <v>0.16885624983337499</v>
      </c>
      <c r="J4015">
        <v>0.13829280630625099</v>
      </c>
      <c r="K4015">
        <v>0.110148604612905</v>
      </c>
      <c r="L4015">
        <v>962.38003898619695</v>
      </c>
      <c r="M4015">
        <v>18.7761833047831</v>
      </c>
      <c r="N4015">
        <v>51.9407639245754</v>
      </c>
      <c r="O4015">
        <v>50.684575206330003</v>
      </c>
      <c r="P4015">
        <v>-8.2453977322393998E-2</v>
      </c>
      <c r="Q4015">
        <v>0.10972953632263099</v>
      </c>
      <c r="R4015">
        <v>0.991095294118023</v>
      </c>
      <c r="S4015" t="s">
        <v>9566</v>
      </c>
      <c r="T4015" t="s">
        <v>11100</v>
      </c>
      <c r="U4015" t="s">
        <v>11100</v>
      </c>
      <c r="V4015" t="s">
        <v>11100</v>
      </c>
      <c r="W4015" t="s">
        <v>15065</v>
      </c>
      <c r="X4015">
        <v>18</v>
      </c>
      <c r="Y4015" t="s">
        <v>20499</v>
      </c>
      <c r="Z4015" t="s">
        <v>26020</v>
      </c>
      <c r="AA4015">
        <v>0.54563324925551937</v>
      </c>
      <c r="AB4015" t="str">
        <f>HYPERLINK("Melting_Curves/meltCurve_Q8TEX9_IPO4.pdf", "Melting_Curves/meltCurve_Q8TEX9_IPO4.pdf")</f>
        <v>Melting_Curves/meltCurve_Q8TEX9_IPO4.pdf</v>
      </c>
    </row>
    <row r="4016" spans="1:28" x14ac:dyDescent="0.25">
      <c r="A4016" t="s">
        <v>4020</v>
      </c>
      <c r="B4016">
        <v>0.99299721793515405</v>
      </c>
      <c r="C4016">
        <v>0.99253806208004103</v>
      </c>
      <c r="D4016">
        <v>0.96037643032921305</v>
      </c>
      <c r="E4016">
        <v>0.87307464217341701</v>
      </c>
      <c r="F4016">
        <v>0.55948260630611302</v>
      </c>
      <c r="G4016">
        <v>0.20930334823956201</v>
      </c>
      <c r="H4016">
        <v>0.172472107158335</v>
      </c>
      <c r="I4016">
        <v>0.16570375737482801</v>
      </c>
      <c r="J4016">
        <v>0.10909264359241</v>
      </c>
      <c r="K4016">
        <v>0.12628035701262999</v>
      </c>
      <c r="L4016">
        <v>1309.95824745863</v>
      </c>
      <c r="M4016">
        <v>26.213205737430599</v>
      </c>
      <c r="N4016">
        <v>50.542696249387703</v>
      </c>
      <c r="O4016">
        <v>49.685100223139202</v>
      </c>
      <c r="P4016">
        <v>-0.115033605631958</v>
      </c>
      <c r="Q4016">
        <v>0.127860569394944</v>
      </c>
      <c r="R4016">
        <v>0.99694531231058103</v>
      </c>
      <c r="S4016" t="s">
        <v>9567</v>
      </c>
      <c r="T4016" t="s">
        <v>11100</v>
      </c>
      <c r="U4016" t="s">
        <v>11100</v>
      </c>
      <c r="V4016" t="s">
        <v>11100</v>
      </c>
      <c r="W4016" t="s">
        <v>15066</v>
      </c>
      <c r="X4016">
        <v>1</v>
      </c>
      <c r="Y4016" t="s">
        <v>20500</v>
      </c>
      <c r="Z4016" t="s">
        <v>26021</v>
      </c>
      <c r="AA4016">
        <v>0.51197158932211251</v>
      </c>
      <c r="AB4016" t="str">
        <f>HYPERLINK("Melting_Curves/meltCurve_Q8TEY7_2_USP33.pdf", "Melting_Curves/meltCurve_Q8TEY7_2_USP33.pdf")</f>
        <v>Melting_Curves/meltCurve_Q8TEY7_2_USP33.pdf</v>
      </c>
    </row>
    <row r="4017" spans="1:28" x14ac:dyDescent="0.25">
      <c r="A4017" t="s">
        <v>4021</v>
      </c>
      <c r="B4017">
        <v>0.99299721793515405</v>
      </c>
      <c r="C4017">
        <v>1.01336819134981</v>
      </c>
      <c r="D4017">
        <v>1.0531311274400601</v>
      </c>
      <c r="E4017">
        <v>0.89461006696126899</v>
      </c>
      <c r="F4017">
        <v>0.79798414953278796</v>
      </c>
      <c r="G4017">
        <v>0.84227746374961598</v>
      </c>
      <c r="H4017">
        <v>0.60695215651234802</v>
      </c>
      <c r="I4017">
        <v>0.58064710975656797</v>
      </c>
      <c r="J4017">
        <v>0.59523326743416605</v>
      </c>
      <c r="K4017">
        <v>0.57601496709705002</v>
      </c>
      <c r="L4017">
        <v>700.86434115838495</v>
      </c>
      <c r="M4017">
        <v>13.236856884045199</v>
      </c>
      <c r="O4017">
        <v>51.783249319713498</v>
      </c>
      <c r="P4017">
        <v>-2.9564968410113201E-2</v>
      </c>
      <c r="Q4017">
        <v>0.53743759119927004</v>
      </c>
      <c r="R4017">
        <v>0.93017239307600297</v>
      </c>
      <c r="S4017" t="s">
        <v>9568</v>
      </c>
      <c r="T4017" t="s">
        <v>11100</v>
      </c>
      <c r="U4017" t="s">
        <v>11100</v>
      </c>
      <c r="V4017" t="s">
        <v>11100</v>
      </c>
      <c r="W4017" t="s">
        <v>15067</v>
      </c>
      <c r="X4017">
        <v>7</v>
      </c>
      <c r="Y4017" t="s">
        <v>20501</v>
      </c>
      <c r="Z4017" t="s">
        <v>26022</v>
      </c>
      <c r="AA4017">
        <v>0.79256006300115112</v>
      </c>
      <c r="AB4017" t="str">
        <f>HYPERLINK("Melting_Curves/meltCurve_Q8TF01_PNISR.pdf", "Melting_Curves/meltCurve_Q8TF01_PNISR.pdf")</f>
        <v>Melting_Curves/meltCurve_Q8TF01_PNISR.pdf</v>
      </c>
    </row>
    <row r="4018" spans="1:28" x14ac:dyDescent="0.25">
      <c r="A4018" t="s">
        <v>4022</v>
      </c>
      <c r="B4018">
        <v>0.99299721793515405</v>
      </c>
      <c r="C4018">
        <v>0.94922152473097299</v>
      </c>
      <c r="D4018">
        <v>0.78442178474541802</v>
      </c>
      <c r="E4018">
        <v>0.83312000551712895</v>
      </c>
      <c r="F4018">
        <v>0.91393824579562599</v>
      </c>
      <c r="G4018">
        <v>0.588505884462041</v>
      </c>
      <c r="H4018">
        <v>0.23331323311166099</v>
      </c>
      <c r="I4018">
        <v>0.20182989806565599</v>
      </c>
      <c r="J4018">
        <v>0.168965864274257</v>
      </c>
      <c r="K4018">
        <v>0.106946011733645</v>
      </c>
      <c r="L4018">
        <v>1312.3180035707601</v>
      </c>
      <c r="M4018">
        <v>24.3542535412749</v>
      </c>
      <c r="N4018">
        <v>54.521243102384197</v>
      </c>
      <c r="O4018">
        <v>53.5251914447609</v>
      </c>
      <c r="P4018">
        <v>-9.9673899438078598E-2</v>
      </c>
      <c r="Q4018">
        <v>0.123769497863166</v>
      </c>
      <c r="R4018">
        <v>0.93482635467481201</v>
      </c>
      <c r="S4018" t="s">
        <v>9569</v>
      </c>
      <c r="T4018" t="s">
        <v>11100</v>
      </c>
      <c r="U4018" t="s">
        <v>11100</v>
      </c>
      <c r="V4018" t="s">
        <v>11100</v>
      </c>
      <c r="W4018" t="s">
        <v>15068</v>
      </c>
      <c r="X4018">
        <v>5</v>
      </c>
      <c r="Y4018" t="s">
        <v>20502</v>
      </c>
      <c r="Z4018" t="s">
        <v>26023</v>
      </c>
      <c r="AA4018">
        <v>0.62492389194301723</v>
      </c>
      <c r="AB4018" t="str">
        <f>HYPERLINK("Melting_Curves/meltCurve_Q8TF05_2_PPP4R1.pdf", "Melting_Curves/meltCurve_Q8TF05_2_PPP4R1.pdf")</f>
        <v>Melting_Curves/meltCurve_Q8TF05_2_PPP4R1.pdf</v>
      </c>
    </row>
    <row r="4019" spans="1:28" x14ac:dyDescent="0.25">
      <c r="A4019" t="s">
        <v>4023</v>
      </c>
      <c r="B4019">
        <v>0.99299721793515405</v>
      </c>
      <c r="C4019">
        <v>1.20195801402764</v>
      </c>
      <c r="D4019">
        <v>0.98763684466240398</v>
      </c>
      <c r="E4019">
        <v>0.79775288336579897</v>
      </c>
      <c r="F4019">
        <v>0.93041494064526697</v>
      </c>
      <c r="G4019">
        <v>0.75066425766217304</v>
      </c>
      <c r="H4019">
        <v>0.58533650694110495</v>
      </c>
      <c r="I4019">
        <v>0.57915881649969503</v>
      </c>
      <c r="J4019">
        <v>0.56215383589939905</v>
      </c>
      <c r="K4019">
        <v>0.45601740131305002</v>
      </c>
      <c r="L4019">
        <v>644.82450673547703</v>
      </c>
      <c r="M4019">
        <v>11.8041808946041</v>
      </c>
      <c r="N4019">
        <v>65.810608156491398</v>
      </c>
      <c r="O4019">
        <v>53.129741298212402</v>
      </c>
      <c r="P4019">
        <v>-3.15162321817705E-2</v>
      </c>
      <c r="Q4019">
        <v>0.43273687711889097</v>
      </c>
      <c r="R4019">
        <v>0.85593142610966899</v>
      </c>
      <c r="S4019" t="s">
        <v>9570</v>
      </c>
      <c r="T4019" t="s">
        <v>11100</v>
      </c>
      <c r="U4019" t="s">
        <v>11100</v>
      </c>
      <c r="V4019" t="s">
        <v>11100</v>
      </c>
      <c r="W4019" t="s">
        <v>15069</v>
      </c>
      <c r="X4019">
        <v>1</v>
      </c>
      <c r="Y4019" t="s">
        <v>20503</v>
      </c>
      <c r="Z4019" t="s">
        <v>26024</v>
      </c>
      <c r="AA4019">
        <v>0.77488969534406482</v>
      </c>
      <c r="AB4019" t="str">
        <f>HYPERLINK("Melting_Curves/meltCurve_Q8TF71_SLC16A10.pdf", "Melting_Curves/meltCurve_Q8TF71_SLC16A10.pdf")</f>
        <v>Melting_Curves/meltCurve_Q8TF71_SLC16A10.pdf</v>
      </c>
    </row>
    <row r="4020" spans="1:28" x14ac:dyDescent="0.25">
      <c r="A4020" t="s">
        <v>4024</v>
      </c>
      <c r="B4020">
        <v>0.99299721793515405</v>
      </c>
      <c r="C4020">
        <v>0.91762560976679697</v>
      </c>
      <c r="D4020">
        <v>0.95835108813978298</v>
      </c>
      <c r="E4020">
        <v>0.79652250240152001</v>
      </c>
      <c r="F4020">
        <v>0.73050494750320705</v>
      </c>
      <c r="G4020">
        <v>0.596952193538965</v>
      </c>
      <c r="H4020">
        <v>0.68654108095550204</v>
      </c>
      <c r="I4020">
        <v>0.841472194550695</v>
      </c>
      <c r="J4020">
        <v>0.96534115109409002</v>
      </c>
      <c r="K4020">
        <v>0.949138057299175</v>
      </c>
      <c r="L4020">
        <v>2685.44935875081</v>
      </c>
      <c r="M4020">
        <v>61.137544800862699</v>
      </c>
      <c r="O4020">
        <v>43.877794976149403</v>
      </c>
      <c r="P4020">
        <v>-7.1620109760462597E-2</v>
      </c>
      <c r="Q4020">
        <v>0.794395977629062</v>
      </c>
      <c r="R4020">
        <v>0.30197096529494799</v>
      </c>
      <c r="S4020" t="s">
        <v>9571</v>
      </c>
      <c r="T4020" t="s">
        <v>11100</v>
      </c>
      <c r="U4020" t="s">
        <v>11100</v>
      </c>
      <c r="V4020" t="s">
        <v>11100</v>
      </c>
      <c r="W4020" t="s">
        <v>15070</v>
      </c>
      <c r="X4020">
        <v>12</v>
      </c>
      <c r="Y4020" t="s">
        <v>20504</v>
      </c>
      <c r="Z4020" t="s">
        <v>26025</v>
      </c>
      <c r="AA4020">
        <v>0.84212028572668851</v>
      </c>
      <c r="AB4020" t="str">
        <f>HYPERLINK("Melting_Curves/meltCurve_Q8TF74_WIPF2.pdf", "Melting_Curves/meltCurve_Q8TF74_WIPF2.pdf")</f>
        <v>Melting_Curves/meltCurve_Q8TF74_WIPF2.pdf</v>
      </c>
    </row>
    <row r="4021" spans="1:28" x14ac:dyDescent="0.25">
      <c r="A4021" t="s">
        <v>4025</v>
      </c>
      <c r="B4021">
        <v>0.99299721793515405</v>
      </c>
      <c r="C4021">
        <v>0.89543052772410603</v>
      </c>
      <c r="D4021">
        <v>0.76452237808143797</v>
      </c>
      <c r="E4021">
        <v>0.65439798236719804</v>
      </c>
      <c r="F4021">
        <v>0.53338121257104198</v>
      </c>
      <c r="G4021">
        <v>0.29879416620808602</v>
      </c>
      <c r="H4021">
        <v>0.220789977064349</v>
      </c>
      <c r="I4021">
        <v>0.17753895718746701</v>
      </c>
      <c r="J4021">
        <v>0.141899725659132</v>
      </c>
      <c r="K4021">
        <v>0.17387718442654501</v>
      </c>
      <c r="L4021">
        <v>484.80845755359002</v>
      </c>
      <c r="M4021">
        <v>9.9481316941254594</v>
      </c>
      <c r="N4021">
        <v>49.569177619673397</v>
      </c>
      <c r="O4021">
        <v>46.887071613799499</v>
      </c>
      <c r="P4021">
        <v>-4.89728325130502E-2</v>
      </c>
      <c r="Q4021">
        <v>7.7191949107043106E-2</v>
      </c>
      <c r="R4021">
        <v>0.98878200190838095</v>
      </c>
      <c r="S4021" t="s">
        <v>9572</v>
      </c>
      <c r="T4021" t="s">
        <v>11100</v>
      </c>
      <c r="U4021" t="s">
        <v>11100</v>
      </c>
      <c r="V4021" t="s">
        <v>11100</v>
      </c>
      <c r="W4021" t="s">
        <v>15071</v>
      </c>
      <c r="X4021">
        <v>1</v>
      </c>
      <c r="Y4021" t="s">
        <v>20505</v>
      </c>
      <c r="Z4021" t="s">
        <v>26026</v>
      </c>
      <c r="AA4021">
        <v>0.4733511825258368</v>
      </c>
      <c r="AB4021" t="str">
        <f>HYPERLINK("Melting_Curves/meltCurve_Q8WTR2_2_DUSP19.pdf", "Melting_Curves/meltCurve_Q8WTR2_2_DUSP19.pdf")</f>
        <v>Melting_Curves/meltCurve_Q8WTR2_2_DUSP19.pdf</v>
      </c>
    </row>
    <row r="4022" spans="1:28" x14ac:dyDescent="0.25">
      <c r="A4022" t="s">
        <v>4026</v>
      </c>
      <c r="B4022">
        <v>0.99299721793515405</v>
      </c>
      <c r="C4022">
        <v>0.76303767318830795</v>
      </c>
      <c r="D4022">
        <v>0.87673805338541999</v>
      </c>
      <c r="E4022">
        <v>0.83349637754137795</v>
      </c>
      <c r="F4022">
        <v>0.76852855370415896</v>
      </c>
      <c r="G4022">
        <v>1.04849735966055</v>
      </c>
      <c r="H4022">
        <v>0.41421530138666102</v>
      </c>
      <c r="I4022">
        <v>0.14912598668705901</v>
      </c>
      <c r="J4022">
        <v>0.22333263506196699</v>
      </c>
      <c r="K4022">
        <v>0.28604585274662497</v>
      </c>
      <c r="L4022">
        <v>14286.7784160267</v>
      </c>
      <c r="M4022">
        <v>250</v>
      </c>
      <c r="N4022">
        <v>57.279560180143399</v>
      </c>
      <c r="O4022">
        <v>57.143459941032802</v>
      </c>
      <c r="P4022">
        <v>-0.85366132174876597</v>
      </c>
      <c r="Q4022">
        <v>0.21950146144612301</v>
      </c>
      <c r="R4022">
        <v>0.83674127725351499</v>
      </c>
      <c r="S4022" t="s">
        <v>9573</v>
      </c>
      <c r="T4022" t="s">
        <v>11100</v>
      </c>
      <c r="U4022" t="s">
        <v>11100</v>
      </c>
      <c r="V4022" t="s">
        <v>11100</v>
      </c>
      <c r="W4022" t="s">
        <v>15072</v>
      </c>
      <c r="X4022">
        <v>1</v>
      </c>
      <c r="Y4022" t="s">
        <v>20506</v>
      </c>
      <c r="Z4022" t="s">
        <v>26027</v>
      </c>
      <c r="AA4022">
        <v>0.7437394984663307</v>
      </c>
      <c r="AB4022" t="str">
        <f>HYPERLINK("Melting_Curves/meltCurve_Q8WTS1_ABHD5.pdf", "Melting_Curves/meltCurve_Q8WTS1_ABHD5.pdf")</f>
        <v>Melting_Curves/meltCurve_Q8WTS1_ABHD5.pdf</v>
      </c>
    </row>
    <row r="4023" spans="1:28" x14ac:dyDescent="0.25">
      <c r="A4023" t="s">
        <v>4027</v>
      </c>
      <c r="B4023">
        <v>0.99299721793515405</v>
      </c>
      <c r="C4023">
        <v>1.0549022906724801</v>
      </c>
      <c r="D4023">
        <v>0.95224990194209203</v>
      </c>
      <c r="E4023">
        <v>0.96758719178286101</v>
      </c>
      <c r="F4023">
        <v>0.76598509454397901</v>
      </c>
      <c r="G4023">
        <v>0.34167475923470503</v>
      </c>
      <c r="H4023">
        <v>0.248875390817557</v>
      </c>
      <c r="I4023">
        <v>0.219361589828205</v>
      </c>
      <c r="J4023">
        <v>0.21077635858069901</v>
      </c>
      <c r="K4023">
        <v>0.17200288110585699</v>
      </c>
      <c r="L4023">
        <v>1724.8266976770001</v>
      </c>
      <c r="M4023">
        <v>33.521362625386899</v>
      </c>
      <c r="N4023">
        <v>52.268057268849503</v>
      </c>
      <c r="O4023">
        <v>51.272466652811502</v>
      </c>
      <c r="P4023">
        <v>-0.130226522818954</v>
      </c>
      <c r="Q4023">
        <v>0.20325349155948</v>
      </c>
      <c r="R4023">
        <v>0.99457075913086201</v>
      </c>
      <c r="S4023" t="s">
        <v>9574</v>
      </c>
      <c r="T4023" t="s">
        <v>11100</v>
      </c>
      <c r="U4023" t="s">
        <v>11100</v>
      </c>
      <c r="V4023" t="s">
        <v>11100</v>
      </c>
      <c r="W4023" t="s">
        <v>15073</v>
      </c>
      <c r="X4023">
        <v>8</v>
      </c>
      <c r="Y4023" t="s">
        <v>20507</v>
      </c>
      <c r="Z4023" t="s">
        <v>26028</v>
      </c>
      <c r="AA4023">
        <v>0.59116068621576734</v>
      </c>
      <c r="AB4023" t="str">
        <f>HYPERLINK("Melting_Curves/meltCurve_Q8WTS6_SETD7.pdf", "Melting_Curves/meltCurve_Q8WTS6_SETD7.pdf")</f>
        <v>Melting_Curves/meltCurve_Q8WTS6_SETD7.pdf</v>
      </c>
    </row>
    <row r="4024" spans="1:28" x14ac:dyDescent="0.25">
      <c r="A4024" t="s">
        <v>4028</v>
      </c>
      <c r="B4024">
        <v>0.99299721793515405</v>
      </c>
      <c r="C4024">
        <v>0.79397559940159201</v>
      </c>
      <c r="D4024">
        <v>0.72589055750487896</v>
      </c>
      <c r="E4024">
        <v>0.74966342980523604</v>
      </c>
      <c r="F4024">
        <v>0.60789034473114301</v>
      </c>
      <c r="G4024">
        <v>0.122806392459112</v>
      </c>
      <c r="H4024">
        <v>0.20175040367416799</v>
      </c>
      <c r="I4024">
        <v>0.21803487577411801</v>
      </c>
      <c r="J4024">
        <v>0.107151259778623</v>
      </c>
      <c r="K4024">
        <v>0.114084319388193</v>
      </c>
      <c r="L4024">
        <v>446.93186781898999</v>
      </c>
      <c r="M4024">
        <v>9.0264088313510698</v>
      </c>
      <c r="N4024">
        <v>49.538765706135798</v>
      </c>
      <c r="O4024">
        <v>47.264834624265802</v>
      </c>
      <c r="P4024">
        <v>-4.7669670117099598E-2</v>
      </c>
      <c r="Q4024">
        <v>2.26907699463546E-3</v>
      </c>
      <c r="R4024">
        <v>0.90863171674434495</v>
      </c>
      <c r="S4024" t="s">
        <v>9575</v>
      </c>
      <c r="T4024" t="s">
        <v>11100</v>
      </c>
      <c r="U4024" t="s">
        <v>11100</v>
      </c>
      <c r="V4024" t="s">
        <v>11100</v>
      </c>
      <c r="W4024" t="s">
        <v>15074</v>
      </c>
      <c r="X4024">
        <v>2</v>
      </c>
      <c r="Y4024" t="s">
        <v>20508</v>
      </c>
      <c r="Z4024" t="s">
        <v>26029</v>
      </c>
      <c r="AA4024">
        <v>0.45760831955240372</v>
      </c>
      <c r="AB4024" t="str">
        <f>HYPERLINK("Melting_Curves/meltCurve_Q8WTW3_COG1.pdf", "Melting_Curves/meltCurve_Q8WTW3_COG1.pdf")</f>
        <v>Melting_Curves/meltCurve_Q8WTW3_COG1.pdf</v>
      </c>
    </row>
    <row r="4025" spans="1:28" x14ac:dyDescent="0.25">
      <c r="A4025" t="s">
        <v>4029</v>
      </c>
      <c r="B4025">
        <v>0.99299721793515405</v>
      </c>
      <c r="C4025">
        <v>0.92622681921010497</v>
      </c>
      <c r="D4025">
        <v>0.76045440536535802</v>
      </c>
      <c r="E4025">
        <v>0.752677584580693</v>
      </c>
      <c r="F4025">
        <v>0.68889135690968495</v>
      </c>
      <c r="G4025">
        <v>0.48463805393059001</v>
      </c>
      <c r="H4025">
        <v>0.48648396155057999</v>
      </c>
      <c r="I4025">
        <v>0.44484766575207702</v>
      </c>
      <c r="J4025">
        <v>0.409135886081821</v>
      </c>
      <c r="K4025">
        <v>0.36434187835104398</v>
      </c>
      <c r="L4025">
        <v>382.69312549944902</v>
      </c>
      <c r="M4025">
        <v>7.7109445230851197</v>
      </c>
      <c r="N4025">
        <v>56.091679477722799</v>
      </c>
      <c r="O4025">
        <v>46.622923851301302</v>
      </c>
      <c r="P4025">
        <v>-2.92156707931043E-2</v>
      </c>
      <c r="Q4025">
        <v>0.29432491693753299</v>
      </c>
      <c r="R4025">
        <v>0.965732409514242</v>
      </c>
      <c r="S4025" t="s">
        <v>9576</v>
      </c>
      <c r="T4025" t="s">
        <v>11100</v>
      </c>
      <c r="U4025" t="s">
        <v>11100</v>
      </c>
      <c r="V4025" t="s">
        <v>11100</v>
      </c>
      <c r="W4025" t="s">
        <v>15075</v>
      </c>
      <c r="X4025">
        <v>1</v>
      </c>
      <c r="Y4025" t="s">
        <v>20509</v>
      </c>
      <c r="Z4025" t="s">
        <v>26030</v>
      </c>
      <c r="AA4025">
        <v>0.62251252559281489</v>
      </c>
      <c r="AB4025" t="str">
        <f>HYPERLINK("Melting_Curves/meltCurve_Q8WU58_FAM222B.pdf", "Melting_Curves/meltCurve_Q8WU58_FAM222B.pdf")</f>
        <v>Melting_Curves/meltCurve_Q8WU58_FAM222B.pdf</v>
      </c>
    </row>
    <row r="4026" spans="1:28" x14ac:dyDescent="0.25">
      <c r="A4026" t="s">
        <v>4030</v>
      </c>
      <c r="B4026">
        <v>0.99299721793515405</v>
      </c>
      <c r="C4026">
        <v>0.94645223448471605</v>
      </c>
      <c r="D4026">
        <v>1.1938092639503499</v>
      </c>
      <c r="E4026">
        <v>0.83371565514708601</v>
      </c>
      <c r="F4026">
        <v>0.65835994529104902</v>
      </c>
      <c r="G4026">
        <v>0.35482349605574098</v>
      </c>
      <c r="H4026">
        <v>0.26700059889394501</v>
      </c>
      <c r="I4026">
        <v>0.18863113538849299</v>
      </c>
      <c r="J4026">
        <v>0.217159894281404</v>
      </c>
      <c r="K4026">
        <v>0.10325602441544</v>
      </c>
      <c r="L4026">
        <v>1062.9421061083499</v>
      </c>
      <c r="M4026">
        <v>20.857337558154999</v>
      </c>
      <c r="N4026">
        <v>51.932578575482403</v>
      </c>
      <c r="O4026">
        <v>50.500971967112697</v>
      </c>
      <c r="P4026">
        <v>-8.65961109167417E-2</v>
      </c>
      <c r="Q4026">
        <v>0.16133746491902801</v>
      </c>
      <c r="R4026">
        <v>0.95859927592966498</v>
      </c>
      <c r="S4026" t="s">
        <v>9577</v>
      </c>
      <c r="T4026" t="s">
        <v>11100</v>
      </c>
      <c r="U4026" t="s">
        <v>11100</v>
      </c>
      <c r="V4026" t="s">
        <v>11100</v>
      </c>
      <c r="W4026" t="s">
        <v>15076</v>
      </c>
      <c r="X4026">
        <v>2</v>
      </c>
      <c r="Y4026" t="s">
        <v>20510</v>
      </c>
      <c r="Z4026" t="s">
        <v>26031</v>
      </c>
      <c r="AA4026">
        <v>0.56189672319489503</v>
      </c>
      <c r="AB4026" t="str">
        <f>HYPERLINK("Melting_Curves/meltCurve_Q8WU68_3_U2AF1L4.pdf", "Melting_Curves/meltCurve_Q8WU68_3_U2AF1L4.pdf")</f>
        <v>Melting_Curves/meltCurve_Q8WU68_3_U2AF1L4.pdf</v>
      </c>
    </row>
    <row r="4027" spans="1:28" x14ac:dyDescent="0.25">
      <c r="A4027" t="s">
        <v>4031</v>
      </c>
      <c r="B4027">
        <v>0.99299721793515405</v>
      </c>
      <c r="C4027">
        <v>1.00759950447045</v>
      </c>
      <c r="D4027">
        <v>0.98832690122132105</v>
      </c>
      <c r="E4027">
        <v>0.85273340832465905</v>
      </c>
      <c r="F4027">
        <v>0.72631308025754604</v>
      </c>
      <c r="G4027">
        <v>0.32145531132826199</v>
      </c>
      <c r="H4027">
        <v>0.14935179837613399</v>
      </c>
      <c r="I4027">
        <v>0.104580809933405</v>
      </c>
      <c r="J4027">
        <v>8.2897872990848304E-2</v>
      </c>
      <c r="K4027">
        <v>8.0327990668145499E-2</v>
      </c>
      <c r="L4027">
        <v>1125.93596413604</v>
      </c>
      <c r="M4027">
        <v>21.786744621285099</v>
      </c>
      <c r="N4027">
        <v>52.019591125704203</v>
      </c>
      <c r="O4027">
        <v>51.250374119492598</v>
      </c>
      <c r="P4027">
        <v>-9.9230908401161597E-2</v>
      </c>
      <c r="Q4027">
        <v>6.6312439464489004E-2</v>
      </c>
      <c r="R4027">
        <v>0.99500297682810601</v>
      </c>
      <c r="S4027" t="s">
        <v>9578</v>
      </c>
      <c r="T4027" t="s">
        <v>11100</v>
      </c>
      <c r="U4027" t="s">
        <v>11100</v>
      </c>
      <c r="V4027" t="s">
        <v>11100</v>
      </c>
      <c r="W4027" t="s">
        <v>15077</v>
      </c>
      <c r="X4027">
        <v>10</v>
      </c>
      <c r="Y4027" t="s">
        <v>20511</v>
      </c>
      <c r="Z4027" t="s">
        <v>26032</v>
      </c>
      <c r="AA4027">
        <v>0.53372168396093267</v>
      </c>
      <c r="AB4027" t="str">
        <f>HYPERLINK("Melting_Curves/meltCurve_Q8WU79_2_SMAP2.pdf", "Melting_Curves/meltCurve_Q8WU79_2_SMAP2.pdf")</f>
        <v>Melting_Curves/meltCurve_Q8WU79_2_SMAP2.pdf</v>
      </c>
    </row>
    <row r="4028" spans="1:28" x14ac:dyDescent="0.25">
      <c r="A4028" t="s">
        <v>4032</v>
      </c>
      <c r="B4028">
        <v>0.99299721793515405</v>
      </c>
      <c r="C4028">
        <v>1.0673531896186701</v>
      </c>
      <c r="D4028">
        <v>1.7549058865595599</v>
      </c>
      <c r="E4028">
        <v>0.99333023092056705</v>
      </c>
      <c r="F4028">
        <v>0.70820917969854602</v>
      </c>
      <c r="G4028">
        <v>0.49443819000783601</v>
      </c>
      <c r="H4028">
        <v>0.34359159059878502</v>
      </c>
      <c r="I4028">
        <v>0.297196430986991</v>
      </c>
      <c r="J4028">
        <v>0.21171885964338399</v>
      </c>
      <c r="K4028">
        <v>0.231453578537126</v>
      </c>
      <c r="L4028">
        <v>1338.9756425636201</v>
      </c>
      <c r="M4028">
        <v>25.822586084189499</v>
      </c>
      <c r="N4028">
        <v>53.302216295258397</v>
      </c>
      <c r="O4028">
        <v>51.544909865705101</v>
      </c>
      <c r="P4028">
        <v>-9.3653255296805502E-2</v>
      </c>
      <c r="Q4028">
        <v>0.25223733124437397</v>
      </c>
      <c r="R4028">
        <v>0.73221494081558103</v>
      </c>
      <c r="S4028" t="s">
        <v>9579</v>
      </c>
      <c r="T4028" t="s">
        <v>11100</v>
      </c>
      <c r="U4028" t="s">
        <v>11100</v>
      </c>
      <c r="V4028" t="s">
        <v>11100</v>
      </c>
      <c r="W4028" t="s">
        <v>15078</v>
      </c>
      <c r="X4028">
        <v>12</v>
      </c>
      <c r="Y4028" t="s">
        <v>20512</v>
      </c>
      <c r="Z4028" t="s">
        <v>26033</v>
      </c>
      <c r="AA4028">
        <v>0.62869593458756701</v>
      </c>
      <c r="AB4028" t="str">
        <f>HYPERLINK("Melting_Curves/meltCurve_Q8WU90_ZC3H15.pdf", "Melting_Curves/meltCurve_Q8WU90_ZC3H15.pdf")</f>
        <v>Melting_Curves/meltCurve_Q8WU90_ZC3H15.pdf</v>
      </c>
    </row>
    <row r="4029" spans="1:28" x14ac:dyDescent="0.25">
      <c r="A4029" t="s">
        <v>4033</v>
      </c>
      <c r="B4029">
        <v>0.99299721793515405</v>
      </c>
      <c r="C4029">
        <v>0.97750467998813895</v>
      </c>
      <c r="D4029">
        <v>0.92224791891977997</v>
      </c>
      <c r="E4029">
        <v>0.81421106562832002</v>
      </c>
      <c r="F4029">
        <v>0.57569135626027801</v>
      </c>
      <c r="G4029">
        <v>0.28755744082673002</v>
      </c>
      <c r="H4029">
        <v>0.17051943367851199</v>
      </c>
      <c r="I4029">
        <v>0.163706092683821</v>
      </c>
      <c r="J4029">
        <v>0.13971943626185099</v>
      </c>
      <c r="K4029">
        <v>0.10494445310139899</v>
      </c>
      <c r="L4029">
        <v>890.64482496975404</v>
      </c>
      <c r="M4029">
        <v>17.764041758745499</v>
      </c>
      <c r="N4029">
        <v>50.817802370312101</v>
      </c>
      <c r="O4029">
        <v>49.515081772477103</v>
      </c>
      <c r="P4029">
        <v>-8.0203057084147406E-2</v>
      </c>
      <c r="Q4029">
        <v>0.10582180747857201</v>
      </c>
      <c r="R4029">
        <v>0.99700592504123298</v>
      </c>
      <c r="S4029" t="s">
        <v>9580</v>
      </c>
      <c r="T4029" t="s">
        <v>11100</v>
      </c>
      <c r="U4029" t="s">
        <v>11100</v>
      </c>
      <c r="V4029" t="s">
        <v>11100</v>
      </c>
      <c r="W4029" t="s">
        <v>15079</v>
      </c>
      <c r="X4029">
        <v>13</v>
      </c>
      <c r="Y4029" t="s">
        <v>20513</v>
      </c>
      <c r="Z4029" t="s">
        <v>26034</v>
      </c>
      <c r="AA4029">
        <v>0.51176673865764533</v>
      </c>
      <c r="AB4029" t="str">
        <f>HYPERLINK("Melting_Curves/meltCurve_Q8WUA2_PPIL4.pdf", "Melting_Curves/meltCurve_Q8WUA2_PPIL4.pdf")</f>
        <v>Melting_Curves/meltCurve_Q8WUA2_PPIL4.pdf</v>
      </c>
    </row>
    <row r="4030" spans="1:28" x14ac:dyDescent="0.25">
      <c r="A4030" t="s">
        <v>4034</v>
      </c>
      <c r="B4030">
        <v>0.99299721793515405</v>
      </c>
      <c r="C4030">
        <v>0.713862322231548</v>
      </c>
      <c r="D4030">
        <v>0.87983079503747996</v>
      </c>
      <c r="E4030">
        <v>0.79847222249722005</v>
      </c>
      <c r="F4030">
        <v>0.75032703051916105</v>
      </c>
      <c r="G4030">
        <v>0.36787299056520201</v>
      </c>
      <c r="H4030">
        <v>0.27008111200975998</v>
      </c>
      <c r="I4030">
        <v>0.172430641021665</v>
      </c>
      <c r="J4030">
        <v>0.26507541910441601</v>
      </c>
      <c r="K4030">
        <v>0.31259026896416198</v>
      </c>
      <c r="L4030">
        <v>540.78388290534804</v>
      </c>
      <c r="M4030">
        <v>10.678745063656001</v>
      </c>
      <c r="N4030">
        <v>52.435654779078199</v>
      </c>
      <c r="O4030">
        <v>48.962139125520999</v>
      </c>
      <c r="P4030">
        <v>-4.6197252852657897E-2</v>
      </c>
      <c r="Q4030">
        <v>0.15306103531565399</v>
      </c>
      <c r="R4030">
        <v>0.85957896908256304</v>
      </c>
      <c r="S4030" t="s">
        <v>9581</v>
      </c>
      <c r="T4030" t="s">
        <v>11100</v>
      </c>
      <c r="U4030" t="s">
        <v>11100</v>
      </c>
      <c r="V4030" t="s">
        <v>11100</v>
      </c>
      <c r="W4030" t="s">
        <v>15080</v>
      </c>
      <c r="X4030">
        <v>4</v>
      </c>
      <c r="Y4030" t="s">
        <v>20514</v>
      </c>
      <c r="Z4030" t="s">
        <v>26035</v>
      </c>
      <c r="AA4030">
        <v>0.56358673003335791</v>
      </c>
      <c r="AB4030" t="str">
        <f>HYPERLINK("Melting_Curves/meltCurve_Q8WUB8_3_PHF10.pdf", "Melting_Curves/meltCurve_Q8WUB8_3_PHF10.pdf")</f>
        <v>Melting_Curves/meltCurve_Q8WUB8_3_PHF10.pdf</v>
      </c>
    </row>
    <row r="4031" spans="1:28" x14ac:dyDescent="0.25">
      <c r="A4031" t="s">
        <v>4035</v>
      </c>
      <c r="B4031">
        <v>0.99299721793515405</v>
      </c>
      <c r="C4031">
        <v>1.25124903273377</v>
      </c>
      <c r="D4031">
        <v>1.03290337265931</v>
      </c>
      <c r="E4031">
        <v>0.88854905917569205</v>
      </c>
      <c r="F4031">
        <v>0.79390877238037505</v>
      </c>
      <c r="G4031">
        <v>0.56434417607437504</v>
      </c>
      <c r="H4031">
        <v>0.57390974751858104</v>
      </c>
      <c r="I4031">
        <v>0.62962007246993401</v>
      </c>
      <c r="J4031">
        <v>0.61916960037410096</v>
      </c>
      <c r="K4031">
        <v>0.367878560036485</v>
      </c>
      <c r="L4031">
        <v>1156.5562967949199</v>
      </c>
      <c r="M4031">
        <v>23.0715197710743</v>
      </c>
      <c r="O4031">
        <v>49.757125646634897</v>
      </c>
      <c r="P4031">
        <v>-5.4347924875516603E-2</v>
      </c>
      <c r="Q4031">
        <v>0.53117149522843299</v>
      </c>
      <c r="R4031">
        <v>0.82517401537388202</v>
      </c>
      <c r="S4031" t="s">
        <v>9582</v>
      </c>
      <c r="T4031" t="s">
        <v>11100</v>
      </c>
      <c r="U4031" t="s">
        <v>11100</v>
      </c>
      <c r="V4031" t="s">
        <v>11100</v>
      </c>
      <c r="W4031" t="s">
        <v>15081</v>
      </c>
      <c r="X4031">
        <v>13</v>
      </c>
      <c r="Y4031" t="s">
        <v>20515</v>
      </c>
      <c r="Z4031" t="s">
        <v>26036</v>
      </c>
      <c r="AA4031">
        <v>0.74112233613178213</v>
      </c>
      <c r="AB4031" t="str">
        <f>HYPERLINK("Melting_Curves/meltCurve_Q8WUD1_RAB2B.pdf", "Melting_Curves/meltCurve_Q8WUD1_RAB2B.pdf")</f>
        <v>Melting_Curves/meltCurve_Q8WUD1_RAB2B.pdf</v>
      </c>
    </row>
    <row r="4032" spans="1:28" x14ac:dyDescent="0.25">
      <c r="A4032" t="s">
        <v>4036</v>
      </c>
      <c r="B4032">
        <v>0.99299721793515405</v>
      </c>
      <c r="C4032">
        <v>0.86324193621925704</v>
      </c>
      <c r="D4032">
        <v>0.99718988576842704</v>
      </c>
      <c r="E4032">
        <v>0.77631402083300105</v>
      </c>
      <c r="F4032">
        <v>0.84005663283430998</v>
      </c>
      <c r="G4032">
        <v>0.61584861118319101</v>
      </c>
      <c r="H4032">
        <v>0.37540873833911398</v>
      </c>
      <c r="I4032">
        <v>0.34400556963046802</v>
      </c>
      <c r="J4032">
        <v>0.29584067559491301</v>
      </c>
      <c r="K4032">
        <v>0.183573841064226</v>
      </c>
      <c r="L4032">
        <v>492.01540119683102</v>
      </c>
      <c r="M4032">
        <v>8.7432757977496092</v>
      </c>
      <c r="N4032">
        <v>56.273575315495599</v>
      </c>
      <c r="O4032">
        <v>53.5625295349287</v>
      </c>
      <c r="P4032">
        <v>-4.08417945205206E-2</v>
      </c>
      <c r="Q4032">
        <v>0</v>
      </c>
      <c r="R4032">
        <v>0.95133534658034902</v>
      </c>
      <c r="S4032" t="s">
        <v>9583</v>
      </c>
      <c r="T4032" t="s">
        <v>11100</v>
      </c>
      <c r="U4032" t="s">
        <v>11100</v>
      </c>
      <c r="V4032" t="s">
        <v>11100</v>
      </c>
      <c r="W4032" t="s">
        <v>15082</v>
      </c>
      <c r="X4032">
        <v>1</v>
      </c>
      <c r="Y4032" t="s">
        <v>20516</v>
      </c>
      <c r="Z4032" t="s">
        <v>26037</v>
      </c>
      <c r="AA4032">
        <v>0.64206269730339549</v>
      </c>
      <c r="AB4032" t="str">
        <f>HYPERLINK("Melting_Curves/meltCurve_Q8WUD6_CHPT1.pdf", "Melting_Curves/meltCurve_Q8WUD6_CHPT1.pdf")</f>
        <v>Melting_Curves/meltCurve_Q8WUD6_CHPT1.pdf</v>
      </c>
    </row>
    <row r="4033" spans="1:28" x14ac:dyDescent="0.25">
      <c r="A4033" t="s">
        <v>4037</v>
      </c>
      <c r="B4033">
        <v>0.99299721793515405</v>
      </c>
      <c r="C4033">
        <v>0.88774094401479398</v>
      </c>
      <c r="D4033">
        <v>0.92497903277225002</v>
      </c>
      <c r="E4033">
        <v>0.78345394699076598</v>
      </c>
      <c r="F4033">
        <v>0.67230607943876497</v>
      </c>
      <c r="G4033">
        <v>0.50893322977010702</v>
      </c>
      <c r="H4033">
        <v>0.30326136005643001</v>
      </c>
      <c r="I4033">
        <v>0.218169176325023</v>
      </c>
      <c r="J4033">
        <v>0.207129807137301</v>
      </c>
      <c r="K4033">
        <v>0.19511184294530401</v>
      </c>
      <c r="L4033">
        <v>534.02492670813206</v>
      </c>
      <c r="M4033">
        <v>10.1777653441442</v>
      </c>
      <c r="N4033">
        <v>53.296811860689999</v>
      </c>
      <c r="O4033">
        <v>50.565084074672697</v>
      </c>
      <c r="P4033">
        <v>-4.6665545472379201E-2</v>
      </c>
      <c r="Q4033">
        <v>7.3048056006363493E-2</v>
      </c>
      <c r="R4033">
        <v>0.98696492762600896</v>
      </c>
      <c r="S4033" t="s">
        <v>9584</v>
      </c>
      <c r="T4033" t="s">
        <v>11100</v>
      </c>
      <c r="U4033" t="s">
        <v>11100</v>
      </c>
      <c r="V4033" t="s">
        <v>11100</v>
      </c>
      <c r="W4033" t="s">
        <v>15083</v>
      </c>
      <c r="X4033">
        <v>5</v>
      </c>
      <c r="Y4033" t="s">
        <v>20517</v>
      </c>
      <c r="Z4033" t="s">
        <v>26038</v>
      </c>
      <c r="AA4033">
        <v>0.57380926886352868</v>
      </c>
      <c r="AB4033" t="str">
        <f>HYPERLINK("Melting_Curves/meltCurve_Q8WUF5_PPP1R13L.pdf", "Melting_Curves/meltCurve_Q8WUF5_PPP1R13L.pdf")</f>
        <v>Melting_Curves/meltCurve_Q8WUF5_PPP1R13L.pdf</v>
      </c>
    </row>
    <row r="4034" spans="1:28" x14ac:dyDescent="0.25">
      <c r="A4034" t="s">
        <v>4038</v>
      </c>
      <c r="B4034">
        <v>0.99299721793515405</v>
      </c>
      <c r="C4034">
        <v>0.94679043603573398</v>
      </c>
      <c r="D4034">
        <v>0.83157782624494703</v>
      </c>
      <c r="E4034">
        <v>0.983942082311272</v>
      </c>
      <c r="F4034">
        <v>0.62089596642200895</v>
      </c>
      <c r="G4034">
        <v>0.40386180871099298</v>
      </c>
      <c r="H4034">
        <v>0.30039333956868502</v>
      </c>
      <c r="I4034">
        <v>0.20771137466862899</v>
      </c>
      <c r="J4034">
        <v>0.21229753568551099</v>
      </c>
      <c r="K4034">
        <v>8.80893316129953E-2</v>
      </c>
      <c r="L4034">
        <v>792.81168150755002</v>
      </c>
      <c r="M4034">
        <v>15.3372078155616</v>
      </c>
      <c r="N4034">
        <v>52.634190958508398</v>
      </c>
      <c r="O4034">
        <v>50.837161189166103</v>
      </c>
      <c r="P4034">
        <v>-6.63756876720831E-2</v>
      </c>
      <c r="Q4034">
        <v>0.12003809662869799</v>
      </c>
      <c r="R4034">
        <v>0.963069840847394</v>
      </c>
      <c r="S4034" t="s">
        <v>9585</v>
      </c>
      <c r="T4034" t="s">
        <v>11100</v>
      </c>
      <c r="U4034" t="s">
        <v>11100</v>
      </c>
      <c r="V4034" t="s">
        <v>11100</v>
      </c>
      <c r="W4034" t="s">
        <v>15084</v>
      </c>
      <c r="X4034">
        <v>3</v>
      </c>
      <c r="Y4034" t="s">
        <v>20518</v>
      </c>
      <c r="Z4034" t="s">
        <v>26039</v>
      </c>
      <c r="AA4034">
        <v>0.56766078274117815</v>
      </c>
      <c r="AB4034" t="str">
        <f>HYPERLINK("Melting_Curves/meltCurve_Q8WUF8_2_FAM172A.pdf", "Melting_Curves/meltCurve_Q8WUF8_2_FAM172A.pdf")</f>
        <v>Melting_Curves/meltCurve_Q8WUF8_2_FAM172A.pdf</v>
      </c>
    </row>
    <row r="4035" spans="1:28" x14ac:dyDescent="0.25">
      <c r="A4035" t="s">
        <v>4039</v>
      </c>
      <c r="B4035">
        <v>0.99299721793515405</v>
      </c>
      <c r="C4035">
        <v>1.21644713713756</v>
      </c>
      <c r="D4035">
        <v>0.95694135078002796</v>
      </c>
      <c r="E4035">
        <v>1.0831101236528999</v>
      </c>
      <c r="F4035">
        <v>0.81012510822774098</v>
      </c>
      <c r="G4035">
        <v>0.444096662996953</v>
      </c>
      <c r="H4035">
        <v>0.27794134598238901</v>
      </c>
      <c r="I4035">
        <v>0.19383892310686601</v>
      </c>
      <c r="J4035">
        <v>0.145128104008548</v>
      </c>
      <c r="K4035">
        <v>0.10775823905701799</v>
      </c>
      <c r="L4035">
        <v>1401.2837947958899</v>
      </c>
      <c r="M4035">
        <v>26.559673156657599</v>
      </c>
      <c r="N4035">
        <v>53.453814892112597</v>
      </c>
      <c r="O4035">
        <v>52.463432784942498</v>
      </c>
      <c r="P4035">
        <v>-0.108107984135558</v>
      </c>
      <c r="Q4035">
        <v>0.14582406365160799</v>
      </c>
      <c r="R4035">
        <v>0.96111920337555101</v>
      </c>
      <c r="S4035" t="s">
        <v>9586</v>
      </c>
      <c r="T4035" t="s">
        <v>11100</v>
      </c>
      <c r="U4035" t="s">
        <v>11100</v>
      </c>
      <c r="V4035" t="s">
        <v>11100</v>
      </c>
      <c r="W4035" t="s">
        <v>15085</v>
      </c>
      <c r="X4035">
        <v>3</v>
      </c>
      <c r="Y4035" t="s">
        <v>20519</v>
      </c>
      <c r="Z4035" t="s">
        <v>26040</v>
      </c>
      <c r="AA4035">
        <v>0.60133808530215727</v>
      </c>
      <c r="AB4035" t="str">
        <f>HYPERLINK("Melting_Curves/meltCurve_Q8WUH1_CHURC1.pdf", "Melting_Curves/meltCurve_Q8WUH1_CHURC1.pdf")</f>
        <v>Melting_Curves/meltCurve_Q8WUH1_CHURC1.pdf</v>
      </c>
    </row>
    <row r="4036" spans="1:28" x14ac:dyDescent="0.25">
      <c r="A4036" t="s">
        <v>4040</v>
      </c>
      <c r="B4036">
        <v>0.99299721793515405</v>
      </c>
      <c r="C4036">
        <v>1.0811534646068699</v>
      </c>
      <c r="D4036">
        <v>0.84791687151145601</v>
      </c>
      <c r="E4036">
        <v>0.82772232385207101</v>
      </c>
      <c r="F4036">
        <v>0.81303940474901404</v>
      </c>
      <c r="G4036">
        <v>0.500828451715705</v>
      </c>
      <c r="H4036">
        <v>0.35472593555651799</v>
      </c>
      <c r="I4036">
        <v>0.33055556589438201</v>
      </c>
      <c r="J4036">
        <v>0.379264077550376</v>
      </c>
      <c r="K4036">
        <v>0.22730800949648999</v>
      </c>
      <c r="L4036">
        <v>684.64665703660103</v>
      </c>
      <c r="M4036">
        <v>13.140030519386499</v>
      </c>
      <c r="N4036">
        <v>54.712511639912201</v>
      </c>
      <c r="O4036">
        <v>50.941430788746899</v>
      </c>
      <c r="P4036">
        <v>-4.9483951563232202E-2</v>
      </c>
      <c r="Q4036">
        <v>0.23277005556069899</v>
      </c>
      <c r="R4036">
        <v>0.94634245924691096</v>
      </c>
      <c r="S4036" t="s">
        <v>9587</v>
      </c>
      <c r="T4036" t="s">
        <v>11100</v>
      </c>
      <c r="U4036" t="s">
        <v>11100</v>
      </c>
      <c r="V4036" t="s">
        <v>11100</v>
      </c>
      <c r="W4036" t="s">
        <v>15086</v>
      </c>
      <c r="X4036">
        <v>2</v>
      </c>
      <c r="Y4036" t="s">
        <v>20520</v>
      </c>
      <c r="Z4036" t="s">
        <v>26041</v>
      </c>
      <c r="AA4036">
        <v>0.63575120011929642</v>
      </c>
      <c r="AB4036" t="str">
        <f>HYPERLINK("Melting_Curves/meltCurve_Q8WUH6_C12orf23.pdf", "Melting_Curves/meltCurve_Q8WUH6_C12orf23.pdf")</f>
        <v>Melting_Curves/meltCurve_Q8WUH6_C12orf23.pdf</v>
      </c>
    </row>
    <row r="4037" spans="1:28" x14ac:dyDescent="0.25">
      <c r="A4037" t="s">
        <v>4041</v>
      </c>
      <c r="B4037">
        <v>0.99299721793515405</v>
      </c>
      <c r="C4037">
        <v>1.2169812568715499</v>
      </c>
      <c r="D4037">
        <v>1.04687766895406</v>
      </c>
      <c r="E4037">
        <v>0.98018722959256499</v>
      </c>
      <c r="F4037">
        <v>0.83114062880689099</v>
      </c>
      <c r="G4037">
        <v>0.353432244547006</v>
      </c>
      <c r="H4037">
        <v>0.38563794450040201</v>
      </c>
      <c r="I4037">
        <v>0.19748759882096401</v>
      </c>
      <c r="J4037">
        <v>0.26754032031804498</v>
      </c>
      <c r="K4037">
        <v>0.17526590120599</v>
      </c>
      <c r="L4037">
        <v>1977.9581702129501</v>
      </c>
      <c r="M4037">
        <v>38.250462499961102</v>
      </c>
      <c r="N4037">
        <v>52.639126443516801</v>
      </c>
      <c r="O4037">
        <v>51.569967598505997</v>
      </c>
      <c r="P4037">
        <v>-0.13993850557474599</v>
      </c>
      <c r="Q4037">
        <v>0.24533134587532601</v>
      </c>
      <c r="R4037">
        <v>0.94990516631968502</v>
      </c>
      <c r="S4037" t="s">
        <v>9588</v>
      </c>
      <c r="T4037" t="s">
        <v>11100</v>
      </c>
      <c r="U4037" t="s">
        <v>11100</v>
      </c>
      <c r="V4037" t="s">
        <v>11100</v>
      </c>
      <c r="W4037" t="s">
        <v>15087</v>
      </c>
      <c r="X4037">
        <v>3</v>
      </c>
      <c r="Y4037" t="s">
        <v>20521</v>
      </c>
      <c r="Z4037" t="s">
        <v>26042</v>
      </c>
      <c r="AA4037">
        <v>0.61833140244732399</v>
      </c>
      <c r="AB4037" t="str">
        <f>HYPERLINK("Melting_Curves/meltCurve_Q8WUJ0_STYX.pdf", "Melting_Curves/meltCurve_Q8WUJ0_STYX.pdf")</f>
        <v>Melting_Curves/meltCurve_Q8WUJ0_STYX.pdf</v>
      </c>
    </row>
    <row r="4038" spans="1:28" x14ac:dyDescent="0.25">
      <c r="A4038" t="s">
        <v>4042</v>
      </c>
      <c r="B4038">
        <v>0.99299721793515405</v>
      </c>
      <c r="C4038">
        <v>1.0267203963223299</v>
      </c>
      <c r="D4038">
        <v>0.95739039130783898</v>
      </c>
      <c r="E4038">
        <v>0.81702640316618003</v>
      </c>
      <c r="F4038">
        <v>0.71344529297479797</v>
      </c>
      <c r="G4038">
        <v>0.46411200305136002</v>
      </c>
      <c r="H4038">
        <v>0.23569375846759899</v>
      </c>
      <c r="I4038">
        <v>0.18477846790072899</v>
      </c>
      <c r="J4038">
        <v>0.13034539368089701</v>
      </c>
      <c r="K4038">
        <v>0.13225477372505401</v>
      </c>
      <c r="L4038">
        <v>762.99591869374899</v>
      </c>
      <c r="M4038">
        <v>14.5799798976768</v>
      </c>
      <c r="N4038">
        <v>52.9381916886759</v>
      </c>
      <c r="O4038">
        <v>51.376844599870502</v>
      </c>
      <c r="P4038">
        <v>-6.5497209359313996E-2</v>
      </c>
      <c r="Q4038">
        <v>7.6909553668000105E-2</v>
      </c>
      <c r="R4038">
        <v>0.99396876853984595</v>
      </c>
      <c r="S4038" t="s">
        <v>9589</v>
      </c>
      <c r="T4038" t="s">
        <v>11100</v>
      </c>
      <c r="U4038" t="s">
        <v>11100</v>
      </c>
      <c r="V4038" t="s">
        <v>11100</v>
      </c>
      <c r="W4038" t="s">
        <v>15088</v>
      </c>
      <c r="X4038">
        <v>6</v>
      </c>
      <c r="Y4038" t="s">
        <v>20522</v>
      </c>
      <c r="Z4038" t="s">
        <v>26043</v>
      </c>
      <c r="AA4038">
        <v>0.5664984341048549</v>
      </c>
      <c r="AB4038" t="str">
        <f>HYPERLINK("Melting_Curves/meltCurve_Q8WUK0_PTPMT1.pdf", "Melting_Curves/meltCurve_Q8WUK0_PTPMT1.pdf")</f>
        <v>Melting_Curves/meltCurve_Q8WUK0_PTPMT1.pdf</v>
      </c>
    </row>
    <row r="4039" spans="1:28" x14ac:dyDescent="0.25">
      <c r="A4039" t="s">
        <v>4043</v>
      </c>
      <c r="B4039">
        <v>0.99299721793515405</v>
      </c>
      <c r="C4039">
        <v>1.11207362798489</v>
      </c>
      <c r="D4039">
        <v>0.82965771358234297</v>
      </c>
      <c r="E4039">
        <v>0.86955110892875498</v>
      </c>
      <c r="F4039">
        <v>0.68240188560447101</v>
      </c>
      <c r="G4039">
        <v>0.468883802614663</v>
      </c>
      <c r="H4039">
        <v>0.27347675058468901</v>
      </c>
      <c r="I4039">
        <v>9.2134051214105797E-2</v>
      </c>
      <c r="J4039">
        <v>0.19898759052717599</v>
      </c>
      <c r="K4039">
        <v>0.21303793548602501</v>
      </c>
      <c r="L4039">
        <v>802.28295928641501</v>
      </c>
      <c r="M4039">
        <v>15.504435290599501</v>
      </c>
      <c r="N4039">
        <v>52.746633324319603</v>
      </c>
      <c r="O4039">
        <v>50.9074926205165</v>
      </c>
      <c r="P4039">
        <v>-6.6440001070928706E-2</v>
      </c>
      <c r="Q4039">
        <v>0.12747709356456199</v>
      </c>
      <c r="R4039">
        <v>0.95870691668395103</v>
      </c>
      <c r="S4039" t="s">
        <v>9590</v>
      </c>
      <c r="T4039" t="s">
        <v>11100</v>
      </c>
      <c r="U4039" t="s">
        <v>11100</v>
      </c>
      <c r="V4039" t="s">
        <v>11100</v>
      </c>
      <c r="W4039" t="s">
        <v>15089</v>
      </c>
      <c r="X4039">
        <v>2</v>
      </c>
      <c r="Y4039" t="s">
        <v>20523</v>
      </c>
      <c r="Z4039" t="s">
        <v>26044</v>
      </c>
      <c r="AA4039">
        <v>0.57260284137008666</v>
      </c>
      <c r="AB4039" t="str">
        <f>HYPERLINK("Melting_Curves/meltCurve_Q8WUM0_NUP133.pdf", "Melting_Curves/meltCurve_Q8WUM0_NUP133.pdf")</f>
        <v>Melting_Curves/meltCurve_Q8WUM0_NUP133.pdf</v>
      </c>
    </row>
    <row r="4040" spans="1:28" x14ac:dyDescent="0.25">
      <c r="A4040" t="s">
        <v>4044</v>
      </c>
      <c r="B4040">
        <v>0.99299721793515405</v>
      </c>
      <c r="C4040">
        <v>0.99812090747657101</v>
      </c>
      <c r="D4040">
        <v>1.0468787025439299</v>
      </c>
      <c r="E4040">
        <v>0.91645721324696106</v>
      </c>
      <c r="F4040">
        <v>0.78813700038658097</v>
      </c>
      <c r="G4040">
        <v>0.224041797621853</v>
      </c>
      <c r="H4040">
        <v>0.13681904385986701</v>
      </c>
      <c r="I4040">
        <v>0.12124686701908299</v>
      </c>
      <c r="J4040">
        <v>0.11365270444355501</v>
      </c>
      <c r="K4040">
        <v>9.74938334699227E-2</v>
      </c>
      <c r="L4040">
        <v>2201.62261965878</v>
      </c>
      <c r="M4040">
        <v>42.757992867458498</v>
      </c>
      <c r="N4040">
        <v>51.798779980858598</v>
      </c>
      <c r="O4040">
        <v>51.378075590049498</v>
      </c>
      <c r="P4040">
        <v>-0.18467126715887799</v>
      </c>
      <c r="Q4040">
        <v>0.11239627253713499</v>
      </c>
      <c r="R4040">
        <v>0.99504588950404604</v>
      </c>
      <c r="S4040" t="s">
        <v>9591</v>
      </c>
      <c r="T4040" t="s">
        <v>11100</v>
      </c>
      <c r="U4040" t="s">
        <v>11100</v>
      </c>
      <c r="V4040" t="s">
        <v>11100</v>
      </c>
      <c r="W4040" t="s">
        <v>15090</v>
      </c>
      <c r="X4040">
        <v>48</v>
      </c>
      <c r="Y4040" t="s">
        <v>20524</v>
      </c>
      <c r="Z4040" t="s">
        <v>26045</v>
      </c>
      <c r="AA4040">
        <v>0.5438774764519374</v>
      </c>
      <c r="AB4040" t="str">
        <f>HYPERLINK("Melting_Curves/meltCurve_Q8WUM4_PDCD6IP.pdf", "Melting_Curves/meltCurve_Q8WUM4_PDCD6IP.pdf")</f>
        <v>Melting_Curves/meltCurve_Q8WUM4_PDCD6IP.pdf</v>
      </c>
    </row>
    <row r="4041" spans="1:28" x14ac:dyDescent="0.25">
      <c r="A4041" t="s">
        <v>4045</v>
      </c>
      <c r="B4041">
        <v>0.99299721793515405</v>
      </c>
      <c r="C4041">
        <v>1.2434142294600701</v>
      </c>
      <c r="D4041">
        <v>1.0283237308120301</v>
      </c>
      <c r="E4041">
        <v>1.1468536400362299</v>
      </c>
      <c r="F4041">
        <v>0.90095335180712299</v>
      </c>
      <c r="G4041">
        <v>0.56196085175819199</v>
      </c>
      <c r="H4041">
        <v>0.888918475615324</v>
      </c>
      <c r="I4041">
        <v>0.71371750486629504</v>
      </c>
      <c r="J4041">
        <v>0.891785273913133</v>
      </c>
      <c r="K4041">
        <v>1.15244320316813</v>
      </c>
      <c r="L4041">
        <v>12524.1536172866</v>
      </c>
      <c r="M4041">
        <v>250</v>
      </c>
      <c r="O4041">
        <v>50.093413598481398</v>
      </c>
      <c r="P4041">
        <v>-0.19742484324736101</v>
      </c>
      <c r="Q4041">
        <v>0.84176506665464401</v>
      </c>
      <c r="R4041">
        <v>0.28764350156597002</v>
      </c>
      <c r="S4041" t="s">
        <v>9592</v>
      </c>
      <c r="T4041" t="s">
        <v>11100</v>
      </c>
      <c r="U4041" t="s">
        <v>11100</v>
      </c>
      <c r="V4041" t="s">
        <v>11100</v>
      </c>
      <c r="W4041" t="s">
        <v>15091</v>
      </c>
      <c r="X4041">
        <v>1</v>
      </c>
      <c r="Y4041" t="s">
        <v>20525</v>
      </c>
      <c r="Z4041" t="s">
        <v>26046</v>
      </c>
      <c r="AA4041">
        <v>0.91085704239590781</v>
      </c>
      <c r="AB4041" t="str">
        <f>HYPERLINK("Melting_Curves/meltCurve_Q8WUN7_UBTD2.pdf", "Melting_Curves/meltCurve_Q8WUN7_UBTD2.pdf")</f>
        <v>Melting_Curves/meltCurve_Q8WUN7_UBTD2.pdf</v>
      </c>
    </row>
    <row r="4042" spans="1:28" x14ac:dyDescent="0.25">
      <c r="A4042" t="s">
        <v>4046</v>
      </c>
      <c r="B4042">
        <v>0.99299721793515405</v>
      </c>
      <c r="C4042">
        <v>0.86259808548561001</v>
      </c>
      <c r="D4042">
        <v>0.98665080631683699</v>
      </c>
      <c r="E4042">
        <v>0.73938098194511404</v>
      </c>
      <c r="F4042">
        <v>0.75852364357844204</v>
      </c>
      <c r="G4042">
        <v>0.50593482233590803</v>
      </c>
      <c r="H4042">
        <v>0.51085887980366695</v>
      </c>
      <c r="I4042">
        <v>0.61459465489669796</v>
      </c>
      <c r="J4042">
        <v>0.62372713124859902</v>
      </c>
      <c r="K4042">
        <v>0.446518829024593</v>
      </c>
      <c r="L4042">
        <v>665.59839346349997</v>
      </c>
      <c r="M4042">
        <v>14.041055095157001</v>
      </c>
      <c r="O4042">
        <v>46.473262705049102</v>
      </c>
      <c r="P4042">
        <v>-3.6143642377973899E-2</v>
      </c>
      <c r="Q4042">
        <v>0.52154784560159595</v>
      </c>
      <c r="R4042">
        <v>0.83312682710804797</v>
      </c>
      <c r="S4042" t="s">
        <v>9593</v>
      </c>
      <c r="T4042" t="s">
        <v>11100</v>
      </c>
      <c r="U4042" t="s">
        <v>11100</v>
      </c>
      <c r="V4042" t="s">
        <v>11100</v>
      </c>
      <c r="W4042" t="s">
        <v>15092</v>
      </c>
      <c r="X4042">
        <v>4</v>
      </c>
      <c r="Y4042" t="s">
        <v>20526</v>
      </c>
      <c r="Z4042" t="s">
        <v>26047</v>
      </c>
      <c r="AA4042">
        <v>0.69943135207912066</v>
      </c>
      <c r="AB4042" t="str">
        <f>HYPERLINK("Melting_Curves/meltCurve_Q8WUP2_FBLIM1.pdf", "Melting_Curves/meltCurve_Q8WUP2_FBLIM1.pdf")</f>
        <v>Melting_Curves/meltCurve_Q8WUP2_FBLIM1.pdf</v>
      </c>
    </row>
    <row r="4043" spans="1:28" x14ac:dyDescent="0.25">
      <c r="A4043" t="s">
        <v>4047</v>
      </c>
      <c r="B4043">
        <v>0.99299721793515405</v>
      </c>
      <c r="C4043">
        <v>0.94807454588317397</v>
      </c>
      <c r="D4043">
        <v>0.82625072607628103</v>
      </c>
      <c r="E4043">
        <v>0.86430922048869596</v>
      </c>
      <c r="F4043">
        <v>0.767390188338678</v>
      </c>
      <c r="G4043">
        <v>0.450200280632923</v>
      </c>
      <c r="H4043">
        <v>0.49287584702452703</v>
      </c>
      <c r="I4043">
        <v>0.55235383952074601</v>
      </c>
      <c r="J4043">
        <v>0.57743878120054504</v>
      </c>
      <c r="K4043">
        <v>0.44561354266651099</v>
      </c>
      <c r="L4043">
        <v>626.68534817368504</v>
      </c>
      <c r="M4043">
        <v>12.934298037845799</v>
      </c>
      <c r="N4043">
        <v>62.507002891891403</v>
      </c>
      <c r="O4043">
        <v>47.337106087060498</v>
      </c>
      <c r="P4043">
        <v>-3.6024718298051699E-2</v>
      </c>
      <c r="Q4043">
        <v>0.47271995981793702</v>
      </c>
      <c r="R4043">
        <v>0.872541954170173</v>
      </c>
      <c r="S4043" t="s">
        <v>9594</v>
      </c>
      <c r="T4043" t="s">
        <v>11100</v>
      </c>
      <c r="U4043" t="s">
        <v>11100</v>
      </c>
      <c r="V4043" t="s">
        <v>11100</v>
      </c>
      <c r="W4043" t="s">
        <v>15093</v>
      </c>
      <c r="X4043">
        <v>3</v>
      </c>
      <c r="Y4043" t="s">
        <v>20527</v>
      </c>
      <c r="Z4043" t="s">
        <v>26048</v>
      </c>
      <c r="AA4043">
        <v>0.68847203886021646</v>
      </c>
      <c r="AB4043" t="str">
        <f>HYPERLINK("Melting_Curves/meltCurve_Q8WUR7_C15orf40.pdf", "Melting_Curves/meltCurve_Q8WUR7_C15orf40.pdf")</f>
        <v>Melting_Curves/meltCurve_Q8WUR7_C15orf40.pdf</v>
      </c>
    </row>
    <row r="4044" spans="1:28" x14ac:dyDescent="0.25">
      <c r="A4044" t="s">
        <v>4048</v>
      </c>
      <c r="B4044">
        <v>0.99299721793515405</v>
      </c>
      <c r="C4044">
        <v>1.0292072228042499</v>
      </c>
      <c r="D4044">
        <v>0.910860880292506</v>
      </c>
      <c r="E4044">
        <v>0.82839867545915202</v>
      </c>
      <c r="F4044">
        <v>0.73693976486130597</v>
      </c>
      <c r="G4044">
        <v>0.51896484344389204</v>
      </c>
      <c r="H4044">
        <v>0.35964038391004499</v>
      </c>
      <c r="I4044">
        <v>0.175468795360015</v>
      </c>
      <c r="J4044">
        <v>0.12561651254247699</v>
      </c>
      <c r="K4044">
        <v>9.0918934919874198E-2</v>
      </c>
      <c r="L4044">
        <v>634.01806283373298</v>
      </c>
      <c r="M4044">
        <v>11.732704163575301</v>
      </c>
      <c r="N4044">
        <v>54.038524547282798</v>
      </c>
      <c r="O4044">
        <v>52.540325796762303</v>
      </c>
      <c r="P4044">
        <v>-5.5841822976205803E-2</v>
      </c>
      <c r="Q4044">
        <v>0</v>
      </c>
      <c r="R4044">
        <v>0.99366353134099905</v>
      </c>
      <c r="S4044" t="s">
        <v>9595</v>
      </c>
      <c r="T4044" t="s">
        <v>11100</v>
      </c>
      <c r="U4044" t="s">
        <v>11100</v>
      </c>
      <c r="V4044" t="s">
        <v>11100</v>
      </c>
      <c r="W4044" t="s">
        <v>15094</v>
      </c>
      <c r="X4044">
        <v>3</v>
      </c>
      <c r="Y4044" t="s">
        <v>20528</v>
      </c>
      <c r="Z4044" t="s">
        <v>26049</v>
      </c>
      <c r="AA4044">
        <v>0.58578205132105376</v>
      </c>
      <c r="AB4044" t="str">
        <f>HYPERLINK("Melting_Curves/meltCurve_Q8WUX2_CHAC2.pdf", "Melting_Curves/meltCurve_Q8WUX2_CHAC2.pdf")</f>
        <v>Melting_Curves/meltCurve_Q8WUX2_CHAC2.pdf</v>
      </c>
    </row>
    <row r="4045" spans="1:28" x14ac:dyDescent="0.25">
      <c r="A4045" t="s">
        <v>4049</v>
      </c>
      <c r="B4045">
        <v>0.99299721793515405</v>
      </c>
      <c r="C4045">
        <v>0.99456940888582601</v>
      </c>
      <c r="D4045">
        <v>1.0355691598001899</v>
      </c>
      <c r="E4045">
        <v>0.804207531887286</v>
      </c>
      <c r="F4045">
        <v>0.66492470443283003</v>
      </c>
      <c r="G4045">
        <v>0.22775976830528799</v>
      </c>
      <c r="H4045">
        <v>0.13832515286448399</v>
      </c>
      <c r="I4045">
        <v>0.13197548495592501</v>
      </c>
      <c r="J4045">
        <v>0.100289977931588</v>
      </c>
      <c r="K4045">
        <v>0.11509566104899099</v>
      </c>
      <c r="L4045">
        <v>1177.0181066473499</v>
      </c>
      <c r="M4045">
        <v>23.239637343440499</v>
      </c>
      <c r="N4045">
        <v>51.115645512131799</v>
      </c>
      <c r="O4045">
        <v>50.276470590533201</v>
      </c>
      <c r="P4045">
        <v>-0.104473396322421</v>
      </c>
      <c r="Q4045">
        <v>9.5948218722572906E-2</v>
      </c>
      <c r="R4045">
        <v>0.98758983121445398</v>
      </c>
      <c r="S4045" t="s">
        <v>9596</v>
      </c>
      <c r="T4045" t="s">
        <v>11100</v>
      </c>
      <c r="U4045" t="s">
        <v>11100</v>
      </c>
      <c r="V4045" t="s">
        <v>11100</v>
      </c>
      <c r="W4045" t="s">
        <v>15095</v>
      </c>
      <c r="X4045">
        <v>9</v>
      </c>
      <c r="Y4045" t="s">
        <v>20529</v>
      </c>
      <c r="Z4045" t="s">
        <v>26050</v>
      </c>
      <c r="AA4045">
        <v>0.51630839019855712</v>
      </c>
      <c r="AB4045" t="str">
        <f>HYPERLINK("Melting_Curves/meltCurve_Q8WUX9_CHMP7.pdf", "Melting_Curves/meltCurve_Q8WUX9_CHMP7.pdf")</f>
        <v>Melting_Curves/meltCurve_Q8WUX9_CHMP7.pdf</v>
      </c>
    </row>
    <row r="4046" spans="1:28" x14ac:dyDescent="0.25">
      <c r="A4046" t="s">
        <v>4050</v>
      </c>
      <c r="B4046">
        <v>0.99299721793515405</v>
      </c>
      <c r="C4046">
        <v>1.0509729992977199</v>
      </c>
      <c r="D4046">
        <v>0.81935310693698205</v>
      </c>
      <c r="E4046">
        <v>0.97513878288787703</v>
      </c>
      <c r="F4046">
        <v>0.75696006195844101</v>
      </c>
      <c r="G4046">
        <v>0.58189296203607899</v>
      </c>
      <c r="H4046">
        <v>0.60366901747269797</v>
      </c>
      <c r="I4046">
        <v>0.70899606992309305</v>
      </c>
      <c r="J4046">
        <v>0.82191703012428197</v>
      </c>
      <c r="K4046">
        <v>0.64334844222436405</v>
      </c>
      <c r="L4046">
        <v>2946.09203082452</v>
      </c>
      <c r="M4046">
        <v>59.838408377062798</v>
      </c>
      <c r="O4046">
        <v>49.179242294143698</v>
      </c>
      <c r="P4046">
        <v>-9.9636616755822693E-2</v>
      </c>
      <c r="Q4046">
        <v>0.67244781705006196</v>
      </c>
      <c r="R4046">
        <v>0.70942570486523804</v>
      </c>
      <c r="S4046" t="s">
        <v>9597</v>
      </c>
      <c r="T4046" t="s">
        <v>11100</v>
      </c>
      <c r="U4046" t="s">
        <v>11100</v>
      </c>
      <c r="V4046" t="s">
        <v>11100</v>
      </c>
      <c r="W4046" t="s">
        <v>15096</v>
      </c>
      <c r="X4046">
        <v>6</v>
      </c>
      <c r="Y4046" t="s">
        <v>20530</v>
      </c>
      <c r="Z4046" t="s">
        <v>26051</v>
      </c>
      <c r="AA4046">
        <v>0.80652085266550944</v>
      </c>
      <c r="AB4046" t="str">
        <f>HYPERLINK("Melting_Curves/meltCurve_Q8WUY1_THEM6.pdf", "Melting_Curves/meltCurve_Q8WUY1_THEM6.pdf")</f>
        <v>Melting_Curves/meltCurve_Q8WUY1_THEM6.pdf</v>
      </c>
    </row>
    <row r="4047" spans="1:28" x14ac:dyDescent="0.25">
      <c r="A4047" t="s">
        <v>4051</v>
      </c>
      <c r="B4047">
        <v>0.99299721793515405</v>
      </c>
      <c r="C4047">
        <v>0.87547610094861095</v>
      </c>
      <c r="D4047">
        <v>1.0870492741825799</v>
      </c>
      <c r="E4047">
        <v>0.70519104546123701</v>
      </c>
      <c r="F4047">
        <v>0.488554739985677</v>
      </c>
      <c r="G4047">
        <v>0.317642088015612</v>
      </c>
      <c r="H4047">
        <v>0.26617644255689199</v>
      </c>
      <c r="I4047">
        <v>0.25703202410136899</v>
      </c>
      <c r="J4047">
        <v>0.22852476939883201</v>
      </c>
      <c r="K4047">
        <v>0.20879900416056599</v>
      </c>
      <c r="L4047">
        <v>1054.2615325916699</v>
      </c>
      <c r="M4047">
        <v>21.821234661229401</v>
      </c>
      <c r="N4047">
        <v>49.750979621723403</v>
      </c>
      <c r="O4047">
        <v>47.913275934101399</v>
      </c>
      <c r="P4047">
        <v>-8.7236725285894601E-2</v>
      </c>
      <c r="Q4047">
        <v>0.23382835359781801</v>
      </c>
      <c r="R4047">
        <v>0.96504823910850901</v>
      </c>
      <c r="S4047" t="s">
        <v>9598</v>
      </c>
      <c r="T4047" t="s">
        <v>11100</v>
      </c>
      <c r="U4047" t="s">
        <v>11100</v>
      </c>
      <c r="V4047" t="s">
        <v>11100</v>
      </c>
      <c r="W4047" t="s">
        <v>15097</v>
      </c>
      <c r="X4047">
        <v>5</v>
      </c>
      <c r="Y4047" t="s">
        <v>20531</v>
      </c>
      <c r="Z4047" t="s">
        <v>26052</v>
      </c>
      <c r="AA4047">
        <v>0.53130945584919775</v>
      </c>
      <c r="AB4047" t="str">
        <f>HYPERLINK("Melting_Curves/meltCurve_Q8WV22_NSMCE1.pdf", "Melting_Curves/meltCurve_Q8WV22_NSMCE1.pdf")</f>
        <v>Melting_Curves/meltCurve_Q8WV22_NSMCE1.pdf</v>
      </c>
    </row>
    <row r="4048" spans="1:28" x14ac:dyDescent="0.25">
      <c r="A4048" t="s">
        <v>4052</v>
      </c>
      <c r="B4048">
        <v>0.99299721793515405</v>
      </c>
      <c r="C4048">
        <v>0.89434612263879099</v>
      </c>
      <c r="D4048">
        <v>1.0765513493021199</v>
      </c>
      <c r="E4048">
        <v>0.89512607849873504</v>
      </c>
      <c r="F4048">
        <v>0.722058515610697</v>
      </c>
      <c r="G4048">
        <v>0.44631591200406701</v>
      </c>
      <c r="H4048">
        <v>0.29930147829275899</v>
      </c>
      <c r="I4048">
        <v>0.248013895429614</v>
      </c>
      <c r="J4048">
        <v>0.190248130009505</v>
      </c>
      <c r="K4048">
        <v>0.17300891834815699</v>
      </c>
      <c r="L4048">
        <v>979.69717652992802</v>
      </c>
      <c r="M4048">
        <v>18.868794009118201</v>
      </c>
      <c r="N4048">
        <v>53.1463986490362</v>
      </c>
      <c r="O4048">
        <v>51.348913529708398</v>
      </c>
      <c r="P4048">
        <v>-7.5670722243125293E-2</v>
      </c>
      <c r="Q4048">
        <v>0.176322517455513</v>
      </c>
      <c r="R4048">
        <v>0.98214491858673603</v>
      </c>
      <c r="S4048" t="s">
        <v>9599</v>
      </c>
      <c r="T4048" t="s">
        <v>11100</v>
      </c>
      <c r="U4048" t="s">
        <v>11100</v>
      </c>
      <c r="V4048" t="s">
        <v>11100</v>
      </c>
      <c r="W4048" t="s">
        <v>15098</v>
      </c>
      <c r="X4048">
        <v>4</v>
      </c>
      <c r="Y4048" t="s">
        <v>20532</v>
      </c>
      <c r="Z4048" t="s">
        <v>26053</v>
      </c>
      <c r="AA4048">
        <v>0.59765739890849778</v>
      </c>
      <c r="AB4048" t="str">
        <f>HYPERLINK("Melting_Curves/meltCurve_Q8WV92_MITD1.pdf", "Melting_Curves/meltCurve_Q8WV92_MITD1.pdf")</f>
        <v>Melting_Curves/meltCurve_Q8WV92_MITD1.pdf</v>
      </c>
    </row>
    <row r="4049" spans="1:28" x14ac:dyDescent="0.25">
      <c r="A4049" t="s">
        <v>4053</v>
      </c>
      <c r="B4049">
        <v>0.99299721793515405</v>
      </c>
      <c r="C4049">
        <v>0.91887364149082695</v>
      </c>
      <c r="D4049">
        <v>0.97271565375133495</v>
      </c>
      <c r="E4049">
        <v>0.91983719388649299</v>
      </c>
      <c r="F4049">
        <v>0.79470554351668099</v>
      </c>
      <c r="G4049">
        <v>0.63987829023398801</v>
      </c>
      <c r="H4049">
        <v>0.58815436666471799</v>
      </c>
      <c r="I4049">
        <v>0.66107646791654495</v>
      </c>
      <c r="J4049">
        <v>0.76226118129567599</v>
      </c>
      <c r="K4049">
        <v>0.67997605147005102</v>
      </c>
      <c r="L4049">
        <v>1458.0906848131499</v>
      </c>
      <c r="M4049">
        <v>29.886948254437399</v>
      </c>
      <c r="O4049">
        <v>48.570026727188598</v>
      </c>
      <c r="P4049">
        <v>-5.1471729370314197E-2</v>
      </c>
      <c r="Q4049">
        <v>0.66541032728837701</v>
      </c>
      <c r="R4049">
        <v>0.86960961718593</v>
      </c>
      <c r="S4049" t="s">
        <v>9600</v>
      </c>
      <c r="T4049" t="s">
        <v>11100</v>
      </c>
      <c r="U4049" t="s">
        <v>11100</v>
      </c>
      <c r="V4049" t="s">
        <v>11100</v>
      </c>
      <c r="W4049" t="s">
        <v>15099</v>
      </c>
      <c r="X4049">
        <v>5</v>
      </c>
      <c r="Y4049" t="s">
        <v>20533</v>
      </c>
      <c r="Z4049" t="s">
        <v>26054</v>
      </c>
      <c r="AA4049">
        <v>0.7988948521324315</v>
      </c>
      <c r="AB4049" t="str">
        <f>HYPERLINK("Melting_Curves/meltCurve_Q8WVC0_LEO1.pdf", "Melting_Curves/meltCurve_Q8WVC0_LEO1.pdf")</f>
        <v>Melting_Curves/meltCurve_Q8WVC0_LEO1.pdf</v>
      </c>
    </row>
    <row r="4050" spans="1:28" x14ac:dyDescent="0.25">
      <c r="A4050" t="s">
        <v>4054</v>
      </c>
      <c r="B4050">
        <v>0.99299721793515405</v>
      </c>
      <c r="C4050">
        <v>1.1487476015418301</v>
      </c>
      <c r="D4050">
        <v>1.1572060325992699</v>
      </c>
      <c r="E4050">
        <v>1.0212734453597601</v>
      </c>
      <c r="F4050">
        <v>0.64995491312974396</v>
      </c>
      <c r="G4050">
        <v>0.33101396414095302</v>
      </c>
      <c r="H4050">
        <v>0.167318368048084</v>
      </c>
      <c r="I4050">
        <v>0.14742783412258001</v>
      </c>
      <c r="J4050">
        <v>0.14333430038390299</v>
      </c>
      <c r="K4050">
        <v>9.5135468896080405E-2</v>
      </c>
      <c r="L4050">
        <v>1511.44493735436</v>
      </c>
      <c r="M4050">
        <v>29.523423218679302</v>
      </c>
      <c r="N4050">
        <v>51.727224620525597</v>
      </c>
      <c r="O4050">
        <v>50.961618606003199</v>
      </c>
      <c r="P4050">
        <v>-0.12585493279725199</v>
      </c>
      <c r="Q4050">
        <v>0.13103216714673199</v>
      </c>
      <c r="R4050">
        <v>0.96986233711667602</v>
      </c>
      <c r="S4050" t="s">
        <v>9601</v>
      </c>
      <c r="T4050" t="s">
        <v>11100</v>
      </c>
      <c r="U4050" t="s">
        <v>11100</v>
      </c>
      <c r="V4050" t="s">
        <v>11100</v>
      </c>
      <c r="W4050" t="s">
        <v>15100</v>
      </c>
      <c r="X4050">
        <v>2</v>
      </c>
      <c r="Y4050" t="s">
        <v>20534</v>
      </c>
      <c r="Z4050" t="s">
        <v>26055</v>
      </c>
      <c r="AA4050">
        <v>0.5477919760950869</v>
      </c>
      <c r="AB4050" t="str">
        <f>HYPERLINK("Melting_Curves/meltCurve_Q8WVD3_RNF138.pdf", "Melting_Curves/meltCurve_Q8WVD3_RNF138.pdf")</f>
        <v>Melting_Curves/meltCurve_Q8WVD3_RNF138.pdf</v>
      </c>
    </row>
    <row r="4051" spans="1:28" x14ac:dyDescent="0.25">
      <c r="A4051" t="s">
        <v>4055</v>
      </c>
      <c r="B4051">
        <v>0.99299721793515405</v>
      </c>
      <c r="C4051">
        <v>0.97041439088730297</v>
      </c>
      <c r="D4051">
        <v>0.966668766870178</v>
      </c>
      <c r="E4051">
        <v>0.88262440783917695</v>
      </c>
      <c r="F4051">
        <v>0.65125377562944198</v>
      </c>
      <c r="G4051">
        <v>0.23045054798900499</v>
      </c>
      <c r="H4051">
        <v>0.12013826316112999</v>
      </c>
      <c r="I4051">
        <v>0.11688446370056201</v>
      </c>
      <c r="J4051">
        <v>7.6584776091583498E-2</v>
      </c>
      <c r="K4051">
        <v>5.97900051837678E-2</v>
      </c>
      <c r="L4051">
        <v>1294.29093425973</v>
      </c>
      <c r="M4051">
        <v>25.420882241708199</v>
      </c>
      <c r="N4051">
        <v>51.227924570816597</v>
      </c>
      <c r="O4051">
        <v>50.602538515666303</v>
      </c>
      <c r="P4051">
        <v>-0.11654677359120701</v>
      </c>
      <c r="Q4051">
        <v>7.2024593841432102E-2</v>
      </c>
      <c r="R4051">
        <v>0.99622088311956003</v>
      </c>
      <c r="S4051" t="s">
        <v>9602</v>
      </c>
      <c r="T4051" t="s">
        <v>11100</v>
      </c>
      <c r="U4051" t="s">
        <v>11100</v>
      </c>
      <c r="V4051" t="s">
        <v>11100</v>
      </c>
      <c r="W4051" t="s">
        <v>15101</v>
      </c>
      <c r="X4051">
        <v>5</v>
      </c>
      <c r="Y4051" t="s">
        <v>20535</v>
      </c>
      <c r="Z4051" t="s">
        <v>26056</v>
      </c>
      <c r="AA4051">
        <v>0.51036548932259029</v>
      </c>
      <c r="AB4051" t="str">
        <f>HYPERLINK("Melting_Curves/meltCurve_Q8WVE0_N6AMT2.pdf", "Melting_Curves/meltCurve_Q8WVE0_N6AMT2.pdf")</f>
        <v>Melting_Curves/meltCurve_Q8WVE0_N6AMT2.pdf</v>
      </c>
    </row>
    <row r="4052" spans="1:28" x14ac:dyDescent="0.25">
      <c r="A4052" t="s">
        <v>4056</v>
      </c>
      <c r="B4052">
        <v>0.99299721793515405</v>
      </c>
      <c r="C4052">
        <v>1.0012861352178599</v>
      </c>
      <c r="D4052">
        <v>0.98544197243920095</v>
      </c>
      <c r="E4052">
        <v>1.00500251853253</v>
      </c>
      <c r="F4052">
        <v>0.70376133032067301</v>
      </c>
      <c r="G4052">
        <v>0.24938714911698801</v>
      </c>
      <c r="H4052">
        <v>0.16044272556384101</v>
      </c>
      <c r="I4052">
        <v>0.14342568474151399</v>
      </c>
      <c r="J4052">
        <v>0.130369333265348</v>
      </c>
      <c r="K4052">
        <v>9.6935375251256894E-2</v>
      </c>
      <c r="L4052">
        <v>1899.0747061348</v>
      </c>
      <c r="M4052">
        <v>37.138606914287202</v>
      </c>
      <c r="N4052">
        <v>51.546586815684798</v>
      </c>
      <c r="O4052">
        <v>50.987203919517803</v>
      </c>
      <c r="P4052">
        <v>-0.15872224595793999</v>
      </c>
      <c r="Q4052">
        <v>0.12836999887893999</v>
      </c>
      <c r="R4052">
        <v>0.99843970506515101</v>
      </c>
      <c r="S4052" t="s">
        <v>9603</v>
      </c>
      <c r="T4052" t="s">
        <v>11100</v>
      </c>
      <c r="U4052" t="s">
        <v>11100</v>
      </c>
      <c r="V4052" t="s">
        <v>11100</v>
      </c>
      <c r="W4052" t="s">
        <v>15102</v>
      </c>
      <c r="X4052">
        <v>13</v>
      </c>
      <c r="Y4052" t="s">
        <v>20536</v>
      </c>
      <c r="Z4052" t="s">
        <v>26057</v>
      </c>
      <c r="AA4052">
        <v>0.54261557186329656</v>
      </c>
      <c r="AB4052" t="str">
        <f>HYPERLINK("Melting_Curves/meltCurve_Q8WVJ2_NUDCD2.pdf", "Melting_Curves/meltCurve_Q8WVJ2_NUDCD2.pdf")</f>
        <v>Melting_Curves/meltCurve_Q8WVJ2_NUDCD2.pdf</v>
      </c>
    </row>
    <row r="4053" spans="1:28" x14ac:dyDescent="0.25">
      <c r="A4053" t="s">
        <v>4057</v>
      </c>
      <c r="B4053">
        <v>0.99299721793515405</v>
      </c>
      <c r="C4053">
        <v>0.91959593679069196</v>
      </c>
      <c r="D4053">
        <v>0.87146050414956</v>
      </c>
      <c r="E4053">
        <v>0.85719629474827297</v>
      </c>
      <c r="F4053">
        <v>0.85835259510927897</v>
      </c>
      <c r="G4053">
        <v>0.715285173575816</v>
      </c>
      <c r="H4053">
        <v>0.47098243090220099</v>
      </c>
      <c r="I4053">
        <v>0.35392998612236598</v>
      </c>
      <c r="J4053">
        <v>0.41557822969984098</v>
      </c>
      <c r="K4053">
        <v>0.37838934090851201</v>
      </c>
      <c r="L4053">
        <v>544.038754576114</v>
      </c>
      <c r="M4053">
        <v>9.9204988032852803</v>
      </c>
      <c r="N4053">
        <v>58.532365698258602</v>
      </c>
      <c r="O4053">
        <v>52.751053518088597</v>
      </c>
      <c r="P4053">
        <v>-3.6098249124717499E-2</v>
      </c>
      <c r="Q4053">
        <v>0.232592236470512</v>
      </c>
      <c r="R4053">
        <v>0.93847411796923397</v>
      </c>
      <c r="S4053" t="s">
        <v>9604</v>
      </c>
      <c r="T4053" t="s">
        <v>11100</v>
      </c>
      <c r="U4053" t="s">
        <v>11100</v>
      </c>
      <c r="V4053" t="s">
        <v>11100</v>
      </c>
      <c r="W4053" t="s">
        <v>15103</v>
      </c>
      <c r="X4053">
        <v>3</v>
      </c>
      <c r="Y4053" t="s">
        <v>20537</v>
      </c>
      <c r="Z4053" t="s">
        <v>26058</v>
      </c>
      <c r="AA4053">
        <v>0.69888515407804808</v>
      </c>
      <c r="AB4053" t="str">
        <f>HYPERLINK("Melting_Curves/meltCurve_Q8WVK2_SNRNP27.pdf", "Melting_Curves/meltCurve_Q8WVK2_SNRNP27.pdf")</f>
        <v>Melting_Curves/meltCurve_Q8WVK2_SNRNP27.pdf</v>
      </c>
    </row>
    <row r="4054" spans="1:28" x14ac:dyDescent="0.25">
      <c r="A4054" t="s">
        <v>4058</v>
      </c>
      <c r="B4054">
        <v>0.99299721793515405</v>
      </c>
      <c r="C4054">
        <v>0.91695496805805299</v>
      </c>
      <c r="D4054">
        <v>0.80262212046126602</v>
      </c>
      <c r="E4054">
        <v>0.853848110951271</v>
      </c>
      <c r="F4054">
        <v>0.692412619827388</v>
      </c>
      <c r="G4054">
        <v>0.58190603206456804</v>
      </c>
      <c r="H4054">
        <v>0.42285611406055801</v>
      </c>
      <c r="I4054">
        <v>0.40600809295659301</v>
      </c>
      <c r="J4054">
        <v>0.28499461315719499</v>
      </c>
      <c r="K4054">
        <v>0.34327300902552599</v>
      </c>
      <c r="L4054">
        <v>390.98124560392301</v>
      </c>
      <c r="M4054">
        <v>7.2477700043173101</v>
      </c>
      <c r="N4054">
        <v>56.179750308811599</v>
      </c>
      <c r="O4054">
        <v>50.292655804774398</v>
      </c>
      <c r="P4054">
        <v>-3.1567538988129702E-2</v>
      </c>
      <c r="Q4054">
        <v>0.12523192876175299</v>
      </c>
      <c r="R4054">
        <v>0.96822782746144198</v>
      </c>
      <c r="S4054" t="s">
        <v>9605</v>
      </c>
      <c r="T4054" t="s">
        <v>11100</v>
      </c>
      <c r="U4054" t="s">
        <v>11100</v>
      </c>
      <c r="V4054" t="s">
        <v>11100</v>
      </c>
      <c r="W4054" t="s">
        <v>15104</v>
      </c>
      <c r="X4054">
        <v>1</v>
      </c>
      <c r="Y4054" t="s">
        <v>20538</v>
      </c>
      <c r="Z4054" t="s">
        <v>26059</v>
      </c>
      <c r="AA4054">
        <v>0.63057308388325906</v>
      </c>
      <c r="AB4054" t="str">
        <f>HYPERLINK("Melting_Curves/meltCurve_Q8WVL7_ANKRD49.pdf", "Melting_Curves/meltCurve_Q8WVL7_ANKRD49.pdf")</f>
        <v>Melting_Curves/meltCurve_Q8WVL7_ANKRD49.pdf</v>
      </c>
    </row>
    <row r="4055" spans="1:28" x14ac:dyDescent="0.25">
      <c r="A4055" t="s">
        <v>4059</v>
      </c>
      <c r="B4055">
        <v>0.99299721793515405</v>
      </c>
      <c r="C4055">
        <v>1.03809529391491</v>
      </c>
      <c r="D4055">
        <v>0.93974159203544405</v>
      </c>
      <c r="E4055">
        <v>0.93468320349425105</v>
      </c>
      <c r="F4055">
        <v>0.752089425366399</v>
      </c>
      <c r="G4055">
        <v>0.31905681644783501</v>
      </c>
      <c r="H4055">
        <v>0.18359910158141099</v>
      </c>
      <c r="I4055">
        <v>0.16877894999141899</v>
      </c>
      <c r="J4055">
        <v>0.11783896493361699</v>
      </c>
      <c r="K4055">
        <v>9.1386857828415893E-2</v>
      </c>
      <c r="L4055">
        <v>1441.43420070399</v>
      </c>
      <c r="M4055">
        <v>27.887527832257899</v>
      </c>
      <c r="N4055">
        <v>52.200798866226101</v>
      </c>
      <c r="O4055">
        <v>51.423828312648702</v>
      </c>
      <c r="P4055">
        <v>-0.119317330425321</v>
      </c>
      <c r="Q4055">
        <v>0.11993627090777</v>
      </c>
      <c r="R4055">
        <v>0.99421668449662703</v>
      </c>
      <c r="S4055" t="s">
        <v>9606</v>
      </c>
      <c r="T4055" t="s">
        <v>11100</v>
      </c>
      <c r="U4055" t="s">
        <v>11100</v>
      </c>
      <c r="V4055" t="s">
        <v>11100</v>
      </c>
      <c r="W4055" t="s">
        <v>15105</v>
      </c>
      <c r="X4055">
        <v>12</v>
      </c>
      <c r="Y4055" t="s">
        <v>20539</v>
      </c>
      <c r="Z4055" t="s">
        <v>26060</v>
      </c>
      <c r="AA4055">
        <v>0.55715898746245685</v>
      </c>
      <c r="AB4055" t="str">
        <f>HYPERLINK("Melting_Curves/meltCurve_Q8WVM8_SCFD1.pdf", "Melting_Curves/meltCurve_Q8WVM8_SCFD1.pdf")</f>
        <v>Melting_Curves/meltCurve_Q8WVM8_SCFD1.pdf</v>
      </c>
    </row>
    <row r="4056" spans="1:28" x14ac:dyDescent="0.25">
      <c r="A4056" t="s">
        <v>4060</v>
      </c>
      <c r="B4056">
        <v>0.99299721793515405</v>
      </c>
      <c r="C4056">
        <v>0.884956406078513</v>
      </c>
      <c r="D4056">
        <v>0.80734674531754003</v>
      </c>
      <c r="E4056">
        <v>0.83071333357686905</v>
      </c>
      <c r="F4056">
        <v>0.64275231365444296</v>
      </c>
      <c r="G4056">
        <v>0.45439323300995799</v>
      </c>
      <c r="H4056">
        <v>0.31968911060737198</v>
      </c>
      <c r="I4056">
        <v>0.30912062176877397</v>
      </c>
      <c r="J4056">
        <v>0.28477562441508902</v>
      </c>
      <c r="K4056">
        <v>0.199676158283355</v>
      </c>
      <c r="L4056">
        <v>440.36849393853498</v>
      </c>
      <c r="M4056">
        <v>8.4724219278162796</v>
      </c>
      <c r="N4056">
        <v>53.287640732305</v>
      </c>
      <c r="O4056">
        <v>49.323488549348703</v>
      </c>
      <c r="P4056">
        <v>-3.8938871445791397E-2</v>
      </c>
      <c r="Q4056">
        <v>9.4072160215890793E-2</v>
      </c>
      <c r="R4056">
        <v>0.97495482383685395</v>
      </c>
      <c r="S4056" t="s">
        <v>9607</v>
      </c>
      <c r="T4056" t="s">
        <v>11100</v>
      </c>
      <c r="U4056" t="s">
        <v>11100</v>
      </c>
      <c r="V4056" t="s">
        <v>11100</v>
      </c>
      <c r="W4056" t="s">
        <v>15106</v>
      </c>
      <c r="X4056">
        <v>2</v>
      </c>
      <c r="Y4056" t="s">
        <v>20540</v>
      </c>
      <c r="Z4056" t="s">
        <v>26061</v>
      </c>
      <c r="AA4056">
        <v>0.57205610229277848</v>
      </c>
      <c r="AB4056" t="str">
        <f>HYPERLINK("Melting_Curves/meltCurve_Q8WVN8_3_UBE2Q2.pdf", "Melting_Curves/meltCurve_Q8WVN8_3_UBE2Q2.pdf")</f>
        <v>Melting_Curves/meltCurve_Q8WVN8_3_UBE2Q2.pdf</v>
      </c>
    </row>
    <row r="4057" spans="1:28" x14ac:dyDescent="0.25">
      <c r="A4057" t="s">
        <v>4061</v>
      </c>
      <c r="B4057">
        <v>0.99299721793515405</v>
      </c>
      <c r="C4057">
        <v>1.0039584840933</v>
      </c>
      <c r="D4057">
        <v>0.87339380336984596</v>
      </c>
      <c r="E4057">
        <v>0.76511532121541503</v>
      </c>
      <c r="F4057">
        <v>0.66263134067873097</v>
      </c>
      <c r="G4057">
        <v>0.396249546012784</v>
      </c>
      <c r="H4057">
        <v>0.58800503773235102</v>
      </c>
      <c r="I4057">
        <v>0.40737235072824601</v>
      </c>
      <c r="J4057">
        <v>0.37503145014723199</v>
      </c>
      <c r="K4057">
        <v>0.11799750468626399</v>
      </c>
      <c r="L4057">
        <v>366.85241386245599</v>
      </c>
      <c r="M4057">
        <v>6.5952226986066096</v>
      </c>
      <c r="N4057">
        <v>55.623973561710898</v>
      </c>
      <c r="O4057">
        <v>51.176204657900399</v>
      </c>
      <c r="P4057">
        <v>-3.2292450533934099E-2</v>
      </c>
      <c r="Q4057">
        <v>0</v>
      </c>
      <c r="R4057">
        <v>0.90231641434758703</v>
      </c>
      <c r="S4057" t="s">
        <v>9608</v>
      </c>
      <c r="T4057" t="s">
        <v>11100</v>
      </c>
      <c r="U4057" t="s">
        <v>11100</v>
      </c>
      <c r="V4057" t="s">
        <v>11100</v>
      </c>
      <c r="W4057" t="s">
        <v>15107</v>
      </c>
      <c r="X4057">
        <v>1</v>
      </c>
      <c r="Y4057" t="s">
        <v>20541</v>
      </c>
      <c r="Z4057" t="s">
        <v>26062</v>
      </c>
      <c r="AA4057">
        <v>0.6138342609046763</v>
      </c>
      <c r="AB4057" t="str">
        <f>HYPERLINK("Melting_Curves/meltCurve_Q8WVT3_TRAPPC12.pdf", "Melting_Curves/meltCurve_Q8WVT3_TRAPPC12.pdf")</f>
        <v>Melting_Curves/meltCurve_Q8WVT3_TRAPPC12.pdf</v>
      </c>
    </row>
    <row r="4058" spans="1:28" x14ac:dyDescent="0.25">
      <c r="A4058" t="s">
        <v>4062</v>
      </c>
      <c r="B4058">
        <v>0.99299721793515405</v>
      </c>
      <c r="C4058">
        <v>1.0134378378593401</v>
      </c>
      <c r="D4058">
        <v>0.95152255675989394</v>
      </c>
      <c r="E4058">
        <v>0.857608745277461</v>
      </c>
      <c r="F4058">
        <v>0.74571830561782204</v>
      </c>
      <c r="G4058">
        <v>0.47148699866402499</v>
      </c>
      <c r="H4058">
        <v>0.195308556497126</v>
      </c>
      <c r="I4058">
        <v>0.11721699187093</v>
      </c>
      <c r="J4058">
        <v>0.141974162266297</v>
      </c>
      <c r="K4058">
        <v>9.1307168014741105E-2</v>
      </c>
      <c r="L4058">
        <v>915.70808647408603</v>
      </c>
      <c r="M4058">
        <v>17.402003400041298</v>
      </c>
      <c r="N4058">
        <v>53.0388343163443</v>
      </c>
      <c r="O4058">
        <v>51.940711207992699</v>
      </c>
      <c r="P4058">
        <v>-7.8396239050588304E-2</v>
      </c>
      <c r="Q4058">
        <v>6.4078587441108503E-2</v>
      </c>
      <c r="R4058">
        <v>0.99293165064672995</v>
      </c>
      <c r="S4058" t="s">
        <v>9609</v>
      </c>
      <c r="T4058" t="s">
        <v>11100</v>
      </c>
      <c r="U4058" t="s">
        <v>11100</v>
      </c>
      <c r="V4058" t="s">
        <v>11100</v>
      </c>
      <c r="W4058" t="s">
        <v>15108</v>
      </c>
      <c r="X4058">
        <v>4</v>
      </c>
      <c r="Y4058" t="s">
        <v>20542</v>
      </c>
      <c r="Z4058" t="s">
        <v>26063</v>
      </c>
      <c r="AA4058">
        <v>0.5658746558048442</v>
      </c>
      <c r="AB4058" t="str">
        <f>HYPERLINK("Melting_Curves/meltCurve_Q8WVX9_FAR1.pdf", "Melting_Curves/meltCurve_Q8WVX9_FAR1.pdf")</f>
        <v>Melting_Curves/meltCurve_Q8WVX9_FAR1.pdf</v>
      </c>
    </row>
    <row r="4059" spans="1:28" x14ac:dyDescent="0.25">
      <c r="A4059" t="s">
        <v>4063</v>
      </c>
      <c r="B4059">
        <v>0.99299721793515405</v>
      </c>
      <c r="C4059">
        <v>1.0692914185084701</v>
      </c>
      <c r="D4059">
        <v>0.95191658128436096</v>
      </c>
      <c r="E4059">
        <v>0.837784219347666</v>
      </c>
      <c r="F4059">
        <v>0.68467838538209502</v>
      </c>
      <c r="G4059">
        <v>0.18790925210655801</v>
      </c>
      <c r="H4059">
        <v>0.13354631499957001</v>
      </c>
      <c r="I4059">
        <v>0.110966969216457</v>
      </c>
      <c r="J4059">
        <v>0.107828141256296</v>
      </c>
      <c r="K4059">
        <v>0.116181929592465</v>
      </c>
      <c r="L4059">
        <v>1458.9236683711199</v>
      </c>
      <c r="M4059">
        <v>28.729792874798701</v>
      </c>
      <c r="N4059">
        <v>51.171827458361903</v>
      </c>
      <c r="O4059">
        <v>50.536741140017497</v>
      </c>
      <c r="P4059">
        <v>-0.12811930431365801</v>
      </c>
      <c r="Q4059">
        <v>9.8541074649999894E-2</v>
      </c>
      <c r="R4059">
        <v>0.98484329001408699</v>
      </c>
      <c r="S4059" t="s">
        <v>9610</v>
      </c>
      <c r="T4059" t="s">
        <v>11100</v>
      </c>
      <c r="U4059" t="s">
        <v>11100</v>
      </c>
      <c r="V4059" t="s">
        <v>11100</v>
      </c>
      <c r="W4059" t="s">
        <v>15109</v>
      </c>
      <c r="X4059">
        <v>9</v>
      </c>
      <c r="Y4059" t="s">
        <v>20543</v>
      </c>
      <c r="Z4059" t="s">
        <v>26064</v>
      </c>
      <c r="AA4059">
        <v>0.51872793219283864</v>
      </c>
      <c r="AB4059" t="str">
        <f>HYPERLINK("Melting_Curves/meltCurve_Q8WVY7_UBLCP1.pdf", "Melting_Curves/meltCurve_Q8WVY7_UBLCP1.pdf")</f>
        <v>Melting_Curves/meltCurve_Q8WVY7_UBLCP1.pdf</v>
      </c>
    </row>
    <row r="4060" spans="1:28" x14ac:dyDescent="0.25">
      <c r="A4060" t="s">
        <v>4064</v>
      </c>
      <c r="B4060">
        <v>0.99299721793515405</v>
      </c>
      <c r="C4060">
        <v>1.24469886912788</v>
      </c>
      <c r="D4060">
        <v>1.077905490244</v>
      </c>
      <c r="E4060">
        <v>1.32501966008076</v>
      </c>
      <c r="F4060">
        <v>0.83004317293747398</v>
      </c>
      <c r="G4060">
        <v>1.0352664358221499</v>
      </c>
      <c r="H4060">
        <v>0.54728671945641105</v>
      </c>
      <c r="I4060">
        <v>0.45988766778684498</v>
      </c>
      <c r="J4060">
        <v>0.53687686137799495</v>
      </c>
      <c r="K4060">
        <v>0.370646888314145</v>
      </c>
      <c r="L4060">
        <v>14258.2113552967</v>
      </c>
      <c r="M4060">
        <v>250</v>
      </c>
      <c r="N4060">
        <v>57.591712647412798</v>
      </c>
      <c r="O4060">
        <v>57.029187576431198</v>
      </c>
      <c r="P4060">
        <v>-0.59640091169765097</v>
      </c>
      <c r="Q4060">
        <v>0.45580377154823498</v>
      </c>
      <c r="R4060">
        <v>0.79651571280092004</v>
      </c>
      <c r="S4060" t="s">
        <v>9611</v>
      </c>
      <c r="T4060" t="s">
        <v>11100</v>
      </c>
      <c r="U4060" t="s">
        <v>11100</v>
      </c>
      <c r="V4060" t="s">
        <v>11100</v>
      </c>
      <c r="W4060" t="s">
        <v>15110</v>
      </c>
      <c r="X4060">
        <v>4</v>
      </c>
      <c r="Y4060" t="s">
        <v>20544</v>
      </c>
      <c r="Z4060" t="s">
        <v>26065</v>
      </c>
      <c r="AA4060">
        <v>0.81925153854996635</v>
      </c>
      <c r="AB4060" t="str">
        <f>HYPERLINK("Melting_Curves/meltCurve_Q8WW01_TSEN15.pdf", "Melting_Curves/meltCurve_Q8WW01_TSEN15.pdf")</f>
        <v>Melting_Curves/meltCurve_Q8WW01_TSEN15.pdf</v>
      </c>
    </row>
    <row r="4061" spans="1:28" x14ac:dyDescent="0.25">
      <c r="A4061" t="s">
        <v>4065</v>
      </c>
      <c r="B4061">
        <v>0.99299721793515405</v>
      </c>
      <c r="C4061">
        <v>0.99177732894644299</v>
      </c>
      <c r="D4061">
        <v>0.93947302800438404</v>
      </c>
      <c r="E4061">
        <v>0.83493375574384998</v>
      </c>
      <c r="F4061">
        <v>0.72523476578968105</v>
      </c>
      <c r="G4061">
        <v>0.49027540688731203</v>
      </c>
      <c r="H4061">
        <v>0.64513534823297802</v>
      </c>
      <c r="I4061">
        <v>0.81044340103046697</v>
      </c>
      <c r="J4061">
        <v>0.95577918202122303</v>
      </c>
      <c r="K4061">
        <v>0.80254402485603604</v>
      </c>
      <c r="L4061">
        <v>1498.4924931389601</v>
      </c>
      <c r="M4061">
        <v>33.135683075346897</v>
      </c>
      <c r="O4061">
        <v>45.059143908293898</v>
      </c>
      <c r="P4061">
        <v>-4.7948553867011703E-2</v>
      </c>
      <c r="Q4061">
        <v>0.73919204469372102</v>
      </c>
      <c r="R4061">
        <v>0.464203754987287</v>
      </c>
      <c r="S4061" t="s">
        <v>9612</v>
      </c>
      <c r="T4061" t="s">
        <v>11100</v>
      </c>
      <c r="U4061" t="s">
        <v>11100</v>
      </c>
      <c r="V4061" t="s">
        <v>11100</v>
      </c>
      <c r="W4061" t="s">
        <v>15111</v>
      </c>
      <c r="X4061">
        <v>17</v>
      </c>
      <c r="Y4061" t="s">
        <v>20545</v>
      </c>
      <c r="Z4061" t="s">
        <v>26066</v>
      </c>
      <c r="AA4061">
        <v>0.81187631177183517</v>
      </c>
      <c r="AB4061" t="str">
        <f>HYPERLINK("Melting_Curves/meltCurve_Q8WW12_PCNP.pdf", "Melting_Curves/meltCurve_Q8WW12_PCNP.pdf")</f>
        <v>Melting_Curves/meltCurve_Q8WW12_PCNP.pdf</v>
      </c>
    </row>
    <row r="4062" spans="1:28" x14ac:dyDescent="0.25">
      <c r="A4062" t="s">
        <v>4066</v>
      </c>
      <c r="B4062">
        <v>0.99299721793515405</v>
      </c>
      <c r="C4062">
        <v>1.1664229269605599</v>
      </c>
      <c r="D4062">
        <v>1.0305461697381799</v>
      </c>
      <c r="E4062">
        <v>0.99366675291033901</v>
      </c>
      <c r="F4062">
        <v>0.83183865985299899</v>
      </c>
      <c r="G4062">
        <v>0.58960393492761198</v>
      </c>
      <c r="H4062">
        <v>0.39931315115856503</v>
      </c>
      <c r="I4062">
        <v>0.21217096732763599</v>
      </c>
      <c r="J4062">
        <v>0.15817321287824301</v>
      </c>
      <c r="K4062">
        <v>0.12592963487612099</v>
      </c>
      <c r="L4062">
        <v>966.83876695817196</v>
      </c>
      <c r="M4062">
        <v>17.687048722271001</v>
      </c>
      <c r="N4062">
        <v>55.334906230130201</v>
      </c>
      <c r="O4062">
        <v>53.979243397235102</v>
      </c>
      <c r="P4062">
        <v>-7.4010903817964699E-2</v>
      </c>
      <c r="Q4062">
        <v>9.6549930488524296E-2</v>
      </c>
      <c r="R4062">
        <v>0.97766843224085098</v>
      </c>
      <c r="S4062" t="s">
        <v>9613</v>
      </c>
      <c r="T4062" t="s">
        <v>11100</v>
      </c>
      <c r="U4062" t="s">
        <v>11100</v>
      </c>
      <c r="V4062" t="s">
        <v>11100</v>
      </c>
      <c r="W4062" t="s">
        <v>15112</v>
      </c>
      <c r="X4062">
        <v>8</v>
      </c>
      <c r="Y4062" t="s">
        <v>20546</v>
      </c>
      <c r="Z4062" t="s">
        <v>26067</v>
      </c>
      <c r="AA4062">
        <v>0.64042343685857095</v>
      </c>
      <c r="AB4062" t="str">
        <f>HYPERLINK("Melting_Curves/meltCurve_Q8WW59_SPRYD4.pdf", "Melting_Curves/meltCurve_Q8WW59_SPRYD4.pdf")</f>
        <v>Melting_Curves/meltCurve_Q8WW59_SPRYD4.pdf</v>
      </c>
    </row>
    <row r="4063" spans="1:28" x14ac:dyDescent="0.25">
      <c r="A4063" t="s">
        <v>4067</v>
      </c>
      <c r="B4063">
        <v>0.99299721793515405</v>
      </c>
      <c r="C4063">
        <v>0.87342922029992998</v>
      </c>
      <c r="D4063">
        <v>0.76214696764229395</v>
      </c>
      <c r="E4063">
        <v>0.84190751196128599</v>
      </c>
      <c r="F4063">
        <v>0.75007444822245695</v>
      </c>
      <c r="G4063">
        <v>0.83045141601389205</v>
      </c>
      <c r="H4063">
        <v>0.441985498059908</v>
      </c>
      <c r="I4063">
        <v>0.38319953858584199</v>
      </c>
      <c r="J4063">
        <v>0.354924358036661</v>
      </c>
      <c r="K4063">
        <v>0.17036908151532501</v>
      </c>
      <c r="L4063">
        <v>422.50993334924402</v>
      </c>
      <c r="M4063">
        <v>7.3288517782326696</v>
      </c>
      <c r="N4063">
        <v>57.650222088865398</v>
      </c>
      <c r="O4063">
        <v>53.8236819603162</v>
      </c>
      <c r="P4063">
        <v>-3.4094323493828002E-2</v>
      </c>
      <c r="Q4063">
        <v>0</v>
      </c>
      <c r="R4063">
        <v>0.86990729311089798</v>
      </c>
      <c r="S4063" t="s">
        <v>9614</v>
      </c>
      <c r="T4063" t="s">
        <v>11100</v>
      </c>
      <c r="U4063" t="s">
        <v>11100</v>
      </c>
      <c r="V4063" t="s">
        <v>11100</v>
      </c>
      <c r="W4063" t="s">
        <v>15113</v>
      </c>
      <c r="X4063">
        <v>3</v>
      </c>
      <c r="Y4063" t="s">
        <v>20547</v>
      </c>
      <c r="Z4063" t="s">
        <v>26068</v>
      </c>
      <c r="AA4063">
        <v>0.66550771092594729</v>
      </c>
      <c r="AB4063" t="str">
        <f>HYPERLINK("Melting_Curves/meltCurve_Q8WWB7_2_C1orf85.pdf", "Melting_Curves/meltCurve_Q8WWB7_2_C1orf85.pdf")</f>
        <v>Melting_Curves/meltCurve_Q8WWB7_2_C1orf85.pdf</v>
      </c>
    </row>
    <row r="4064" spans="1:28" x14ac:dyDescent="0.25">
      <c r="A4064" t="s">
        <v>4068</v>
      </c>
      <c r="B4064">
        <v>0.99299721793515405</v>
      </c>
      <c r="C4064">
        <v>1.07458567211034</v>
      </c>
      <c r="D4064">
        <v>0.99419494290139299</v>
      </c>
      <c r="E4064">
        <v>0.98648179386980805</v>
      </c>
      <c r="F4064">
        <v>0.75570267114999501</v>
      </c>
      <c r="G4064">
        <v>0.600258131072547</v>
      </c>
      <c r="H4064">
        <v>0.40928616653731298</v>
      </c>
      <c r="I4064">
        <v>0.36595289845798101</v>
      </c>
      <c r="J4064">
        <v>0.23702317491715799</v>
      </c>
      <c r="K4064">
        <v>0.17053682271557399</v>
      </c>
      <c r="L4064">
        <v>765.637453490094</v>
      </c>
      <c r="M4064">
        <v>14.082650984927101</v>
      </c>
      <c r="N4064">
        <v>55.784754044872102</v>
      </c>
      <c r="O4064">
        <v>53.306360329057398</v>
      </c>
      <c r="P4064">
        <v>-5.6120232349666101E-2</v>
      </c>
      <c r="Q4064">
        <v>0.150393342923895</v>
      </c>
      <c r="R4064">
        <v>0.983536352903285</v>
      </c>
      <c r="S4064" t="s">
        <v>9615</v>
      </c>
      <c r="T4064" t="s">
        <v>11100</v>
      </c>
      <c r="U4064" t="s">
        <v>11100</v>
      </c>
      <c r="V4064" t="s">
        <v>11100</v>
      </c>
      <c r="W4064" t="s">
        <v>15114</v>
      </c>
      <c r="X4064">
        <v>4</v>
      </c>
      <c r="Y4064" t="s">
        <v>20548</v>
      </c>
      <c r="Z4064" t="s">
        <v>26069</v>
      </c>
      <c r="AA4064">
        <v>0.65584669240278892</v>
      </c>
      <c r="AB4064" t="str">
        <f>HYPERLINK("Melting_Curves/meltCurve_Q8WWC4_C2orf47.pdf", "Melting_Curves/meltCurve_Q8WWC4_C2orf47.pdf")</f>
        <v>Melting_Curves/meltCurve_Q8WWC4_C2orf47.pdf</v>
      </c>
    </row>
    <row r="4065" spans="1:28" x14ac:dyDescent="0.25">
      <c r="A4065" t="s">
        <v>4069</v>
      </c>
      <c r="B4065">
        <v>0.99299721793515405</v>
      </c>
      <c r="C4065">
        <v>1.00195532471216</v>
      </c>
      <c r="D4065">
        <v>0.97380544055019802</v>
      </c>
      <c r="E4065">
        <v>0.84059037245587098</v>
      </c>
      <c r="F4065">
        <v>0.68034488513546798</v>
      </c>
      <c r="G4065">
        <v>0.42689433577970398</v>
      </c>
      <c r="H4065">
        <v>0.19874983337232999</v>
      </c>
      <c r="I4065">
        <v>0.161650518381904</v>
      </c>
      <c r="J4065">
        <v>0.148953320071743</v>
      </c>
      <c r="K4065">
        <v>0.109942924092976</v>
      </c>
      <c r="L4065">
        <v>852.67642595438599</v>
      </c>
      <c r="M4065">
        <v>16.468135566416901</v>
      </c>
      <c r="N4065">
        <v>52.4120625775669</v>
      </c>
      <c r="O4065">
        <v>51.031930574335703</v>
      </c>
      <c r="P4065">
        <v>-7.3387691358859794E-2</v>
      </c>
      <c r="Q4065">
        <v>9.0400216256098107E-2</v>
      </c>
      <c r="R4065">
        <v>0.99675826628097697</v>
      </c>
      <c r="S4065" t="s">
        <v>9616</v>
      </c>
      <c r="T4065" t="s">
        <v>11100</v>
      </c>
      <c r="U4065" t="s">
        <v>11100</v>
      </c>
      <c r="V4065" t="s">
        <v>11100</v>
      </c>
      <c r="W4065" t="s">
        <v>15115</v>
      </c>
      <c r="X4065">
        <v>6</v>
      </c>
      <c r="Y4065" t="s">
        <v>20549</v>
      </c>
      <c r="Z4065" t="s">
        <v>26070</v>
      </c>
      <c r="AA4065">
        <v>0.55412113948654418</v>
      </c>
      <c r="AB4065" t="str">
        <f>HYPERLINK("Melting_Curves/meltCurve_Q8WWH5_TRUB1.pdf", "Melting_Curves/meltCurve_Q8WWH5_TRUB1.pdf")</f>
        <v>Melting_Curves/meltCurve_Q8WWH5_TRUB1.pdf</v>
      </c>
    </row>
    <row r="4066" spans="1:28" x14ac:dyDescent="0.25">
      <c r="A4066" t="s">
        <v>4070</v>
      </c>
      <c r="B4066">
        <v>0.99299721793515405</v>
      </c>
      <c r="C4066">
        <v>0.92184048847713596</v>
      </c>
      <c r="D4066">
        <v>0.93792979742401605</v>
      </c>
      <c r="E4066">
        <v>0.78214777229261301</v>
      </c>
      <c r="F4066">
        <v>0.61722986491662402</v>
      </c>
      <c r="G4066">
        <v>0.40462952192768398</v>
      </c>
      <c r="H4066">
        <v>0.37326105020118799</v>
      </c>
      <c r="I4066">
        <v>0.41063952459797598</v>
      </c>
      <c r="J4066">
        <v>0.37546343248370401</v>
      </c>
      <c r="K4066">
        <v>0.27225471119317901</v>
      </c>
      <c r="L4066">
        <v>750.88248562438605</v>
      </c>
      <c r="M4066">
        <v>15.3746453670267</v>
      </c>
      <c r="N4066">
        <v>52.347639101192499</v>
      </c>
      <c r="O4066">
        <v>48.035114003833797</v>
      </c>
      <c r="P4066">
        <v>-5.4290308222273202E-2</v>
      </c>
      <c r="Q4066">
        <v>0.32158349327665903</v>
      </c>
      <c r="R4066">
        <v>0.97814805497044999</v>
      </c>
      <c r="S4066" t="s">
        <v>9617</v>
      </c>
      <c r="T4066" t="s">
        <v>11100</v>
      </c>
      <c r="U4066" t="s">
        <v>11100</v>
      </c>
      <c r="V4066" t="s">
        <v>11100</v>
      </c>
      <c r="W4066" t="s">
        <v>15116</v>
      </c>
      <c r="X4066">
        <v>2</v>
      </c>
      <c r="Y4066" t="s">
        <v>20550</v>
      </c>
      <c r="Z4066" t="s">
        <v>26071</v>
      </c>
      <c r="AA4066">
        <v>0.60339585141375318</v>
      </c>
      <c r="AB4066" t="str">
        <f>HYPERLINK("Melting_Curves/meltCurve_Q8WWI5_SLC44A1.pdf", "Melting_Curves/meltCurve_Q8WWI5_SLC44A1.pdf")</f>
        <v>Melting_Curves/meltCurve_Q8WWI5_SLC44A1.pdf</v>
      </c>
    </row>
    <row r="4067" spans="1:28" x14ac:dyDescent="0.25">
      <c r="A4067" t="s">
        <v>4071</v>
      </c>
      <c r="B4067">
        <v>0.99299721793515405</v>
      </c>
      <c r="C4067">
        <v>0.95196325149299499</v>
      </c>
      <c r="D4067">
        <v>0.97548711894346896</v>
      </c>
      <c r="E4067">
        <v>0.86955922021138898</v>
      </c>
      <c r="F4067">
        <v>0.72499580489942295</v>
      </c>
      <c r="G4067">
        <v>0.53323544340815499</v>
      </c>
      <c r="H4067">
        <v>0.44138819342713098</v>
      </c>
      <c r="I4067">
        <v>0.30387880778338699</v>
      </c>
      <c r="J4067">
        <v>0.22860059992462201</v>
      </c>
      <c r="K4067">
        <v>0.19700587408016099</v>
      </c>
      <c r="L4067">
        <v>584.58965620987499</v>
      </c>
      <c r="M4067">
        <v>10.811889267575401</v>
      </c>
      <c r="N4067">
        <v>55.179803660467797</v>
      </c>
      <c r="O4067">
        <v>52.318036760531797</v>
      </c>
      <c r="P4067">
        <v>-4.6629177736293603E-2</v>
      </c>
      <c r="Q4067">
        <v>9.7782900760919805E-2</v>
      </c>
      <c r="R4067">
        <v>0.99630526639867001</v>
      </c>
      <c r="S4067" t="s">
        <v>9618</v>
      </c>
      <c r="T4067" t="s">
        <v>11100</v>
      </c>
      <c r="U4067" t="s">
        <v>11100</v>
      </c>
      <c r="V4067" t="s">
        <v>11100</v>
      </c>
      <c r="W4067" t="s">
        <v>11999</v>
      </c>
      <c r="X4067">
        <v>29</v>
      </c>
      <c r="Y4067" t="s">
        <v>17495</v>
      </c>
      <c r="Z4067" t="s">
        <v>26072</v>
      </c>
      <c r="AA4067">
        <v>0.62704207086539521</v>
      </c>
      <c r="AB4067" t="str">
        <f>HYPERLINK("Melting_Curves/meltCurve_Q8WWM7_ATXN2L.pdf", "Melting_Curves/meltCurve_Q8WWM7_ATXN2L.pdf")</f>
        <v>Melting_Curves/meltCurve_Q8WWM7_ATXN2L.pdf</v>
      </c>
    </row>
    <row r="4068" spans="1:28" x14ac:dyDescent="0.25">
      <c r="A4068" t="s">
        <v>4072</v>
      </c>
      <c r="B4068">
        <v>0.99299721793515405</v>
      </c>
      <c r="C4068">
        <v>1.0949736700278401</v>
      </c>
      <c r="D4068">
        <v>0.87966922876796105</v>
      </c>
      <c r="E4068">
        <v>0.97556370368294898</v>
      </c>
      <c r="F4068">
        <v>0.65344528314405603</v>
      </c>
      <c r="G4068">
        <v>0.33219177374526299</v>
      </c>
      <c r="H4068">
        <v>0.16462293514692</v>
      </c>
      <c r="I4068">
        <v>0.139703663955557</v>
      </c>
      <c r="J4068">
        <v>0.101063386791339</v>
      </c>
      <c r="K4068">
        <v>9.4182577138331197E-2</v>
      </c>
      <c r="L4068">
        <v>1238.3800627825201</v>
      </c>
      <c r="M4068">
        <v>24.1228968502692</v>
      </c>
      <c r="N4068">
        <v>51.824184908426503</v>
      </c>
      <c r="O4068">
        <v>50.987421786606099</v>
      </c>
      <c r="P4068">
        <v>-0.106265545909753</v>
      </c>
      <c r="Q4068">
        <v>0.10158049877884399</v>
      </c>
      <c r="R4068">
        <v>0.98413558027164605</v>
      </c>
      <c r="S4068" t="s">
        <v>9619</v>
      </c>
      <c r="T4068" t="s">
        <v>11100</v>
      </c>
      <c r="U4068" t="s">
        <v>11100</v>
      </c>
      <c r="V4068" t="s">
        <v>11100</v>
      </c>
      <c r="W4068" t="s">
        <v>15117</v>
      </c>
      <c r="X4068">
        <v>6</v>
      </c>
      <c r="Y4068" t="s">
        <v>20551</v>
      </c>
      <c r="Z4068" t="s">
        <v>26073</v>
      </c>
      <c r="AA4068">
        <v>0.53939136731272253</v>
      </c>
      <c r="AB4068" t="str">
        <f>HYPERLINK("Melting_Curves/meltCurve_Q8WWV3_RTN4IP1.pdf", "Melting_Curves/meltCurve_Q8WWV3_RTN4IP1.pdf")</f>
        <v>Melting_Curves/meltCurve_Q8WWV3_RTN4IP1.pdf</v>
      </c>
    </row>
    <row r="4069" spans="1:28" x14ac:dyDescent="0.25">
      <c r="A4069" t="s">
        <v>4073</v>
      </c>
      <c r="B4069">
        <v>0.99299721793515405</v>
      </c>
      <c r="C4069">
        <v>0.97257547857749505</v>
      </c>
      <c r="D4069">
        <v>0.855939695955244</v>
      </c>
      <c r="E4069">
        <v>0.81276514609774697</v>
      </c>
      <c r="F4069">
        <v>0.63891483439657104</v>
      </c>
      <c r="G4069">
        <v>0.51883018564496997</v>
      </c>
      <c r="H4069">
        <v>0.41889167867355698</v>
      </c>
      <c r="I4069">
        <v>0.47782560043017602</v>
      </c>
      <c r="J4069">
        <v>0.397661847491317</v>
      </c>
      <c r="K4069">
        <v>0.32741659100415299</v>
      </c>
      <c r="L4069">
        <v>541.47556396222797</v>
      </c>
      <c r="M4069">
        <v>10.91592004272</v>
      </c>
      <c r="N4069">
        <v>55.098277095967198</v>
      </c>
      <c r="O4069">
        <v>48.026591180655203</v>
      </c>
      <c r="P4069">
        <v>-3.7991256147000302E-2</v>
      </c>
      <c r="Q4069">
        <v>0.331634354360971</v>
      </c>
      <c r="R4069">
        <v>0.979900374078992</v>
      </c>
      <c r="S4069" t="s">
        <v>9620</v>
      </c>
      <c r="T4069" t="s">
        <v>11100</v>
      </c>
      <c r="U4069" t="s">
        <v>11100</v>
      </c>
      <c r="V4069" t="s">
        <v>11100</v>
      </c>
      <c r="W4069" t="s">
        <v>15118</v>
      </c>
      <c r="X4069">
        <v>2</v>
      </c>
      <c r="Y4069" t="s">
        <v>20552</v>
      </c>
      <c r="Z4069" t="s">
        <v>26074</v>
      </c>
      <c r="AA4069">
        <v>0.63388179958441515</v>
      </c>
      <c r="AB4069" t="str">
        <f>HYPERLINK("Melting_Curves/meltCurve_Q8WWX9_SELM.pdf", "Melting_Curves/meltCurve_Q8WWX9_SELM.pdf")</f>
        <v>Melting_Curves/meltCurve_Q8WWX9_SELM.pdf</v>
      </c>
    </row>
    <row r="4070" spans="1:28" x14ac:dyDescent="0.25">
      <c r="A4070" t="s">
        <v>4074</v>
      </c>
      <c r="B4070">
        <v>0.99299721793515405</v>
      </c>
      <c r="C4070">
        <v>0.981695912758764</v>
      </c>
      <c r="D4070">
        <v>1.14623343050796</v>
      </c>
      <c r="E4070">
        <v>0.81947200328924497</v>
      </c>
      <c r="F4070">
        <v>0.85207991589743903</v>
      </c>
      <c r="G4070">
        <v>0.39195920302459802</v>
      </c>
      <c r="H4070">
        <v>0.22582813256739701</v>
      </c>
      <c r="I4070">
        <v>0.12534217501092201</v>
      </c>
      <c r="J4070">
        <v>9.9444860709547306E-2</v>
      </c>
      <c r="K4070">
        <v>0.116482165696066</v>
      </c>
      <c r="L4070">
        <v>1298.9375341684799</v>
      </c>
      <c r="M4070">
        <v>24.699123728826699</v>
      </c>
      <c r="N4070">
        <v>53.078603582248697</v>
      </c>
      <c r="O4070">
        <v>52.249309174123603</v>
      </c>
      <c r="P4070">
        <v>-0.106173164930708</v>
      </c>
      <c r="Q4070">
        <v>0.10160413274333401</v>
      </c>
      <c r="R4070">
        <v>0.96867696285904503</v>
      </c>
      <c r="S4070" t="s">
        <v>9621</v>
      </c>
      <c r="T4070" t="s">
        <v>11100</v>
      </c>
      <c r="U4070" t="s">
        <v>11100</v>
      </c>
      <c r="V4070" t="s">
        <v>11100</v>
      </c>
      <c r="W4070" t="s">
        <v>15119</v>
      </c>
      <c r="X4070">
        <v>6</v>
      </c>
      <c r="Y4070" t="s">
        <v>20553</v>
      </c>
      <c r="Z4070" t="s">
        <v>26075</v>
      </c>
      <c r="AA4070">
        <v>0.57660849734081254</v>
      </c>
      <c r="AB4070" t="str">
        <f>HYPERLINK("Melting_Curves/meltCurve_Q8WX92_NELFB.pdf", "Melting_Curves/meltCurve_Q8WX92_NELFB.pdf")</f>
        <v>Melting_Curves/meltCurve_Q8WX92_NELFB.pdf</v>
      </c>
    </row>
    <row r="4071" spans="1:28" x14ac:dyDescent="0.25">
      <c r="A4071" t="s">
        <v>4075</v>
      </c>
      <c r="B4071">
        <v>0.99299721793515405</v>
      </c>
      <c r="C4071">
        <v>0.94514665390359098</v>
      </c>
      <c r="D4071">
        <v>0.98206133564695897</v>
      </c>
      <c r="E4071">
        <v>0.92039911425237897</v>
      </c>
      <c r="F4071">
        <v>0.72300507878354703</v>
      </c>
      <c r="G4071">
        <v>0.35857422295715602</v>
      </c>
      <c r="H4071">
        <v>0.22303761306329101</v>
      </c>
      <c r="I4071">
        <v>0.19890071677601601</v>
      </c>
      <c r="J4071">
        <v>0.18545257933380299</v>
      </c>
      <c r="K4071">
        <v>0.15917711155179601</v>
      </c>
      <c r="L4071">
        <v>1304.80319461309</v>
      </c>
      <c r="M4071">
        <v>25.393369130556302</v>
      </c>
      <c r="N4071">
        <v>52.245070504262401</v>
      </c>
      <c r="O4071">
        <v>51.068129865135298</v>
      </c>
      <c r="P4071">
        <v>-0.10304908450686601</v>
      </c>
      <c r="Q4071">
        <v>0.17105012917608001</v>
      </c>
      <c r="R4071">
        <v>0.99635517836926502</v>
      </c>
      <c r="S4071" t="s">
        <v>9622</v>
      </c>
      <c r="T4071" t="s">
        <v>11100</v>
      </c>
      <c r="U4071" t="s">
        <v>11100</v>
      </c>
      <c r="V4071" t="s">
        <v>11100</v>
      </c>
      <c r="W4071" t="s">
        <v>15120</v>
      </c>
      <c r="X4071">
        <v>15</v>
      </c>
      <c r="Y4071" t="s">
        <v>20554</v>
      </c>
      <c r="Z4071" t="s">
        <v>26076</v>
      </c>
      <c r="AA4071">
        <v>0.57561553004161214</v>
      </c>
      <c r="AB4071" t="str">
        <f>HYPERLINK("Melting_Curves/meltCurve_Q8WX93_3_PALLD.pdf", "Melting_Curves/meltCurve_Q8WX93_3_PALLD.pdf")</f>
        <v>Melting_Curves/meltCurve_Q8WX93_3_PALLD.pdf</v>
      </c>
    </row>
    <row r="4072" spans="1:28" x14ac:dyDescent="0.25">
      <c r="A4072" t="s">
        <v>4076</v>
      </c>
      <c r="B4072">
        <v>0.99299721793515405</v>
      </c>
      <c r="C4072">
        <v>1.1122143933939099</v>
      </c>
      <c r="D4072">
        <v>1.0039732490095601</v>
      </c>
      <c r="E4072">
        <v>0.83507824925200502</v>
      </c>
      <c r="F4072">
        <v>0.50940300064042099</v>
      </c>
      <c r="G4072">
        <v>0.25177577832341902</v>
      </c>
      <c r="H4072">
        <v>0.180864502756962</v>
      </c>
      <c r="I4072">
        <v>0.13755133913918699</v>
      </c>
      <c r="J4072">
        <v>0.113572825954862</v>
      </c>
      <c r="K4072">
        <v>9.5300908219795893E-2</v>
      </c>
      <c r="L4072">
        <v>1129.6580574869299</v>
      </c>
      <c r="M4072">
        <v>22.702504225507699</v>
      </c>
      <c r="N4072">
        <v>50.340684065652702</v>
      </c>
      <c r="O4072">
        <v>49.377930915700098</v>
      </c>
      <c r="P4072">
        <v>-0.101687496337532</v>
      </c>
      <c r="Q4072">
        <v>0.115336548193888</v>
      </c>
      <c r="R4072">
        <v>0.99023037070017195</v>
      </c>
      <c r="S4072" t="s">
        <v>9623</v>
      </c>
      <c r="T4072" t="s">
        <v>11100</v>
      </c>
      <c r="U4072" t="s">
        <v>11100</v>
      </c>
      <c r="V4072" t="s">
        <v>11100</v>
      </c>
      <c r="W4072" t="s">
        <v>15121</v>
      </c>
      <c r="X4072">
        <v>6</v>
      </c>
      <c r="Y4072" t="s">
        <v>20555</v>
      </c>
      <c r="Z4072" t="s">
        <v>26077</v>
      </c>
      <c r="AA4072">
        <v>0.50084745815299303</v>
      </c>
      <c r="AB4072" t="str">
        <f>HYPERLINK("Melting_Curves/meltCurve_Q8WXA3_RUFY2.pdf", "Melting_Curves/meltCurve_Q8WXA3_RUFY2.pdf")</f>
        <v>Melting_Curves/meltCurve_Q8WXA3_RUFY2.pdf</v>
      </c>
    </row>
    <row r="4073" spans="1:28" x14ac:dyDescent="0.25">
      <c r="A4073" t="s">
        <v>4077</v>
      </c>
      <c r="B4073">
        <v>0.99299721793515405</v>
      </c>
      <c r="C4073">
        <v>0.97127514113477798</v>
      </c>
      <c r="D4073">
        <v>0.65959258008383204</v>
      </c>
      <c r="E4073">
        <v>0.85562113456796396</v>
      </c>
      <c r="F4073">
        <v>0.67872415993484203</v>
      </c>
      <c r="G4073">
        <v>0.44792814279424598</v>
      </c>
      <c r="H4073">
        <v>0.24738122725909201</v>
      </c>
      <c r="I4073">
        <v>0.23111202709954001</v>
      </c>
      <c r="J4073">
        <v>0.154980051160029</v>
      </c>
      <c r="K4073">
        <v>5.5092949198949401E-2</v>
      </c>
      <c r="L4073">
        <v>495.093334641767</v>
      </c>
      <c r="M4073">
        <v>9.4423003602959099</v>
      </c>
      <c r="N4073">
        <v>52.4335506898178</v>
      </c>
      <c r="O4073">
        <v>50.243159281614702</v>
      </c>
      <c r="P4073">
        <v>-4.7011456232294399E-2</v>
      </c>
      <c r="Q4073">
        <v>0</v>
      </c>
      <c r="R4073">
        <v>0.93246164044190605</v>
      </c>
      <c r="S4073" t="s">
        <v>9624</v>
      </c>
      <c r="T4073" t="s">
        <v>11100</v>
      </c>
      <c r="U4073" t="s">
        <v>11100</v>
      </c>
      <c r="V4073" t="s">
        <v>11100</v>
      </c>
      <c r="W4073" t="s">
        <v>15122</v>
      </c>
      <c r="X4073">
        <v>4</v>
      </c>
      <c r="Y4073" t="s">
        <v>20556</v>
      </c>
      <c r="Z4073" t="s">
        <v>26078</v>
      </c>
      <c r="AA4073">
        <v>0.53974778835316406</v>
      </c>
      <c r="AB4073" t="str">
        <f>HYPERLINK("Melting_Curves/meltCurve_Q8WXA9_2_SREK1.pdf", "Melting_Curves/meltCurve_Q8WXA9_2_SREK1.pdf")</f>
        <v>Melting_Curves/meltCurve_Q8WXA9_2_SREK1.pdf</v>
      </c>
    </row>
    <row r="4074" spans="1:28" x14ac:dyDescent="0.25">
      <c r="A4074" t="s">
        <v>4078</v>
      </c>
      <c r="B4074">
        <v>0.99299721793515405</v>
      </c>
      <c r="C4074">
        <v>0.842103912209616</v>
      </c>
      <c r="D4074">
        <v>0.894874083659421</v>
      </c>
      <c r="E4074">
        <v>0.80912620723591</v>
      </c>
      <c r="F4074">
        <v>0.75611484698592202</v>
      </c>
      <c r="G4074">
        <v>0.68146209927004597</v>
      </c>
      <c r="H4074">
        <v>0.50517205676401999</v>
      </c>
      <c r="I4074">
        <v>0.45252958598093601</v>
      </c>
      <c r="J4074">
        <v>0.32452994523290701</v>
      </c>
      <c r="K4074">
        <v>0.26159739370851198</v>
      </c>
      <c r="L4074">
        <v>372.36510883053501</v>
      </c>
      <c r="M4074">
        <v>6.4152299804523398</v>
      </c>
      <c r="N4074">
        <v>58.043922117013501</v>
      </c>
      <c r="O4074">
        <v>53.173970199268901</v>
      </c>
      <c r="P4074">
        <v>-3.0238328868446501E-2</v>
      </c>
      <c r="Q4074">
        <v>0</v>
      </c>
      <c r="R4074">
        <v>0.96616344310578095</v>
      </c>
      <c r="S4074" t="s">
        <v>9625</v>
      </c>
      <c r="T4074" t="s">
        <v>11100</v>
      </c>
      <c r="U4074" t="s">
        <v>11100</v>
      </c>
      <c r="V4074" t="s">
        <v>11100</v>
      </c>
      <c r="W4074" t="s">
        <v>15123</v>
      </c>
      <c r="X4074">
        <v>6</v>
      </c>
      <c r="Y4074" t="s">
        <v>20557</v>
      </c>
      <c r="Z4074" t="s">
        <v>26079</v>
      </c>
      <c r="AA4074">
        <v>0.66443597398041987</v>
      </c>
      <c r="AB4074" t="str">
        <f>HYPERLINK("Melting_Curves/meltCurve_Q8WXD5_GEMIN6.pdf", "Melting_Curves/meltCurve_Q8WXD5_GEMIN6.pdf")</f>
        <v>Melting_Curves/meltCurve_Q8WXD5_GEMIN6.pdf</v>
      </c>
    </row>
    <row r="4075" spans="1:28" x14ac:dyDescent="0.25">
      <c r="A4075" t="s">
        <v>4079</v>
      </c>
      <c r="B4075">
        <v>0.99299721793515405</v>
      </c>
      <c r="C4075">
        <v>1.00957321556213</v>
      </c>
      <c r="D4075">
        <v>0.97253408836884903</v>
      </c>
      <c r="E4075">
        <v>0.73856402172917002</v>
      </c>
      <c r="F4075">
        <v>0.453279803842286</v>
      </c>
      <c r="G4075">
        <v>0.27010014947852501</v>
      </c>
      <c r="H4075">
        <v>0.29713214051741299</v>
      </c>
      <c r="I4075">
        <v>0.29546462366890403</v>
      </c>
      <c r="J4075">
        <v>0.183467666176023</v>
      </c>
      <c r="K4075">
        <v>0.15411634870317101</v>
      </c>
      <c r="L4075">
        <v>1044.44679548161</v>
      </c>
      <c r="M4075">
        <v>21.6608566990807</v>
      </c>
      <c r="N4075">
        <v>49.524462576897399</v>
      </c>
      <c r="O4075">
        <v>47.812815230699698</v>
      </c>
      <c r="P4075">
        <v>-8.8613640296732604E-2</v>
      </c>
      <c r="Q4075">
        <v>0.21761742306829099</v>
      </c>
      <c r="R4075">
        <v>0.98646383728701903</v>
      </c>
      <c r="S4075" t="s">
        <v>9626</v>
      </c>
      <c r="T4075" t="s">
        <v>11100</v>
      </c>
      <c r="U4075" t="s">
        <v>11100</v>
      </c>
      <c r="V4075" t="s">
        <v>11100</v>
      </c>
      <c r="W4075" t="s">
        <v>15124</v>
      </c>
      <c r="X4075">
        <v>3</v>
      </c>
      <c r="Y4075" t="s">
        <v>20558</v>
      </c>
      <c r="Z4075" t="s">
        <v>26080</v>
      </c>
      <c r="AA4075">
        <v>0.51902222259429853</v>
      </c>
      <c r="AB4075" t="str">
        <f>HYPERLINK("Melting_Curves/meltCurve_Q8WXE0_CASKIN2.pdf", "Melting_Curves/meltCurve_Q8WXE0_CASKIN2.pdf")</f>
        <v>Melting_Curves/meltCurve_Q8WXE0_CASKIN2.pdf</v>
      </c>
    </row>
    <row r="4076" spans="1:28" x14ac:dyDescent="0.25">
      <c r="A4076" t="s">
        <v>4080</v>
      </c>
      <c r="B4076">
        <v>0.99299721793515405</v>
      </c>
      <c r="C4076">
        <v>0.97667667339114295</v>
      </c>
      <c r="D4076">
        <v>0.92075185437807505</v>
      </c>
      <c r="E4076">
        <v>0.89252267478724201</v>
      </c>
      <c r="F4076">
        <v>0.67066407792418603</v>
      </c>
      <c r="G4076">
        <v>0.447449116711651</v>
      </c>
      <c r="H4076">
        <v>0.37802675491453902</v>
      </c>
      <c r="I4076">
        <v>0.20613802373300699</v>
      </c>
      <c r="J4076">
        <v>0.17851410882011601</v>
      </c>
      <c r="K4076">
        <v>0.14524824743499701</v>
      </c>
      <c r="L4076">
        <v>663.22821381660697</v>
      </c>
      <c r="M4076">
        <v>12.5993094718065</v>
      </c>
      <c r="N4076">
        <v>53.485081562733697</v>
      </c>
      <c r="O4076">
        <v>51.366762768336798</v>
      </c>
      <c r="P4076">
        <v>-5.5797266945303702E-2</v>
      </c>
      <c r="Q4076">
        <v>9.0250726169314399E-2</v>
      </c>
      <c r="R4076">
        <v>0.99359067956747704</v>
      </c>
      <c r="S4076" t="s">
        <v>9627</v>
      </c>
      <c r="T4076" t="s">
        <v>11100</v>
      </c>
      <c r="U4076" t="s">
        <v>11100</v>
      </c>
      <c r="V4076" t="s">
        <v>11100</v>
      </c>
      <c r="W4076" t="s">
        <v>15125</v>
      </c>
      <c r="X4076">
        <v>2</v>
      </c>
      <c r="Y4076" t="s">
        <v>20559</v>
      </c>
      <c r="Z4076" t="s">
        <v>26081</v>
      </c>
      <c r="AA4076">
        <v>0.58398773542514948</v>
      </c>
      <c r="AB4076" t="str">
        <f>HYPERLINK("Melting_Curves/meltCurve_Q8WXE1_2_ATRIP.pdf", "Melting_Curves/meltCurve_Q8WXE1_2_ATRIP.pdf")</f>
        <v>Melting_Curves/meltCurve_Q8WXE1_2_ATRIP.pdf</v>
      </c>
    </row>
    <row r="4077" spans="1:28" x14ac:dyDescent="0.25">
      <c r="A4077" t="s">
        <v>4081</v>
      </c>
      <c r="B4077">
        <v>0.99299721793515405</v>
      </c>
      <c r="C4077">
        <v>1.0299226843575999</v>
      </c>
      <c r="D4077">
        <v>1.0243420516652999</v>
      </c>
      <c r="E4077">
        <v>0.85855211605660198</v>
      </c>
      <c r="F4077">
        <v>0.69526258325308399</v>
      </c>
      <c r="G4077">
        <v>0.46347384235910499</v>
      </c>
      <c r="H4077">
        <v>0.35841104838983501</v>
      </c>
      <c r="I4077">
        <v>0.32183419865924201</v>
      </c>
      <c r="J4077">
        <v>0.26450192364818198</v>
      </c>
      <c r="K4077">
        <v>0.20109351661140401</v>
      </c>
      <c r="L4077">
        <v>837.04260631805005</v>
      </c>
      <c r="M4077">
        <v>16.266741090207301</v>
      </c>
      <c r="N4077">
        <v>53.438535522273</v>
      </c>
      <c r="O4077">
        <v>50.698492232312603</v>
      </c>
      <c r="P4077">
        <v>-6.20542007350827E-2</v>
      </c>
      <c r="Q4077">
        <v>0.22644064141451201</v>
      </c>
      <c r="R4077">
        <v>0.991421854858207</v>
      </c>
      <c r="S4077" t="s">
        <v>9628</v>
      </c>
      <c r="T4077" t="s">
        <v>11100</v>
      </c>
      <c r="U4077" t="s">
        <v>11100</v>
      </c>
      <c r="V4077" t="s">
        <v>11100</v>
      </c>
      <c r="W4077" t="s">
        <v>15126</v>
      </c>
      <c r="X4077">
        <v>18</v>
      </c>
      <c r="Y4077" t="s">
        <v>20560</v>
      </c>
      <c r="Z4077" t="s">
        <v>26082</v>
      </c>
      <c r="AA4077">
        <v>0.61294776683140584</v>
      </c>
      <c r="AB4077" t="str">
        <f>HYPERLINK("Melting_Curves/meltCurve_Q8WXF1_PSPC1.pdf", "Melting_Curves/meltCurve_Q8WXF1_PSPC1.pdf")</f>
        <v>Melting_Curves/meltCurve_Q8WXF1_PSPC1.pdf</v>
      </c>
    </row>
    <row r="4078" spans="1:28" x14ac:dyDescent="0.25">
      <c r="A4078" t="s">
        <v>4082</v>
      </c>
      <c r="B4078">
        <v>0.99299721793515405</v>
      </c>
      <c r="C4078">
        <v>0.98471818448565596</v>
      </c>
      <c r="D4078">
        <v>1.11806233692275</v>
      </c>
      <c r="E4078">
        <v>0.82614658246961603</v>
      </c>
      <c r="F4078">
        <v>0.51424038009086004</v>
      </c>
      <c r="G4078">
        <v>0.395603449443441</v>
      </c>
      <c r="H4078">
        <v>0.27156057226552999</v>
      </c>
      <c r="I4078">
        <v>0.123196570445593</v>
      </c>
      <c r="J4078">
        <v>0.16276921666706201</v>
      </c>
      <c r="K4078">
        <v>0.19677106274932701</v>
      </c>
      <c r="L4078">
        <v>998.37662509997006</v>
      </c>
      <c r="M4078">
        <v>19.9695732095389</v>
      </c>
      <c r="N4078">
        <v>51.060909288126801</v>
      </c>
      <c r="O4078">
        <v>49.501642135048399</v>
      </c>
      <c r="P4078">
        <v>-8.3664329962832198E-2</v>
      </c>
      <c r="Q4078">
        <v>0.17046076996203999</v>
      </c>
      <c r="R4078">
        <v>0.97255118168486299</v>
      </c>
      <c r="S4078" t="s">
        <v>9629</v>
      </c>
      <c r="T4078" t="s">
        <v>11100</v>
      </c>
      <c r="U4078" t="s">
        <v>11100</v>
      </c>
      <c r="V4078" t="s">
        <v>11100</v>
      </c>
      <c r="W4078" t="s">
        <v>15127</v>
      </c>
      <c r="X4078">
        <v>4</v>
      </c>
      <c r="Y4078" t="s">
        <v>20561</v>
      </c>
      <c r="Z4078" t="s">
        <v>26083</v>
      </c>
      <c r="AA4078">
        <v>0.54074000014599677</v>
      </c>
      <c r="AB4078" t="str">
        <f>HYPERLINK("Melting_Curves/meltCurve_Q8WXI9_GATAD2B.pdf", "Melting_Curves/meltCurve_Q8WXI9_GATAD2B.pdf")</f>
        <v>Melting_Curves/meltCurve_Q8WXI9_GATAD2B.pdf</v>
      </c>
    </row>
    <row r="4079" spans="1:28" x14ac:dyDescent="0.25">
      <c r="A4079" t="s">
        <v>4083</v>
      </c>
      <c r="B4079">
        <v>0.99299721793515405</v>
      </c>
      <c r="C4079">
        <v>1.0388936160309401</v>
      </c>
      <c r="D4079">
        <v>0.91069155273088997</v>
      </c>
      <c r="E4079">
        <v>0.92496606337821297</v>
      </c>
      <c r="F4079">
        <v>0.81806632483851605</v>
      </c>
      <c r="G4079">
        <v>0.59547670155786003</v>
      </c>
      <c r="H4079">
        <v>0.345198059545194</v>
      </c>
      <c r="I4079">
        <v>0.25145387380379702</v>
      </c>
      <c r="J4079">
        <v>0.190244973497946</v>
      </c>
      <c r="K4079">
        <v>0.14489210599064101</v>
      </c>
      <c r="L4079">
        <v>840.52227397512104</v>
      </c>
      <c r="M4079">
        <v>15.4874439666821</v>
      </c>
      <c r="N4079">
        <v>55.106804411317697</v>
      </c>
      <c r="O4079">
        <v>53.390538127388602</v>
      </c>
      <c r="P4079">
        <v>-6.4936016124924695E-2</v>
      </c>
      <c r="Q4079">
        <v>0.104652805051304</v>
      </c>
      <c r="R4079">
        <v>0.99230191660215095</v>
      </c>
      <c r="S4079" t="s">
        <v>9630</v>
      </c>
      <c r="T4079" t="s">
        <v>11100</v>
      </c>
      <c r="U4079" t="s">
        <v>11100</v>
      </c>
      <c r="V4079" t="s">
        <v>11100</v>
      </c>
      <c r="W4079" t="s">
        <v>15128</v>
      </c>
      <c r="X4079">
        <v>12</v>
      </c>
      <c r="Y4079" t="s">
        <v>20562</v>
      </c>
      <c r="Z4079" t="s">
        <v>26084</v>
      </c>
      <c r="AA4079">
        <v>0.63384528851198041</v>
      </c>
      <c r="AB4079" t="str">
        <f>HYPERLINK("Melting_Curves/meltCurve_Q8WXX5_DNAJC9.pdf", "Melting_Curves/meltCurve_Q8WXX5_DNAJC9.pdf")</f>
        <v>Melting_Curves/meltCurve_Q8WXX5_DNAJC9.pdf</v>
      </c>
    </row>
    <row r="4080" spans="1:28" x14ac:dyDescent="0.25">
      <c r="A4080" t="s">
        <v>4084</v>
      </c>
      <c r="B4080">
        <v>0.99299721793515405</v>
      </c>
      <c r="C4080">
        <v>0.92342651394933195</v>
      </c>
      <c r="D4080">
        <v>0.877197081628036</v>
      </c>
      <c r="E4080">
        <v>0.74599200803087395</v>
      </c>
      <c r="F4080">
        <v>0.72521051558910998</v>
      </c>
      <c r="G4080">
        <v>0.58513134466861305</v>
      </c>
      <c r="H4080">
        <v>0.64127714832257299</v>
      </c>
      <c r="I4080">
        <v>0.72615115489245097</v>
      </c>
      <c r="J4080">
        <v>0.70757374686829799</v>
      </c>
      <c r="K4080">
        <v>0.54684089366623001</v>
      </c>
      <c r="L4080">
        <v>680.95098880918499</v>
      </c>
      <c r="M4080">
        <v>15.354660445735</v>
      </c>
      <c r="O4080">
        <v>43.616338298288802</v>
      </c>
      <c r="P4080">
        <v>-3.18042974749842E-2</v>
      </c>
      <c r="Q4080">
        <v>0.63866090927119701</v>
      </c>
      <c r="R4080">
        <v>0.85235043955977696</v>
      </c>
      <c r="S4080" t="s">
        <v>9631</v>
      </c>
      <c r="T4080" t="s">
        <v>11100</v>
      </c>
      <c r="U4080" t="s">
        <v>11100</v>
      </c>
      <c r="V4080" t="s">
        <v>11100</v>
      </c>
      <c r="W4080" t="s">
        <v>15129</v>
      </c>
      <c r="X4080">
        <v>1</v>
      </c>
      <c r="Y4080" t="s">
        <v>20563</v>
      </c>
      <c r="Z4080" t="s">
        <v>26085</v>
      </c>
      <c r="AA4080">
        <v>0.73557774175042967</v>
      </c>
      <c r="AB4080" t="str">
        <f>HYPERLINK("Melting_Curves/meltCurve_Q8WY22_BRI3BP.pdf", "Melting_Curves/meltCurve_Q8WY22_BRI3BP.pdf")</f>
        <v>Melting_Curves/meltCurve_Q8WY22_BRI3BP.pdf</v>
      </c>
    </row>
    <row r="4081" spans="1:28" x14ac:dyDescent="0.25">
      <c r="A4081" t="s">
        <v>4085</v>
      </c>
      <c r="B4081">
        <v>0.99299721793515405</v>
      </c>
      <c r="C4081">
        <v>1.1786364385086601</v>
      </c>
      <c r="D4081">
        <v>1.0244735771984299</v>
      </c>
      <c r="E4081">
        <v>1.0470944188599001</v>
      </c>
      <c r="F4081">
        <v>0.79954045434784904</v>
      </c>
      <c r="G4081">
        <v>0.84122788884076805</v>
      </c>
      <c r="H4081">
        <v>0.43829070681558902</v>
      </c>
      <c r="I4081">
        <v>0.273818570665811</v>
      </c>
      <c r="J4081">
        <v>0.23789171616723501</v>
      </c>
      <c r="K4081">
        <v>0.25142097276397302</v>
      </c>
      <c r="L4081">
        <v>1342.13160425508</v>
      </c>
      <c r="M4081">
        <v>24.1101579131733</v>
      </c>
      <c r="N4081">
        <v>56.953204428290398</v>
      </c>
      <c r="O4081">
        <v>55.287924319607797</v>
      </c>
      <c r="P4081">
        <v>-8.6130494056395807E-2</v>
      </c>
      <c r="Q4081">
        <v>0.20997565822845901</v>
      </c>
      <c r="R4081">
        <v>0.94676353895330101</v>
      </c>
      <c r="S4081" t="s">
        <v>9632</v>
      </c>
      <c r="T4081" t="s">
        <v>11100</v>
      </c>
      <c r="U4081" t="s">
        <v>11100</v>
      </c>
      <c r="V4081" t="s">
        <v>11100</v>
      </c>
      <c r="W4081" t="s">
        <v>15130</v>
      </c>
      <c r="X4081">
        <v>4</v>
      </c>
      <c r="Y4081" t="s">
        <v>20564</v>
      </c>
      <c r="Z4081" t="s">
        <v>26086</v>
      </c>
      <c r="AA4081">
        <v>0.70839558717889739</v>
      </c>
      <c r="AB4081" t="str">
        <f>HYPERLINK("Melting_Curves/meltCurve_Q8WY54_2_PPM1E.pdf", "Melting_Curves/meltCurve_Q8WY54_2_PPM1E.pdf")</f>
        <v>Melting_Curves/meltCurve_Q8WY54_2_PPM1E.pdf</v>
      </c>
    </row>
    <row r="4082" spans="1:28" x14ac:dyDescent="0.25">
      <c r="A4082" t="s">
        <v>4086</v>
      </c>
      <c r="B4082">
        <v>0.99299721793515405</v>
      </c>
      <c r="C4082">
        <v>1.1497385133271001</v>
      </c>
      <c r="D4082">
        <v>1.2037848221727601</v>
      </c>
      <c r="E4082">
        <v>0.76864109302202699</v>
      </c>
      <c r="F4082">
        <v>0.34357580450847103</v>
      </c>
      <c r="G4082">
        <v>0.182213234605695</v>
      </c>
      <c r="H4082">
        <v>0.56502758904242101</v>
      </c>
      <c r="I4082">
        <v>0.548958038414882</v>
      </c>
      <c r="J4082">
        <v>0.366611445537664</v>
      </c>
      <c r="K4082">
        <v>0.269237578763524</v>
      </c>
      <c r="L4082">
        <v>11674.258144654301</v>
      </c>
      <c r="M4082">
        <v>250</v>
      </c>
      <c r="N4082">
        <v>46.963992896228199</v>
      </c>
      <c r="O4082">
        <v>46.6940447096827</v>
      </c>
      <c r="P4082">
        <v>-0.83084657467735901</v>
      </c>
      <c r="Q4082">
        <v>0.37927061278389002</v>
      </c>
      <c r="R4082">
        <v>0.85538170991350504</v>
      </c>
      <c r="S4082" t="s">
        <v>9633</v>
      </c>
      <c r="T4082" t="s">
        <v>11100</v>
      </c>
      <c r="U4082" t="s">
        <v>11100</v>
      </c>
      <c r="V4082" t="s">
        <v>11100</v>
      </c>
      <c r="W4082" t="s">
        <v>15131</v>
      </c>
      <c r="X4082">
        <v>2</v>
      </c>
      <c r="Y4082" t="s">
        <v>20565</v>
      </c>
      <c r="Z4082" t="s">
        <v>26087</v>
      </c>
      <c r="AA4082">
        <v>0.57996258616092089</v>
      </c>
      <c r="AB4082" t="str">
        <f>HYPERLINK("Melting_Curves/meltCurve_Q8WY91_THAP4.pdf", "Melting_Curves/meltCurve_Q8WY91_THAP4.pdf")</f>
        <v>Melting_Curves/meltCurve_Q8WY91_THAP4.pdf</v>
      </c>
    </row>
    <row r="4083" spans="1:28" x14ac:dyDescent="0.25">
      <c r="A4083" t="s">
        <v>4087</v>
      </c>
      <c r="B4083">
        <v>0.99299721793515405</v>
      </c>
      <c r="C4083">
        <v>0.90917420166052898</v>
      </c>
      <c r="D4083">
        <v>0.84524671497433002</v>
      </c>
      <c r="E4083">
        <v>0.81022230591123401</v>
      </c>
      <c r="F4083">
        <v>0.551711755919151</v>
      </c>
      <c r="G4083">
        <v>0.3681889623879</v>
      </c>
      <c r="H4083">
        <v>0.24981579962862099</v>
      </c>
      <c r="I4083">
        <v>0.256992487056448</v>
      </c>
      <c r="J4083">
        <v>0.20961281476340399</v>
      </c>
      <c r="K4083">
        <v>0.18286881789276599</v>
      </c>
      <c r="L4083">
        <v>618.23371737385401</v>
      </c>
      <c r="M4083">
        <v>12.4255203561766</v>
      </c>
      <c r="N4083">
        <v>51.227301410923602</v>
      </c>
      <c r="O4083">
        <v>48.5191297600444</v>
      </c>
      <c r="P4083">
        <v>-5.4422686989384898E-2</v>
      </c>
      <c r="Q4083">
        <v>0.15014068477863099</v>
      </c>
      <c r="R4083">
        <v>0.98680852284773002</v>
      </c>
      <c r="S4083" t="s">
        <v>9634</v>
      </c>
      <c r="T4083" t="s">
        <v>11100</v>
      </c>
      <c r="U4083" t="s">
        <v>11100</v>
      </c>
      <c r="V4083" t="s">
        <v>11100</v>
      </c>
      <c r="W4083" t="s">
        <v>15132</v>
      </c>
      <c r="X4083">
        <v>4</v>
      </c>
      <c r="Y4083" t="s">
        <v>20566</v>
      </c>
      <c r="Z4083" t="s">
        <v>26088</v>
      </c>
      <c r="AA4083">
        <v>0.53462738071328009</v>
      </c>
      <c r="AB4083" t="str">
        <f>HYPERLINK("Melting_Curves/meltCurve_Q8WYA6_3_CTNNBL1.pdf", "Melting_Curves/meltCurve_Q8WYA6_3_CTNNBL1.pdf")</f>
        <v>Melting_Curves/meltCurve_Q8WYA6_3_CTNNBL1.pdf</v>
      </c>
    </row>
    <row r="4084" spans="1:28" x14ac:dyDescent="0.25">
      <c r="A4084" t="s">
        <v>4088</v>
      </c>
      <c r="B4084">
        <v>0.99299721793515405</v>
      </c>
      <c r="C4084">
        <v>0.68631632474154403</v>
      </c>
      <c r="D4084">
        <v>0.80459016425765195</v>
      </c>
      <c r="E4084">
        <v>0.89943787744575099</v>
      </c>
      <c r="F4084">
        <v>0.65846363387602402</v>
      </c>
      <c r="G4084">
        <v>0.46320369717616</v>
      </c>
      <c r="H4084">
        <v>0.47367922164037002</v>
      </c>
      <c r="I4084">
        <v>0.44954572425545503</v>
      </c>
      <c r="J4084">
        <v>0.55468051391738904</v>
      </c>
      <c r="K4084">
        <v>0.48274079194772401</v>
      </c>
      <c r="L4084">
        <v>317.466997729534</v>
      </c>
      <c r="M4084">
        <v>6.6500426544773799</v>
      </c>
      <c r="N4084">
        <v>60.568006453550502</v>
      </c>
      <c r="O4084">
        <v>43.976574953291802</v>
      </c>
      <c r="P4084">
        <v>-2.3576384392350401E-2</v>
      </c>
      <c r="Q4084">
        <v>0.37775092831843099</v>
      </c>
      <c r="R4084">
        <v>0.71747420755623903</v>
      </c>
      <c r="S4084" t="s">
        <v>9635</v>
      </c>
      <c r="T4084" t="s">
        <v>11100</v>
      </c>
      <c r="U4084" t="s">
        <v>11100</v>
      </c>
      <c r="V4084" t="s">
        <v>11100</v>
      </c>
      <c r="W4084" t="s">
        <v>15133</v>
      </c>
      <c r="X4084">
        <v>1</v>
      </c>
      <c r="Y4084" t="s">
        <v>20567</v>
      </c>
      <c r="Z4084" t="s">
        <v>26089</v>
      </c>
      <c r="AA4084">
        <v>0.64023378187420721</v>
      </c>
      <c r="AB4084" t="str">
        <f>HYPERLINK("Melting_Curves/meltCurve_Q8WYP5_AHCTF1.pdf", "Melting_Curves/meltCurve_Q8WYP5_AHCTF1.pdf")</f>
        <v>Melting_Curves/meltCurve_Q8WYP5_AHCTF1.pdf</v>
      </c>
    </row>
    <row r="4085" spans="1:28" x14ac:dyDescent="0.25">
      <c r="A4085" t="s">
        <v>4089</v>
      </c>
      <c r="B4085">
        <v>0.99299721793515405</v>
      </c>
      <c r="C4085">
        <v>1.00259502501494</v>
      </c>
      <c r="D4085">
        <v>0.84897221062196404</v>
      </c>
      <c r="E4085">
        <v>0.86045252766140801</v>
      </c>
      <c r="F4085">
        <v>0.68445410905676496</v>
      </c>
      <c r="G4085">
        <v>0.308369999644522</v>
      </c>
      <c r="H4085">
        <v>0.25316336794951899</v>
      </c>
      <c r="I4085">
        <v>0.19038327510057801</v>
      </c>
      <c r="J4085">
        <v>0.17168398650419001</v>
      </c>
      <c r="K4085">
        <v>0.14953351710555299</v>
      </c>
      <c r="L4085">
        <v>891.99421137810305</v>
      </c>
      <c r="M4085">
        <v>17.533527303305299</v>
      </c>
      <c r="N4085">
        <v>51.833343663918299</v>
      </c>
      <c r="O4085">
        <v>50.2257038328382</v>
      </c>
      <c r="P4085">
        <v>-7.5181144762428501E-2</v>
      </c>
      <c r="Q4085">
        <v>0.13860588981083999</v>
      </c>
      <c r="R4085">
        <v>0.98029220363911296</v>
      </c>
      <c r="S4085" t="s">
        <v>9636</v>
      </c>
      <c r="T4085" t="s">
        <v>11100</v>
      </c>
      <c r="U4085" t="s">
        <v>11100</v>
      </c>
      <c r="V4085" t="s">
        <v>11100</v>
      </c>
      <c r="W4085" t="s">
        <v>15134</v>
      </c>
      <c r="X4085">
        <v>4</v>
      </c>
      <c r="Y4085" t="s">
        <v>20568</v>
      </c>
      <c r="Z4085" t="s">
        <v>26090</v>
      </c>
      <c r="AA4085">
        <v>0.5509080489883379</v>
      </c>
      <c r="AB4085" t="str">
        <f>HYPERLINK("Melting_Curves/meltCurve_Q8WZ82_OVCA2.pdf", "Melting_Curves/meltCurve_Q8WZ82_OVCA2.pdf")</f>
        <v>Melting_Curves/meltCurve_Q8WZ82_OVCA2.pdf</v>
      </c>
    </row>
    <row r="4086" spans="1:28" x14ac:dyDescent="0.25">
      <c r="A4086" t="s">
        <v>4090</v>
      </c>
      <c r="B4086">
        <v>0.99299721793515405</v>
      </c>
      <c r="C4086">
        <v>1.00641224029226</v>
      </c>
      <c r="D4086">
        <v>0.98819809880801601</v>
      </c>
      <c r="E4086">
        <v>0.95402790735639598</v>
      </c>
      <c r="F4086">
        <v>0.82859196159366899</v>
      </c>
      <c r="G4086">
        <v>0.51332106034675695</v>
      </c>
      <c r="H4086">
        <v>0.21770639602445199</v>
      </c>
      <c r="I4086">
        <v>0.172225868113142</v>
      </c>
      <c r="J4086">
        <v>0.15368210155196799</v>
      </c>
      <c r="K4086">
        <v>0.13697162216954301</v>
      </c>
      <c r="L4086">
        <v>1331.22225291987</v>
      </c>
      <c r="M4086">
        <v>25.075173249982999</v>
      </c>
      <c r="N4086">
        <v>53.749007940007601</v>
      </c>
      <c r="O4086">
        <v>52.755054578491702</v>
      </c>
      <c r="P4086">
        <v>-0.10308906226671601</v>
      </c>
      <c r="Q4086">
        <v>0.132465111948769</v>
      </c>
      <c r="R4086">
        <v>0.99859183445148803</v>
      </c>
      <c r="S4086" t="s">
        <v>9637</v>
      </c>
      <c r="T4086" t="s">
        <v>11100</v>
      </c>
      <c r="U4086" t="s">
        <v>11100</v>
      </c>
      <c r="V4086" t="s">
        <v>11100</v>
      </c>
      <c r="W4086" t="s">
        <v>15135</v>
      </c>
      <c r="X4086">
        <v>18</v>
      </c>
      <c r="Y4086" t="s">
        <v>20569</v>
      </c>
      <c r="Z4086" t="s">
        <v>26091</v>
      </c>
      <c r="AA4086">
        <v>0.60535362678463323</v>
      </c>
      <c r="AB4086" t="str">
        <f>HYPERLINK("Melting_Curves/meltCurve_Q8WZA9_IRGQ.pdf", "Melting_Curves/meltCurve_Q8WZA9_IRGQ.pdf")</f>
        <v>Melting_Curves/meltCurve_Q8WZA9_IRGQ.pdf</v>
      </c>
    </row>
    <row r="4087" spans="1:28" x14ac:dyDescent="0.25">
      <c r="A4087" t="s">
        <v>4091</v>
      </c>
      <c r="B4087">
        <v>0.99299721793515405</v>
      </c>
      <c r="C4087">
        <v>0.94146522716654402</v>
      </c>
      <c r="D4087">
        <v>0.77894791798811502</v>
      </c>
      <c r="E4087">
        <v>0.78239093887737599</v>
      </c>
      <c r="F4087">
        <v>0.66130332638401601</v>
      </c>
      <c r="G4087">
        <v>0.84858209379694105</v>
      </c>
      <c r="H4087">
        <v>1.2852200357775401</v>
      </c>
      <c r="I4087">
        <v>0.95456971449610795</v>
      </c>
      <c r="J4087">
        <v>0.62472208268375695</v>
      </c>
      <c r="K4087">
        <v>0.48577276393746999</v>
      </c>
      <c r="L4087">
        <v>153.107387209102</v>
      </c>
      <c r="M4087">
        <v>1.28842615414741</v>
      </c>
      <c r="O4087">
        <v>52.004409129156201</v>
      </c>
      <c r="P4087">
        <v>-7.62188116122258E-3</v>
      </c>
      <c r="Q4087">
        <v>0</v>
      </c>
      <c r="R4087">
        <v>9.7709564265906795E-2</v>
      </c>
      <c r="S4087" t="s">
        <v>9638</v>
      </c>
      <c r="T4087" t="s">
        <v>11100</v>
      </c>
      <c r="U4087" t="s">
        <v>11100</v>
      </c>
      <c r="V4087" t="s">
        <v>11100</v>
      </c>
      <c r="W4087" t="s">
        <v>15136</v>
      </c>
      <c r="X4087">
        <v>2</v>
      </c>
      <c r="Y4087" t="s">
        <v>20570</v>
      </c>
      <c r="Z4087" t="s">
        <v>26092</v>
      </c>
      <c r="AA4087">
        <v>0.83931654801330524</v>
      </c>
      <c r="AB4087" t="str">
        <f>HYPERLINK("Melting_Curves/meltCurve_Q92466_4_DDB2.pdf", "Melting_Curves/meltCurve_Q92466_4_DDB2.pdf")</f>
        <v>Melting_Curves/meltCurve_Q92466_4_DDB2.pdf</v>
      </c>
    </row>
    <row r="4088" spans="1:28" x14ac:dyDescent="0.25">
      <c r="A4088" t="s">
        <v>4092</v>
      </c>
      <c r="B4088">
        <v>0.99299721793515405</v>
      </c>
      <c r="C4088">
        <v>0.99032175263071998</v>
      </c>
      <c r="D4088">
        <v>1.0149700048567001</v>
      </c>
      <c r="E4088">
        <v>0.87956157319175299</v>
      </c>
      <c r="F4088">
        <v>0.76713579726641501</v>
      </c>
      <c r="G4088">
        <v>0.50637284471793298</v>
      </c>
      <c r="H4088">
        <v>0.181097807167553</v>
      </c>
      <c r="I4088">
        <v>0.159193188724951</v>
      </c>
      <c r="J4088">
        <v>0.13892562997125399</v>
      </c>
      <c r="K4088">
        <v>0.131272847704794</v>
      </c>
      <c r="L4088">
        <v>1066.73888543619</v>
      </c>
      <c r="M4088">
        <v>20.2327475852234</v>
      </c>
      <c r="N4088">
        <v>53.328128454585702</v>
      </c>
      <c r="O4088">
        <v>52.216445797046603</v>
      </c>
      <c r="P4088">
        <v>-8.6942101799474397E-2</v>
      </c>
      <c r="Q4088">
        <v>0.102511167928409</v>
      </c>
      <c r="R4088">
        <v>0.991827967864503</v>
      </c>
      <c r="S4088" t="s">
        <v>9639</v>
      </c>
      <c r="T4088" t="s">
        <v>11100</v>
      </c>
      <c r="U4088" t="s">
        <v>11100</v>
      </c>
      <c r="V4088" t="s">
        <v>11100</v>
      </c>
      <c r="W4088" t="s">
        <v>15137</v>
      </c>
      <c r="X4088">
        <v>19</v>
      </c>
      <c r="Y4088" t="s">
        <v>20571</v>
      </c>
      <c r="Z4088" t="s">
        <v>26093</v>
      </c>
      <c r="AA4088">
        <v>0.58410089557452072</v>
      </c>
      <c r="AB4088" t="str">
        <f>HYPERLINK("Melting_Curves/meltCurve_Q92499_DDX1.pdf", "Melting_Curves/meltCurve_Q92499_DDX1.pdf")</f>
        <v>Melting_Curves/meltCurve_Q92499_DDX1.pdf</v>
      </c>
    </row>
    <row r="4089" spans="1:28" x14ac:dyDescent="0.25">
      <c r="A4089" t="s">
        <v>4093</v>
      </c>
      <c r="B4089">
        <v>0.99299721793515405</v>
      </c>
      <c r="C4089">
        <v>1.00175117185117</v>
      </c>
      <c r="D4089">
        <v>0.94923990765178101</v>
      </c>
      <c r="E4089">
        <v>0.93931840421929702</v>
      </c>
      <c r="F4089">
        <v>0.80203484094948696</v>
      </c>
      <c r="G4089">
        <v>0.68603316249767499</v>
      </c>
      <c r="H4089">
        <v>0.64187891884151005</v>
      </c>
      <c r="I4089">
        <v>0.68120441993515701</v>
      </c>
      <c r="J4089">
        <v>0.73065565883793204</v>
      </c>
      <c r="K4089">
        <v>0.66374882370583999</v>
      </c>
      <c r="L4089">
        <v>1358.03014727241</v>
      </c>
      <c r="M4089">
        <v>27.65951131852</v>
      </c>
      <c r="O4089">
        <v>48.843630129299399</v>
      </c>
      <c r="P4089">
        <v>-4.5934421570252598E-2</v>
      </c>
      <c r="Q4089">
        <v>0.67554251336323401</v>
      </c>
      <c r="R4089">
        <v>0.96326362851672898</v>
      </c>
      <c r="S4089" t="s">
        <v>9640</v>
      </c>
      <c r="T4089" t="s">
        <v>11100</v>
      </c>
      <c r="U4089" t="s">
        <v>11100</v>
      </c>
      <c r="V4089" t="s">
        <v>11100</v>
      </c>
      <c r="W4089" t="s">
        <v>15138</v>
      </c>
      <c r="X4089">
        <v>7</v>
      </c>
      <c r="Y4089" t="s">
        <v>20572</v>
      </c>
      <c r="Z4089" t="s">
        <v>26094</v>
      </c>
      <c r="AA4089">
        <v>0.80868984999253823</v>
      </c>
      <c r="AB4089" t="str">
        <f>HYPERLINK("Melting_Curves/meltCurve_Q92506_HSD17B8.pdf", "Melting_Curves/meltCurve_Q92506_HSD17B8.pdf")</f>
        <v>Melting_Curves/meltCurve_Q92506_HSD17B8.pdf</v>
      </c>
    </row>
    <row r="4090" spans="1:28" x14ac:dyDescent="0.25">
      <c r="A4090" t="s">
        <v>4094</v>
      </c>
      <c r="B4090">
        <v>0.99299721793515405</v>
      </c>
      <c r="C4090">
        <v>0.93507943078659495</v>
      </c>
      <c r="D4090">
        <v>1.03727077826162</v>
      </c>
      <c r="E4090">
        <v>0.84168541955746301</v>
      </c>
      <c r="F4090">
        <v>0.76693837474832605</v>
      </c>
      <c r="G4090">
        <v>0.60456367362233399</v>
      </c>
      <c r="H4090">
        <v>0.42394299098266602</v>
      </c>
      <c r="I4090">
        <v>0.29563200492446001</v>
      </c>
      <c r="J4090">
        <v>0.254704531213088</v>
      </c>
      <c r="K4090">
        <v>0.22157784611138401</v>
      </c>
      <c r="L4090">
        <v>645.69680997734304</v>
      </c>
      <c r="M4090">
        <v>11.906259741287601</v>
      </c>
      <c r="N4090">
        <v>55.659910833610901</v>
      </c>
      <c r="O4090">
        <v>52.769737189009398</v>
      </c>
      <c r="P4090">
        <v>-4.8994175878962001E-2</v>
      </c>
      <c r="Q4090">
        <v>0.131627391054882</v>
      </c>
      <c r="R4090">
        <v>0.98721398788691195</v>
      </c>
      <c r="S4090" t="s">
        <v>9641</v>
      </c>
      <c r="T4090" t="s">
        <v>11100</v>
      </c>
      <c r="U4090" t="s">
        <v>11100</v>
      </c>
      <c r="V4090" t="s">
        <v>11100</v>
      </c>
      <c r="W4090" t="s">
        <v>15139</v>
      </c>
      <c r="X4090">
        <v>12</v>
      </c>
      <c r="Y4090" t="s">
        <v>20573</v>
      </c>
      <c r="Z4090" t="s">
        <v>26095</v>
      </c>
      <c r="AA4090">
        <v>0.64527189670172735</v>
      </c>
      <c r="AB4090" t="str">
        <f>HYPERLINK("Melting_Curves/meltCurve_Q92520_FAM3C.pdf", "Melting_Curves/meltCurve_Q92520_FAM3C.pdf")</f>
        <v>Melting_Curves/meltCurve_Q92520_FAM3C.pdf</v>
      </c>
    </row>
    <row r="4091" spans="1:28" x14ac:dyDescent="0.25">
      <c r="A4091" t="s">
        <v>4095</v>
      </c>
      <c r="B4091">
        <v>0.99299721793515405</v>
      </c>
      <c r="C4091">
        <v>1.05565195686978</v>
      </c>
      <c r="D4091">
        <v>0.978290056329577</v>
      </c>
      <c r="E4091">
        <v>1.0816949897882899</v>
      </c>
      <c r="F4091">
        <v>0.85143677993330302</v>
      </c>
      <c r="G4091">
        <v>0.77463178537384503</v>
      </c>
      <c r="H4091">
        <v>0.45859507169199498</v>
      </c>
      <c r="I4091">
        <v>0.48969708312878701</v>
      </c>
      <c r="J4091">
        <v>0.30588246878319197</v>
      </c>
      <c r="K4091">
        <v>0.25747123213783402</v>
      </c>
      <c r="L4091">
        <v>945.31725721383202</v>
      </c>
      <c r="M4091">
        <v>16.935551733112302</v>
      </c>
      <c r="N4091">
        <v>58.1343700585237</v>
      </c>
      <c r="O4091">
        <v>55.057669671981301</v>
      </c>
      <c r="P4091">
        <v>-5.8036910563684999E-2</v>
      </c>
      <c r="Q4091">
        <v>0.245332768455432</v>
      </c>
      <c r="R4091">
        <v>0.960592828111135</v>
      </c>
      <c r="S4091" t="s">
        <v>9642</v>
      </c>
      <c r="T4091" t="s">
        <v>11100</v>
      </c>
      <c r="U4091" t="s">
        <v>11100</v>
      </c>
      <c r="V4091" t="s">
        <v>11100</v>
      </c>
      <c r="W4091" t="s">
        <v>15140</v>
      </c>
      <c r="X4091">
        <v>1</v>
      </c>
      <c r="Y4091" t="s">
        <v>20574</v>
      </c>
      <c r="Z4091" t="s">
        <v>26096</v>
      </c>
      <c r="AA4091">
        <v>0.72754584104890652</v>
      </c>
      <c r="AB4091" t="str">
        <f>HYPERLINK("Melting_Curves/meltCurve_Q92522_H1FX.pdf", "Melting_Curves/meltCurve_Q92522_H1FX.pdf")</f>
        <v>Melting_Curves/meltCurve_Q92522_H1FX.pdf</v>
      </c>
    </row>
    <row r="4092" spans="1:28" x14ac:dyDescent="0.25">
      <c r="A4092" t="s">
        <v>4096</v>
      </c>
      <c r="B4092">
        <v>0.99299721793515405</v>
      </c>
      <c r="C4092">
        <v>0.96437565154182203</v>
      </c>
      <c r="D4092">
        <v>1.0178808658710501</v>
      </c>
      <c r="E4092">
        <v>0.81856086186990196</v>
      </c>
      <c r="F4092">
        <v>0.74278365471638597</v>
      </c>
      <c r="G4092">
        <v>0.36115190938734798</v>
      </c>
      <c r="H4092">
        <v>0.31583435928343101</v>
      </c>
      <c r="I4092">
        <v>0.35160938200389802</v>
      </c>
      <c r="J4092">
        <v>0.32332938086984397</v>
      </c>
      <c r="K4092">
        <v>0.20451906158362301</v>
      </c>
      <c r="L4092">
        <v>1047.7128365347301</v>
      </c>
      <c r="M4092">
        <v>20.713926405106701</v>
      </c>
      <c r="N4092">
        <v>52.531842030159297</v>
      </c>
      <c r="O4092">
        <v>50.115797097815403</v>
      </c>
      <c r="P4092">
        <v>-7.5598839117482594E-2</v>
      </c>
      <c r="Q4092">
        <v>0.26839801868803398</v>
      </c>
      <c r="R4092">
        <v>0.96844371657478301</v>
      </c>
      <c r="S4092" t="s">
        <v>9643</v>
      </c>
      <c r="T4092" t="s">
        <v>11100</v>
      </c>
      <c r="U4092" t="s">
        <v>11100</v>
      </c>
      <c r="V4092" t="s">
        <v>11100</v>
      </c>
      <c r="W4092" t="s">
        <v>15141</v>
      </c>
      <c r="X4092">
        <v>6</v>
      </c>
      <c r="Y4092" t="s">
        <v>20575</v>
      </c>
      <c r="Z4092" t="s">
        <v>26097</v>
      </c>
      <c r="AA4092">
        <v>0.60862004336233921</v>
      </c>
      <c r="AB4092" t="str">
        <f>HYPERLINK("Melting_Curves/meltCurve_Q92526_3_CCT6B.pdf", "Melting_Curves/meltCurve_Q92526_3_CCT6B.pdf")</f>
        <v>Melting_Curves/meltCurve_Q92526_3_CCT6B.pdf</v>
      </c>
    </row>
    <row r="4093" spans="1:28" x14ac:dyDescent="0.25">
      <c r="A4093" t="s">
        <v>4097</v>
      </c>
      <c r="B4093">
        <v>0.99299721793515405</v>
      </c>
      <c r="C4093">
        <v>0.93591633342700198</v>
      </c>
      <c r="D4093">
        <v>0.82280958267579296</v>
      </c>
      <c r="E4093">
        <v>0.76360749861294097</v>
      </c>
      <c r="F4093">
        <v>0.72802634810251199</v>
      </c>
      <c r="G4093">
        <v>0.42215386241550801</v>
      </c>
      <c r="H4093">
        <v>0.223006429254516</v>
      </c>
      <c r="I4093">
        <v>0.209003704947477</v>
      </c>
      <c r="J4093">
        <v>0.15296424455927601</v>
      </c>
      <c r="K4093">
        <v>0.13009006316039301</v>
      </c>
      <c r="L4093">
        <v>516.04317702003095</v>
      </c>
      <c r="M4093">
        <v>9.8247444728398605</v>
      </c>
      <c r="N4093">
        <v>52.524844631583399</v>
      </c>
      <c r="O4093">
        <v>50.487545456596699</v>
      </c>
      <c r="P4093">
        <v>-4.8674676130530302E-2</v>
      </c>
      <c r="Q4093">
        <v>0</v>
      </c>
      <c r="R4093">
        <v>0.97449253430823002</v>
      </c>
      <c r="S4093" t="s">
        <v>9644</v>
      </c>
      <c r="T4093" t="s">
        <v>11100</v>
      </c>
      <c r="U4093" t="s">
        <v>11100</v>
      </c>
      <c r="V4093" t="s">
        <v>11100</v>
      </c>
      <c r="W4093" t="s">
        <v>15142</v>
      </c>
      <c r="X4093">
        <v>14</v>
      </c>
      <c r="Y4093" t="s">
        <v>20576</v>
      </c>
      <c r="Z4093" t="s">
        <v>26098</v>
      </c>
      <c r="AA4093">
        <v>0.5421074251950142</v>
      </c>
      <c r="AB4093" t="str">
        <f>HYPERLINK("Melting_Curves/meltCurve_Q92538_GBF1.pdf", "Melting_Curves/meltCurve_Q92538_GBF1.pdf")</f>
        <v>Melting_Curves/meltCurve_Q92538_GBF1.pdf</v>
      </c>
    </row>
    <row r="4094" spans="1:28" x14ac:dyDescent="0.25">
      <c r="A4094" t="s">
        <v>4098</v>
      </c>
      <c r="B4094">
        <v>0.99299721793515405</v>
      </c>
      <c r="C4094">
        <v>0.94925704620525098</v>
      </c>
      <c r="D4094">
        <v>0.94047329044462202</v>
      </c>
      <c r="E4094">
        <v>0.84627075452234801</v>
      </c>
      <c r="F4094">
        <v>0.70045551557960195</v>
      </c>
      <c r="G4094">
        <v>0.41358487677637701</v>
      </c>
      <c r="H4094">
        <v>0.236099448920742</v>
      </c>
      <c r="I4094">
        <v>0.22159116540295501</v>
      </c>
      <c r="J4094">
        <v>0.179833795952556</v>
      </c>
      <c r="K4094">
        <v>0.16267324218424201</v>
      </c>
      <c r="L4094">
        <v>843.36897215604097</v>
      </c>
      <c r="M4094">
        <v>16.383471541799999</v>
      </c>
      <c r="N4094">
        <v>52.5341348162423</v>
      </c>
      <c r="O4094">
        <v>50.7282272292953</v>
      </c>
      <c r="P4094">
        <v>-6.9406700698857293E-2</v>
      </c>
      <c r="Q4094">
        <v>0.14044412848607801</v>
      </c>
      <c r="R4094">
        <v>0.99388319299321304</v>
      </c>
      <c r="S4094" t="s">
        <v>9645</v>
      </c>
      <c r="T4094" t="s">
        <v>11100</v>
      </c>
      <c r="U4094" t="s">
        <v>11100</v>
      </c>
      <c r="V4094" t="s">
        <v>11100</v>
      </c>
      <c r="W4094" t="s">
        <v>15143</v>
      </c>
      <c r="X4094">
        <v>18</v>
      </c>
      <c r="Y4094" t="s">
        <v>20577</v>
      </c>
      <c r="Z4094" t="s">
        <v>26099</v>
      </c>
      <c r="AA4094">
        <v>0.57031968074791917</v>
      </c>
      <c r="AB4094" t="str">
        <f>HYPERLINK("Melting_Curves/meltCurve_Q92541_RTF1.pdf", "Melting_Curves/meltCurve_Q92541_RTF1.pdf")</f>
        <v>Melting_Curves/meltCurve_Q92541_RTF1.pdf</v>
      </c>
    </row>
    <row r="4095" spans="1:28" x14ac:dyDescent="0.25">
      <c r="A4095" t="s">
        <v>4099</v>
      </c>
      <c r="B4095">
        <v>0.99299721793515405</v>
      </c>
      <c r="C4095">
        <v>1.00060917734516</v>
      </c>
      <c r="D4095">
        <v>0.87300715009413699</v>
      </c>
      <c r="E4095">
        <v>0.90936069553139598</v>
      </c>
      <c r="F4095">
        <v>0.747648850932491</v>
      </c>
      <c r="G4095">
        <v>0.51078063697368303</v>
      </c>
      <c r="H4095">
        <v>0.206315180758809</v>
      </c>
      <c r="I4095">
        <v>0.17995325486740099</v>
      </c>
      <c r="J4095">
        <v>0.14036037138785401</v>
      </c>
      <c r="K4095">
        <v>0.12636240159631801</v>
      </c>
      <c r="L4095">
        <v>915.561695059351</v>
      </c>
      <c r="M4095">
        <v>17.342409002001499</v>
      </c>
      <c r="N4095">
        <v>53.409507027059199</v>
      </c>
      <c r="O4095">
        <v>52.106268529573498</v>
      </c>
      <c r="P4095">
        <v>-7.5666143562964999E-2</v>
      </c>
      <c r="Q4095">
        <v>9.0678776174878697E-2</v>
      </c>
      <c r="R4095">
        <v>0.98552842268608698</v>
      </c>
      <c r="S4095" t="s">
        <v>9646</v>
      </c>
      <c r="T4095" t="s">
        <v>11100</v>
      </c>
      <c r="U4095" t="s">
        <v>11100</v>
      </c>
      <c r="V4095" t="s">
        <v>11100</v>
      </c>
      <c r="W4095" t="s">
        <v>15144</v>
      </c>
      <c r="X4095">
        <v>7</v>
      </c>
      <c r="Y4095" t="s">
        <v>20578</v>
      </c>
      <c r="Z4095" t="s">
        <v>26100</v>
      </c>
      <c r="AA4095">
        <v>0.58338347312383976</v>
      </c>
      <c r="AB4095" t="str">
        <f>HYPERLINK("Melting_Curves/meltCurve_Q92544_TM9SF4.pdf", "Melting_Curves/meltCurve_Q92544_TM9SF4.pdf")</f>
        <v>Melting_Curves/meltCurve_Q92544_TM9SF4.pdf</v>
      </c>
    </row>
    <row r="4096" spans="1:28" x14ac:dyDescent="0.25">
      <c r="A4096" t="s">
        <v>4100</v>
      </c>
      <c r="B4096">
        <v>0.99299721793515405</v>
      </c>
      <c r="C4096">
        <v>1.0276975562900099</v>
      </c>
      <c r="D4096">
        <v>1.0460338160193801</v>
      </c>
      <c r="E4096">
        <v>0.72801281852427802</v>
      </c>
      <c r="F4096">
        <v>0.360350733437101</v>
      </c>
      <c r="G4096">
        <v>0.37410933538136298</v>
      </c>
      <c r="H4096">
        <v>0.26536461174956699</v>
      </c>
      <c r="I4096">
        <v>0.20848849055324201</v>
      </c>
      <c r="J4096">
        <v>0.21893277399230901</v>
      </c>
      <c r="K4096">
        <v>0.25462390272295699</v>
      </c>
      <c r="L4096">
        <v>1530.1683840205999</v>
      </c>
      <c r="M4096">
        <v>32.204463767800902</v>
      </c>
      <c r="N4096">
        <v>48.606830749857899</v>
      </c>
      <c r="O4096">
        <v>47.332086942267097</v>
      </c>
      <c r="P4096">
        <v>-0.126284891895761</v>
      </c>
      <c r="Q4096">
        <v>0.25758141432703802</v>
      </c>
      <c r="R4096">
        <v>0.98271288231022802</v>
      </c>
      <c r="S4096" t="s">
        <v>9647</v>
      </c>
      <c r="T4096" t="s">
        <v>11100</v>
      </c>
      <c r="U4096" t="s">
        <v>11100</v>
      </c>
      <c r="V4096" t="s">
        <v>11100</v>
      </c>
      <c r="W4096" t="s">
        <v>15145</v>
      </c>
      <c r="X4096">
        <v>1</v>
      </c>
      <c r="Y4096" t="s">
        <v>20579</v>
      </c>
      <c r="Z4096" t="s">
        <v>26101</v>
      </c>
      <c r="AA4096">
        <v>0.52155517752801717</v>
      </c>
      <c r="AB4096" t="str">
        <f>HYPERLINK("Melting_Curves/meltCurve_Q92547_TOPBP1.pdf", "Melting_Curves/meltCurve_Q92547_TOPBP1.pdf")</f>
        <v>Melting_Curves/meltCurve_Q92547_TOPBP1.pdf</v>
      </c>
    </row>
    <row r="4097" spans="1:28" x14ac:dyDescent="0.25">
      <c r="A4097" t="s">
        <v>4101</v>
      </c>
      <c r="B4097">
        <v>0.99299721793515405</v>
      </c>
      <c r="C4097">
        <v>1.1754010266002399</v>
      </c>
      <c r="D4097">
        <v>0.99925108968264098</v>
      </c>
      <c r="E4097">
        <v>1.1841453558986701</v>
      </c>
      <c r="F4097">
        <v>0.665533693636431</v>
      </c>
      <c r="G4097">
        <v>0.55921905914403303</v>
      </c>
      <c r="H4097">
        <v>0.82658755025978004</v>
      </c>
      <c r="I4097">
        <v>1.06785280302292</v>
      </c>
      <c r="J4097">
        <v>1.3647097800688199</v>
      </c>
      <c r="K4097">
        <v>2.9943688102669399</v>
      </c>
      <c r="L4097">
        <v>15000</v>
      </c>
      <c r="M4097">
        <v>235.002240008554</v>
      </c>
      <c r="O4097">
        <v>63.8245562649508</v>
      </c>
      <c r="P4097">
        <v>0.46025043927061199</v>
      </c>
      <c r="Q4097">
        <v>1.5</v>
      </c>
      <c r="R4097">
        <v>0.368903883297858</v>
      </c>
      <c r="S4097" t="s">
        <v>9648</v>
      </c>
      <c r="T4097" t="s">
        <v>11100</v>
      </c>
      <c r="U4097" t="s">
        <v>11100</v>
      </c>
      <c r="V4097" t="s">
        <v>11100</v>
      </c>
      <c r="W4097" t="s">
        <v>15146</v>
      </c>
      <c r="X4097">
        <v>2</v>
      </c>
      <c r="Y4097" t="s">
        <v>20580</v>
      </c>
      <c r="Z4097" t="s">
        <v>26102</v>
      </c>
      <c r="AA4097">
        <v>1.0527837055341529</v>
      </c>
      <c r="AB4097" t="str">
        <f>HYPERLINK("Melting_Curves/meltCurve_Q92552_MRPS27.pdf", "Melting_Curves/meltCurve_Q92552_MRPS27.pdf")</f>
        <v>Melting_Curves/meltCurve_Q92552_MRPS27.pdf</v>
      </c>
    </row>
    <row r="4098" spans="1:28" x14ac:dyDescent="0.25">
      <c r="A4098" t="s">
        <v>4102</v>
      </c>
      <c r="B4098">
        <v>0.99299721793515405</v>
      </c>
      <c r="C4098">
        <v>0.81016630359478903</v>
      </c>
      <c r="D4098">
        <v>0.83671678895582602</v>
      </c>
      <c r="E4098">
        <v>0.73606681122948003</v>
      </c>
      <c r="F4098">
        <v>0.74645779199238205</v>
      </c>
      <c r="G4098">
        <v>0.67417166897124403</v>
      </c>
      <c r="H4098">
        <v>0.86308268223319096</v>
      </c>
      <c r="I4098">
        <v>0.78813783326691</v>
      </c>
      <c r="J4098">
        <v>0.62066769235916897</v>
      </c>
      <c r="K4098">
        <v>0.59239184890587404</v>
      </c>
      <c r="L4098">
        <v>406.10774024347802</v>
      </c>
      <c r="M4098">
        <v>9.7760990390028901</v>
      </c>
      <c r="O4098">
        <v>39.914560071361997</v>
      </c>
      <c r="P4098">
        <v>-1.91340595057422E-2</v>
      </c>
      <c r="Q4098">
        <v>0.68767797451187995</v>
      </c>
      <c r="R4098">
        <v>0.53515314844982897</v>
      </c>
      <c r="S4098" t="s">
        <v>9649</v>
      </c>
      <c r="T4098" t="s">
        <v>11100</v>
      </c>
      <c r="U4098" t="s">
        <v>11100</v>
      </c>
      <c r="V4098" t="s">
        <v>11100</v>
      </c>
      <c r="W4098" t="s">
        <v>15147</v>
      </c>
      <c r="X4098">
        <v>2</v>
      </c>
      <c r="Y4098" t="s">
        <v>20581</v>
      </c>
      <c r="Z4098" t="s">
        <v>26103</v>
      </c>
      <c r="AA4098">
        <v>0.75628883669125613</v>
      </c>
      <c r="AB4098" t="str">
        <f>HYPERLINK("Melting_Curves/meltCurve_Q92558_WASF1.pdf", "Melting_Curves/meltCurve_Q92558_WASF1.pdf")</f>
        <v>Melting_Curves/meltCurve_Q92558_WASF1.pdf</v>
      </c>
    </row>
    <row r="4099" spans="1:28" x14ac:dyDescent="0.25">
      <c r="A4099" t="s">
        <v>4103</v>
      </c>
      <c r="B4099">
        <v>0.99299721793515405</v>
      </c>
      <c r="C4099">
        <v>1.0021573277395199</v>
      </c>
      <c r="D4099">
        <v>0.96532741960333901</v>
      </c>
      <c r="E4099">
        <v>0.84018734519663696</v>
      </c>
      <c r="F4099">
        <v>0.66298463912649697</v>
      </c>
      <c r="G4099">
        <v>0.65391272778532294</v>
      </c>
      <c r="H4099">
        <v>0.34788581929379803</v>
      </c>
      <c r="I4099">
        <v>0.37238505433094998</v>
      </c>
      <c r="J4099">
        <v>0.30427352853185202</v>
      </c>
      <c r="K4099">
        <v>0.23878469754776599</v>
      </c>
      <c r="L4099">
        <v>576.14596068435606</v>
      </c>
      <c r="M4099">
        <v>10.843677048328599</v>
      </c>
      <c r="N4099">
        <v>55.356985436098</v>
      </c>
      <c r="O4099">
        <v>51.420752726007301</v>
      </c>
      <c r="P4099">
        <v>-4.34231535719838E-2</v>
      </c>
      <c r="Q4099">
        <v>0.17664251812534601</v>
      </c>
      <c r="R4099">
        <v>0.97457597592064504</v>
      </c>
      <c r="S4099" t="s">
        <v>9650</v>
      </c>
      <c r="T4099" t="s">
        <v>11100</v>
      </c>
      <c r="U4099" t="s">
        <v>11100</v>
      </c>
      <c r="V4099" t="s">
        <v>11100</v>
      </c>
      <c r="W4099" t="s">
        <v>15148</v>
      </c>
      <c r="X4099">
        <v>3</v>
      </c>
      <c r="Y4099" t="s">
        <v>20582</v>
      </c>
      <c r="Z4099" t="s">
        <v>26104</v>
      </c>
      <c r="AA4099">
        <v>0.63708151351406284</v>
      </c>
      <c r="AB4099" t="str">
        <f>HYPERLINK("Melting_Curves/meltCurve_Q92572_AP3S1.pdf", "Melting_Curves/meltCurve_Q92572_AP3S1.pdf")</f>
        <v>Melting_Curves/meltCurve_Q92572_AP3S1.pdf</v>
      </c>
    </row>
    <row r="4100" spans="1:28" x14ac:dyDescent="0.25">
      <c r="A4100" t="s">
        <v>4104</v>
      </c>
      <c r="B4100">
        <v>0.99299721793515405</v>
      </c>
      <c r="C4100">
        <v>0.88027260378555405</v>
      </c>
      <c r="D4100">
        <v>0.97657895676890505</v>
      </c>
      <c r="E4100">
        <v>0.83214977718319405</v>
      </c>
      <c r="F4100">
        <v>0.78605411126759395</v>
      </c>
      <c r="G4100">
        <v>0.60732263164504097</v>
      </c>
      <c r="H4100">
        <v>0.27779634783928397</v>
      </c>
      <c r="I4100">
        <v>0.14660862567344399</v>
      </c>
      <c r="J4100">
        <v>0.129405616342195</v>
      </c>
      <c r="K4100">
        <v>0.19245460988201701</v>
      </c>
      <c r="L4100">
        <v>830.28058456952101</v>
      </c>
      <c r="M4100">
        <v>15.462144994046399</v>
      </c>
      <c r="N4100">
        <v>54.303814155538902</v>
      </c>
      <c r="O4100">
        <v>52.823511748342199</v>
      </c>
      <c r="P4100">
        <v>-6.7384215961494798E-2</v>
      </c>
      <c r="Q4100">
        <v>7.9260859226261596E-2</v>
      </c>
      <c r="R4100">
        <v>0.96678051597745496</v>
      </c>
      <c r="S4100" t="s">
        <v>9651</v>
      </c>
      <c r="T4100" t="s">
        <v>11100</v>
      </c>
      <c r="U4100" t="s">
        <v>11100</v>
      </c>
      <c r="V4100" t="s">
        <v>11100</v>
      </c>
      <c r="W4100" t="s">
        <v>15149</v>
      </c>
      <c r="X4100">
        <v>14</v>
      </c>
      <c r="Y4100" t="s">
        <v>20583</v>
      </c>
      <c r="Z4100" t="s">
        <v>26105</v>
      </c>
      <c r="AA4100">
        <v>0.60676188262384823</v>
      </c>
      <c r="AB4100" t="str">
        <f>HYPERLINK("Melting_Curves/meltCurve_Q92575_UBXN4.pdf", "Melting_Curves/meltCurve_Q92575_UBXN4.pdf")</f>
        <v>Melting_Curves/meltCurve_Q92575_UBXN4.pdf</v>
      </c>
    </row>
    <row r="4101" spans="1:28" x14ac:dyDescent="0.25">
      <c r="A4101" t="s">
        <v>4105</v>
      </c>
      <c r="B4101">
        <v>0.99299721793515405</v>
      </c>
      <c r="C4101">
        <v>0.96496622506563901</v>
      </c>
      <c r="D4101">
        <v>1.0237348979812</v>
      </c>
      <c r="E4101">
        <v>0.96545082341211197</v>
      </c>
      <c r="F4101">
        <v>0.73123640391032396</v>
      </c>
      <c r="G4101">
        <v>0.547027195405693</v>
      </c>
      <c r="H4101">
        <v>0.38682177910378901</v>
      </c>
      <c r="I4101">
        <v>0.35167961897238897</v>
      </c>
      <c r="J4101">
        <v>0.33528542665121802</v>
      </c>
      <c r="K4101">
        <v>0.155968932759807</v>
      </c>
      <c r="L4101">
        <v>835.96448798188999</v>
      </c>
      <c r="M4101">
        <v>15.819175521155</v>
      </c>
      <c r="N4101">
        <v>54.881182917652602</v>
      </c>
      <c r="O4101">
        <v>52.022160651716298</v>
      </c>
      <c r="P4101">
        <v>-5.9150978319813703E-2</v>
      </c>
      <c r="Q4101">
        <v>0.22197991068335901</v>
      </c>
      <c r="R4101">
        <v>0.97762007524889405</v>
      </c>
      <c r="S4101" t="s">
        <v>9652</v>
      </c>
      <c r="T4101" t="s">
        <v>11100</v>
      </c>
      <c r="U4101" t="s">
        <v>11100</v>
      </c>
      <c r="V4101" t="s">
        <v>11100</v>
      </c>
      <c r="W4101" t="s">
        <v>15150</v>
      </c>
      <c r="X4101">
        <v>2</v>
      </c>
      <c r="Y4101" t="s">
        <v>20584</v>
      </c>
      <c r="Z4101" t="s">
        <v>26106</v>
      </c>
      <c r="AA4101">
        <v>0.64620592554043577</v>
      </c>
      <c r="AB4101" t="str">
        <f>HYPERLINK("Melting_Curves/meltCurve_Q92576_2_PHF3.pdf", "Melting_Curves/meltCurve_Q92576_2_PHF3.pdf")</f>
        <v>Melting_Curves/meltCurve_Q92576_2_PHF3.pdf</v>
      </c>
    </row>
    <row r="4102" spans="1:28" x14ac:dyDescent="0.25">
      <c r="A4102" t="s">
        <v>4106</v>
      </c>
      <c r="B4102">
        <v>0.99299721793515405</v>
      </c>
      <c r="C4102">
        <v>0.57304324049535305</v>
      </c>
      <c r="D4102">
        <v>0.67630127851980204</v>
      </c>
      <c r="E4102">
        <v>0.76035681856016502</v>
      </c>
      <c r="F4102">
        <v>0.90356694199600696</v>
      </c>
      <c r="G4102">
        <v>0.29860360838681799</v>
      </c>
      <c r="H4102">
        <v>0.60526002582319205</v>
      </c>
      <c r="I4102">
        <v>0.40037915459031398</v>
      </c>
      <c r="J4102">
        <v>0.33651062137246701</v>
      </c>
      <c r="K4102">
        <v>0.29740620977628401</v>
      </c>
      <c r="L4102">
        <v>211.07570253038</v>
      </c>
      <c r="M4102">
        <v>3.7835035943370898</v>
      </c>
      <c r="N4102">
        <v>55.7884239479095</v>
      </c>
      <c r="O4102">
        <v>44.969574280648501</v>
      </c>
      <c r="P4102">
        <v>-2.1356365844073501E-2</v>
      </c>
      <c r="Q4102">
        <v>0</v>
      </c>
      <c r="R4102">
        <v>0.55021268415053803</v>
      </c>
      <c r="S4102" t="s">
        <v>9653</v>
      </c>
      <c r="T4102" t="s">
        <v>11100</v>
      </c>
      <c r="U4102" t="s">
        <v>11100</v>
      </c>
      <c r="V4102" t="s">
        <v>11100</v>
      </c>
      <c r="W4102" t="s">
        <v>15151</v>
      </c>
      <c r="X4102">
        <v>3</v>
      </c>
      <c r="Y4102" t="s">
        <v>20585</v>
      </c>
      <c r="Z4102" t="s">
        <v>26107</v>
      </c>
      <c r="AA4102">
        <v>0.58455149238207094</v>
      </c>
      <c r="AB4102" t="str">
        <f>HYPERLINK("Melting_Curves/meltCurve_Q92581_3_SLC9A6.pdf", "Melting_Curves/meltCurve_Q92581_3_SLC9A6.pdf")</f>
        <v>Melting_Curves/meltCurve_Q92581_3_SLC9A6.pdf</v>
      </c>
    </row>
    <row r="4103" spans="1:28" x14ac:dyDescent="0.25">
      <c r="A4103" t="s">
        <v>4107</v>
      </c>
      <c r="B4103">
        <v>0.99299721793515405</v>
      </c>
      <c r="C4103">
        <v>0.87555548371972103</v>
      </c>
      <c r="D4103">
        <v>1.0304866177399301</v>
      </c>
      <c r="E4103">
        <v>0.88667668235425701</v>
      </c>
      <c r="F4103">
        <v>0.699913355693629</v>
      </c>
      <c r="G4103">
        <v>0.484174395592604</v>
      </c>
      <c r="H4103">
        <v>0.42729725264662899</v>
      </c>
      <c r="I4103">
        <v>0.42211229688276197</v>
      </c>
      <c r="J4103">
        <v>0.39720523683285602</v>
      </c>
      <c r="K4103">
        <v>0.44816418098986599</v>
      </c>
      <c r="L4103">
        <v>1213.4583220342399</v>
      </c>
      <c r="M4103">
        <v>24.3446795037664</v>
      </c>
      <c r="N4103">
        <v>53.735426249563197</v>
      </c>
      <c r="O4103">
        <v>49.512231641579397</v>
      </c>
      <c r="P4103">
        <v>-7.2009192046453993E-2</v>
      </c>
      <c r="Q4103">
        <v>0.41419931083533001</v>
      </c>
      <c r="R4103">
        <v>0.967527700642554</v>
      </c>
      <c r="S4103" t="s">
        <v>9654</v>
      </c>
      <c r="T4103" t="s">
        <v>11100</v>
      </c>
      <c r="U4103" t="s">
        <v>11100</v>
      </c>
      <c r="V4103" t="s">
        <v>11100</v>
      </c>
      <c r="W4103" t="s">
        <v>15152</v>
      </c>
      <c r="X4103">
        <v>1</v>
      </c>
      <c r="Y4103" t="s">
        <v>20586</v>
      </c>
      <c r="Z4103" t="s">
        <v>26108</v>
      </c>
      <c r="AA4103">
        <v>0.6703977506300326</v>
      </c>
      <c r="AB4103" t="str">
        <f>HYPERLINK("Melting_Curves/meltCurve_Q92585_MAML1.pdf", "Melting_Curves/meltCurve_Q92585_MAML1.pdf")</f>
        <v>Melting_Curves/meltCurve_Q92585_MAML1.pdf</v>
      </c>
    </row>
    <row r="4104" spans="1:28" x14ac:dyDescent="0.25">
      <c r="A4104" t="s">
        <v>4108</v>
      </c>
      <c r="B4104">
        <v>0.99299721793515405</v>
      </c>
      <c r="C4104">
        <v>1.02104531642327</v>
      </c>
      <c r="D4104">
        <v>0.92413924410725901</v>
      </c>
      <c r="E4104">
        <v>0.88670353410167402</v>
      </c>
      <c r="F4104">
        <v>0.78886633864496303</v>
      </c>
      <c r="G4104">
        <v>0.658995013818091</v>
      </c>
      <c r="H4104">
        <v>0.34321768186187301</v>
      </c>
      <c r="I4104">
        <v>0.19252160953171199</v>
      </c>
      <c r="J4104">
        <v>0.15110665364071299</v>
      </c>
      <c r="K4104">
        <v>0.118294760894574</v>
      </c>
      <c r="L4104">
        <v>748.47505239390603</v>
      </c>
      <c r="M4104">
        <v>13.568056350585501</v>
      </c>
      <c r="N4104">
        <v>55.283307914066398</v>
      </c>
      <c r="O4104">
        <v>54.007544906715701</v>
      </c>
      <c r="P4104">
        <v>-6.1913107085273901E-2</v>
      </c>
      <c r="Q4104">
        <v>1.43687819636352E-2</v>
      </c>
      <c r="R4104">
        <v>0.98949071969829505</v>
      </c>
      <c r="S4104" t="s">
        <v>9655</v>
      </c>
      <c r="T4104" t="s">
        <v>11100</v>
      </c>
      <c r="U4104" t="s">
        <v>11100</v>
      </c>
      <c r="V4104" t="s">
        <v>11100</v>
      </c>
      <c r="W4104" t="s">
        <v>15153</v>
      </c>
      <c r="X4104">
        <v>10</v>
      </c>
      <c r="Y4104" t="s">
        <v>20587</v>
      </c>
      <c r="Z4104" t="s">
        <v>26109</v>
      </c>
      <c r="AA4104">
        <v>0.62488033556085953</v>
      </c>
      <c r="AB4104" t="str">
        <f>HYPERLINK("Melting_Curves/meltCurve_Q92597_NDRG1.pdf", "Melting_Curves/meltCurve_Q92597_NDRG1.pdf")</f>
        <v>Melting_Curves/meltCurve_Q92597_NDRG1.pdf</v>
      </c>
    </row>
    <row r="4105" spans="1:28" x14ac:dyDescent="0.25">
      <c r="A4105" t="s">
        <v>4109</v>
      </c>
      <c r="B4105">
        <v>0.99299721793515405</v>
      </c>
      <c r="C4105">
        <v>1.0427848557802299</v>
      </c>
      <c r="D4105">
        <v>0.96054882266999697</v>
      </c>
      <c r="E4105">
        <v>0.92272772084810195</v>
      </c>
      <c r="F4105">
        <v>0.81990020904959005</v>
      </c>
      <c r="G4105">
        <v>0.35536877324062899</v>
      </c>
      <c r="H4105">
        <v>0.205767842249061</v>
      </c>
      <c r="I4105">
        <v>0.172774391815329</v>
      </c>
      <c r="J4105">
        <v>0.152021136014618</v>
      </c>
      <c r="K4105">
        <v>0.119408501296936</v>
      </c>
      <c r="L4105">
        <v>1638.94514299814</v>
      </c>
      <c r="M4105">
        <v>31.477464142608799</v>
      </c>
      <c r="N4105">
        <v>52.645356715667603</v>
      </c>
      <c r="O4105">
        <v>51.858461968042697</v>
      </c>
      <c r="P4105">
        <v>-0.129573908381589</v>
      </c>
      <c r="Q4105">
        <v>0.14612341224026101</v>
      </c>
      <c r="R4105">
        <v>0.994009116874638</v>
      </c>
      <c r="S4105" t="s">
        <v>9656</v>
      </c>
      <c r="T4105" t="s">
        <v>11100</v>
      </c>
      <c r="U4105" t="s">
        <v>11100</v>
      </c>
      <c r="V4105" t="s">
        <v>11100</v>
      </c>
      <c r="W4105" t="s">
        <v>15154</v>
      </c>
      <c r="X4105">
        <v>62</v>
      </c>
      <c r="Y4105" t="s">
        <v>20588</v>
      </c>
      <c r="Z4105" t="s">
        <v>26110</v>
      </c>
      <c r="AA4105">
        <v>0.57989099477304862</v>
      </c>
      <c r="AB4105" t="str">
        <f>HYPERLINK("Melting_Curves/meltCurve_Q92598_2_HSPH1.pdf", "Melting_Curves/meltCurve_Q92598_2_HSPH1.pdf")</f>
        <v>Melting_Curves/meltCurve_Q92598_2_HSPH1.pdf</v>
      </c>
    </row>
    <row r="4106" spans="1:28" x14ac:dyDescent="0.25">
      <c r="A4106" t="s">
        <v>4110</v>
      </c>
      <c r="B4106">
        <v>0.99299721793515405</v>
      </c>
      <c r="C4106">
        <v>0.88393800111523801</v>
      </c>
      <c r="D4106">
        <v>1.04241870483687</v>
      </c>
      <c r="E4106">
        <v>0.79799380165435596</v>
      </c>
      <c r="F4106">
        <v>0.67725205117654497</v>
      </c>
      <c r="G4106">
        <v>0.29472144217722501</v>
      </c>
      <c r="H4106">
        <v>0.14200509726237701</v>
      </c>
      <c r="I4106">
        <v>0.14198840116534001</v>
      </c>
      <c r="J4106">
        <v>4.0401249312988601E-2</v>
      </c>
      <c r="K4106">
        <v>4.5379014200143099E-2</v>
      </c>
      <c r="L4106">
        <v>919.14987923541605</v>
      </c>
      <c r="M4106">
        <v>17.895238151025101</v>
      </c>
      <c r="N4106">
        <v>51.568877026871498</v>
      </c>
      <c r="O4106">
        <v>50.734305642173403</v>
      </c>
      <c r="P4106">
        <v>-8.5142824043497295E-2</v>
      </c>
      <c r="Q4106">
        <v>3.4504241673505097E-2</v>
      </c>
      <c r="R4106">
        <v>0.97972082621214396</v>
      </c>
      <c r="S4106" t="s">
        <v>9657</v>
      </c>
      <c r="T4106" t="s">
        <v>11100</v>
      </c>
      <c r="U4106" t="s">
        <v>11100</v>
      </c>
      <c r="V4106" t="s">
        <v>11100</v>
      </c>
      <c r="W4106" t="s">
        <v>15155</v>
      </c>
      <c r="X4106">
        <v>3</v>
      </c>
      <c r="Y4106" t="s">
        <v>20589</v>
      </c>
      <c r="Z4106" t="s">
        <v>26111</v>
      </c>
      <c r="AA4106">
        <v>0.51173252918862622</v>
      </c>
      <c r="AB4106" t="str">
        <f>HYPERLINK("Melting_Curves/meltCurve_Q92604_LPGAT1.pdf", "Melting_Curves/meltCurve_Q92604_LPGAT1.pdf")</f>
        <v>Melting_Curves/meltCurve_Q92604_LPGAT1.pdf</v>
      </c>
    </row>
    <row r="4107" spans="1:28" x14ac:dyDescent="0.25">
      <c r="A4107" t="s">
        <v>4111</v>
      </c>
      <c r="B4107">
        <v>0.99299721793515405</v>
      </c>
      <c r="C4107">
        <v>0.77416020971445199</v>
      </c>
      <c r="D4107">
        <v>1.55690506765919</v>
      </c>
      <c r="E4107">
        <v>1.1541962074949801</v>
      </c>
      <c r="F4107">
        <v>0.66051591155081102</v>
      </c>
      <c r="G4107">
        <v>1.6630768938446601</v>
      </c>
      <c r="H4107">
        <v>0.85464408333864095</v>
      </c>
      <c r="I4107">
        <v>0.838760859569742</v>
      </c>
      <c r="J4107">
        <v>0.37500034858082998</v>
      </c>
      <c r="K4107">
        <v>1.05893522935339</v>
      </c>
      <c r="L4107">
        <v>14326.830040147601</v>
      </c>
      <c r="M4107">
        <v>250</v>
      </c>
      <c r="O4107">
        <v>57.303648799884002</v>
      </c>
      <c r="P4107">
        <v>-0.26441878766377902</v>
      </c>
      <c r="Q4107">
        <v>0.75756540152611196</v>
      </c>
      <c r="R4107">
        <v>0.142654059579266</v>
      </c>
      <c r="S4107" t="s">
        <v>9658</v>
      </c>
      <c r="T4107" t="s">
        <v>11100</v>
      </c>
      <c r="U4107" t="s">
        <v>11100</v>
      </c>
      <c r="V4107" t="s">
        <v>11100</v>
      </c>
      <c r="W4107" t="s">
        <v>15156</v>
      </c>
      <c r="X4107">
        <v>2</v>
      </c>
      <c r="Y4107" t="s">
        <v>20590</v>
      </c>
      <c r="Z4107" t="s">
        <v>26112</v>
      </c>
      <c r="AA4107">
        <v>0.92169635098506864</v>
      </c>
      <c r="AB4107" t="str">
        <f>HYPERLINK("Melting_Curves/meltCurve_Q92615_LARP4B.pdf", "Melting_Curves/meltCurve_Q92615_LARP4B.pdf")</f>
        <v>Melting_Curves/meltCurve_Q92615_LARP4B.pdf</v>
      </c>
    </row>
    <row r="4108" spans="1:28" x14ac:dyDescent="0.25">
      <c r="A4108" t="s">
        <v>4112</v>
      </c>
      <c r="B4108">
        <v>0.99299721793515405</v>
      </c>
      <c r="C4108">
        <v>0.96891818946975194</v>
      </c>
      <c r="D4108">
        <v>0.86757704431662197</v>
      </c>
      <c r="E4108">
        <v>0.67750260050709099</v>
      </c>
      <c r="F4108">
        <v>0.223576356969306</v>
      </c>
      <c r="G4108">
        <v>0.15991301070942099</v>
      </c>
      <c r="H4108">
        <v>0.117534177377775</v>
      </c>
      <c r="I4108">
        <v>0.106405490439182</v>
      </c>
      <c r="J4108">
        <v>9.8662779603982995E-2</v>
      </c>
      <c r="K4108">
        <v>8.4833281278925796E-2</v>
      </c>
      <c r="L4108">
        <v>1154.7655037367999</v>
      </c>
      <c r="M4108">
        <v>24.411453316264499</v>
      </c>
      <c r="N4108">
        <v>47.718462976101002</v>
      </c>
      <c r="O4108">
        <v>46.990240765827302</v>
      </c>
      <c r="P4108">
        <v>-0.117476990931993</v>
      </c>
      <c r="Q4108">
        <v>9.5475407146057401E-2</v>
      </c>
      <c r="R4108">
        <v>0.99327085304116003</v>
      </c>
      <c r="S4108" t="s">
        <v>9659</v>
      </c>
      <c r="T4108" t="s">
        <v>11100</v>
      </c>
      <c r="U4108" t="s">
        <v>11100</v>
      </c>
      <c r="V4108" t="s">
        <v>11100</v>
      </c>
      <c r="W4108" t="s">
        <v>15157</v>
      </c>
      <c r="X4108">
        <v>48</v>
      </c>
      <c r="Y4108" t="s">
        <v>20591</v>
      </c>
      <c r="Z4108" t="s">
        <v>26113</v>
      </c>
      <c r="AA4108">
        <v>0.41415925239414081</v>
      </c>
      <c r="AB4108" t="str">
        <f>HYPERLINK("Melting_Curves/meltCurve_Q92616_GCN1L1.pdf", "Melting_Curves/meltCurve_Q92616_GCN1L1.pdf")</f>
        <v>Melting_Curves/meltCurve_Q92616_GCN1L1.pdf</v>
      </c>
    </row>
    <row r="4109" spans="1:28" x14ac:dyDescent="0.25">
      <c r="A4109" t="s">
        <v>4113</v>
      </c>
      <c r="B4109">
        <v>0.99299721793515405</v>
      </c>
      <c r="C4109">
        <v>0.89926877944975903</v>
      </c>
      <c r="D4109">
        <v>0.80172846517330998</v>
      </c>
      <c r="E4109">
        <v>0.795322039178888</v>
      </c>
      <c r="F4109">
        <v>0.65491341523837399</v>
      </c>
      <c r="G4109">
        <v>0.63782557060232903</v>
      </c>
      <c r="H4109">
        <v>0.125199537186894</v>
      </c>
      <c r="I4109">
        <v>0</v>
      </c>
      <c r="J4109">
        <v>0</v>
      </c>
      <c r="K4109">
        <v>0</v>
      </c>
      <c r="L4109">
        <v>794.59878399250294</v>
      </c>
      <c r="M4109">
        <v>15.090032966166699</v>
      </c>
      <c r="N4109">
        <v>52.657193681755601</v>
      </c>
      <c r="O4109">
        <v>51.7584022248056</v>
      </c>
      <c r="P4109">
        <v>-7.2894068965484504E-2</v>
      </c>
      <c r="Q4109">
        <v>0</v>
      </c>
      <c r="R4109">
        <v>0.92193439943434596</v>
      </c>
      <c r="S4109" t="s">
        <v>9660</v>
      </c>
      <c r="T4109" t="s">
        <v>11100</v>
      </c>
      <c r="U4109" t="s">
        <v>11100</v>
      </c>
      <c r="V4109" t="s">
        <v>11100</v>
      </c>
      <c r="W4109" t="s">
        <v>15158</v>
      </c>
      <c r="X4109">
        <v>7</v>
      </c>
      <c r="Y4109" t="s">
        <v>20592</v>
      </c>
      <c r="Z4109" t="s">
        <v>26114</v>
      </c>
      <c r="AA4109">
        <v>0.54011974825342457</v>
      </c>
      <c r="AB4109" t="str">
        <f>HYPERLINK("Melting_Curves/meltCurve_Q92620_DHX38.pdf", "Melting_Curves/meltCurve_Q92620_DHX38.pdf")</f>
        <v>Melting_Curves/meltCurve_Q92620_DHX38.pdf</v>
      </c>
    </row>
    <row r="4110" spans="1:28" x14ac:dyDescent="0.25">
      <c r="A4110" t="s">
        <v>4114</v>
      </c>
      <c r="B4110">
        <v>0.99299721793515405</v>
      </c>
      <c r="C4110">
        <v>0.99135978675666803</v>
      </c>
      <c r="D4110">
        <v>0.86793500511800603</v>
      </c>
      <c r="E4110">
        <v>0.80806691652421003</v>
      </c>
      <c r="F4110">
        <v>0.67462829174849803</v>
      </c>
      <c r="G4110">
        <v>0.73446357319595601</v>
      </c>
      <c r="H4110">
        <v>0.26053220256462001</v>
      </c>
      <c r="I4110">
        <v>0.19998740398655401</v>
      </c>
      <c r="J4110">
        <v>0.185777289381203</v>
      </c>
      <c r="K4110">
        <v>0.14946579659467599</v>
      </c>
      <c r="L4110">
        <v>558.39042957896504</v>
      </c>
      <c r="M4110">
        <v>10.238269018347401</v>
      </c>
      <c r="N4110">
        <v>54.539534250391398</v>
      </c>
      <c r="O4110">
        <v>52.581682879621503</v>
      </c>
      <c r="P4110">
        <v>-4.8699561642932002E-2</v>
      </c>
      <c r="Q4110">
        <v>0</v>
      </c>
      <c r="R4110">
        <v>0.94112661768501304</v>
      </c>
      <c r="S4110" t="s">
        <v>9661</v>
      </c>
      <c r="T4110" t="s">
        <v>11100</v>
      </c>
      <c r="U4110" t="s">
        <v>11100</v>
      </c>
      <c r="V4110" t="s">
        <v>11100</v>
      </c>
      <c r="W4110" t="s">
        <v>15159</v>
      </c>
      <c r="X4110">
        <v>15</v>
      </c>
      <c r="Y4110" t="s">
        <v>20593</v>
      </c>
      <c r="Z4110" t="s">
        <v>26115</v>
      </c>
      <c r="AA4110">
        <v>0.59966983579081956</v>
      </c>
      <c r="AB4110" t="str">
        <f>HYPERLINK("Melting_Curves/meltCurve_Q92621_NUP205.pdf", "Melting_Curves/meltCurve_Q92621_NUP205.pdf")</f>
        <v>Melting_Curves/meltCurve_Q92621_NUP205.pdf</v>
      </c>
    </row>
    <row r="4111" spans="1:28" x14ac:dyDescent="0.25">
      <c r="A4111" t="s">
        <v>4115</v>
      </c>
      <c r="B4111">
        <v>0.99299721793515405</v>
      </c>
      <c r="C4111">
        <v>0.80660917794199005</v>
      </c>
      <c r="D4111">
        <v>0.83274382345512299</v>
      </c>
      <c r="E4111">
        <v>0.70148918465158905</v>
      </c>
      <c r="F4111">
        <v>0.77028375912297298</v>
      </c>
      <c r="G4111">
        <v>0.576972020149079</v>
      </c>
      <c r="H4111">
        <v>0.28579275246401498</v>
      </c>
      <c r="I4111">
        <v>0.21190934662750499</v>
      </c>
      <c r="J4111">
        <v>0.14484777115490199</v>
      </c>
      <c r="K4111">
        <v>8.6375057748796197E-2</v>
      </c>
      <c r="L4111">
        <v>477.86793232047398</v>
      </c>
      <c r="M4111">
        <v>8.9697666481782594</v>
      </c>
      <c r="N4111">
        <v>53.275402924072303</v>
      </c>
      <c r="O4111">
        <v>50.827207206713297</v>
      </c>
      <c r="P4111">
        <v>-4.4151375795395999E-2</v>
      </c>
      <c r="Q4111">
        <v>0</v>
      </c>
      <c r="R4111">
        <v>0.92967408308263699</v>
      </c>
      <c r="S4111" t="s">
        <v>9662</v>
      </c>
      <c r="T4111" t="s">
        <v>11100</v>
      </c>
      <c r="U4111" t="s">
        <v>11100</v>
      </c>
      <c r="V4111" t="s">
        <v>11100</v>
      </c>
      <c r="W4111" t="s">
        <v>15160</v>
      </c>
      <c r="X4111">
        <v>1</v>
      </c>
      <c r="Y4111" t="s">
        <v>20594</v>
      </c>
      <c r="Z4111" t="s">
        <v>26116</v>
      </c>
      <c r="AA4111">
        <v>0.5633704323090889</v>
      </c>
      <c r="AB4111" t="str">
        <f>HYPERLINK("Melting_Curves/meltCurve_Q92623_TTC9.pdf", "Melting_Curves/meltCurve_Q92623_TTC9.pdf")</f>
        <v>Melting_Curves/meltCurve_Q92623_TTC9.pdf</v>
      </c>
    </row>
    <row r="4112" spans="1:28" x14ac:dyDescent="0.25">
      <c r="A4112" t="s">
        <v>4116</v>
      </c>
      <c r="B4112">
        <v>0.99299721793515405</v>
      </c>
      <c r="C4112">
        <v>0.99413952161566499</v>
      </c>
      <c r="D4112">
        <v>0.94561780102464699</v>
      </c>
      <c r="E4112">
        <v>0.90757547325323396</v>
      </c>
      <c r="F4112">
        <v>0.43408646667448397</v>
      </c>
      <c r="G4112">
        <v>0.22805954813423601</v>
      </c>
      <c r="H4112">
        <v>0.19960709348549199</v>
      </c>
      <c r="I4112">
        <v>0.20290459328004801</v>
      </c>
      <c r="J4112">
        <v>0.20703387777993701</v>
      </c>
      <c r="K4112">
        <v>0.14563097832122299</v>
      </c>
      <c r="L4112">
        <v>1793.04024328895</v>
      </c>
      <c r="M4112">
        <v>36.526927978838103</v>
      </c>
      <c r="N4112">
        <v>49.733583534106501</v>
      </c>
      <c r="O4112">
        <v>48.9417369031517</v>
      </c>
      <c r="P4112">
        <v>-0.15136593927146499</v>
      </c>
      <c r="Q4112">
        <v>0.18875298590124601</v>
      </c>
      <c r="R4112">
        <v>0.99609168528542102</v>
      </c>
      <c r="S4112" t="s">
        <v>9663</v>
      </c>
      <c r="T4112" t="s">
        <v>11100</v>
      </c>
      <c r="U4112" t="s">
        <v>11100</v>
      </c>
      <c r="V4112" t="s">
        <v>11100</v>
      </c>
      <c r="W4112" t="s">
        <v>15161</v>
      </c>
      <c r="X4112">
        <v>13</v>
      </c>
      <c r="Y4112" t="s">
        <v>20595</v>
      </c>
      <c r="Z4112" t="s">
        <v>26117</v>
      </c>
      <c r="AA4112">
        <v>0.51893994244190145</v>
      </c>
      <c r="AB4112" t="str">
        <f>HYPERLINK("Melting_Curves/meltCurve_Q92625_ANKS1A.pdf", "Melting_Curves/meltCurve_Q92625_ANKS1A.pdf")</f>
        <v>Melting_Curves/meltCurve_Q92625_ANKS1A.pdf</v>
      </c>
    </row>
    <row r="4113" spans="1:28" x14ac:dyDescent="0.25">
      <c r="A4113" t="s">
        <v>4117</v>
      </c>
      <c r="B4113">
        <v>0.99299721793515405</v>
      </c>
      <c r="C4113">
        <v>0.78412797902489095</v>
      </c>
      <c r="D4113">
        <v>0.90466056689179497</v>
      </c>
      <c r="E4113">
        <v>0.90676363482199396</v>
      </c>
      <c r="F4113">
        <v>0.558548252409374</v>
      </c>
      <c r="G4113">
        <v>0.47520139500726799</v>
      </c>
      <c r="H4113">
        <v>0.29374591661001198</v>
      </c>
      <c r="I4113">
        <v>0.30758166850646301</v>
      </c>
      <c r="J4113">
        <v>0.31205273246915299</v>
      </c>
      <c r="K4113">
        <v>0.25697721832211601</v>
      </c>
      <c r="L4113">
        <v>693.89690982204797</v>
      </c>
      <c r="M4113">
        <v>13.865358700231299</v>
      </c>
      <c r="N4113">
        <v>52.5343771063623</v>
      </c>
      <c r="O4113">
        <v>49.038822170250199</v>
      </c>
      <c r="P4113">
        <v>-5.3673448108211397E-2</v>
      </c>
      <c r="Q4113">
        <v>0.24077809219872001</v>
      </c>
      <c r="R4113">
        <v>0.92447829789255198</v>
      </c>
      <c r="S4113" t="s">
        <v>9664</v>
      </c>
      <c r="T4113" t="s">
        <v>11100</v>
      </c>
      <c r="U4113" t="s">
        <v>11100</v>
      </c>
      <c r="V4113" t="s">
        <v>11100</v>
      </c>
      <c r="W4113" t="s">
        <v>15162</v>
      </c>
      <c r="X4113">
        <v>1</v>
      </c>
      <c r="Y4113" t="s">
        <v>20596</v>
      </c>
      <c r="Z4113" t="s">
        <v>26118</v>
      </c>
      <c r="AA4113">
        <v>0.58860272837570704</v>
      </c>
      <c r="AB4113" t="str">
        <f>HYPERLINK("Melting_Curves/meltCurve_Q92665_MRPS31.pdf", "Melting_Curves/meltCurve_Q92665_MRPS31.pdf")</f>
        <v>Melting_Curves/meltCurve_Q92665_MRPS31.pdf</v>
      </c>
    </row>
    <row r="4114" spans="1:28" x14ac:dyDescent="0.25">
      <c r="A4114" t="s">
        <v>4118</v>
      </c>
      <c r="B4114">
        <v>0.99299721793515405</v>
      </c>
      <c r="C4114">
        <v>0.91581104299636096</v>
      </c>
      <c r="D4114">
        <v>0.91491618860851298</v>
      </c>
      <c r="E4114">
        <v>0.79312299189755198</v>
      </c>
      <c r="F4114">
        <v>0.57900229689077898</v>
      </c>
      <c r="G4114">
        <v>0.28360339223593301</v>
      </c>
      <c r="H4114">
        <v>0.26717054383800698</v>
      </c>
      <c r="I4114">
        <v>0.252833654064747</v>
      </c>
      <c r="J4114">
        <v>0.26026983650943097</v>
      </c>
      <c r="K4114">
        <v>0.206051830034364</v>
      </c>
      <c r="L4114">
        <v>888.355728563139</v>
      </c>
      <c r="M4114">
        <v>18.0753984725009</v>
      </c>
      <c r="N4114">
        <v>50.725470849244999</v>
      </c>
      <c r="O4114">
        <v>48.557519474130402</v>
      </c>
      <c r="P4114">
        <v>-7.3049921117834593E-2</v>
      </c>
      <c r="Q4114">
        <v>0.21507659582114799</v>
      </c>
      <c r="R4114">
        <v>0.98508501545640303</v>
      </c>
      <c r="S4114" t="s">
        <v>9665</v>
      </c>
      <c r="T4114" t="s">
        <v>11100</v>
      </c>
      <c r="U4114" t="s">
        <v>11100</v>
      </c>
      <c r="V4114" t="s">
        <v>11100</v>
      </c>
      <c r="W4114" t="s">
        <v>15163</v>
      </c>
      <c r="X4114">
        <v>20</v>
      </c>
      <c r="Y4114" t="s">
        <v>20597</v>
      </c>
      <c r="Z4114" t="s">
        <v>26119</v>
      </c>
      <c r="AA4114">
        <v>0.54527483816828626</v>
      </c>
      <c r="AB4114" t="str">
        <f>HYPERLINK("Melting_Curves/meltCurve_Q92667_AKAP1.pdf", "Melting_Curves/meltCurve_Q92667_AKAP1.pdf")</f>
        <v>Melting_Curves/meltCurve_Q92667_AKAP1.pdf</v>
      </c>
    </row>
    <row r="4115" spans="1:28" x14ac:dyDescent="0.25">
      <c r="A4115" t="s">
        <v>4119</v>
      </c>
      <c r="B4115">
        <v>0.99299721793515405</v>
      </c>
      <c r="C4115">
        <v>0.82691905484513994</v>
      </c>
      <c r="D4115">
        <v>1.2293759567671001</v>
      </c>
      <c r="E4115">
        <v>0.83112616332420797</v>
      </c>
      <c r="F4115">
        <v>0.86193434318314599</v>
      </c>
      <c r="G4115">
        <v>0.89958930599310205</v>
      </c>
      <c r="H4115">
        <v>0.65281224288030304</v>
      </c>
      <c r="I4115">
        <v>0.89229040539261495</v>
      </c>
      <c r="J4115">
        <v>1.0520435350698201</v>
      </c>
      <c r="K4115">
        <v>1.2117864905498399</v>
      </c>
      <c r="L4115">
        <v>15000</v>
      </c>
      <c r="M4115">
        <v>232.88767901874201</v>
      </c>
      <c r="O4115">
        <v>64.403991761335305</v>
      </c>
      <c r="P4115">
        <v>0.19148088769638699</v>
      </c>
      <c r="Q4115">
        <v>1.21181252123575</v>
      </c>
      <c r="R4115">
        <v>6.00628755722434E-2</v>
      </c>
      <c r="S4115" t="s">
        <v>9666</v>
      </c>
      <c r="T4115" t="s">
        <v>11100</v>
      </c>
      <c r="U4115" t="s">
        <v>11100</v>
      </c>
      <c r="V4115" t="s">
        <v>11100</v>
      </c>
      <c r="W4115" t="s">
        <v>15164</v>
      </c>
      <c r="X4115">
        <v>4</v>
      </c>
      <c r="Y4115" t="s">
        <v>20598</v>
      </c>
      <c r="Z4115" t="s">
        <v>26120</v>
      </c>
      <c r="AA4115">
        <v>1.0182681067659609</v>
      </c>
      <c r="AB4115" t="str">
        <f>HYPERLINK("Melting_Curves/meltCurve_Q92686_NRGN.pdf", "Melting_Curves/meltCurve_Q92686_NRGN.pdf")</f>
        <v>Melting_Curves/meltCurve_Q92686_NRGN.pdf</v>
      </c>
    </row>
    <row r="4116" spans="1:28" x14ac:dyDescent="0.25">
      <c r="A4116" t="s">
        <v>4120</v>
      </c>
      <c r="B4116">
        <v>0.99299721793515405</v>
      </c>
      <c r="C4116">
        <v>1.06396830657948</v>
      </c>
      <c r="D4116">
        <v>1.0277227241421201</v>
      </c>
      <c r="E4116">
        <v>0.90703611655745997</v>
      </c>
      <c r="F4116">
        <v>0.74689833535027705</v>
      </c>
      <c r="G4116">
        <v>0.66585848216198196</v>
      </c>
      <c r="H4116">
        <v>0.42230830181904599</v>
      </c>
      <c r="I4116">
        <v>0.25292868326305301</v>
      </c>
      <c r="J4116">
        <v>0.16167153822755301</v>
      </c>
      <c r="K4116">
        <v>0.11293378276805099</v>
      </c>
      <c r="L4116">
        <v>694.54173703136303</v>
      </c>
      <c r="M4116">
        <v>12.422206872665299</v>
      </c>
      <c r="N4116">
        <v>55.911300257848801</v>
      </c>
      <c r="O4116">
        <v>54.521641629182298</v>
      </c>
      <c r="P4116">
        <v>-5.69719887918698E-2</v>
      </c>
      <c r="Q4116">
        <v>0</v>
      </c>
      <c r="R4116">
        <v>0.98913188477220904</v>
      </c>
      <c r="S4116" t="s">
        <v>9667</v>
      </c>
      <c r="T4116" t="s">
        <v>11100</v>
      </c>
      <c r="U4116" t="s">
        <v>11100</v>
      </c>
      <c r="V4116" t="s">
        <v>11100</v>
      </c>
      <c r="W4116" t="s">
        <v>15165</v>
      </c>
      <c r="X4116">
        <v>11</v>
      </c>
      <c r="Y4116" t="s">
        <v>20599</v>
      </c>
      <c r="Z4116" t="s">
        <v>26121</v>
      </c>
      <c r="AA4116">
        <v>0.64101512510403957</v>
      </c>
      <c r="AB4116" t="str">
        <f>HYPERLINK("Melting_Curves/meltCurve_Q92688_ANP32B.pdf", "Melting_Curves/meltCurve_Q92688_ANP32B.pdf")</f>
        <v>Melting_Curves/meltCurve_Q92688_ANP32B.pdf</v>
      </c>
    </row>
    <row r="4117" spans="1:28" x14ac:dyDescent="0.25">
      <c r="A4117" t="s">
        <v>4121</v>
      </c>
      <c r="B4117">
        <v>0.99299721793515405</v>
      </c>
      <c r="C4117">
        <v>0.95183035952651895</v>
      </c>
      <c r="D4117">
        <v>0.92891495673362201</v>
      </c>
      <c r="E4117">
        <v>0.83264617290633403</v>
      </c>
      <c r="F4117">
        <v>0.76042995784561795</v>
      </c>
      <c r="G4117">
        <v>0.524849221302508</v>
      </c>
      <c r="H4117">
        <v>0.62726713204693596</v>
      </c>
      <c r="I4117">
        <v>0.76536319069916303</v>
      </c>
      <c r="J4117">
        <v>0.77476155652074696</v>
      </c>
      <c r="K4117">
        <v>0.50138446044727902</v>
      </c>
      <c r="L4117">
        <v>929.44017333456804</v>
      </c>
      <c r="M4117">
        <v>19.947031338581201</v>
      </c>
      <c r="O4117">
        <v>46.134670342760501</v>
      </c>
      <c r="P4117">
        <v>-3.8748571680877301E-2</v>
      </c>
      <c r="Q4117">
        <v>0.64153177687784502</v>
      </c>
      <c r="R4117">
        <v>0.71280518219843403</v>
      </c>
      <c r="S4117" t="s">
        <v>9668</v>
      </c>
      <c r="T4117" t="s">
        <v>11100</v>
      </c>
      <c r="U4117" t="s">
        <v>11100</v>
      </c>
      <c r="V4117" t="s">
        <v>11100</v>
      </c>
      <c r="W4117" t="s">
        <v>15166</v>
      </c>
      <c r="X4117">
        <v>8</v>
      </c>
      <c r="Y4117" t="s">
        <v>20600</v>
      </c>
      <c r="Z4117" t="s">
        <v>26122</v>
      </c>
      <c r="AA4117">
        <v>0.76089967989688101</v>
      </c>
      <c r="AB4117" t="str">
        <f>HYPERLINK("Melting_Curves/meltCurve_Q92692_PVRL2.pdf", "Melting_Curves/meltCurve_Q92692_PVRL2.pdf")</f>
        <v>Melting_Curves/meltCurve_Q92692_PVRL2.pdf</v>
      </c>
    </row>
    <row r="4118" spans="1:28" x14ac:dyDescent="0.25">
      <c r="A4118" t="s">
        <v>4122</v>
      </c>
      <c r="B4118">
        <v>0.99299721793515405</v>
      </c>
      <c r="C4118">
        <v>1.23055878953485</v>
      </c>
      <c r="D4118">
        <v>0.77872343056285998</v>
      </c>
      <c r="E4118">
        <v>0.75827935680890701</v>
      </c>
      <c r="F4118">
        <v>0.77984176774635305</v>
      </c>
      <c r="G4118">
        <v>0.67274227634707096</v>
      </c>
      <c r="H4118">
        <v>0.70642759032035896</v>
      </c>
      <c r="I4118">
        <v>0.83959434741260897</v>
      </c>
      <c r="J4118">
        <v>1.2160922910984799</v>
      </c>
      <c r="K4118">
        <v>0.63912528028212301</v>
      </c>
      <c r="L4118">
        <v>10399.9646415272</v>
      </c>
      <c r="M4118">
        <v>250</v>
      </c>
      <c r="O4118">
        <v>41.597176305467599</v>
      </c>
      <c r="P4118">
        <v>-0.30223283439478899</v>
      </c>
      <c r="Q4118">
        <v>0.79884738211728901</v>
      </c>
      <c r="R4118">
        <v>0.31883177855193001</v>
      </c>
      <c r="S4118" t="s">
        <v>9669</v>
      </c>
      <c r="T4118" t="s">
        <v>11100</v>
      </c>
      <c r="U4118" t="s">
        <v>11100</v>
      </c>
      <c r="V4118" t="s">
        <v>11100</v>
      </c>
      <c r="W4118" t="s">
        <v>15167</v>
      </c>
      <c r="X4118">
        <v>8</v>
      </c>
      <c r="Y4118" t="s">
        <v>20600</v>
      </c>
      <c r="Z4118" t="s">
        <v>26123</v>
      </c>
      <c r="AA4118">
        <v>0.82970452076955226</v>
      </c>
      <c r="AB4118" t="str">
        <f>HYPERLINK("Melting_Curves/meltCurve_Q92692_2_PVRL2.pdf", "Melting_Curves/meltCurve_Q92692_2_PVRL2.pdf")</f>
        <v>Melting_Curves/meltCurve_Q92692_2_PVRL2.pdf</v>
      </c>
    </row>
    <row r="4119" spans="1:28" x14ac:dyDescent="0.25">
      <c r="A4119" t="s">
        <v>4123</v>
      </c>
      <c r="B4119">
        <v>0.99299721793515405</v>
      </c>
      <c r="C4119">
        <v>1.00008647449612</v>
      </c>
      <c r="D4119">
        <v>0.93142413458883699</v>
      </c>
      <c r="E4119">
        <v>0.95028650395456105</v>
      </c>
      <c r="F4119">
        <v>0.73613118307625203</v>
      </c>
      <c r="G4119">
        <v>0.78845332946553104</v>
      </c>
      <c r="H4119">
        <v>0.47794239564492502</v>
      </c>
      <c r="I4119">
        <v>0.20702122544792501</v>
      </c>
      <c r="J4119">
        <v>8.6694663092903398E-2</v>
      </c>
      <c r="K4119">
        <v>6.1349395512857403E-2</v>
      </c>
      <c r="L4119">
        <v>898.82173679452103</v>
      </c>
      <c r="M4119">
        <v>15.8885890791659</v>
      </c>
      <c r="N4119">
        <v>56.570268022369298</v>
      </c>
      <c r="O4119">
        <v>55.696889376005601</v>
      </c>
      <c r="P4119">
        <v>-7.1322966016083497E-2</v>
      </c>
      <c r="Q4119">
        <v>0</v>
      </c>
      <c r="R4119">
        <v>0.97014098455258502</v>
      </c>
      <c r="S4119" t="s">
        <v>9670</v>
      </c>
      <c r="T4119" t="s">
        <v>11100</v>
      </c>
      <c r="U4119" t="s">
        <v>11100</v>
      </c>
      <c r="V4119" t="s">
        <v>11100</v>
      </c>
      <c r="W4119" t="s">
        <v>15168</v>
      </c>
      <c r="X4119">
        <v>9</v>
      </c>
      <c r="Y4119" t="s">
        <v>20601</v>
      </c>
      <c r="Z4119" t="s">
        <v>26124</v>
      </c>
      <c r="AA4119">
        <v>0.66226622514305278</v>
      </c>
      <c r="AB4119" t="str">
        <f>HYPERLINK("Melting_Curves/meltCurve_Q92696_RABGGTA.pdf", "Melting_Curves/meltCurve_Q92696_RABGGTA.pdf")</f>
        <v>Melting_Curves/meltCurve_Q92696_RABGGTA.pdf</v>
      </c>
    </row>
    <row r="4120" spans="1:28" x14ac:dyDescent="0.25">
      <c r="A4120" t="s">
        <v>4124</v>
      </c>
      <c r="B4120">
        <v>0.99299721793515405</v>
      </c>
      <c r="C4120">
        <v>1.03346001977705</v>
      </c>
      <c r="D4120">
        <v>0.90404514688136295</v>
      </c>
      <c r="E4120">
        <v>0.95901317618966997</v>
      </c>
      <c r="F4120">
        <v>0.90200860309200004</v>
      </c>
      <c r="G4120">
        <v>0.58475099052623103</v>
      </c>
      <c r="H4120">
        <v>0.94354681424171605</v>
      </c>
      <c r="I4120">
        <v>0.981074389839935</v>
      </c>
      <c r="J4120">
        <v>1.01296604348264</v>
      </c>
      <c r="K4120">
        <v>0.87002361438991804</v>
      </c>
      <c r="L4120">
        <v>10655.692408113</v>
      </c>
      <c r="M4120">
        <v>250</v>
      </c>
      <c r="O4120">
        <v>42.620025587276103</v>
      </c>
      <c r="P4120">
        <v>-0.15641039663821099</v>
      </c>
      <c r="Q4120">
        <v>0.89334051694761696</v>
      </c>
      <c r="R4120">
        <v>0.15015476270521999</v>
      </c>
      <c r="S4120" t="s">
        <v>9671</v>
      </c>
      <c r="T4120" t="s">
        <v>11100</v>
      </c>
      <c r="U4120" t="s">
        <v>11100</v>
      </c>
      <c r="V4120" t="s">
        <v>11100</v>
      </c>
      <c r="W4120" t="s">
        <v>15169</v>
      </c>
      <c r="X4120">
        <v>4</v>
      </c>
      <c r="Y4120" t="s">
        <v>20602</v>
      </c>
      <c r="Z4120" t="s">
        <v>26125</v>
      </c>
      <c r="AA4120">
        <v>0.91333921873264889</v>
      </c>
      <c r="AB4120" t="str">
        <f>HYPERLINK("Melting_Curves/meltCurve_Q92734_2_TFG.pdf", "Melting_Curves/meltCurve_Q92734_2_TFG.pdf")</f>
        <v>Melting_Curves/meltCurve_Q92734_2_TFG.pdf</v>
      </c>
    </row>
    <row r="4121" spans="1:28" x14ac:dyDescent="0.25">
      <c r="A4121" t="s">
        <v>4125</v>
      </c>
      <c r="B4121">
        <v>0.99299721793515405</v>
      </c>
      <c r="C4121">
        <v>1.29579831653775</v>
      </c>
      <c r="D4121">
        <v>0.76937128553016698</v>
      </c>
      <c r="E4121">
        <v>1.11741390905302</v>
      </c>
      <c r="F4121">
        <v>0.87996551488593799</v>
      </c>
      <c r="G4121">
        <v>0.22557227281102599</v>
      </c>
      <c r="H4121">
        <v>0.457503209407922</v>
      </c>
      <c r="I4121">
        <v>0.20020400988291001</v>
      </c>
      <c r="J4121">
        <v>0.32989476508327598</v>
      </c>
      <c r="K4121">
        <v>0.18414537061773401</v>
      </c>
      <c r="L4121">
        <v>12630.8212662677</v>
      </c>
      <c r="M4121">
        <v>250</v>
      </c>
      <c r="N4121">
        <v>50.689251437413297</v>
      </c>
      <c r="O4121">
        <v>50.520051857611001</v>
      </c>
      <c r="P4121">
        <v>-0.89139865965287302</v>
      </c>
      <c r="Q4121">
        <v>0.27946389591472098</v>
      </c>
      <c r="R4121">
        <v>0.86720784555411801</v>
      </c>
      <c r="S4121" t="s">
        <v>9672</v>
      </c>
      <c r="T4121" t="s">
        <v>11100</v>
      </c>
      <c r="U4121" t="s">
        <v>11100</v>
      </c>
      <c r="V4121" t="s">
        <v>11100</v>
      </c>
      <c r="W4121" t="s">
        <v>15170</v>
      </c>
      <c r="X4121">
        <v>1</v>
      </c>
      <c r="Y4121" t="s">
        <v>20603</v>
      </c>
      <c r="Z4121" t="s">
        <v>26126</v>
      </c>
      <c r="AA4121">
        <v>0.60432828861399135</v>
      </c>
      <c r="AB4121" t="str">
        <f>HYPERLINK("Melting_Curves/meltCurve_Q92738_USP6NL.pdf", "Melting_Curves/meltCurve_Q92738_USP6NL.pdf")</f>
        <v>Melting_Curves/meltCurve_Q92738_USP6NL.pdf</v>
      </c>
    </row>
    <row r="4122" spans="1:28" x14ac:dyDescent="0.25">
      <c r="A4122" t="s">
        <v>4126</v>
      </c>
      <c r="B4122">
        <v>0.99299721793515405</v>
      </c>
      <c r="C4122">
        <v>0.89668643746466703</v>
      </c>
      <c r="D4122">
        <v>0.94439901353884304</v>
      </c>
      <c r="E4122">
        <v>0.89565160448660897</v>
      </c>
      <c r="F4122">
        <v>0.77355912056448295</v>
      </c>
      <c r="G4122">
        <v>1.04224034400791</v>
      </c>
      <c r="H4122">
        <v>1.05972388802109</v>
      </c>
      <c r="I4122">
        <v>1.0204462732754001</v>
      </c>
      <c r="J4122">
        <v>1.0666332416727</v>
      </c>
      <c r="K4122">
        <v>0.59235070706427095</v>
      </c>
      <c r="L4122">
        <v>15000</v>
      </c>
      <c r="M4122">
        <v>223.50687397207099</v>
      </c>
      <c r="Q4122">
        <v>0</v>
      </c>
      <c r="R4122">
        <v>0.57161091556907495</v>
      </c>
      <c r="S4122" t="s">
        <v>9673</v>
      </c>
      <c r="T4122" t="s">
        <v>11100</v>
      </c>
      <c r="U4122" t="s">
        <v>11100</v>
      </c>
      <c r="V4122" t="s">
        <v>11100</v>
      </c>
      <c r="W4122" t="s">
        <v>15171</v>
      </c>
      <c r="X4122">
        <v>3</v>
      </c>
      <c r="Y4122" t="s">
        <v>20604</v>
      </c>
      <c r="Z4122" t="s">
        <v>26127</v>
      </c>
      <c r="AA4122">
        <v>0.99482874336371174</v>
      </c>
      <c r="AB4122" t="str">
        <f>HYPERLINK("Melting_Curves/meltCurve_Q92747_ARPC1A.pdf", "Melting_Curves/meltCurve_Q92747_ARPC1A.pdf")</f>
        <v>Melting_Curves/meltCurve_Q92747_ARPC1A.pdf</v>
      </c>
    </row>
    <row r="4123" spans="1:28" x14ac:dyDescent="0.25">
      <c r="A4123" t="s">
        <v>4127</v>
      </c>
      <c r="B4123">
        <v>0.99299721793515405</v>
      </c>
      <c r="C4123">
        <v>1.00419036179184</v>
      </c>
      <c r="D4123">
        <v>0.96188066739254996</v>
      </c>
      <c r="E4123">
        <v>0.88380745732967703</v>
      </c>
      <c r="F4123">
        <v>0.71983017599962795</v>
      </c>
      <c r="G4123">
        <v>0.566643376834569</v>
      </c>
      <c r="H4123">
        <v>0.36885609648516898</v>
      </c>
      <c r="I4123">
        <v>0.28146131830475501</v>
      </c>
      <c r="J4123">
        <v>0.231008779291445</v>
      </c>
      <c r="K4123">
        <v>0.22499355111160699</v>
      </c>
      <c r="L4123">
        <v>713.55030498618805</v>
      </c>
      <c r="M4123">
        <v>13.4632034211813</v>
      </c>
      <c r="N4123">
        <v>54.6193806985099</v>
      </c>
      <c r="O4123">
        <v>51.871727941478497</v>
      </c>
      <c r="P4123">
        <v>-5.4217833477468703E-2</v>
      </c>
      <c r="Q4123">
        <v>0.16455598765872001</v>
      </c>
      <c r="R4123">
        <v>0.99840149310186299</v>
      </c>
      <c r="S4123" t="s">
        <v>9674</v>
      </c>
      <c r="T4123" t="s">
        <v>11100</v>
      </c>
      <c r="U4123" t="s">
        <v>11100</v>
      </c>
      <c r="V4123" t="s">
        <v>11100</v>
      </c>
      <c r="W4123" t="s">
        <v>15172</v>
      </c>
      <c r="X4123">
        <v>8</v>
      </c>
      <c r="Y4123" t="s">
        <v>20605</v>
      </c>
      <c r="Z4123" t="s">
        <v>26128</v>
      </c>
      <c r="AA4123">
        <v>0.62648808600455463</v>
      </c>
      <c r="AB4123" t="str">
        <f>HYPERLINK("Melting_Curves/meltCurve_Q92783_2_STAM.pdf", "Melting_Curves/meltCurve_Q92783_2_STAM.pdf")</f>
        <v>Melting_Curves/meltCurve_Q92783_2_STAM.pdf</v>
      </c>
    </row>
    <row r="4124" spans="1:28" x14ac:dyDescent="0.25">
      <c r="A4124" t="s">
        <v>4128</v>
      </c>
      <c r="B4124">
        <v>0.99299721793515405</v>
      </c>
      <c r="C4124">
        <v>0.877807240111523</v>
      </c>
      <c r="D4124">
        <v>0.89431861587079498</v>
      </c>
      <c r="E4124">
        <v>0.70548315149266805</v>
      </c>
      <c r="F4124">
        <v>0.63139250082422604</v>
      </c>
      <c r="G4124">
        <v>0.58209217931874202</v>
      </c>
      <c r="H4124">
        <v>0.32737674364907499</v>
      </c>
      <c r="I4124">
        <v>0.230821570760253</v>
      </c>
      <c r="J4124">
        <v>0.256298507482907</v>
      </c>
      <c r="K4124">
        <v>0.216844559728952</v>
      </c>
      <c r="L4124">
        <v>399.30755395283097</v>
      </c>
      <c r="M4124">
        <v>7.4816794639083604</v>
      </c>
      <c r="N4124">
        <v>53.590434640599</v>
      </c>
      <c r="O4124">
        <v>49.957338022225599</v>
      </c>
      <c r="P4124">
        <v>-3.6930025546641501E-2</v>
      </c>
      <c r="Q4124">
        <v>1.5059530007470101E-2</v>
      </c>
      <c r="R4124">
        <v>0.972009605275582</v>
      </c>
      <c r="S4124" t="s">
        <v>9675</v>
      </c>
      <c r="T4124" t="s">
        <v>11100</v>
      </c>
      <c r="U4124" t="s">
        <v>11100</v>
      </c>
      <c r="V4124" t="s">
        <v>11100</v>
      </c>
      <c r="W4124" t="s">
        <v>15173</v>
      </c>
      <c r="X4124">
        <v>7</v>
      </c>
      <c r="Y4124" t="s">
        <v>20606</v>
      </c>
      <c r="Z4124" t="s">
        <v>26129</v>
      </c>
      <c r="AA4124">
        <v>0.57054319678552556</v>
      </c>
      <c r="AB4124" t="str">
        <f>HYPERLINK("Melting_Curves/meltCurve_Q92793_2_CREBBP.pdf", "Melting_Curves/meltCurve_Q92793_2_CREBBP.pdf")</f>
        <v>Melting_Curves/meltCurve_Q92793_2_CREBBP.pdf</v>
      </c>
    </row>
    <row r="4125" spans="1:28" x14ac:dyDescent="0.25">
      <c r="A4125" t="s">
        <v>4129</v>
      </c>
      <c r="B4125">
        <v>0.99299721793515405</v>
      </c>
      <c r="C4125">
        <v>1.006865101609</v>
      </c>
      <c r="D4125">
        <v>0.98083010307358898</v>
      </c>
      <c r="E4125">
        <v>0.84349790931369995</v>
      </c>
      <c r="F4125">
        <v>0.51579452224324296</v>
      </c>
      <c r="G4125">
        <v>0.15438289052982501</v>
      </c>
      <c r="H4125">
        <v>0.121856699886291</v>
      </c>
      <c r="I4125">
        <v>0.105092360388492</v>
      </c>
      <c r="J4125">
        <v>9.2371922862648004E-2</v>
      </c>
      <c r="K4125">
        <v>8.5643813414378503E-2</v>
      </c>
      <c r="L4125">
        <v>1312.1403137126799</v>
      </c>
      <c r="M4125">
        <v>26.383190428441601</v>
      </c>
      <c r="N4125">
        <v>50.092488923242399</v>
      </c>
      <c r="O4125">
        <v>49.450862456899401</v>
      </c>
      <c r="P4125">
        <v>-0.121906130855555</v>
      </c>
      <c r="Q4125">
        <v>8.6039612638147703E-2</v>
      </c>
      <c r="R4125">
        <v>0.99783431411631596</v>
      </c>
      <c r="S4125" t="s">
        <v>9676</v>
      </c>
      <c r="T4125" t="s">
        <v>11100</v>
      </c>
      <c r="U4125" t="s">
        <v>11100</v>
      </c>
      <c r="V4125" t="s">
        <v>11100</v>
      </c>
      <c r="W4125" t="s">
        <v>15174</v>
      </c>
      <c r="X4125">
        <v>14</v>
      </c>
      <c r="Y4125" t="s">
        <v>20607</v>
      </c>
      <c r="Z4125" t="s">
        <v>26130</v>
      </c>
      <c r="AA4125">
        <v>0.48116724266645178</v>
      </c>
      <c r="AB4125" t="str">
        <f>HYPERLINK("Melting_Curves/meltCurve_Q92797_SYMPK.pdf", "Melting_Curves/meltCurve_Q92797_SYMPK.pdf")</f>
        <v>Melting_Curves/meltCurve_Q92797_SYMPK.pdf</v>
      </c>
    </row>
    <row r="4126" spans="1:28" x14ac:dyDescent="0.25">
      <c r="A4126" t="s">
        <v>4130</v>
      </c>
      <c r="B4126">
        <v>0.99299721793515405</v>
      </c>
      <c r="C4126">
        <v>0.87064932723836097</v>
      </c>
      <c r="D4126">
        <v>1.0320447017215699</v>
      </c>
      <c r="E4126">
        <v>0.99587123027699798</v>
      </c>
      <c r="F4126">
        <v>0.90516499277067497</v>
      </c>
      <c r="G4126">
        <v>0.51523425091313502</v>
      </c>
      <c r="H4126">
        <v>0.59025876680990896</v>
      </c>
      <c r="I4126">
        <v>0.64231371659819203</v>
      </c>
      <c r="J4126">
        <v>0.46394853365942301</v>
      </c>
      <c r="K4126">
        <v>0.62184054709151604</v>
      </c>
      <c r="L4126">
        <v>12613.8656845365</v>
      </c>
      <c r="M4126">
        <v>250</v>
      </c>
      <c r="O4126">
        <v>50.452234072785103</v>
      </c>
      <c r="P4126">
        <v>-0.53674636278493304</v>
      </c>
      <c r="Q4126">
        <v>0.56671915166542597</v>
      </c>
      <c r="R4126">
        <v>0.90539829651237702</v>
      </c>
      <c r="S4126" t="s">
        <v>9677</v>
      </c>
      <c r="T4126" t="s">
        <v>11100</v>
      </c>
      <c r="U4126" t="s">
        <v>11100</v>
      </c>
      <c r="V4126" t="s">
        <v>11100</v>
      </c>
      <c r="W4126" t="s">
        <v>15175</v>
      </c>
      <c r="X4126">
        <v>5</v>
      </c>
      <c r="Y4126" t="s">
        <v>20608</v>
      </c>
      <c r="Z4126" t="s">
        <v>26131</v>
      </c>
      <c r="AA4126">
        <v>0.76109066172102646</v>
      </c>
      <c r="AB4126" t="str">
        <f>HYPERLINK("Melting_Curves/meltCurve_Q92804_2_TAF15.pdf", "Melting_Curves/meltCurve_Q92804_2_TAF15.pdf")</f>
        <v>Melting_Curves/meltCurve_Q92804_2_TAF15.pdf</v>
      </c>
    </row>
    <row r="4127" spans="1:28" x14ac:dyDescent="0.25">
      <c r="A4127" t="s">
        <v>4131</v>
      </c>
      <c r="B4127">
        <v>0.99299721793515405</v>
      </c>
      <c r="C4127">
        <v>0.93101929085462198</v>
      </c>
      <c r="D4127">
        <v>0.92508355668207198</v>
      </c>
      <c r="E4127">
        <v>0.80361333813320501</v>
      </c>
      <c r="F4127">
        <v>0.53235228525626199</v>
      </c>
      <c r="G4127">
        <v>0.30069999189989199</v>
      </c>
      <c r="H4127">
        <v>0.22607036937525901</v>
      </c>
      <c r="I4127">
        <v>0.209048741722904</v>
      </c>
      <c r="J4127">
        <v>0.17588633682418101</v>
      </c>
      <c r="K4127">
        <v>0.168219465650606</v>
      </c>
      <c r="L4127">
        <v>874.32262321032601</v>
      </c>
      <c r="M4127">
        <v>17.689812633028801</v>
      </c>
      <c r="N4127">
        <v>50.549855962932298</v>
      </c>
      <c r="O4127">
        <v>48.8065684979289</v>
      </c>
      <c r="P4127">
        <v>-7.5875333179948698E-2</v>
      </c>
      <c r="Q4127">
        <v>0.16267762520290099</v>
      </c>
      <c r="R4127">
        <v>0.995641942621319</v>
      </c>
      <c r="S4127" t="s">
        <v>9678</v>
      </c>
      <c r="T4127" t="s">
        <v>11100</v>
      </c>
      <c r="U4127" t="s">
        <v>11100</v>
      </c>
      <c r="V4127" t="s">
        <v>11100</v>
      </c>
      <c r="W4127" t="s">
        <v>15176</v>
      </c>
      <c r="X4127">
        <v>16</v>
      </c>
      <c r="Y4127" t="s">
        <v>20609</v>
      </c>
      <c r="Z4127" t="s">
        <v>26132</v>
      </c>
      <c r="AA4127">
        <v>0.52314077008717674</v>
      </c>
      <c r="AB4127" t="str">
        <f>HYPERLINK("Melting_Curves/meltCurve_Q92805_GOLGA1.pdf", "Melting_Curves/meltCurve_Q92805_GOLGA1.pdf")</f>
        <v>Melting_Curves/meltCurve_Q92805_GOLGA1.pdf</v>
      </c>
    </row>
    <row r="4128" spans="1:28" x14ac:dyDescent="0.25">
      <c r="A4128" t="s">
        <v>4132</v>
      </c>
      <c r="B4128">
        <v>0.99299721793515405</v>
      </c>
      <c r="C4128">
        <v>0.86687135550408301</v>
      </c>
      <c r="D4128">
        <v>0.862019546130947</v>
      </c>
      <c r="E4128">
        <v>0.69835544739695299</v>
      </c>
      <c r="F4128">
        <v>0.67602143989380703</v>
      </c>
      <c r="G4128">
        <v>0.61479474788321398</v>
      </c>
      <c r="H4128">
        <v>0.465903537519888</v>
      </c>
      <c r="I4128">
        <v>0.53305849477113398</v>
      </c>
      <c r="J4128">
        <v>0.49358289905719199</v>
      </c>
      <c r="K4128">
        <v>0.457081137325835</v>
      </c>
      <c r="L4128">
        <v>406.31179871786401</v>
      </c>
      <c r="M4128">
        <v>8.5421015756113992</v>
      </c>
      <c r="N4128">
        <v>61.139316308328503</v>
      </c>
      <c r="O4128">
        <v>45.173970499541099</v>
      </c>
      <c r="P4128">
        <v>-2.72086727142021E-2</v>
      </c>
      <c r="Q4128">
        <v>0.42494825337651898</v>
      </c>
      <c r="R4128">
        <v>0.95904702725547697</v>
      </c>
      <c r="S4128" t="s">
        <v>9679</v>
      </c>
      <c r="T4128" t="s">
        <v>11100</v>
      </c>
      <c r="U4128" t="s">
        <v>11100</v>
      </c>
      <c r="V4128" t="s">
        <v>11100</v>
      </c>
      <c r="W4128" t="s">
        <v>15177</v>
      </c>
      <c r="X4128">
        <v>3</v>
      </c>
      <c r="Y4128" t="s">
        <v>20610</v>
      </c>
      <c r="Z4128" t="s">
        <v>26133</v>
      </c>
      <c r="AA4128">
        <v>0.65647141076896409</v>
      </c>
      <c r="AB4128" t="str">
        <f>HYPERLINK("Melting_Curves/meltCurve_Q92820_GGH.pdf", "Melting_Curves/meltCurve_Q92820_GGH.pdf")</f>
        <v>Melting_Curves/meltCurve_Q92820_GGH.pdf</v>
      </c>
    </row>
    <row r="4129" spans="1:28" x14ac:dyDescent="0.25">
      <c r="A4129" t="s">
        <v>4133</v>
      </c>
      <c r="B4129">
        <v>0.99299721793515405</v>
      </c>
      <c r="C4129">
        <v>0.89405624191135302</v>
      </c>
      <c r="D4129">
        <v>0.89023812574021299</v>
      </c>
      <c r="E4129">
        <v>0.81382671488069702</v>
      </c>
      <c r="F4129">
        <v>0.70411887328338996</v>
      </c>
      <c r="G4129">
        <v>0.49669590258511798</v>
      </c>
      <c r="H4129">
        <v>0.47792553295399698</v>
      </c>
      <c r="I4129">
        <v>0.351982485863165</v>
      </c>
      <c r="J4129">
        <v>0.22134335577699699</v>
      </c>
      <c r="K4129">
        <v>0.16760940135216801</v>
      </c>
      <c r="L4129">
        <v>426.98987078260802</v>
      </c>
      <c r="M4129">
        <v>7.7491184182138202</v>
      </c>
      <c r="N4129">
        <v>55.101737457381198</v>
      </c>
      <c r="O4129">
        <v>51.7929028294459</v>
      </c>
      <c r="P4129">
        <v>-3.7451987915505698E-2</v>
      </c>
      <c r="Q4129">
        <v>0</v>
      </c>
      <c r="R4129">
        <v>0.98412637327152697</v>
      </c>
      <c r="S4129" t="s">
        <v>9680</v>
      </c>
      <c r="T4129" t="s">
        <v>11100</v>
      </c>
      <c r="U4129" t="s">
        <v>11100</v>
      </c>
      <c r="V4129" t="s">
        <v>11100</v>
      </c>
      <c r="W4129" t="s">
        <v>15178</v>
      </c>
      <c r="X4129">
        <v>5</v>
      </c>
      <c r="Y4129" t="s">
        <v>20611</v>
      </c>
      <c r="Z4129" t="s">
        <v>26134</v>
      </c>
      <c r="AA4129">
        <v>0.6082633432899377</v>
      </c>
      <c r="AB4129" t="str">
        <f>HYPERLINK("Melting_Curves/meltCurve_Q92834_4_RPGR.pdf", "Melting_Curves/meltCurve_Q92834_4_RPGR.pdf")</f>
        <v>Melting_Curves/meltCurve_Q92834_4_RPGR.pdf</v>
      </c>
    </row>
    <row r="4130" spans="1:28" x14ac:dyDescent="0.25">
      <c r="A4130" t="s">
        <v>4134</v>
      </c>
      <c r="B4130">
        <v>0.99299721793515405</v>
      </c>
      <c r="C4130">
        <v>0.83515397981710704</v>
      </c>
      <c r="D4130">
        <v>0.90480074345291195</v>
      </c>
      <c r="E4130">
        <v>0.83494765565164897</v>
      </c>
      <c r="F4130">
        <v>0.70364447079398196</v>
      </c>
      <c r="G4130">
        <v>0.54817293203569895</v>
      </c>
      <c r="H4130">
        <v>0.28796794773296502</v>
      </c>
      <c r="I4130">
        <v>0.32275509952848602</v>
      </c>
      <c r="J4130">
        <v>0.185911530624493</v>
      </c>
      <c r="K4130">
        <v>0.172913732956744</v>
      </c>
      <c r="L4130">
        <v>473.82443221815703</v>
      </c>
      <c r="M4130">
        <v>8.7347818702256301</v>
      </c>
      <c r="N4130">
        <v>54.245711955512903</v>
      </c>
      <c r="O4130">
        <v>51.627670538511801</v>
      </c>
      <c r="P4130">
        <v>-4.23313913129632E-2</v>
      </c>
      <c r="Q4130">
        <v>0</v>
      </c>
      <c r="R4130">
        <v>0.96654103598191898</v>
      </c>
      <c r="S4130" t="s">
        <v>9681</v>
      </c>
      <c r="T4130" t="s">
        <v>11100</v>
      </c>
      <c r="U4130" t="s">
        <v>11100</v>
      </c>
      <c r="V4130" t="s">
        <v>11100</v>
      </c>
      <c r="W4130" t="s">
        <v>15179</v>
      </c>
      <c r="X4130">
        <v>5</v>
      </c>
      <c r="Y4130" t="s">
        <v>20612</v>
      </c>
      <c r="Z4130" t="s">
        <v>26135</v>
      </c>
      <c r="AA4130">
        <v>0.58936116203911826</v>
      </c>
      <c r="AB4130" t="str">
        <f>HYPERLINK("Melting_Curves/meltCurve_Q92843_2_BCL2L2.pdf", "Melting_Curves/meltCurve_Q92843_2_BCL2L2.pdf")</f>
        <v>Melting_Curves/meltCurve_Q92843_2_BCL2L2.pdf</v>
      </c>
    </row>
    <row r="4131" spans="1:28" x14ac:dyDescent="0.25">
      <c r="A4131" t="s">
        <v>4135</v>
      </c>
      <c r="B4131">
        <v>0.99299721793515405</v>
      </c>
      <c r="C4131">
        <v>0.86790204940509397</v>
      </c>
      <c r="D4131">
        <v>0.94485494767821698</v>
      </c>
      <c r="E4131">
        <v>0.83621616154410805</v>
      </c>
      <c r="F4131">
        <v>0.59066938120960899</v>
      </c>
      <c r="G4131">
        <v>0.50232046172683997</v>
      </c>
      <c r="H4131">
        <v>0.163457764213263</v>
      </c>
      <c r="I4131">
        <v>3.9919681885648199E-2</v>
      </c>
      <c r="J4131">
        <v>8.2086305858704699E-3</v>
      </c>
      <c r="K4131">
        <v>1.44187703665128E-2</v>
      </c>
      <c r="L4131">
        <v>774.58172447205402</v>
      </c>
      <c r="M4131">
        <v>14.880778979098199</v>
      </c>
      <c r="N4131">
        <v>52.052489958902299</v>
      </c>
      <c r="O4131">
        <v>51.139593795620598</v>
      </c>
      <c r="P4131">
        <v>-7.2753461365856906E-2</v>
      </c>
      <c r="Q4131">
        <v>0</v>
      </c>
      <c r="R4131">
        <v>0.97360166881788901</v>
      </c>
      <c r="S4131" t="s">
        <v>9682</v>
      </c>
      <c r="T4131" t="s">
        <v>11100</v>
      </c>
      <c r="U4131" t="s">
        <v>11100</v>
      </c>
      <c r="V4131" t="s">
        <v>11100</v>
      </c>
      <c r="W4131" t="s">
        <v>15180</v>
      </c>
      <c r="X4131">
        <v>1</v>
      </c>
      <c r="Y4131" t="s">
        <v>20613</v>
      </c>
      <c r="Z4131" t="s">
        <v>26136</v>
      </c>
      <c r="AA4131">
        <v>0.5209993965007137</v>
      </c>
      <c r="AB4131" t="str">
        <f>HYPERLINK("Melting_Curves/meltCurve_Q92845_4_KIFAP3.pdf", "Melting_Curves/meltCurve_Q92845_4_KIFAP3.pdf")</f>
        <v>Melting_Curves/meltCurve_Q92845_4_KIFAP3.pdf</v>
      </c>
    </row>
    <row r="4132" spans="1:28" x14ac:dyDescent="0.25">
      <c r="A4132" t="s">
        <v>4136</v>
      </c>
      <c r="B4132">
        <v>0.99299721793515405</v>
      </c>
      <c r="C4132">
        <v>1.0155052983356201</v>
      </c>
      <c r="D4132">
        <v>0.92085018708134103</v>
      </c>
      <c r="E4132">
        <v>0.89085673511777597</v>
      </c>
      <c r="F4132">
        <v>0.72479670369164895</v>
      </c>
      <c r="G4132">
        <v>0.38776745399072998</v>
      </c>
      <c r="H4132">
        <v>0.266569523651074</v>
      </c>
      <c r="I4132">
        <v>0.239135788670119</v>
      </c>
      <c r="J4132">
        <v>0.238201995439836</v>
      </c>
      <c r="K4132">
        <v>0.186415355269901</v>
      </c>
      <c r="L4132">
        <v>1087.1477312478501</v>
      </c>
      <c r="M4132">
        <v>21.212221265817998</v>
      </c>
      <c r="N4132">
        <v>52.524327915736997</v>
      </c>
      <c r="O4132">
        <v>50.802037891597799</v>
      </c>
      <c r="P4132">
        <v>-8.3404843766985107E-2</v>
      </c>
      <c r="Q4132">
        <v>0.20102156415483699</v>
      </c>
      <c r="R4132">
        <v>0.99226786700090297</v>
      </c>
      <c r="S4132" t="s">
        <v>9683</v>
      </c>
      <c r="T4132" t="s">
        <v>11100</v>
      </c>
      <c r="U4132" t="s">
        <v>11100</v>
      </c>
      <c r="V4132" t="s">
        <v>11100</v>
      </c>
      <c r="W4132" t="s">
        <v>15181</v>
      </c>
      <c r="X4132">
        <v>6</v>
      </c>
      <c r="Y4132" t="s">
        <v>20614</v>
      </c>
      <c r="Z4132" t="s">
        <v>26137</v>
      </c>
      <c r="AA4132">
        <v>0.59001832592748982</v>
      </c>
      <c r="AB4132" t="str">
        <f>HYPERLINK("Melting_Curves/meltCurve_Q92871_PMM1.pdf", "Melting_Curves/meltCurve_Q92871_PMM1.pdf")</f>
        <v>Melting_Curves/meltCurve_Q92871_PMM1.pdf</v>
      </c>
    </row>
    <row r="4133" spans="1:28" x14ac:dyDescent="0.25">
      <c r="A4133" t="s">
        <v>4137</v>
      </c>
      <c r="B4133">
        <v>0.99299721793515405</v>
      </c>
      <c r="C4133">
        <v>0.98717710850555096</v>
      </c>
      <c r="D4133">
        <v>1.0213997903988901</v>
      </c>
      <c r="E4133">
        <v>0.77926064517853499</v>
      </c>
      <c r="F4133">
        <v>0.59948691619488204</v>
      </c>
      <c r="G4133">
        <v>0.39761198539755199</v>
      </c>
      <c r="H4133">
        <v>0.28155280760888202</v>
      </c>
      <c r="I4133">
        <v>0.20801113094931001</v>
      </c>
      <c r="J4133">
        <v>0.169526238554944</v>
      </c>
      <c r="K4133">
        <v>0.15312873299188401</v>
      </c>
      <c r="L4133">
        <v>766.33267681958705</v>
      </c>
      <c r="M4133">
        <v>15.124092846398201</v>
      </c>
      <c r="N4133">
        <v>51.811887011072599</v>
      </c>
      <c r="O4133">
        <v>49.808577305134897</v>
      </c>
      <c r="P4133">
        <v>-6.5155908070649193E-2</v>
      </c>
      <c r="Q4133">
        <v>0.14176520722527899</v>
      </c>
      <c r="R4133">
        <v>0.99343459949721402</v>
      </c>
      <c r="S4133" t="s">
        <v>9684</v>
      </c>
      <c r="T4133" t="s">
        <v>11100</v>
      </c>
      <c r="U4133" t="s">
        <v>11100</v>
      </c>
      <c r="V4133" t="s">
        <v>11100</v>
      </c>
      <c r="W4133" t="s">
        <v>15182</v>
      </c>
      <c r="X4133">
        <v>28</v>
      </c>
      <c r="Y4133" t="s">
        <v>20615</v>
      </c>
      <c r="Z4133" t="s">
        <v>26138</v>
      </c>
      <c r="AA4133">
        <v>0.55014415535463812</v>
      </c>
      <c r="AB4133" t="str">
        <f>HYPERLINK("Melting_Curves/meltCurve_Q92878_RAD50.pdf", "Melting_Curves/meltCurve_Q92878_RAD50.pdf")</f>
        <v>Melting_Curves/meltCurve_Q92878_RAD50.pdf</v>
      </c>
    </row>
    <row r="4134" spans="1:28" x14ac:dyDescent="0.25">
      <c r="A4134" t="s">
        <v>4138</v>
      </c>
      <c r="B4134">
        <v>0.99299721793515405</v>
      </c>
      <c r="C4134">
        <v>0.99258489048629495</v>
      </c>
      <c r="D4134">
        <v>0.79711128151041</v>
      </c>
      <c r="E4134">
        <v>0.86131077966565195</v>
      </c>
      <c r="F4134">
        <v>0.71345643805579495</v>
      </c>
      <c r="G4134">
        <v>0.359118447106059</v>
      </c>
      <c r="H4134">
        <v>0.23623459681994299</v>
      </c>
      <c r="I4134">
        <v>0.19292212720228899</v>
      </c>
      <c r="J4134">
        <v>0.21100898401531101</v>
      </c>
      <c r="K4134">
        <v>0.167528749830305</v>
      </c>
      <c r="L4134">
        <v>796.09731788311694</v>
      </c>
      <c r="M4134">
        <v>15.5652616511688</v>
      </c>
      <c r="N4134">
        <v>52.2286127152937</v>
      </c>
      <c r="O4134">
        <v>50.323877525383303</v>
      </c>
      <c r="P4134">
        <v>-6.66674492119846E-2</v>
      </c>
      <c r="Q4134">
        <v>0.13790812188215601</v>
      </c>
      <c r="R4134">
        <v>0.96538714291667205</v>
      </c>
      <c r="S4134" t="s">
        <v>9685</v>
      </c>
      <c r="T4134" t="s">
        <v>11100</v>
      </c>
      <c r="U4134" t="s">
        <v>11100</v>
      </c>
      <c r="V4134" t="s">
        <v>11100</v>
      </c>
      <c r="W4134" t="s">
        <v>15183</v>
      </c>
      <c r="X4134">
        <v>5</v>
      </c>
      <c r="Y4134" t="s">
        <v>20616</v>
      </c>
      <c r="Z4134" t="s">
        <v>26139</v>
      </c>
      <c r="AA4134">
        <v>0.56083217295978305</v>
      </c>
      <c r="AB4134" t="str">
        <f>HYPERLINK("Melting_Curves/meltCurve_Q92882_OSTF1.pdf", "Melting_Curves/meltCurve_Q92882_OSTF1.pdf")</f>
        <v>Melting_Curves/meltCurve_Q92882_OSTF1.pdf</v>
      </c>
    </row>
    <row r="4135" spans="1:28" x14ac:dyDescent="0.25">
      <c r="A4135" t="s">
        <v>4139</v>
      </c>
      <c r="B4135">
        <v>0.99299721793515405</v>
      </c>
      <c r="C4135">
        <v>0.97670316083116404</v>
      </c>
      <c r="D4135">
        <v>0.92061426747794906</v>
      </c>
      <c r="E4135">
        <v>0.84975819937430797</v>
      </c>
      <c r="F4135">
        <v>0.59911112209505901</v>
      </c>
      <c r="G4135">
        <v>0.31362856746126599</v>
      </c>
      <c r="H4135">
        <v>0.22650828742717999</v>
      </c>
      <c r="I4135">
        <v>0.20014918450552599</v>
      </c>
      <c r="J4135">
        <v>0.16741890172857801</v>
      </c>
      <c r="K4135">
        <v>0.15119105111943501</v>
      </c>
      <c r="L4135">
        <v>941.405210105327</v>
      </c>
      <c r="M4135">
        <v>18.734255372970701</v>
      </c>
      <c r="N4135">
        <v>51.2343393855028</v>
      </c>
      <c r="O4135">
        <v>49.688419459417297</v>
      </c>
      <c r="P4135">
        <v>-8.0021836765820406E-2</v>
      </c>
      <c r="Q4135">
        <v>0.151075725577732</v>
      </c>
      <c r="R4135">
        <v>0.99663693710405699</v>
      </c>
      <c r="S4135" t="s">
        <v>9686</v>
      </c>
      <c r="T4135" t="s">
        <v>11100</v>
      </c>
      <c r="U4135" t="s">
        <v>11100</v>
      </c>
      <c r="V4135" t="s">
        <v>11100</v>
      </c>
      <c r="W4135" t="s">
        <v>15184</v>
      </c>
      <c r="X4135">
        <v>15</v>
      </c>
      <c r="Y4135" t="s">
        <v>20617</v>
      </c>
      <c r="Z4135" t="s">
        <v>26140</v>
      </c>
      <c r="AA4135">
        <v>0.53851296936978177</v>
      </c>
      <c r="AB4135" t="str">
        <f>HYPERLINK("Melting_Curves/meltCurve_Q92888_3_ARHGEF1.pdf", "Melting_Curves/meltCurve_Q92888_3_ARHGEF1.pdf")</f>
        <v>Melting_Curves/meltCurve_Q92888_3_ARHGEF1.pdf</v>
      </c>
    </row>
    <row r="4136" spans="1:28" x14ac:dyDescent="0.25">
      <c r="A4136" t="s">
        <v>4140</v>
      </c>
      <c r="B4136">
        <v>0.99299721793515405</v>
      </c>
      <c r="C4136">
        <v>1.0253450944948499</v>
      </c>
      <c r="D4136">
        <v>0.89572862352119698</v>
      </c>
      <c r="E4136">
        <v>0.99118560747038897</v>
      </c>
      <c r="F4136">
        <v>0.93314854601448705</v>
      </c>
      <c r="G4136">
        <v>0.402083873221451</v>
      </c>
      <c r="H4136">
        <v>0.27911454269108099</v>
      </c>
      <c r="I4136">
        <v>0.218562095762282</v>
      </c>
      <c r="J4136">
        <v>0.20612426774190801</v>
      </c>
      <c r="K4136">
        <v>0.13189686690011801</v>
      </c>
      <c r="L4136">
        <v>2403.8399818538201</v>
      </c>
      <c r="M4136">
        <v>45.692499132867603</v>
      </c>
      <c r="N4136">
        <v>53.2111988215323</v>
      </c>
      <c r="O4136">
        <v>52.508599686361599</v>
      </c>
      <c r="P4136">
        <v>-0.173633632547878</v>
      </c>
      <c r="Q4136">
        <v>0.20186043916075899</v>
      </c>
      <c r="R4136">
        <v>0.98465341835688303</v>
      </c>
      <c r="S4136" t="s">
        <v>9687</v>
      </c>
      <c r="T4136" t="s">
        <v>11100</v>
      </c>
      <c r="U4136" t="s">
        <v>11100</v>
      </c>
      <c r="V4136" t="s">
        <v>11100</v>
      </c>
      <c r="W4136" t="s">
        <v>15185</v>
      </c>
      <c r="X4136">
        <v>5</v>
      </c>
      <c r="Y4136" t="s">
        <v>20618</v>
      </c>
      <c r="Z4136" t="s">
        <v>26141</v>
      </c>
      <c r="AA4136">
        <v>0.61935180970207659</v>
      </c>
      <c r="AB4136" t="str">
        <f>HYPERLINK("Melting_Curves/meltCurve_Q92889_ERCC4.pdf", "Melting_Curves/meltCurve_Q92889_ERCC4.pdf")</f>
        <v>Melting_Curves/meltCurve_Q92889_ERCC4.pdf</v>
      </c>
    </row>
    <row r="4137" spans="1:28" x14ac:dyDescent="0.25">
      <c r="A4137" t="s">
        <v>4141</v>
      </c>
      <c r="B4137">
        <v>0.99299721793515405</v>
      </c>
      <c r="C4137">
        <v>0.94843275293343199</v>
      </c>
      <c r="D4137">
        <v>1.01169485672876</v>
      </c>
      <c r="E4137">
        <v>0.90976226729629694</v>
      </c>
      <c r="F4137">
        <v>0.72925175344990101</v>
      </c>
      <c r="G4137">
        <v>0.63762185420205897</v>
      </c>
      <c r="H4137">
        <v>0.52258662865708205</v>
      </c>
      <c r="I4137">
        <v>0.50345707847738397</v>
      </c>
      <c r="J4137">
        <v>0.33335363119040801</v>
      </c>
      <c r="K4137">
        <v>0.16750912151048</v>
      </c>
      <c r="L4137">
        <v>481.77038784101001</v>
      </c>
      <c r="M4137">
        <v>8.2837082929916992</v>
      </c>
      <c r="N4137">
        <v>58.158777956601703</v>
      </c>
      <c r="O4137">
        <v>55.065010541969201</v>
      </c>
      <c r="P4137">
        <v>-3.7646098412653303E-2</v>
      </c>
      <c r="Q4137">
        <v>0</v>
      </c>
      <c r="R4137">
        <v>0.96592897245083598</v>
      </c>
      <c r="S4137" t="s">
        <v>9688</v>
      </c>
      <c r="T4137" t="s">
        <v>11100</v>
      </c>
      <c r="U4137" t="s">
        <v>11100</v>
      </c>
      <c r="V4137" t="s">
        <v>11100</v>
      </c>
      <c r="W4137" t="s">
        <v>15186</v>
      </c>
      <c r="X4137">
        <v>11</v>
      </c>
      <c r="Y4137" t="s">
        <v>20619</v>
      </c>
      <c r="Z4137" t="s">
        <v>26142</v>
      </c>
      <c r="AA4137">
        <v>0.6849510613656361</v>
      </c>
      <c r="AB4137" t="str">
        <f>HYPERLINK("Melting_Curves/meltCurve_Q92890_UFD1L.pdf", "Melting_Curves/meltCurve_Q92890_UFD1L.pdf")</f>
        <v>Melting_Curves/meltCurve_Q92890_UFD1L.pdf</v>
      </c>
    </row>
    <row r="4138" spans="1:28" x14ac:dyDescent="0.25">
      <c r="A4138" t="s">
        <v>4142</v>
      </c>
      <c r="B4138">
        <v>0.99299721793515405</v>
      </c>
      <c r="C4138">
        <v>0.91684357472692801</v>
      </c>
      <c r="D4138">
        <v>0.96095231958447402</v>
      </c>
      <c r="E4138">
        <v>0.83331560783516201</v>
      </c>
      <c r="F4138">
        <v>0.74826402659583102</v>
      </c>
      <c r="G4138">
        <v>0.77473308209126301</v>
      </c>
      <c r="H4138">
        <v>0.91172352182068095</v>
      </c>
      <c r="I4138">
        <v>0.95196943311983995</v>
      </c>
      <c r="J4138">
        <v>0.70272016708110396</v>
      </c>
      <c r="K4138">
        <v>0.52643072674929803</v>
      </c>
      <c r="L4138">
        <v>205.06149352046799</v>
      </c>
      <c r="M4138">
        <v>2.2816159216142</v>
      </c>
      <c r="O4138">
        <v>57.6843465141217</v>
      </c>
      <c r="P4138">
        <v>-1.0530062830523599E-2</v>
      </c>
      <c r="Q4138">
        <v>0</v>
      </c>
      <c r="R4138">
        <v>0.450093602049498</v>
      </c>
      <c r="S4138" t="s">
        <v>9689</v>
      </c>
      <c r="T4138" t="s">
        <v>11100</v>
      </c>
      <c r="U4138" t="s">
        <v>11100</v>
      </c>
      <c r="V4138" t="s">
        <v>11100</v>
      </c>
      <c r="W4138" t="s">
        <v>15187</v>
      </c>
      <c r="X4138">
        <v>22</v>
      </c>
      <c r="Y4138" t="s">
        <v>20620</v>
      </c>
      <c r="Z4138" t="s">
        <v>26143</v>
      </c>
      <c r="AA4138">
        <v>0.83520673489422004</v>
      </c>
      <c r="AB4138" t="str">
        <f>HYPERLINK("Melting_Curves/meltCurve_Q92896_GLG1.pdf", "Melting_Curves/meltCurve_Q92896_GLG1.pdf")</f>
        <v>Melting_Curves/meltCurve_Q92896_GLG1.pdf</v>
      </c>
    </row>
    <row r="4139" spans="1:28" x14ac:dyDescent="0.25">
      <c r="A4139" t="s">
        <v>4143</v>
      </c>
      <c r="B4139">
        <v>0.99299721793515405</v>
      </c>
      <c r="C4139">
        <v>0.95393097229561996</v>
      </c>
      <c r="D4139">
        <v>0.91786212224214303</v>
      </c>
      <c r="E4139">
        <v>0.78935025976835904</v>
      </c>
      <c r="F4139">
        <v>0.63810995390761605</v>
      </c>
      <c r="G4139">
        <v>0.47073869510205202</v>
      </c>
      <c r="H4139">
        <v>0.33262522031891001</v>
      </c>
      <c r="I4139">
        <v>0.289893055726264</v>
      </c>
      <c r="J4139">
        <v>0.247748635146221</v>
      </c>
      <c r="K4139">
        <v>0.21372039723667999</v>
      </c>
      <c r="L4139">
        <v>584.140749999013</v>
      </c>
      <c r="M4139">
        <v>11.4185325018952</v>
      </c>
      <c r="N4139">
        <v>53.023298310073699</v>
      </c>
      <c r="O4139">
        <v>49.6636047114742</v>
      </c>
      <c r="P4139">
        <v>-4.7982854770347499E-2</v>
      </c>
      <c r="Q4139">
        <v>0.16545995390293</v>
      </c>
      <c r="R4139">
        <v>0.99895106406997303</v>
      </c>
      <c r="S4139" t="s">
        <v>9690</v>
      </c>
      <c r="T4139" t="s">
        <v>11100</v>
      </c>
      <c r="U4139" t="s">
        <v>11100</v>
      </c>
      <c r="V4139" t="s">
        <v>11100</v>
      </c>
      <c r="W4139" t="s">
        <v>15188</v>
      </c>
      <c r="X4139">
        <v>35</v>
      </c>
      <c r="Y4139" t="s">
        <v>20621</v>
      </c>
      <c r="Z4139" t="s">
        <v>26144</v>
      </c>
      <c r="AA4139">
        <v>0.58174247122996336</v>
      </c>
      <c r="AB4139" t="str">
        <f>HYPERLINK("Melting_Curves/meltCurve_Q92900_2_UPF1.pdf", "Melting_Curves/meltCurve_Q92900_2_UPF1.pdf")</f>
        <v>Melting_Curves/meltCurve_Q92900_2_UPF1.pdf</v>
      </c>
    </row>
    <row r="4140" spans="1:28" x14ac:dyDescent="0.25">
      <c r="A4140" t="s">
        <v>4144</v>
      </c>
      <c r="B4140">
        <v>0.99299721793515405</v>
      </c>
      <c r="C4140">
        <v>0.84218993477889204</v>
      </c>
      <c r="D4140">
        <v>0.77824882054368705</v>
      </c>
      <c r="E4140">
        <v>0.82821507965692598</v>
      </c>
      <c r="F4140">
        <v>0.70585026599439804</v>
      </c>
      <c r="G4140">
        <v>0.824952751305155</v>
      </c>
      <c r="H4140">
        <v>1.1082201756324299</v>
      </c>
      <c r="I4140">
        <v>0.57921689693439404</v>
      </c>
      <c r="J4140">
        <v>0.28053983637348701</v>
      </c>
      <c r="K4140">
        <v>0.214964496988854</v>
      </c>
      <c r="L4140">
        <v>8268.6010527311901</v>
      </c>
      <c r="M4140">
        <v>135.78652415369501</v>
      </c>
      <c r="N4140">
        <v>61.201611190189602</v>
      </c>
      <c r="O4140">
        <v>60.880893678814097</v>
      </c>
      <c r="P4140">
        <v>-0.41972560595746</v>
      </c>
      <c r="Q4140">
        <v>0.247251408568674</v>
      </c>
      <c r="R4140">
        <v>0.68044176416314806</v>
      </c>
      <c r="S4140" t="s">
        <v>9691</v>
      </c>
      <c r="T4140" t="s">
        <v>11100</v>
      </c>
      <c r="U4140" t="s">
        <v>11100</v>
      </c>
      <c r="V4140" t="s">
        <v>11100</v>
      </c>
      <c r="W4140" t="s">
        <v>15189</v>
      </c>
      <c r="X4140">
        <v>2</v>
      </c>
      <c r="Y4140" t="s">
        <v>20622</v>
      </c>
      <c r="Z4140" t="s">
        <v>26145</v>
      </c>
      <c r="AA4140">
        <v>0.8470663833105071</v>
      </c>
      <c r="AB4140" t="str">
        <f>HYPERLINK("Melting_Curves/meltCurve_Q92905_COPS5.pdf", "Melting_Curves/meltCurve_Q92905_COPS5.pdf")</f>
        <v>Melting_Curves/meltCurve_Q92905_COPS5.pdf</v>
      </c>
    </row>
    <row r="4141" spans="1:28" x14ac:dyDescent="0.25">
      <c r="A4141" t="s">
        <v>4145</v>
      </c>
      <c r="B4141">
        <v>0.99299721793515405</v>
      </c>
      <c r="C4141">
        <v>0.97377671057539195</v>
      </c>
      <c r="D4141">
        <v>0.93861371517738801</v>
      </c>
      <c r="E4141">
        <v>0.85761558293399098</v>
      </c>
      <c r="F4141">
        <v>0.67902228724915703</v>
      </c>
      <c r="G4141">
        <v>0.32776608187758099</v>
      </c>
      <c r="H4141">
        <v>0.240126639193117</v>
      </c>
      <c r="I4141">
        <v>0.18558173175945</v>
      </c>
      <c r="J4141">
        <v>0.18494739299073601</v>
      </c>
      <c r="K4141">
        <v>0.145135500404526</v>
      </c>
      <c r="L4141">
        <v>995.62944633590996</v>
      </c>
      <c r="M4141">
        <v>19.5554551397965</v>
      </c>
      <c r="N4141">
        <v>51.858145296538197</v>
      </c>
      <c r="O4141">
        <v>50.389690404376303</v>
      </c>
      <c r="P4141">
        <v>-8.2481580111502903E-2</v>
      </c>
      <c r="Q4141">
        <v>0.14988971108388599</v>
      </c>
      <c r="R4141">
        <v>0.99418791073125101</v>
      </c>
      <c r="S4141" t="s">
        <v>9692</v>
      </c>
      <c r="T4141" t="s">
        <v>11100</v>
      </c>
      <c r="U4141" t="s">
        <v>11100</v>
      </c>
      <c r="V4141" t="s">
        <v>11100</v>
      </c>
      <c r="W4141" t="s">
        <v>15190</v>
      </c>
      <c r="X4141">
        <v>21</v>
      </c>
      <c r="Y4141" t="s">
        <v>20623</v>
      </c>
      <c r="Z4141" t="s">
        <v>26146</v>
      </c>
      <c r="AA4141">
        <v>0.55570908905451388</v>
      </c>
      <c r="AB4141" t="str">
        <f>HYPERLINK("Melting_Curves/meltCurve_Q92917_GPKOW.pdf", "Melting_Curves/meltCurve_Q92917_GPKOW.pdf")</f>
        <v>Melting_Curves/meltCurve_Q92917_GPKOW.pdf</v>
      </c>
    </row>
    <row r="4142" spans="1:28" x14ac:dyDescent="0.25">
      <c r="A4142" t="s">
        <v>4146</v>
      </c>
      <c r="B4142">
        <v>0.99299721793515405</v>
      </c>
      <c r="C4142">
        <v>1.0280064941805001</v>
      </c>
      <c r="D4142">
        <v>1.14912892538984</v>
      </c>
      <c r="E4142">
        <v>0.88253147238105301</v>
      </c>
      <c r="F4142">
        <v>0.790731342098141</v>
      </c>
      <c r="G4142">
        <v>0.67934262393873701</v>
      </c>
      <c r="H4142">
        <v>0.58004008795422102</v>
      </c>
      <c r="I4142">
        <v>0.59296826217142096</v>
      </c>
      <c r="J4142">
        <v>0.51541443069012005</v>
      </c>
      <c r="K4142">
        <v>0.355764090853604</v>
      </c>
      <c r="L4142">
        <v>657.13903156742299</v>
      </c>
      <c r="M4142">
        <v>12.192603875699801</v>
      </c>
      <c r="N4142">
        <v>61.747954820984397</v>
      </c>
      <c r="O4142">
        <v>52.508179600179297</v>
      </c>
      <c r="P4142">
        <v>-3.5192068021442598E-2</v>
      </c>
      <c r="Q4142">
        <v>0.39391036122420398</v>
      </c>
      <c r="R4142">
        <v>0.91095325327463095</v>
      </c>
      <c r="S4142" t="s">
        <v>9693</v>
      </c>
      <c r="T4142" t="s">
        <v>11100</v>
      </c>
      <c r="U4142" t="s">
        <v>11100</v>
      </c>
      <c r="V4142" t="s">
        <v>11100</v>
      </c>
      <c r="W4142" t="s">
        <v>15191</v>
      </c>
      <c r="X4142">
        <v>9</v>
      </c>
      <c r="Y4142" t="s">
        <v>20624</v>
      </c>
      <c r="Z4142" t="s">
        <v>26147</v>
      </c>
      <c r="AA4142">
        <v>0.74630228177671898</v>
      </c>
      <c r="AB4142" t="str">
        <f>HYPERLINK("Melting_Curves/meltCurve_Q92930_RAB8B.pdf", "Melting_Curves/meltCurve_Q92930_RAB8B.pdf")</f>
        <v>Melting_Curves/meltCurve_Q92930_RAB8B.pdf</v>
      </c>
    </row>
    <row r="4143" spans="1:28" x14ac:dyDescent="0.25">
      <c r="A4143" t="s">
        <v>4147</v>
      </c>
      <c r="B4143">
        <v>0.99299721793515405</v>
      </c>
      <c r="C4143">
        <v>1.27601992121181</v>
      </c>
      <c r="D4143">
        <v>1.1177155470301701</v>
      </c>
      <c r="E4143">
        <v>0.86160439902063701</v>
      </c>
      <c r="F4143">
        <v>0.97870017682772004</v>
      </c>
      <c r="G4143">
        <v>0.57959616826127403</v>
      </c>
      <c r="H4143">
        <v>0.93211950454342596</v>
      </c>
      <c r="I4143">
        <v>1.31899625228541</v>
      </c>
      <c r="J4143">
        <v>1.5207350242926301</v>
      </c>
      <c r="K4143">
        <v>0.92098064844503402</v>
      </c>
      <c r="L4143">
        <v>5423.9698003152398</v>
      </c>
      <c r="M4143">
        <v>91.679302371254295</v>
      </c>
      <c r="O4143">
        <v>59.134292268534097</v>
      </c>
      <c r="P4143">
        <v>9.8844186819210603E-2</v>
      </c>
      <c r="Q4143">
        <v>1.25502290442456</v>
      </c>
      <c r="R4143">
        <v>0.25334050158356802</v>
      </c>
      <c r="S4143" t="s">
        <v>9694</v>
      </c>
      <c r="T4143" t="s">
        <v>11100</v>
      </c>
      <c r="U4143" t="s">
        <v>11100</v>
      </c>
      <c r="V4143" t="s">
        <v>11100</v>
      </c>
      <c r="W4143" t="s">
        <v>15192</v>
      </c>
      <c r="X4143">
        <v>2</v>
      </c>
      <c r="Y4143" t="s">
        <v>20625</v>
      </c>
      <c r="Z4143" t="s">
        <v>26148</v>
      </c>
      <c r="AA4143">
        <v>1.0664283579387479</v>
      </c>
      <c r="AB4143" t="str">
        <f>HYPERLINK("Melting_Curves/meltCurve_Q92934_BAD.pdf", "Melting_Curves/meltCurve_Q92934_BAD.pdf")</f>
        <v>Melting_Curves/meltCurve_Q92934_BAD.pdf</v>
      </c>
    </row>
    <row r="4144" spans="1:28" x14ac:dyDescent="0.25">
      <c r="A4144" t="s">
        <v>4148</v>
      </c>
      <c r="B4144">
        <v>0.99299721793515405</v>
      </c>
      <c r="C4144">
        <v>0.98086507724008598</v>
      </c>
      <c r="D4144">
        <v>1.0612862480129901</v>
      </c>
      <c r="E4144">
        <v>0.91078236137239399</v>
      </c>
      <c r="F4144">
        <v>0.74598396695828295</v>
      </c>
      <c r="G4144">
        <v>0.56422700560849304</v>
      </c>
      <c r="H4144">
        <v>0.53823329764571004</v>
      </c>
      <c r="I4144">
        <v>0.61982400900364498</v>
      </c>
      <c r="J4144">
        <v>0.65989752875604402</v>
      </c>
      <c r="K4144">
        <v>0.61236299670595595</v>
      </c>
      <c r="L4144">
        <v>1669.2140277614501</v>
      </c>
      <c r="M4144">
        <v>34.094972849812102</v>
      </c>
      <c r="O4144">
        <v>48.790249400125198</v>
      </c>
      <c r="P4144">
        <v>-7.0190103580998198E-2</v>
      </c>
      <c r="Q4144">
        <v>0.59823039311969195</v>
      </c>
      <c r="R4144">
        <v>0.95157860417765305</v>
      </c>
      <c r="S4144" t="s">
        <v>9695</v>
      </c>
      <c r="T4144" t="s">
        <v>11100</v>
      </c>
      <c r="U4144" t="s">
        <v>11100</v>
      </c>
      <c r="V4144" t="s">
        <v>11100</v>
      </c>
      <c r="W4144" t="s">
        <v>15193</v>
      </c>
      <c r="X4144">
        <v>66</v>
      </c>
      <c r="Y4144" t="s">
        <v>20626</v>
      </c>
      <c r="Z4144" t="s">
        <v>26149</v>
      </c>
      <c r="AA4144">
        <v>0.76024711746287765</v>
      </c>
      <c r="AB4144" t="str">
        <f>HYPERLINK("Melting_Curves/meltCurve_Q92945_KHSRP.pdf", "Melting_Curves/meltCurve_Q92945_KHSRP.pdf")</f>
        <v>Melting_Curves/meltCurve_Q92945_KHSRP.pdf</v>
      </c>
    </row>
    <row r="4145" spans="1:28" x14ac:dyDescent="0.25">
      <c r="A4145" t="s">
        <v>4149</v>
      </c>
      <c r="B4145">
        <v>0.99299721793515405</v>
      </c>
      <c r="C4145">
        <v>0.97057934345334596</v>
      </c>
      <c r="D4145">
        <v>0.923860180765679</v>
      </c>
      <c r="E4145">
        <v>0.88379449762135398</v>
      </c>
      <c r="F4145">
        <v>0.81457875695127502</v>
      </c>
      <c r="G4145">
        <v>0.72084118959207</v>
      </c>
      <c r="H4145">
        <v>0.48715525956073802</v>
      </c>
      <c r="I4145">
        <v>0.29025168782710797</v>
      </c>
      <c r="J4145">
        <v>0.221800934268929</v>
      </c>
      <c r="K4145">
        <v>0.157366804122925</v>
      </c>
      <c r="L4145">
        <v>643.72805304895701</v>
      </c>
      <c r="M4145">
        <v>11.2833853027474</v>
      </c>
      <c r="N4145">
        <v>57.050967987302698</v>
      </c>
      <c r="O4145">
        <v>55.347068933337098</v>
      </c>
      <c r="P4145">
        <v>-5.0982088110650699E-2</v>
      </c>
      <c r="Q4145">
        <v>0</v>
      </c>
      <c r="R4145">
        <v>0.99014546748516596</v>
      </c>
      <c r="S4145" t="s">
        <v>9696</v>
      </c>
      <c r="T4145" t="s">
        <v>11100</v>
      </c>
      <c r="U4145" t="s">
        <v>11100</v>
      </c>
      <c r="V4145" t="s">
        <v>11100</v>
      </c>
      <c r="W4145" t="s">
        <v>15194</v>
      </c>
      <c r="X4145">
        <v>10</v>
      </c>
      <c r="Y4145" t="s">
        <v>20627</v>
      </c>
      <c r="Z4145" t="s">
        <v>26150</v>
      </c>
      <c r="AA4145">
        <v>0.67112422307543951</v>
      </c>
      <c r="AB4145" t="str">
        <f>HYPERLINK("Melting_Curves/meltCurve_Q92947_GCDH.pdf", "Melting_Curves/meltCurve_Q92947_GCDH.pdf")</f>
        <v>Melting_Curves/meltCurve_Q92947_GCDH.pdf</v>
      </c>
    </row>
    <row r="4146" spans="1:28" x14ac:dyDescent="0.25">
      <c r="A4146" t="s">
        <v>4150</v>
      </c>
      <c r="B4146">
        <v>0.99299721793515405</v>
      </c>
      <c r="C4146">
        <v>0.97087350523725702</v>
      </c>
      <c r="D4146">
        <v>0.80575331750798096</v>
      </c>
      <c r="E4146">
        <v>0.71251089530737799</v>
      </c>
      <c r="F4146">
        <v>0.69909903960178599</v>
      </c>
      <c r="G4146">
        <v>0.36058562000280803</v>
      </c>
      <c r="H4146">
        <v>0.46500028390994402</v>
      </c>
      <c r="I4146">
        <v>0.43934288153086498</v>
      </c>
      <c r="J4146">
        <v>0.39147000532448101</v>
      </c>
      <c r="K4146">
        <v>0.38514643395971898</v>
      </c>
      <c r="L4146">
        <v>558.71230809971405</v>
      </c>
      <c r="M4146">
        <v>11.7479069279188</v>
      </c>
      <c r="N4146">
        <v>53.536290070635502</v>
      </c>
      <c r="O4146">
        <v>46.243182475607199</v>
      </c>
      <c r="P4146">
        <v>-4.03195465338664E-2</v>
      </c>
      <c r="Q4146">
        <v>0.36532842162442503</v>
      </c>
      <c r="R4146">
        <v>0.933841023308147</v>
      </c>
      <c r="S4146" t="s">
        <v>9697</v>
      </c>
      <c r="T4146" t="s">
        <v>11100</v>
      </c>
      <c r="U4146" t="s">
        <v>11100</v>
      </c>
      <c r="V4146" t="s">
        <v>11100</v>
      </c>
      <c r="W4146" t="s">
        <v>15195</v>
      </c>
      <c r="X4146">
        <v>2</v>
      </c>
      <c r="Y4146" t="s">
        <v>20628</v>
      </c>
      <c r="Z4146" t="s">
        <v>26151</v>
      </c>
      <c r="AA4146">
        <v>0.60966495347712246</v>
      </c>
      <c r="AB4146" t="str">
        <f>HYPERLINK("Melting_Curves/meltCurve_Q92968_PEX13.pdf", "Melting_Curves/meltCurve_Q92968_PEX13.pdf")</f>
        <v>Melting_Curves/meltCurve_Q92968_PEX13.pdf</v>
      </c>
    </row>
    <row r="4147" spans="1:28" x14ac:dyDescent="0.25">
      <c r="A4147" t="s">
        <v>4151</v>
      </c>
      <c r="B4147">
        <v>0.99299721793515405</v>
      </c>
      <c r="C4147">
        <v>1.0891684102125101</v>
      </c>
      <c r="D4147">
        <v>1.05714277221834</v>
      </c>
      <c r="E4147">
        <v>0.92451192303373098</v>
      </c>
      <c r="F4147">
        <v>0.78214252574095799</v>
      </c>
      <c r="G4147">
        <v>0.44922659604045101</v>
      </c>
      <c r="H4147">
        <v>0.22506912934931</v>
      </c>
      <c r="I4147">
        <v>0.278243584543787</v>
      </c>
      <c r="J4147">
        <v>0.167185733435015</v>
      </c>
      <c r="K4147">
        <v>9.4661533096981096E-2</v>
      </c>
      <c r="L4147">
        <v>1167.5716491697999</v>
      </c>
      <c r="M4147">
        <v>22.277202919269701</v>
      </c>
      <c r="N4147">
        <v>53.265109609458598</v>
      </c>
      <c r="O4147">
        <v>51.994195874917203</v>
      </c>
      <c r="P4147">
        <v>-9.10292544890728E-2</v>
      </c>
      <c r="Q4147">
        <v>0.15018180397057199</v>
      </c>
      <c r="R4147">
        <v>0.98167223790871205</v>
      </c>
      <c r="S4147" t="s">
        <v>9698</v>
      </c>
      <c r="T4147" t="s">
        <v>11100</v>
      </c>
      <c r="U4147" t="s">
        <v>11100</v>
      </c>
      <c r="V4147" t="s">
        <v>11100</v>
      </c>
      <c r="W4147" t="s">
        <v>15196</v>
      </c>
      <c r="X4147">
        <v>21</v>
      </c>
      <c r="Y4147" t="s">
        <v>20629</v>
      </c>
      <c r="Z4147" t="s">
        <v>26152</v>
      </c>
      <c r="AA4147">
        <v>0.59590489537061131</v>
      </c>
      <c r="AB4147" t="str">
        <f>HYPERLINK("Melting_Curves/meltCurve_Q92973_2_TNPO1.pdf", "Melting_Curves/meltCurve_Q92973_2_TNPO1.pdf")</f>
        <v>Melting_Curves/meltCurve_Q92973_2_TNPO1.pdf</v>
      </c>
    </row>
    <row r="4148" spans="1:28" x14ac:dyDescent="0.25">
      <c r="A4148" t="s">
        <v>4152</v>
      </c>
      <c r="B4148">
        <v>0.99299721793515405</v>
      </c>
      <c r="C4148">
        <v>0.78954883995477798</v>
      </c>
      <c r="D4148">
        <v>0.92018321378277601</v>
      </c>
      <c r="E4148">
        <v>0.78429659018250797</v>
      </c>
      <c r="F4148">
        <v>0.67453529322570205</v>
      </c>
      <c r="G4148">
        <v>0.44880775709468801</v>
      </c>
      <c r="H4148">
        <v>0.40291192547723198</v>
      </c>
      <c r="I4148">
        <v>0.33226428580161999</v>
      </c>
      <c r="J4148">
        <v>0.33485608614893198</v>
      </c>
      <c r="K4148">
        <v>0.33977260922288399</v>
      </c>
      <c r="L4148">
        <v>473.32546268508599</v>
      </c>
      <c r="M4148">
        <v>9.4094782641933605</v>
      </c>
      <c r="N4148">
        <v>53.996860651227301</v>
      </c>
      <c r="O4148">
        <v>48.187981842834297</v>
      </c>
      <c r="P4148">
        <v>-3.7254121843214902E-2</v>
      </c>
      <c r="Q4148">
        <v>0.237322048902295</v>
      </c>
      <c r="R4148">
        <v>0.943050446988559</v>
      </c>
      <c r="S4148" t="s">
        <v>9699</v>
      </c>
      <c r="T4148" t="s">
        <v>11100</v>
      </c>
      <c r="U4148" t="s">
        <v>11100</v>
      </c>
      <c r="V4148" t="s">
        <v>11100</v>
      </c>
      <c r="W4148" t="s">
        <v>15197</v>
      </c>
      <c r="X4148">
        <v>3</v>
      </c>
      <c r="Y4148" t="s">
        <v>20630</v>
      </c>
      <c r="Z4148" t="s">
        <v>26153</v>
      </c>
      <c r="AA4148">
        <v>0.60196204847205481</v>
      </c>
      <c r="AB4148" t="str">
        <f>HYPERLINK("Melting_Curves/meltCurve_Q92979_EMG1.pdf", "Melting_Curves/meltCurve_Q92979_EMG1.pdf")</f>
        <v>Melting_Curves/meltCurve_Q92979_EMG1.pdf</v>
      </c>
    </row>
    <row r="4149" spans="1:28" x14ac:dyDescent="0.25">
      <c r="A4149" t="s">
        <v>4153</v>
      </c>
      <c r="B4149">
        <v>0.99299721793515405</v>
      </c>
      <c r="C4149">
        <v>0.89979103600776</v>
      </c>
      <c r="D4149">
        <v>0.95455314862847396</v>
      </c>
      <c r="E4149">
        <v>0.87284597493971094</v>
      </c>
      <c r="F4149">
        <v>0.72744783761596798</v>
      </c>
      <c r="G4149">
        <v>0.55393275956289501</v>
      </c>
      <c r="H4149">
        <v>0.30937024740769897</v>
      </c>
      <c r="I4149">
        <v>0.25162931765604302</v>
      </c>
      <c r="J4149">
        <v>0.170878627471657</v>
      </c>
      <c r="K4149">
        <v>0.123905730768212</v>
      </c>
      <c r="L4149">
        <v>626.32022945103404</v>
      </c>
      <c r="M4149">
        <v>11.584161752785899</v>
      </c>
      <c r="N4149">
        <v>54.3556003271527</v>
      </c>
      <c r="O4149">
        <v>52.531057153206</v>
      </c>
      <c r="P4149">
        <v>-5.3500190559380399E-2</v>
      </c>
      <c r="Q4149">
        <v>2.98319370372047E-2</v>
      </c>
      <c r="R4149">
        <v>0.99022417262663598</v>
      </c>
      <c r="S4149" t="s">
        <v>9700</v>
      </c>
      <c r="T4149" t="s">
        <v>11100</v>
      </c>
      <c r="U4149" t="s">
        <v>11100</v>
      </c>
      <c r="V4149" t="s">
        <v>11100</v>
      </c>
      <c r="W4149" t="s">
        <v>15198</v>
      </c>
      <c r="X4149">
        <v>12</v>
      </c>
      <c r="Y4149" t="s">
        <v>20631</v>
      </c>
      <c r="Z4149" t="s">
        <v>26154</v>
      </c>
      <c r="AA4149">
        <v>0.59896942539805142</v>
      </c>
      <c r="AB4149" t="str">
        <f>HYPERLINK("Melting_Curves/meltCurve_Q92990_GLMN.pdf", "Melting_Curves/meltCurve_Q92990_GLMN.pdf")</f>
        <v>Melting_Curves/meltCurve_Q92990_GLMN.pdf</v>
      </c>
    </row>
    <row r="4150" spans="1:28" x14ac:dyDescent="0.25">
      <c r="A4150" t="s">
        <v>4154</v>
      </c>
      <c r="B4150">
        <v>0.99299721793515405</v>
      </c>
      <c r="C4150">
        <v>1.00621033685244</v>
      </c>
      <c r="D4150">
        <v>0.90785872716049798</v>
      </c>
      <c r="E4150">
        <v>0.82909231680444895</v>
      </c>
      <c r="F4150">
        <v>0.70685706370316004</v>
      </c>
      <c r="G4150">
        <v>0.36668629775809802</v>
      </c>
      <c r="H4150">
        <v>0.21931060234067701</v>
      </c>
      <c r="I4150">
        <v>0.164865586707138</v>
      </c>
      <c r="J4150">
        <v>0.14183926455299101</v>
      </c>
      <c r="K4150">
        <v>0.122851428372871</v>
      </c>
      <c r="L4150">
        <v>834.32533958661895</v>
      </c>
      <c r="M4150">
        <v>16.190960075964401</v>
      </c>
      <c r="N4150">
        <v>52.2058610135674</v>
      </c>
      <c r="O4150">
        <v>50.763466535595299</v>
      </c>
      <c r="P4150">
        <v>-7.22069436437794E-2</v>
      </c>
      <c r="Q4150">
        <v>9.4506971568555101E-2</v>
      </c>
      <c r="R4150">
        <v>0.99196973981836201</v>
      </c>
      <c r="S4150" t="s">
        <v>9701</v>
      </c>
      <c r="T4150" t="s">
        <v>11100</v>
      </c>
      <c r="U4150" t="s">
        <v>11100</v>
      </c>
      <c r="V4150" t="s">
        <v>11100</v>
      </c>
      <c r="W4150" t="s">
        <v>15199</v>
      </c>
      <c r="X4150">
        <v>8</v>
      </c>
      <c r="Y4150" t="s">
        <v>20632</v>
      </c>
      <c r="Z4150" t="s">
        <v>26155</v>
      </c>
      <c r="AA4150">
        <v>0.54919423374591603</v>
      </c>
      <c r="AB4150" t="str">
        <f>HYPERLINK("Melting_Curves/meltCurve_Q92995_USP13.pdf", "Melting_Curves/meltCurve_Q92995_USP13.pdf")</f>
        <v>Melting_Curves/meltCurve_Q92995_USP13.pdf</v>
      </c>
    </row>
    <row r="4151" spans="1:28" x14ac:dyDescent="0.25">
      <c r="A4151" t="s">
        <v>4155</v>
      </c>
      <c r="B4151">
        <v>0.99299721793515405</v>
      </c>
      <c r="C4151">
        <v>0.83142855992210196</v>
      </c>
      <c r="D4151">
        <v>0.90917710826706299</v>
      </c>
      <c r="E4151">
        <v>0.84800688530178503</v>
      </c>
      <c r="F4151">
        <v>0.72859747842907197</v>
      </c>
      <c r="G4151">
        <v>0.593808925524413</v>
      </c>
      <c r="H4151">
        <v>0.35453988233144201</v>
      </c>
      <c r="I4151">
        <v>0.25789306627043102</v>
      </c>
      <c r="J4151">
        <v>0.282126603035802</v>
      </c>
      <c r="K4151">
        <v>0.248204819871364</v>
      </c>
      <c r="L4151">
        <v>502.19516244138799</v>
      </c>
      <c r="M4151">
        <v>9.3268512451382595</v>
      </c>
      <c r="N4151">
        <v>54.996656296594502</v>
      </c>
      <c r="O4151">
        <v>51.542583975346503</v>
      </c>
      <c r="P4151">
        <v>-4.1248527839849197E-2</v>
      </c>
      <c r="Q4151">
        <v>8.8778036186010906E-2</v>
      </c>
      <c r="R4151">
        <v>0.95978867415490199</v>
      </c>
      <c r="S4151" t="s">
        <v>9702</v>
      </c>
      <c r="T4151" t="s">
        <v>11100</v>
      </c>
      <c r="U4151" t="s">
        <v>11100</v>
      </c>
      <c r="V4151" t="s">
        <v>11100</v>
      </c>
      <c r="W4151" t="s">
        <v>15200</v>
      </c>
      <c r="X4151">
        <v>5</v>
      </c>
      <c r="Y4151" t="s">
        <v>20633</v>
      </c>
      <c r="Z4151" t="s">
        <v>26156</v>
      </c>
      <c r="AA4151">
        <v>0.61668245706394598</v>
      </c>
      <c r="AB4151" t="str">
        <f>HYPERLINK("Melting_Curves/meltCurve_Q93008_1_USP9X.pdf", "Melting_Curves/meltCurve_Q93008_1_USP9X.pdf")</f>
        <v>Melting_Curves/meltCurve_Q93008_1_USP9X.pdf</v>
      </c>
    </row>
    <row r="4152" spans="1:28" x14ac:dyDescent="0.25">
      <c r="A4152" t="s">
        <v>4156</v>
      </c>
      <c r="B4152">
        <v>0.99299721793515405</v>
      </c>
      <c r="C4152">
        <v>1.1313981481465001</v>
      </c>
      <c r="D4152">
        <v>1.0814612573914499</v>
      </c>
      <c r="E4152">
        <v>1.02397840096096</v>
      </c>
      <c r="F4152">
        <v>0.527799204226577</v>
      </c>
      <c r="G4152">
        <v>0.431478348980608</v>
      </c>
      <c r="H4152">
        <v>0.24087832823778901</v>
      </c>
      <c r="I4152">
        <v>0.16967528942371199</v>
      </c>
      <c r="J4152">
        <v>0.18958016189715901</v>
      </c>
      <c r="K4152">
        <v>0</v>
      </c>
      <c r="L4152">
        <v>1034.39859496346</v>
      </c>
      <c r="M4152">
        <v>20.1264248591838</v>
      </c>
      <c r="N4152">
        <v>52.052863497946397</v>
      </c>
      <c r="O4152">
        <v>50.895726147822998</v>
      </c>
      <c r="P4152">
        <v>-8.7762901982939096E-2</v>
      </c>
      <c r="Q4152">
        <v>0.11228836581210599</v>
      </c>
      <c r="R4152">
        <v>0.95104508367784502</v>
      </c>
      <c r="S4152" t="s">
        <v>9703</v>
      </c>
      <c r="T4152" t="s">
        <v>11100</v>
      </c>
      <c r="U4152" t="s">
        <v>11100</v>
      </c>
      <c r="V4152" t="s">
        <v>11100</v>
      </c>
      <c r="W4152" t="s">
        <v>15201</v>
      </c>
      <c r="X4152">
        <v>4</v>
      </c>
      <c r="Y4152" t="s">
        <v>20634</v>
      </c>
      <c r="Z4152" t="s">
        <v>26157</v>
      </c>
      <c r="AA4152">
        <v>0.54969752656963744</v>
      </c>
      <c r="AB4152" t="str">
        <f>HYPERLINK("Melting_Curves/meltCurve_Q93015_2_NAT6.pdf", "Melting_Curves/meltCurve_Q93015_2_NAT6.pdf")</f>
        <v>Melting_Curves/meltCurve_Q93015_2_NAT6.pdf</v>
      </c>
    </row>
    <row r="4153" spans="1:28" x14ac:dyDescent="0.25">
      <c r="A4153" t="s">
        <v>4157</v>
      </c>
      <c r="B4153">
        <v>0.99299721793515405</v>
      </c>
      <c r="C4153">
        <v>0.95534063234195499</v>
      </c>
      <c r="D4153">
        <v>0.85132767166118894</v>
      </c>
      <c r="E4153">
        <v>0.82039354678497001</v>
      </c>
      <c r="F4153">
        <v>0.75642544572576997</v>
      </c>
      <c r="G4153">
        <v>0.84940214518561796</v>
      </c>
      <c r="H4153">
        <v>1.01387696332386</v>
      </c>
      <c r="I4153">
        <v>0.81521574794103902</v>
      </c>
      <c r="J4153">
        <v>0.191263683890947</v>
      </c>
      <c r="K4153">
        <v>0.13085956822623801</v>
      </c>
      <c r="L4153">
        <v>4901.1084642939204</v>
      </c>
      <c r="M4153">
        <v>79.031415683827305</v>
      </c>
      <c r="N4153">
        <v>62.249476261713298</v>
      </c>
      <c r="O4153">
        <v>61.975013861318502</v>
      </c>
      <c r="P4153">
        <v>-0.27771926129359498</v>
      </c>
      <c r="Q4153">
        <v>0.12887033383316801</v>
      </c>
      <c r="R4153">
        <v>0.844954598693618</v>
      </c>
      <c r="S4153" t="s">
        <v>9704</v>
      </c>
      <c r="T4153" t="s">
        <v>11100</v>
      </c>
      <c r="U4153" t="s">
        <v>11100</v>
      </c>
      <c r="V4153" t="s">
        <v>11100</v>
      </c>
      <c r="W4153" t="s">
        <v>15202</v>
      </c>
      <c r="X4153">
        <v>18</v>
      </c>
      <c r="Y4153" t="s">
        <v>20635</v>
      </c>
      <c r="Z4153" t="s">
        <v>26158</v>
      </c>
      <c r="AA4153">
        <v>0.85611248248404381</v>
      </c>
      <c r="AB4153" t="str">
        <f>HYPERLINK("Melting_Curves/meltCurve_Q93034_CUL5.pdf", "Melting_Curves/meltCurve_Q93034_CUL5.pdf")</f>
        <v>Melting_Curves/meltCurve_Q93034_CUL5.pdf</v>
      </c>
    </row>
    <row r="4154" spans="1:28" x14ac:dyDescent="0.25">
      <c r="A4154" t="s">
        <v>4158</v>
      </c>
      <c r="B4154">
        <v>0.99299721793515405</v>
      </c>
      <c r="C4154">
        <v>0.95420767452031097</v>
      </c>
      <c r="D4154">
        <v>0.93327071391614802</v>
      </c>
      <c r="E4154">
        <v>0.88843992216808199</v>
      </c>
      <c r="F4154">
        <v>0.72461879742323398</v>
      </c>
      <c r="G4154">
        <v>0.51308149529801905</v>
      </c>
      <c r="H4154">
        <v>0.555680185324397</v>
      </c>
      <c r="I4154">
        <v>0.69637757478922901</v>
      </c>
      <c r="J4154">
        <v>0.72058544539386504</v>
      </c>
      <c r="K4154">
        <v>0.54732781103295503</v>
      </c>
      <c r="L4154">
        <v>1457.71299491028</v>
      </c>
      <c r="M4154">
        <v>30.368970949481199</v>
      </c>
      <c r="O4154">
        <v>47.7933908452178</v>
      </c>
      <c r="P4154">
        <v>-6.2120508136631697E-2</v>
      </c>
      <c r="Q4154">
        <v>0.60895201371954899</v>
      </c>
      <c r="R4154">
        <v>0.84514132103999495</v>
      </c>
      <c r="S4154" t="s">
        <v>9705</v>
      </c>
      <c r="T4154" t="s">
        <v>11100</v>
      </c>
      <c r="U4154" t="s">
        <v>11100</v>
      </c>
      <c r="V4154" t="s">
        <v>11100</v>
      </c>
      <c r="W4154" t="s">
        <v>15203</v>
      </c>
      <c r="X4154">
        <v>20</v>
      </c>
      <c r="Y4154" t="s">
        <v>20636</v>
      </c>
      <c r="Z4154" t="s">
        <v>26159</v>
      </c>
      <c r="AA4154">
        <v>0.75459713042889498</v>
      </c>
      <c r="AB4154" t="str">
        <f>HYPERLINK("Melting_Curves/meltCurve_Q93052_LPP.pdf", "Melting_Curves/meltCurve_Q93052_LPP.pdf")</f>
        <v>Melting_Curves/meltCurve_Q93052_LPP.pdf</v>
      </c>
    </row>
    <row r="4155" spans="1:28" x14ac:dyDescent="0.25">
      <c r="A4155" t="s">
        <v>4159</v>
      </c>
      <c r="B4155">
        <v>0.99299721793515405</v>
      </c>
      <c r="C4155">
        <v>1.19460525941957</v>
      </c>
      <c r="D4155">
        <v>1.03904944159304</v>
      </c>
      <c r="E4155">
        <v>1.08513116227129</v>
      </c>
      <c r="F4155">
        <v>0.82735906609183896</v>
      </c>
      <c r="G4155">
        <v>0.54504931389911104</v>
      </c>
      <c r="H4155">
        <v>0.51915842094423803</v>
      </c>
      <c r="I4155">
        <v>0.50331724407541301</v>
      </c>
      <c r="J4155">
        <v>0.43414055567472698</v>
      </c>
      <c r="K4155">
        <v>0.26532771699573898</v>
      </c>
      <c r="L4155">
        <v>1486.1571367018701</v>
      </c>
      <c r="M4155">
        <v>28.587482587059199</v>
      </c>
      <c r="N4155">
        <v>55.336886038329197</v>
      </c>
      <c r="O4155">
        <v>51.733898588842102</v>
      </c>
      <c r="P4155">
        <v>-8.1308077805378506E-2</v>
      </c>
      <c r="Q4155">
        <v>0.41144161250092398</v>
      </c>
      <c r="R4155">
        <v>0.90943554380286895</v>
      </c>
      <c r="S4155" t="s">
        <v>9706</v>
      </c>
      <c r="T4155" t="s">
        <v>11100</v>
      </c>
      <c r="U4155" t="s">
        <v>11100</v>
      </c>
      <c r="V4155" t="s">
        <v>11100</v>
      </c>
      <c r="W4155" t="s">
        <v>15204</v>
      </c>
      <c r="X4155">
        <v>6</v>
      </c>
      <c r="Y4155" t="s">
        <v>20637</v>
      </c>
      <c r="Z4155" t="s">
        <v>26160</v>
      </c>
      <c r="AA4155">
        <v>0.70952183727276907</v>
      </c>
      <c r="AB4155" t="str">
        <f>HYPERLINK("Melting_Curves/meltCurve_Q93077_HIST1H2AC.pdf", "Melting_Curves/meltCurve_Q93077_HIST1H2AC.pdf")</f>
        <v>Melting_Curves/meltCurve_Q93077_HIST1H2AC.pdf</v>
      </c>
    </row>
    <row r="4156" spans="1:28" x14ac:dyDescent="0.25">
      <c r="A4156" t="s">
        <v>4160</v>
      </c>
      <c r="B4156">
        <v>0.99299721793515405</v>
      </c>
      <c r="C4156">
        <v>1.08146783860597</v>
      </c>
      <c r="D4156">
        <v>1.1179575655949301</v>
      </c>
      <c r="E4156">
        <v>0.99656054411318395</v>
      </c>
      <c r="F4156">
        <v>0.56409342367648196</v>
      </c>
      <c r="G4156">
        <v>0.39463032522689001</v>
      </c>
      <c r="H4156">
        <v>0.26491565153091401</v>
      </c>
      <c r="I4156">
        <v>0.24689406941119801</v>
      </c>
      <c r="J4156">
        <v>0.27630923306351002</v>
      </c>
      <c r="K4156">
        <v>0.21050374464506</v>
      </c>
      <c r="L4156">
        <v>1727.1626380011901</v>
      </c>
      <c r="M4156">
        <v>34.556108921811401</v>
      </c>
      <c r="N4156">
        <v>51.068794896448097</v>
      </c>
      <c r="O4156">
        <v>49.814902493413697</v>
      </c>
      <c r="P4156">
        <v>-0.12825723520124399</v>
      </c>
      <c r="Q4156">
        <v>0.26043780297937602</v>
      </c>
      <c r="R4156">
        <v>0.974627680249604</v>
      </c>
      <c r="S4156" t="s">
        <v>9707</v>
      </c>
      <c r="T4156" t="s">
        <v>11100</v>
      </c>
      <c r="U4156" t="s">
        <v>11100</v>
      </c>
      <c r="V4156" t="s">
        <v>11100</v>
      </c>
      <c r="W4156" t="s">
        <v>15205</v>
      </c>
      <c r="X4156">
        <v>13</v>
      </c>
      <c r="Y4156" t="s">
        <v>20638</v>
      </c>
      <c r="Z4156" t="s">
        <v>26161</v>
      </c>
      <c r="AA4156">
        <v>0.58388050893335042</v>
      </c>
      <c r="AB4156" t="str">
        <f>HYPERLINK("Melting_Curves/meltCurve_Q93079_HIST1H2BH.pdf", "Melting_Curves/meltCurve_Q93079_HIST1H2BH.pdf")</f>
        <v>Melting_Curves/meltCurve_Q93079_HIST1H2BH.pdf</v>
      </c>
    </row>
    <row r="4157" spans="1:28" x14ac:dyDescent="0.25">
      <c r="A4157" t="s">
        <v>4161</v>
      </c>
      <c r="B4157">
        <v>0.99299721793515405</v>
      </c>
      <c r="C4157">
        <v>0.90640104450275005</v>
      </c>
      <c r="D4157">
        <v>0.90661587083195305</v>
      </c>
      <c r="E4157">
        <v>0.73991112711133999</v>
      </c>
      <c r="F4157">
        <v>0.64119107633572403</v>
      </c>
      <c r="G4157">
        <v>0.390877931572089</v>
      </c>
      <c r="H4157">
        <v>0.44564202321232099</v>
      </c>
      <c r="I4157">
        <v>0.48227900520339301</v>
      </c>
      <c r="J4157">
        <v>0.54197709857595699</v>
      </c>
      <c r="K4157">
        <v>0.53796797962897003</v>
      </c>
      <c r="L4157">
        <v>882.31475808003199</v>
      </c>
      <c r="M4157">
        <v>19.002539707383399</v>
      </c>
      <c r="N4157">
        <v>55.883051571019202</v>
      </c>
      <c r="O4157">
        <v>45.926372712627597</v>
      </c>
      <c r="P4157">
        <v>-5.3801280517916897E-2</v>
      </c>
      <c r="Q4157">
        <v>0.47990126288454099</v>
      </c>
      <c r="R4157">
        <v>0.91994798512452203</v>
      </c>
      <c r="S4157" t="s">
        <v>9708</v>
      </c>
      <c r="T4157" t="s">
        <v>11100</v>
      </c>
      <c r="U4157" t="s">
        <v>11100</v>
      </c>
      <c r="V4157" t="s">
        <v>11100</v>
      </c>
      <c r="W4157" t="s">
        <v>15206</v>
      </c>
      <c r="X4157">
        <v>2</v>
      </c>
      <c r="Y4157" t="s">
        <v>20639</v>
      </c>
      <c r="Z4157" t="s">
        <v>26162</v>
      </c>
      <c r="AA4157">
        <v>0.65093869826708517</v>
      </c>
      <c r="AB4157" t="str">
        <f>HYPERLINK("Melting_Curves/meltCurve_Q969E2_2_SCAMP4.pdf", "Melting_Curves/meltCurve_Q969E2_2_SCAMP4.pdf")</f>
        <v>Melting_Curves/meltCurve_Q969E2_2_SCAMP4.pdf</v>
      </c>
    </row>
    <row r="4158" spans="1:28" x14ac:dyDescent="0.25">
      <c r="A4158" t="s">
        <v>4162</v>
      </c>
      <c r="B4158">
        <v>0.99299721793515405</v>
      </c>
      <c r="C4158">
        <v>0.63319365230257296</v>
      </c>
      <c r="D4158">
        <v>1.1424544379644801</v>
      </c>
      <c r="E4158">
        <v>0.92556276799897597</v>
      </c>
      <c r="F4158">
        <v>0.91750798206260498</v>
      </c>
      <c r="G4158">
        <v>0.59618506343584299</v>
      </c>
      <c r="H4158">
        <v>0.73343296690613002</v>
      </c>
      <c r="I4158">
        <v>1.01032648281973</v>
      </c>
      <c r="J4158">
        <v>1.5253189973805099</v>
      </c>
      <c r="K4158">
        <v>0.719027338634737</v>
      </c>
      <c r="L4158">
        <v>15000</v>
      </c>
      <c r="M4158">
        <v>222.940754272536</v>
      </c>
      <c r="Q4158">
        <v>0</v>
      </c>
      <c r="R4158">
        <v>2.0656518528863198E-2</v>
      </c>
      <c r="S4158" t="s">
        <v>9709</v>
      </c>
      <c r="T4158" t="s">
        <v>11100</v>
      </c>
      <c r="U4158" t="s">
        <v>11100</v>
      </c>
      <c r="V4158" t="s">
        <v>11100</v>
      </c>
      <c r="W4158" t="s">
        <v>15207</v>
      </c>
      <c r="X4158">
        <v>2</v>
      </c>
      <c r="Y4158" t="s">
        <v>20640</v>
      </c>
      <c r="Z4158" t="s">
        <v>26163</v>
      </c>
      <c r="AA4158">
        <v>0.99674153066814208</v>
      </c>
      <c r="AB4158" t="str">
        <f>HYPERLINK("Melting_Curves/meltCurve_Q969E4_TCEAL3.pdf", "Melting_Curves/meltCurve_Q969E4_TCEAL3.pdf")</f>
        <v>Melting_Curves/meltCurve_Q969E4_TCEAL3.pdf</v>
      </c>
    </row>
    <row r="4159" spans="1:28" x14ac:dyDescent="0.25">
      <c r="A4159" t="s">
        <v>4163</v>
      </c>
      <c r="B4159">
        <v>0.99299721793515405</v>
      </c>
      <c r="C4159">
        <v>0.87050033539473903</v>
      </c>
      <c r="D4159">
        <v>0.95476842105744397</v>
      </c>
      <c r="E4159">
        <v>0.81118268281489903</v>
      </c>
      <c r="F4159">
        <v>0.74772563191855801</v>
      </c>
      <c r="G4159">
        <v>0.60166221462120995</v>
      </c>
      <c r="H4159">
        <v>0.45472738766197501</v>
      </c>
      <c r="I4159">
        <v>0.44233661588027101</v>
      </c>
      <c r="J4159">
        <v>0.45830205197000301</v>
      </c>
      <c r="K4159">
        <v>0.39696331879053898</v>
      </c>
      <c r="L4159">
        <v>509.30889281405001</v>
      </c>
      <c r="M4159">
        <v>9.9152720204122602</v>
      </c>
      <c r="N4159">
        <v>57.981324991925298</v>
      </c>
      <c r="O4159">
        <v>49.407694030017197</v>
      </c>
      <c r="P4159">
        <v>-3.3195244763316603E-2</v>
      </c>
      <c r="Q4159">
        <v>0.33868609416141299</v>
      </c>
      <c r="R4159">
        <v>0.96440078183863798</v>
      </c>
      <c r="S4159" t="s">
        <v>9710</v>
      </c>
      <c r="T4159" t="s">
        <v>11100</v>
      </c>
      <c r="U4159" t="s">
        <v>11100</v>
      </c>
      <c r="V4159" t="s">
        <v>11100</v>
      </c>
      <c r="W4159" t="s">
        <v>15208</v>
      </c>
      <c r="X4159">
        <v>3</v>
      </c>
      <c r="Y4159" t="s">
        <v>20641</v>
      </c>
      <c r="Z4159" t="s">
        <v>26164</v>
      </c>
      <c r="AA4159">
        <v>0.67473855556187123</v>
      </c>
      <c r="AB4159" t="str">
        <f>HYPERLINK("Melting_Curves/meltCurve_Q969E8_TSR2.pdf", "Melting_Curves/meltCurve_Q969E8_TSR2.pdf")</f>
        <v>Melting_Curves/meltCurve_Q969E8_TSR2.pdf</v>
      </c>
    </row>
    <row r="4160" spans="1:28" x14ac:dyDescent="0.25">
      <c r="A4160" t="s">
        <v>4164</v>
      </c>
      <c r="B4160">
        <v>0.99299721793515405</v>
      </c>
      <c r="C4160">
        <v>1.0368064181563801</v>
      </c>
      <c r="D4160">
        <v>0.96059111564641098</v>
      </c>
      <c r="E4160">
        <v>1.0983473048360299</v>
      </c>
      <c r="F4160">
        <v>0.520682379668025</v>
      </c>
      <c r="G4160">
        <v>0.542908529615448</v>
      </c>
      <c r="H4160">
        <v>0.60540445655837505</v>
      </c>
      <c r="I4160">
        <v>0.70727926767677995</v>
      </c>
      <c r="J4160">
        <v>0.55245938180895804</v>
      </c>
      <c r="K4160">
        <v>0.50524010307174105</v>
      </c>
      <c r="L4160">
        <v>4899.4710552071401</v>
      </c>
      <c r="M4160">
        <v>101.092407203381</v>
      </c>
      <c r="O4160">
        <v>48.446316210277899</v>
      </c>
      <c r="P4160">
        <v>-0.223900472574902</v>
      </c>
      <c r="Q4160">
        <v>0.57080249022639495</v>
      </c>
      <c r="R4160">
        <v>0.917355353080473</v>
      </c>
      <c r="S4160" t="s">
        <v>9711</v>
      </c>
      <c r="T4160" t="s">
        <v>11100</v>
      </c>
      <c r="U4160" t="s">
        <v>11100</v>
      </c>
      <c r="V4160" t="s">
        <v>11100</v>
      </c>
      <c r="W4160" t="s">
        <v>15209</v>
      </c>
      <c r="X4160">
        <v>1</v>
      </c>
      <c r="Y4160" t="s">
        <v>20642</v>
      </c>
      <c r="Z4160" t="s">
        <v>26165</v>
      </c>
      <c r="AA4160">
        <v>0.73505487916495915</v>
      </c>
      <c r="AB4160" t="str">
        <f>HYPERLINK("Melting_Curves/meltCurve_Q969F2_2_NKD2.pdf", "Melting_Curves/meltCurve_Q969F2_2_NKD2.pdf")</f>
        <v>Melting_Curves/meltCurve_Q969F2_2_NKD2.pdf</v>
      </c>
    </row>
    <row r="4161" spans="1:28" x14ac:dyDescent="0.25">
      <c r="A4161" t="s">
        <v>4165</v>
      </c>
      <c r="B4161">
        <v>0.99299721793515405</v>
      </c>
      <c r="C4161">
        <v>1.04621416339663</v>
      </c>
      <c r="D4161">
        <v>0.98475621827113802</v>
      </c>
      <c r="E4161">
        <v>0.96717288567194604</v>
      </c>
      <c r="F4161">
        <v>0.77084084901162297</v>
      </c>
      <c r="G4161">
        <v>0.56269547210201099</v>
      </c>
      <c r="H4161">
        <v>0.30558936152694099</v>
      </c>
      <c r="I4161">
        <v>0.11309427659972</v>
      </c>
      <c r="J4161">
        <v>7.5394681905869898E-2</v>
      </c>
      <c r="K4161">
        <v>6.3832586689160795E-2</v>
      </c>
      <c r="L4161">
        <v>921.86290943172196</v>
      </c>
      <c r="M4161">
        <v>16.968895190531398</v>
      </c>
      <c r="N4161">
        <v>54.381890442732399</v>
      </c>
      <c r="O4161">
        <v>53.588966085790098</v>
      </c>
      <c r="P4161">
        <v>-7.8490523163542006E-2</v>
      </c>
      <c r="Q4161">
        <v>8.5473135645767508E-3</v>
      </c>
      <c r="R4161">
        <v>0.99640194828875595</v>
      </c>
      <c r="S4161" t="s">
        <v>9712</v>
      </c>
      <c r="T4161" t="s">
        <v>11100</v>
      </c>
      <c r="U4161" t="s">
        <v>11100</v>
      </c>
      <c r="V4161" t="s">
        <v>11100</v>
      </c>
      <c r="W4161" t="s">
        <v>15210</v>
      </c>
      <c r="X4161">
        <v>4</v>
      </c>
      <c r="Y4161" t="s">
        <v>20643</v>
      </c>
      <c r="Z4161" t="s">
        <v>26166</v>
      </c>
      <c r="AA4161">
        <v>0.59520667843453012</v>
      </c>
      <c r="AB4161" t="str">
        <f>HYPERLINK("Melting_Curves/meltCurve_Q969G6_RFK.pdf", "Melting_Curves/meltCurve_Q969G6_RFK.pdf")</f>
        <v>Melting_Curves/meltCurve_Q969G6_RFK.pdf</v>
      </c>
    </row>
    <row r="4162" spans="1:28" x14ac:dyDescent="0.25">
      <c r="A4162" t="s">
        <v>4166</v>
      </c>
      <c r="B4162">
        <v>0.99299721793515405</v>
      </c>
      <c r="C4162">
        <v>0.98354852626686295</v>
      </c>
      <c r="D4162">
        <v>0.94354557577951004</v>
      </c>
      <c r="E4162">
        <v>0.93527377205747597</v>
      </c>
      <c r="F4162">
        <v>0.71004825062398003</v>
      </c>
      <c r="G4162">
        <v>0.491517262177468</v>
      </c>
      <c r="H4162">
        <v>0.51302426534365497</v>
      </c>
      <c r="I4162">
        <v>0.58432261736198399</v>
      </c>
      <c r="J4162">
        <v>0.57695117773520899</v>
      </c>
      <c r="K4162">
        <v>0.29750757525001698</v>
      </c>
      <c r="L4162">
        <v>1490.2655335474401</v>
      </c>
      <c r="M4162">
        <v>30.024018015030499</v>
      </c>
      <c r="N4162">
        <v>55.926065905791297</v>
      </c>
      <c r="O4162">
        <v>49.417145937146302</v>
      </c>
      <c r="P4162">
        <v>-7.8539491192039998E-2</v>
      </c>
      <c r="Q4162">
        <v>0.48292435405711398</v>
      </c>
      <c r="R4162">
        <v>0.89443789505390303</v>
      </c>
      <c r="S4162" t="s">
        <v>9713</v>
      </c>
      <c r="T4162" t="s">
        <v>11100</v>
      </c>
      <c r="U4162" t="s">
        <v>11100</v>
      </c>
      <c r="V4162" t="s">
        <v>11100</v>
      </c>
      <c r="W4162" t="s">
        <v>15211</v>
      </c>
      <c r="X4162">
        <v>7</v>
      </c>
      <c r="Y4162" t="s">
        <v>20644</v>
      </c>
      <c r="Z4162" t="s">
        <v>26167</v>
      </c>
      <c r="AA4162">
        <v>0.70386128920687951</v>
      </c>
      <c r="AB4162" t="str">
        <f>HYPERLINK("Melting_Curves/meltCurve_Q969H8_C19orf10.pdf", "Melting_Curves/meltCurve_Q969H8_C19orf10.pdf")</f>
        <v>Melting_Curves/meltCurve_Q969H8_C19orf10.pdf</v>
      </c>
    </row>
    <row r="4163" spans="1:28" x14ac:dyDescent="0.25">
      <c r="A4163" t="s">
        <v>4167</v>
      </c>
      <c r="B4163">
        <v>0.99299721793515405</v>
      </c>
      <c r="C4163">
        <v>0.87472834496184004</v>
      </c>
      <c r="D4163">
        <v>1.08377690003045</v>
      </c>
      <c r="E4163">
        <v>0.79958208885267001</v>
      </c>
      <c r="F4163">
        <v>0.71496688747005399</v>
      </c>
      <c r="G4163">
        <v>0.45100070551559601</v>
      </c>
      <c r="H4163">
        <v>0.29471576625960999</v>
      </c>
      <c r="I4163">
        <v>0.26987261094046999</v>
      </c>
      <c r="J4163">
        <v>0.23481079753409501</v>
      </c>
      <c r="K4163">
        <v>0.206754937192792</v>
      </c>
      <c r="L4163">
        <v>834.47232554847096</v>
      </c>
      <c r="M4163">
        <v>16.236858617189899</v>
      </c>
      <c r="N4163">
        <v>53.011331402563201</v>
      </c>
      <c r="O4163">
        <v>50.633094881612401</v>
      </c>
      <c r="P4163">
        <v>-6.4512521671068399E-2</v>
      </c>
      <c r="Q4163">
        <v>0.19535494527546801</v>
      </c>
      <c r="R4163">
        <v>0.96553043054401499</v>
      </c>
      <c r="S4163" t="s">
        <v>9714</v>
      </c>
      <c r="T4163" t="s">
        <v>11100</v>
      </c>
      <c r="U4163" t="s">
        <v>11100</v>
      </c>
      <c r="V4163" t="s">
        <v>11100</v>
      </c>
      <c r="W4163" t="s">
        <v>15212</v>
      </c>
      <c r="X4163">
        <v>5</v>
      </c>
      <c r="Y4163" t="s">
        <v>20645</v>
      </c>
      <c r="Z4163" t="s">
        <v>26168</v>
      </c>
      <c r="AA4163">
        <v>0.59575816843098151</v>
      </c>
      <c r="AB4163" t="str">
        <f>HYPERLINK("Melting_Curves/meltCurve_Q969K3_RNF34.pdf", "Melting_Curves/meltCurve_Q969K3_RNF34.pdf")</f>
        <v>Melting_Curves/meltCurve_Q969K3_RNF34.pdf</v>
      </c>
    </row>
    <row r="4164" spans="1:28" x14ac:dyDescent="0.25">
      <c r="A4164" t="s">
        <v>4168</v>
      </c>
      <c r="B4164">
        <v>0.99299721793515405</v>
      </c>
      <c r="C4164">
        <v>1.04917000053612</v>
      </c>
      <c r="D4164">
        <v>0.89975605669465097</v>
      </c>
      <c r="E4164">
        <v>1.05209313182773</v>
      </c>
      <c r="F4164">
        <v>0.75216108151647598</v>
      </c>
      <c r="G4164">
        <v>0.56353922519275401</v>
      </c>
      <c r="H4164">
        <v>0.65491114119126204</v>
      </c>
      <c r="I4164">
        <v>0.68652602598812995</v>
      </c>
      <c r="J4164">
        <v>0.48491142005295501</v>
      </c>
      <c r="K4164">
        <v>0.27629277377019801</v>
      </c>
      <c r="L4164">
        <v>404.87103050287601</v>
      </c>
      <c r="M4164">
        <v>6.5237430501605296</v>
      </c>
      <c r="N4164">
        <v>62.061155180406502</v>
      </c>
      <c r="O4164">
        <v>57.003561625367297</v>
      </c>
      <c r="P4164">
        <v>-2.8679695233333399E-2</v>
      </c>
      <c r="Q4164">
        <v>0</v>
      </c>
      <c r="R4164">
        <v>0.82866525685085002</v>
      </c>
      <c r="S4164" t="s">
        <v>9715</v>
      </c>
      <c r="T4164" t="s">
        <v>11100</v>
      </c>
      <c r="U4164" t="s">
        <v>11100</v>
      </c>
      <c r="V4164" t="s">
        <v>11100</v>
      </c>
      <c r="W4164" t="s">
        <v>15213</v>
      </c>
      <c r="X4164">
        <v>1</v>
      </c>
      <c r="Y4164" t="s">
        <v>20646</v>
      </c>
      <c r="Z4164" t="s">
        <v>26169</v>
      </c>
      <c r="AA4164">
        <v>0.74365999224315582</v>
      </c>
      <c r="AB4164" t="str">
        <f>HYPERLINK("Melting_Curves/meltCurve_Q969M3_YIPF5.pdf", "Melting_Curves/meltCurve_Q969M3_YIPF5.pdf")</f>
        <v>Melting_Curves/meltCurve_Q969M3_YIPF5.pdf</v>
      </c>
    </row>
    <row r="4165" spans="1:28" x14ac:dyDescent="0.25">
      <c r="A4165" t="s">
        <v>4169</v>
      </c>
      <c r="B4165">
        <v>0.99299721793515405</v>
      </c>
      <c r="C4165">
        <v>0.96027980629876397</v>
      </c>
      <c r="D4165">
        <v>0.89589155326980996</v>
      </c>
      <c r="E4165">
        <v>0.91573066796369695</v>
      </c>
      <c r="F4165">
        <v>0.75893672359046604</v>
      </c>
      <c r="G4165">
        <v>0.79528988775933496</v>
      </c>
      <c r="H4165">
        <v>0.52649410798697205</v>
      </c>
      <c r="I4165">
        <v>0.467610428813927</v>
      </c>
      <c r="J4165">
        <v>0.334009812796977</v>
      </c>
      <c r="K4165">
        <v>0.27648537170615001</v>
      </c>
      <c r="L4165">
        <v>476.887552507522</v>
      </c>
      <c r="M4165">
        <v>8.0357560096444196</v>
      </c>
      <c r="N4165">
        <v>59.345694114035801</v>
      </c>
      <c r="O4165">
        <v>56.008992987766</v>
      </c>
      <c r="P4165">
        <v>-3.5908046379015998E-2</v>
      </c>
      <c r="Q4165">
        <v>0</v>
      </c>
      <c r="R4165">
        <v>0.969840958963195</v>
      </c>
      <c r="S4165" t="s">
        <v>9716</v>
      </c>
      <c r="T4165" t="s">
        <v>11100</v>
      </c>
      <c r="U4165" t="s">
        <v>11100</v>
      </c>
      <c r="V4165" t="s">
        <v>11100</v>
      </c>
      <c r="W4165" t="s">
        <v>15214</v>
      </c>
      <c r="X4165">
        <v>3</v>
      </c>
      <c r="Y4165" t="s">
        <v>20647</v>
      </c>
      <c r="Z4165" t="s">
        <v>26170</v>
      </c>
      <c r="AA4165">
        <v>0.70955010980979361</v>
      </c>
      <c r="AB4165" t="str">
        <f>HYPERLINK("Melting_Curves/meltCurve_Q969N2_4_PIGT.pdf", "Melting_Curves/meltCurve_Q969N2_4_PIGT.pdf")</f>
        <v>Melting_Curves/meltCurve_Q969N2_4_PIGT.pdf</v>
      </c>
    </row>
    <row r="4166" spans="1:28" x14ac:dyDescent="0.25">
      <c r="A4166" t="s">
        <v>4170</v>
      </c>
      <c r="B4166">
        <v>0.99299721793515405</v>
      </c>
      <c r="C4166">
        <v>0.92932157600630305</v>
      </c>
      <c r="D4166">
        <v>1.0097198986017899</v>
      </c>
      <c r="E4166">
        <v>0.86224816393285397</v>
      </c>
      <c r="F4166">
        <v>0.80733915158695102</v>
      </c>
      <c r="G4166">
        <v>0.72096497568198203</v>
      </c>
      <c r="H4166">
        <v>0.68261475468739097</v>
      </c>
      <c r="I4166">
        <v>0.78406296730876401</v>
      </c>
      <c r="J4166">
        <v>0.63939334095303901</v>
      </c>
      <c r="K4166">
        <v>0.32350431721026601</v>
      </c>
      <c r="L4166">
        <v>344.85759414616001</v>
      </c>
      <c r="M4166">
        <v>5.1739915384223902</v>
      </c>
      <c r="N4166">
        <v>66.652137555851596</v>
      </c>
      <c r="O4166">
        <v>58.627345338914303</v>
      </c>
      <c r="P4166">
        <v>-2.21832445178765E-2</v>
      </c>
      <c r="Q4166">
        <v>0</v>
      </c>
      <c r="R4166">
        <v>0.79304717868100905</v>
      </c>
      <c r="S4166" t="s">
        <v>9717</v>
      </c>
      <c r="T4166" t="s">
        <v>11100</v>
      </c>
      <c r="U4166" t="s">
        <v>11100</v>
      </c>
      <c r="V4166" t="s">
        <v>11100</v>
      </c>
      <c r="W4166" t="s">
        <v>15215</v>
      </c>
      <c r="X4166">
        <v>8</v>
      </c>
      <c r="Y4166" t="s">
        <v>20648</v>
      </c>
      <c r="Z4166" t="s">
        <v>26171</v>
      </c>
      <c r="AA4166">
        <v>0.78491384151710231</v>
      </c>
      <c r="AB4166" t="str">
        <f>HYPERLINK("Melting_Curves/meltCurve_Q969P0_3_IGSF8.pdf", "Melting_Curves/meltCurve_Q969P0_3_IGSF8.pdf")</f>
        <v>Melting_Curves/meltCurve_Q969P0_3_IGSF8.pdf</v>
      </c>
    </row>
    <row r="4167" spans="1:28" x14ac:dyDescent="0.25">
      <c r="A4167" t="s">
        <v>4171</v>
      </c>
      <c r="B4167">
        <v>0.99299721793515405</v>
      </c>
      <c r="C4167">
        <v>0.95934452752083399</v>
      </c>
      <c r="D4167">
        <v>1.0803450146073601</v>
      </c>
      <c r="E4167">
        <v>0.94038329373165896</v>
      </c>
      <c r="F4167">
        <v>0.85791202904696295</v>
      </c>
      <c r="G4167">
        <v>0.68996859495443397</v>
      </c>
      <c r="H4167">
        <v>0.475418589491861</v>
      </c>
      <c r="I4167">
        <v>0.42877330389191398</v>
      </c>
      <c r="J4167">
        <v>0.31800793759714702</v>
      </c>
      <c r="K4167">
        <v>0.22197749794312999</v>
      </c>
      <c r="L4167">
        <v>762.61321236077004</v>
      </c>
      <c r="M4167">
        <v>13.6624450048417</v>
      </c>
      <c r="N4167">
        <v>57.717893954270103</v>
      </c>
      <c r="O4167">
        <v>54.663114535886102</v>
      </c>
      <c r="P4167">
        <v>-5.1177260287276399E-2</v>
      </c>
      <c r="Q4167">
        <v>0.18108325588440999</v>
      </c>
      <c r="R4167">
        <v>0.98163490297321199</v>
      </c>
      <c r="S4167" t="s">
        <v>9718</v>
      </c>
      <c r="T4167" t="s">
        <v>11100</v>
      </c>
      <c r="U4167" t="s">
        <v>11100</v>
      </c>
      <c r="V4167" t="s">
        <v>11100</v>
      </c>
      <c r="W4167" t="s">
        <v>15216</v>
      </c>
      <c r="X4167">
        <v>7</v>
      </c>
      <c r="Y4167" t="s">
        <v>20649</v>
      </c>
      <c r="Z4167" t="s">
        <v>26172</v>
      </c>
      <c r="AA4167">
        <v>0.70440326881145909</v>
      </c>
      <c r="AB4167" t="str">
        <f>HYPERLINK("Melting_Curves/meltCurve_Q969Q0_RPL36AL.pdf", "Melting_Curves/meltCurve_Q969Q0_RPL36AL.pdf")</f>
        <v>Melting_Curves/meltCurve_Q969Q0_RPL36AL.pdf</v>
      </c>
    </row>
    <row r="4168" spans="1:28" x14ac:dyDescent="0.25">
      <c r="A4168" t="s">
        <v>4172</v>
      </c>
      <c r="B4168">
        <v>0.99299721793515405</v>
      </c>
      <c r="C4168">
        <v>0.95398429905448401</v>
      </c>
      <c r="D4168">
        <v>0.90181098105095103</v>
      </c>
      <c r="E4168">
        <v>0.89665059548808601</v>
      </c>
      <c r="F4168">
        <v>0.71274411894504197</v>
      </c>
      <c r="G4168">
        <v>0.52898367765051402</v>
      </c>
      <c r="H4168">
        <v>0.44358427238882903</v>
      </c>
      <c r="I4168">
        <v>0.453688196426835</v>
      </c>
      <c r="J4168">
        <v>0.42096188955059499</v>
      </c>
      <c r="K4168">
        <v>0.31671812915424102</v>
      </c>
      <c r="L4168">
        <v>664.018237553929</v>
      </c>
      <c r="M4168">
        <v>13.013702595331999</v>
      </c>
      <c r="N4168">
        <v>55.8692894340141</v>
      </c>
      <c r="O4168">
        <v>49.864801267686303</v>
      </c>
      <c r="P4168">
        <v>-4.3184111010575399E-2</v>
      </c>
      <c r="Q4168">
        <v>0.33823970648252599</v>
      </c>
      <c r="R4168">
        <v>0.97889974593169804</v>
      </c>
      <c r="S4168" t="s">
        <v>9719</v>
      </c>
      <c r="T4168" t="s">
        <v>11100</v>
      </c>
      <c r="U4168" t="s">
        <v>11100</v>
      </c>
      <c r="V4168" t="s">
        <v>11100</v>
      </c>
      <c r="W4168" t="s">
        <v>15217</v>
      </c>
      <c r="X4168">
        <v>7</v>
      </c>
      <c r="Y4168" t="s">
        <v>20650</v>
      </c>
      <c r="Z4168" t="s">
        <v>26173</v>
      </c>
      <c r="AA4168">
        <v>0.66339713797471445</v>
      </c>
      <c r="AB4168" t="str">
        <f>HYPERLINK("Melting_Curves/meltCurve_Q969Q5_RAB24.pdf", "Melting_Curves/meltCurve_Q969Q5_RAB24.pdf")</f>
        <v>Melting_Curves/meltCurve_Q969Q5_RAB24.pdf</v>
      </c>
    </row>
    <row r="4169" spans="1:28" x14ac:dyDescent="0.25">
      <c r="A4169" t="s">
        <v>4173</v>
      </c>
      <c r="B4169">
        <v>0.99299721793515405</v>
      </c>
      <c r="C4169">
        <v>0.93684705353721498</v>
      </c>
      <c r="D4169">
        <v>0.96005829707566703</v>
      </c>
      <c r="E4169">
        <v>0.78976252217807696</v>
      </c>
      <c r="F4169">
        <v>0.51498488840285095</v>
      </c>
      <c r="G4169">
        <v>0.263653931022576</v>
      </c>
      <c r="H4169">
        <v>0.18532671013485899</v>
      </c>
      <c r="I4169">
        <v>0.16920514934348099</v>
      </c>
      <c r="J4169">
        <v>0.169460993731955</v>
      </c>
      <c r="K4169">
        <v>0.13326001087012199</v>
      </c>
      <c r="L4169">
        <v>968.78497454412695</v>
      </c>
      <c r="M4169">
        <v>19.632630848909098</v>
      </c>
      <c r="N4169">
        <v>50.193016898638902</v>
      </c>
      <c r="O4169">
        <v>48.842246668017999</v>
      </c>
      <c r="P4169">
        <v>-8.6318367814150004E-2</v>
      </c>
      <c r="Q4169">
        <v>0.14105555705752501</v>
      </c>
      <c r="R4169">
        <v>0.996487683941361</v>
      </c>
      <c r="S4169" t="s">
        <v>9720</v>
      </c>
      <c r="T4169" t="s">
        <v>11100</v>
      </c>
      <c r="U4169" t="s">
        <v>11100</v>
      </c>
      <c r="V4169" t="s">
        <v>11100</v>
      </c>
      <c r="W4169" t="s">
        <v>15218</v>
      </c>
      <c r="X4169">
        <v>13</v>
      </c>
      <c r="Y4169" t="s">
        <v>20651</v>
      </c>
      <c r="Z4169" t="s">
        <v>26174</v>
      </c>
      <c r="AA4169">
        <v>0.50623219943168263</v>
      </c>
      <c r="AB4169" t="str">
        <f>HYPERLINK("Melting_Curves/meltCurve_Q969S3_ZNF622.pdf", "Melting_Curves/meltCurve_Q969S3_ZNF622.pdf")</f>
        <v>Melting_Curves/meltCurve_Q969S3_ZNF622.pdf</v>
      </c>
    </row>
    <row r="4170" spans="1:28" x14ac:dyDescent="0.25">
      <c r="A4170" t="s">
        <v>4174</v>
      </c>
      <c r="B4170">
        <v>0.99299721793515405</v>
      </c>
      <c r="C4170">
        <v>0.96654639680366194</v>
      </c>
      <c r="D4170">
        <v>1.02699613965947</v>
      </c>
      <c r="E4170">
        <v>0.79933274344593896</v>
      </c>
      <c r="F4170">
        <v>0.54009797733130505</v>
      </c>
      <c r="G4170">
        <v>0.31189624741980299</v>
      </c>
      <c r="H4170">
        <v>0.18452181545024701</v>
      </c>
      <c r="I4170">
        <v>0.137999895364502</v>
      </c>
      <c r="J4170">
        <v>0.121529770023225</v>
      </c>
      <c r="K4170">
        <v>0.10474342503320699</v>
      </c>
      <c r="L4170">
        <v>929.44316066332794</v>
      </c>
      <c r="M4170">
        <v>18.551987072877498</v>
      </c>
      <c r="N4170">
        <v>50.746716771527701</v>
      </c>
      <c r="O4170">
        <v>49.528173725524397</v>
      </c>
      <c r="P4170">
        <v>-8.3780375082870798E-2</v>
      </c>
      <c r="Q4170">
        <v>0.105366656728451</v>
      </c>
      <c r="R4170">
        <v>0.99574311132395499</v>
      </c>
      <c r="S4170" t="s">
        <v>9721</v>
      </c>
      <c r="T4170" t="s">
        <v>11100</v>
      </c>
      <c r="U4170" t="s">
        <v>11100</v>
      </c>
      <c r="V4170" t="s">
        <v>11100</v>
      </c>
      <c r="W4170" t="s">
        <v>15219</v>
      </c>
      <c r="X4170">
        <v>10</v>
      </c>
      <c r="Y4170" t="s">
        <v>20652</v>
      </c>
      <c r="Z4170" t="s">
        <v>26175</v>
      </c>
      <c r="AA4170">
        <v>0.50939546947737835</v>
      </c>
      <c r="AB4170" t="str">
        <f>HYPERLINK("Melting_Curves/meltCurve_Q969S9_2_GFM2.pdf", "Melting_Curves/meltCurve_Q969S9_2_GFM2.pdf")</f>
        <v>Melting_Curves/meltCurve_Q969S9_2_GFM2.pdf</v>
      </c>
    </row>
    <row r="4171" spans="1:28" x14ac:dyDescent="0.25">
      <c r="A4171" t="s">
        <v>4175</v>
      </c>
      <c r="B4171">
        <v>0.99299721793515405</v>
      </c>
      <c r="C4171">
        <v>1.0344801503515599</v>
      </c>
      <c r="D4171">
        <v>0.999033496362977</v>
      </c>
      <c r="E4171">
        <v>0.89027372044958797</v>
      </c>
      <c r="F4171">
        <v>0.68831602635426503</v>
      </c>
      <c r="G4171">
        <v>0.34299666894647302</v>
      </c>
      <c r="H4171">
        <v>0.13894649611853899</v>
      </c>
      <c r="I4171">
        <v>0.105697582436988</v>
      </c>
      <c r="J4171">
        <v>7.8840967601573997E-2</v>
      </c>
      <c r="K4171">
        <v>6.6403798769679001E-2</v>
      </c>
      <c r="L4171">
        <v>1113.8329161003101</v>
      </c>
      <c r="M4171">
        <v>21.553785446492999</v>
      </c>
      <c r="N4171">
        <v>51.988407972027403</v>
      </c>
      <c r="O4171">
        <v>51.238242793005099</v>
      </c>
      <c r="P4171">
        <v>-9.8796416759464906E-2</v>
      </c>
      <c r="Q4171">
        <v>6.0576756545745701E-2</v>
      </c>
      <c r="R4171">
        <v>0.99817313897230397</v>
      </c>
      <c r="S4171" t="s">
        <v>9722</v>
      </c>
      <c r="T4171" t="s">
        <v>11100</v>
      </c>
      <c r="U4171" t="s">
        <v>11100</v>
      </c>
      <c r="V4171" t="s">
        <v>11100</v>
      </c>
      <c r="W4171" t="s">
        <v>15220</v>
      </c>
      <c r="X4171">
        <v>10</v>
      </c>
      <c r="Y4171" t="s">
        <v>20653</v>
      </c>
      <c r="Z4171" t="s">
        <v>26176</v>
      </c>
      <c r="AA4171">
        <v>0.53095901160661674</v>
      </c>
      <c r="AB4171" t="str">
        <f>HYPERLINK("Melting_Curves/meltCurve_Q969T7_2_NT5C3B.pdf", "Melting_Curves/meltCurve_Q969T7_2_NT5C3B.pdf")</f>
        <v>Melting_Curves/meltCurve_Q969T7_2_NT5C3B.pdf</v>
      </c>
    </row>
    <row r="4172" spans="1:28" x14ac:dyDescent="0.25">
      <c r="A4172" t="s">
        <v>4176</v>
      </c>
      <c r="B4172">
        <v>0.99299721793515405</v>
      </c>
      <c r="C4172">
        <v>0.97613679531915098</v>
      </c>
      <c r="D4172">
        <v>0.90490475351704702</v>
      </c>
      <c r="E4172">
        <v>0.93771110486575604</v>
      </c>
      <c r="F4172">
        <v>0.90108189587965803</v>
      </c>
      <c r="G4172">
        <v>0.88220385559024295</v>
      </c>
      <c r="H4172">
        <v>0.84818657637446704</v>
      </c>
      <c r="I4172">
        <v>0.70420809344076896</v>
      </c>
      <c r="J4172">
        <v>0.29155667913650601</v>
      </c>
      <c r="K4172">
        <v>0.16114521410469199</v>
      </c>
      <c r="L4172">
        <v>1467.4800837614901</v>
      </c>
      <c r="M4172">
        <v>23.539634506174</v>
      </c>
      <c r="N4172">
        <v>62.3408181055771</v>
      </c>
      <c r="O4172">
        <v>61.8961372585661</v>
      </c>
      <c r="P4172">
        <v>-9.5078777622152E-2</v>
      </c>
      <c r="Q4172">
        <v>0</v>
      </c>
      <c r="R4172">
        <v>0.94651091185380198</v>
      </c>
      <c r="S4172" t="s">
        <v>9723</v>
      </c>
      <c r="T4172" t="s">
        <v>11100</v>
      </c>
      <c r="U4172" t="s">
        <v>11100</v>
      </c>
      <c r="V4172" t="s">
        <v>11100</v>
      </c>
      <c r="W4172" t="s">
        <v>15221</v>
      </c>
      <c r="X4172">
        <v>6</v>
      </c>
      <c r="Y4172" t="s">
        <v>20654</v>
      </c>
      <c r="Z4172" t="s">
        <v>26177</v>
      </c>
      <c r="AA4172">
        <v>0.83719800899526675</v>
      </c>
      <c r="AB4172" t="str">
        <f>HYPERLINK("Melting_Curves/meltCurve_Q969U7_PSMG2.pdf", "Melting_Curves/meltCurve_Q969U7_PSMG2.pdf")</f>
        <v>Melting_Curves/meltCurve_Q969U7_PSMG2.pdf</v>
      </c>
    </row>
    <row r="4173" spans="1:28" x14ac:dyDescent="0.25">
      <c r="A4173" t="s">
        <v>4177</v>
      </c>
      <c r="B4173">
        <v>0.99299721793515405</v>
      </c>
      <c r="C4173">
        <v>0.96098677238733499</v>
      </c>
      <c r="D4173">
        <v>0.99699851436306897</v>
      </c>
      <c r="E4173">
        <v>0.89155071664040597</v>
      </c>
      <c r="F4173">
        <v>0.75246345071279497</v>
      </c>
      <c r="G4173">
        <v>0.60979600689603597</v>
      </c>
      <c r="H4173">
        <v>0.32001263237292998</v>
      </c>
      <c r="I4173">
        <v>0.20368769416086699</v>
      </c>
      <c r="J4173">
        <v>0.170477714042506</v>
      </c>
      <c r="K4173">
        <v>0.169534801827564</v>
      </c>
      <c r="L4173">
        <v>803.60607060153802</v>
      </c>
      <c r="M4173">
        <v>14.922723037701701</v>
      </c>
      <c r="N4173">
        <v>54.633277155728898</v>
      </c>
      <c r="O4173">
        <v>52.911853695592598</v>
      </c>
      <c r="P4173">
        <v>-6.3732959863965793E-2</v>
      </c>
      <c r="Q4173">
        <v>9.6175048380631095E-2</v>
      </c>
      <c r="R4173">
        <v>0.99252933057805703</v>
      </c>
      <c r="S4173" t="s">
        <v>9724</v>
      </c>
      <c r="T4173" t="s">
        <v>11100</v>
      </c>
      <c r="U4173" t="s">
        <v>11100</v>
      </c>
      <c r="V4173" t="s">
        <v>11100</v>
      </c>
      <c r="W4173" t="s">
        <v>15222</v>
      </c>
      <c r="X4173">
        <v>16</v>
      </c>
      <c r="Y4173" t="s">
        <v>20655</v>
      </c>
      <c r="Z4173" t="s">
        <v>26178</v>
      </c>
      <c r="AA4173">
        <v>0.61880178695845733</v>
      </c>
      <c r="AB4173" t="str">
        <f>HYPERLINK("Melting_Curves/meltCurve_Q969V3_2_NCLN.pdf", "Melting_Curves/meltCurve_Q969V3_2_NCLN.pdf")</f>
        <v>Melting_Curves/meltCurve_Q969V3_2_NCLN.pdf</v>
      </c>
    </row>
    <row r="4174" spans="1:28" x14ac:dyDescent="0.25">
      <c r="A4174" t="s">
        <v>4178</v>
      </c>
      <c r="B4174">
        <v>0.99299721793515405</v>
      </c>
      <c r="C4174">
        <v>1.26905876200582</v>
      </c>
      <c r="D4174">
        <v>0.97821465747193503</v>
      </c>
      <c r="E4174">
        <v>1.05067313803514</v>
      </c>
      <c r="F4174">
        <v>0.89155883235599098</v>
      </c>
      <c r="G4174">
        <v>0.83199516759027903</v>
      </c>
      <c r="H4174">
        <v>0.79745631751552304</v>
      </c>
      <c r="I4174">
        <v>0.86937181639876504</v>
      </c>
      <c r="J4174">
        <v>0.45398073550936702</v>
      </c>
      <c r="K4174">
        <v>9.9229429165429303E-2</v>
      </c>
      <c r="L4174">
        <v>2403.7752774769801</v>
      </c>
      <c r="M4174">
        <v>37.740091619684598</v>
      </c>
      <c r="N4174">
        <v>63.6928840304152</v>
      </c>
      <c r="O4174">
        <v>63.514822187472099</v>
      </c>
      <c r="P4174">
        <v>-0.14854870137626999</v>
      </c>
      <c r="Q4174">
        <v>0</v>
      </c>
      <c r="R4174">
        <v>0.84325083573673498</v>
      </c>
      <c r="S4174" t="s">
        <v>9725</v>
      </c>
      <c r="T4174" t="s">
        <v>11100</v>
      </c>
      <c r="U4174" t="s">
        <v>11100</v>
      </c>
      <c r="V4174" t="s">
        <v>11100</v>
      </c>
      <c r="W4174" t="s">
        <v>15223</v>
      </c>
      <c r="X4174">
        <v>4</v>
      </c>
      <c r="Y4174" t="s">
        <v>20656</v>
      </c>
      <c r="Z4174" t="s">
        <v>26179</v>
      </c>
      <c r="AA4174">
        <v>0.8851637234596349</v>
      </c>
      <c r="AB4174" t="str">
        <f>HYPERLINK("Melting_Curves/meltCurve_Q969X5_2_ERGIC1.pdf", "Melting_Curves/meltCurve_Q969X5_2_ERGIC1.pdf")</f>
        <v>Melting_Curves/meltCurve_Q969X5_2_ERGIC1.pdf</v>
      </c>
    </row>
    <row r="4175" spans="1:28" x14ac:dyDescent="0.25">
      <c r="A4175" t="s">
        <v>4179</v>
      </c>
      <c r="B4175">
        <v>0.99299721793515405</v>
      </c>
      <c r="C4175">
        <v>1.0118009653735001</v>
      </c>
      <c r="D4175">
        <v>0.89889943220695201</v>
      </c>
      <c r="E4175">
        <v>0.89122942709395303</v>
      </c>
      <c r="F4175">
        <v>0.72933272983868602</v>
      </c>
      <c r="G4175">
        <v>0.51893739230306002</v>
      </c>
      <c r="H4175">
        <v>0.34269951462090797</v>
      </c>
      <c r="I4175">
        <v>0.21034735415244599</v>
      </c>
      <c r="J4175">
        <v>0.134146536469502</v>
      </c>
      <c r="K4175">
        <v>0.10507660690515599</v>
      </c>
      <c r="L4175">
        <v>639.72468842904595</v>
      </c>
      <c r="M4175">
        <v>11.7993647899</v>
      </c>
      <c r="N4175">
        <v>54.230118372210399</v>
      </c>
      <c r="O4175">
        <v>52.729901089791802</v>
      </c>
      <c r="P4175">
        <v>-5.5876322402784097E-2</v>
      </c>
      <c r="Q4175">
        <v>1.43948216483558E-3</v>
      </c>
      <c r="R4175">
        <v>0.996244450248569</v>
      </c>
      <c r="S4175" t="s">
        <v>9726</v>
      </c>
      <c r="T4175" t="s">
        <v>11100</v>
      </c>
      <c r="U4175" t="s">
        <v>11100</v>
      </c>
      <c r="V4175" t="s">
        <v>11100</v>
      </c>
      <c r="W4175" t="s">
        <v>15224</v>
      </c>
      <c r="X4175">
        <v>9</v>
      </c>
      <c r="Y4175" t="s">
        <v>20657</v>
      </c>
      <c r="Z4175" t="s">
        <v>26180</v>
      </c>
      <c r="AA4175">
        <v>0.59165550419320168</v>
      </c>
      <c r="AB4175" t="str">
        <f>HYPERLINK("Melting_Curves/meltCurve_Q969Y2_3_GTPBP3.pdf", "Melting_Curves/meltCurve_Q969Y2_3_GTPBP3.pdf")</f>
        <v>Melting_Curves/meltCurve_Q969Y2_3_GTPBP3.pdf</v>
      </c>
    </row>
    <row r="4176" spans="1:28" x14ac:dyDescent="0.25">
      <c r="A4176" t="s">
        <v>4180</v>
      </c>
      <c r="B4176">
        <v>0.99299721793515405</v>
      </c>
      <c r="C4176">
        <v>1.14748835620475</v>
      </c>
      <c r="D4176">
        <v>1.1992667964891599</v>
      </c>
      <c r="E4176">
        <v>1.02894297638171</v>
      </c>
      <c r="F4176">
        <v>0.54712914710805205</v>
      </c>
      <c r="G4176">
        <v>0.26226841005839702</v>
      </c>
      <c r="H4176">
        <v>0.16768088705207099</v>
      </c>
      <c r="I4176">
        <v>0.14916384204910099</v>
      </c>
      <c r="J4176">
        <v>0.13272478099294699</v>
      </c>
      <c r="K4176">
        <v>0.106648780527002</v>
      </c>
      <c r="L4176">
        <v>2029.2887800854501</v>
      </c>
      <c r="M4176">
        <v>40.431336275615898</v>
      </c>
      <c r="N4176">
        <v>50.634533083939999</v>
      </c>
      <c r="O4176">
        <v>50.068673880626399</v>
      </c>
      <c r="P4176">
        <v>-0.17177528580059201</v>
      </c>
      <c r="Q4176">
        <v>0.14912100765877601</v>
      </c>
      <c r="R4176">
        <v>0.96289290177380804</v>
      </c>
      <c r="S4176" t="s">
        <v>9727</v>
      </c>
      <c r="T4176" t="s">
        <v>11100</v>
      </c>
      <c r="U4176" t="s">
        <v>11100</v>
      </c>
      <c r="V4176" t="s">
        <v>11100</v>
      </c>
      <c r="W4176" t="s">
        <v>15225</v>
      </c>
      <c r="X4176">
        <v>14</v>
      </c>
      <c r="Y4176" t="s">
        <v>20658</v>
      </c>
      <c r="Z4176" t="s">
        <v>26181</v>
      </c>
      <c r="AA4176">
        <v>0.5261391970210203</v>
      </c>
      <c r="AB4176" t="str">
        <f>HYPERLINK("Melting_Curves/meltCurve_Q969Z0_TBRG4.pdf", "Melting_Curves/meltCurve_Q969Z0_TBRG4.pdf")</f>
        <v>Melting_Curves/meltCurve_Q969Z0_TBRG4.pdf</v>
      </c>
    </row>
    <row r="4177" spans="1:28" x14ac:dyDescent="0.25">
      <c r="A4177" t="s">
        <v>4181</v>
      </c>
      <c r="B4177">
        <v>0.99299721793515405</v>
      </c>
      <c r="C4177">
        <v>0.94285269660681503</v>
      </c>
      <c r="D4177">
        <v>0.92054024685683</v>
      </c>
      <c r="E4177">
        <v>0.84509633357970104</v>
      </c>
      <c r="F4177">
        <v>0.71343888951395196</v>
      </c>
      <c r="G4177">
        <v>0.60881710531038102</v>
      </c>
      <c r="H4177">
        <v>0.44531052720192699</v>
      </c>
      <c r="I4177">
        <v>0.42135311048287699</v>
      </c>
      <c r="J4177">
        <v>0.400551111541811</v>
      </c>
      <c r="K4177">
        <v>0.30302909013489698</v>
      </c>
      <c r="L4177">
        <v>490.19109622851198</v>
      </c>
      <c r="M4177">
        <v>9.2313066066614606</v>
      </c>
      <c r="N4177">
        <v>56.914384262064999</v>
      </c>
      <c r="O4177">
        <v>50.787399804788301</v>
      </c>
      <c r="P4177">
        <v>-3.4983898659906101E-2</v>
      </c>
      <c r="Q4177">
        <v>0.23063112689062501</v>
      </c>
      <c r="R4177">
        <v>0.991466863011217</v>
      </c>
      <c r="S4177" t="s">
        <v>9728</v>
      </c>
      <c r="T4177" t="s">
        <v>11100</v>
      </c>
      <c r="U4177" t="s">
        <v>11100</v>
      </c>
      <c r="V4177" t="s">
        <v>11100</v>
      </c>
      <c r="W4177" t="s">
        <v>15226</v>
      </c>
      <c r="X4177">
        <v>4</v>
      </c>
      <c r="Y4177" t="s">
        <v>20659</v>
      </c>
      <c r="Z4177" t="s">
        <v>26182</v>
      </c>
      <c r="AA4177">
        <v>0.66042919317873838</v>
      </c>
      <c r="AB4177" t="str">
        <f>HYPERLINK("Melting_Curves/meltCurve_Q96A19_CCDC102A.pdf", "Melting_Curves/meltCurve_Q96A19_CCDC102A.pdf")</f>
        <v>Melting_Curves/meltCurve_Q96A19_CCDC102A.pdf</v>
      </c>
    </row>
    <row r="4178" spans="1:28" x14ac:dyDescent="0.25">
      <c r="A4178" t="s">
        <v>4182</v>
      </c>
      <c r="B4178">
        <v>0.99299721793515405</v>
      </c>
      <c r="C4178">
        <v>0.94723752452125698</v>
      </c>
      <c r="D4178">
        <v>0.91080692656026596</v>
      </c>
      <c r="E4178">
        <v>0.81630530548964997</v>
      </c>
      <c r="F4178">
        <v>0.712087513322614</v>
      </c>
      <c r="G4178">
        <v>0.56230091402596805</v>
      </c>
      <c r="H4178">
        <v>0.31965897976672603</v>
      </c>
      <c r="I4178">
        <v>0.14556251675967</v>
      </c>
      <c r="J4178">
        <v>0.13145471875701101</v>
      </c>
      <c r="K4178">
        <v>0.10143860243370301</v>
      </c>
      <c r="L4178">
        <v>620.42381052350402</v>
      </c>
      <c r="M4178">
        <v>11.528154782870001</v>
      </c>
      <c r="N4178">
        <v>53.818136200998701</v>
      </c>
      <c r="O4178">
        <v>52.275131665116199</v>
      </c>
      <c r="P4178">
        <v>-5.5147629045589799E-2</v>
      </c>
      <c r="Q4178">
        <v>0</v>
      </c>
      <c r="R4178">
        <v>0.98988797480022095</v>
      </c>
      <c r="S4178" t="s">
        <v>9729</v>
      </c>
      <c r="T4178" t="s">
        <v>11100</v>
      </c>
      <c r="U4178" t="s">
        <v>11100</v>
      </c>
      <c r="V4178" t="s">
        <v>11100</v>
      </c>
      <c r="W4178" t="s">
        <v>15227</v>
      </c>
      <c r="X4178">
        <v>19</v>
      </c>
      <c r="Y4178" t="s">
        <v>20660</v>
      </c>
      <c r="Z4178" t="s">
        <v>26183</v>
      </c>
      <c r="AA4178">
        <v>0.57927708139193945</v>
      </c>
      <c r="AB4178" t="str">
        <f>HYPERLINK("Melting_Curves/meltCurve_Q96A33_CCDC47.pdf", "Melting_Curves/meltCurve_Q96A33_CCDC47.pdf")</f>
        <v>Melting_Curves/meltCurve_Q96A33_CCDC47.pdf</v>
      </c>
    </row>
    <row r="4179" spans="1:28" x14ac:dyDescent="0.25">
      <c r="A4179" t="s">
        <v>4183</v>
      </c>
      <c r="B4179">
        <v>0.99299721793515405</v>
      </c>
      <c r="C4179">
        <v>1.10097900115641</v>
      </c>
      <c r="D4179">
        <v>1.0871630600675499</v>
      </c>
      <c r="E4179">
        <v>1.0188811738850201</v>
      </c>
      <c r="F4179">
        <v>0.83445909802677798</v>
      </c>
      <c r="G4179">
        <v>0.701989690224463</v>
      </c>
      <c r="H4179">
        <v>0.48001001031089502</v>
      </c>
      <c r="I4179">
        <v>0.37333982001257898</v>
      </c>
      <c r="J4179">
        <v>0.29868780727919497</v>
      </c>
      <c r="K4179">
        <v>0.20669102781229501</v>
      </c>
      <c r="L4179">
        <v>889.87877980725796</v>
      </c>
      <c r="M4179">
        <v>16.0195589325687</v>
      </c>
      <c r="N4179">
        <v>57.269216466038898</v>
      </c>
      <c r="O4179">
        <v>54.705515810462003</v>
      </c>
      <c r="P4179">
        <v>-5.9235281929695502E-2</v>
      </c>
      <c r="Q4179">
        <v>0.19092810502527499</v>
      </c>
      <c r="R4179">
        <v>0.97517330934553004</v>
      </c>
      <c r="S4179" t="s">
        <v>9730</v>
      </c>
      <c r="T4179" t="s">
        <v>11100</v>
      </c>
      <c r="U4179" t="s">
        <v>11100</v>
      </c>
      <c r="V4179" t="s">
        <v>11100</v>
      </c>
      <c r="W4179" t="s">
        <v>15228</v>
      </c>
      <c r="X4179">
        <v>14</v>
      </c>
      <c r="Y4179" t="s">
        <v>20661</v>
      </c>
      <c r="Z4179" t="s">
        <v>26184</v>
      </c>
      <c r="AA4179">
        <v>0.70132104271352325</v>
      </c>
      <c r="AB4179" t="str">
        <f>HYPERLINK("Melting_Curves/meltCurve_Q96A49_SYAP1.pdf", "Melting_Curves/meltCurve_Q96A49_SYAP1.pdf")</f>
        <v>Melting_Curves/meltCurve_Q96A49_SYAP1.pdf</v>
      </c>
    </row>
    <row r="4180" spans="1:28" x14ac:dyDescent="0.25">
      <c r="A4180" t="s">
        <v>4184</v>
      </c>
      <c r="B4180">
        <v>0.99299721793515405</v>
      </c>
      <c r="C4180">
        <v>0.99713072666728397</v>
      </c>
      <c r="D4180">
        <v>0.970297712818464</v>
      </c>
      <c r="E4180">
        <v>0.83812672653762799</v>
      </c>
      <c r="F4180">
        <v>0.61439375819446795</v>
      </c>
      <c r="G4180">
        <v>0.31051972077279499</v>
      </c>
      <c r="H4180">
        <v>0.22500638492236699</v>
      </c>
      <c r="I4180">
        <v>0.22247092284117401</v>
      </c>
      <c r="J4180">
        <v>0.21574462412807699</v>
      </c>
      <c r="K4180">
        <v>0.173633651514569</v>
      </c>
      <c r="L4180">
        <v>1063.6276787593299</v>
      </c>
      <c r="M4180">
        <v>21.2406287505367</v>
      </c>
      <c r="N4180">
        <v>51.201355880455303</v>
      </c>
      <c r="O4180">
        <v>49.6376395547709</v>
      </c>
      <c r="P4180">
        <v>-8.7016050485642801E-2</v>
      </c>
      <c r="Q4180">
        <v>0.18662288438529601</v>
      </c>
      <c r="R4180">
        <v>0.99691887247282795</v>
      </c>
      <c r="S4180" t="s">
        <v>9731</v>
      </c>
      <c r="T4180" t="s">
        <v>11100</v>
      </c>
      <c r="U4180" t="s">
        <v>11100</v>
      </c>
      <c r="V4180" t="s">
        <v>11100</v>
      </c>
      <c r="W4180" t="s">
        <v>15229</v>
      </c>
      <c r="X4180">
        <v>7</v>
      </c>
      <c r="Y4180" t="s">
        <v>20662</v>
      </c>
      <c r="Z4180" t="s">
        <v>26185</v>
      </c>
      <c r="AA4180">
        <v>0.5507507403464752</v>
      </c>
      <c r="AB4180" t="str">
        <f>HYPERLINK("Melting_Curves/meltCurve_Q96A65_EXOC4.pdf", "Melting_Curves/meltCurve_Q96A65_EXOC4.pdf")</f>
        <v>Melting_Curves/meltCurve_Q96A65_EXOC4.pdf</v>
      </c>
    </row>
    <row r="4181" spans="1:28" x14ac:dyDescent="0.25">
      <c r="A4181" t="s">
        <v>4185</v>
      </c>
      <c r="B4181">
        <v>0.99299721793515405</v>
      </c>
      <c r="C4181">
        <v>0.87670428813238399</v>
      </c>
      <c r="D4181">
        <v>1.03882887898636</v>
      </c>
      <c r="E4181">
        <v>0.79453838379530195</v>
      </c>
      <c r="F4181">
        <v>0.73148943543872202</v>
      </c>
      <c r="G4181">
        <v>0.72652728213587603</v>
      </c>
      <c r="H4181">
        <v>0.45835937594947401</v>
      </c>
      <c r="I4181">
        <v>0.44565175163979898</v>
      </c>
      <c r="J4181">
        <v>0.50720706296596496</v>
      </c>
      <c r="K4181">
        <v>0.43314811915284901</v>
      </c>
      <c r="L4181">
        <v>553.63345690740402</v>
      </c>
      <c r="M4181">
        <v>10.710325192970799</v>
      </c>
      <c r="N4181">
        <v>59.882508218234904</v>
      </c>
      <c r="O4181">
        <v>49.987276773666601</v>
      </c>
      <c r="P4181">
        <v>-3.2983851521965403E-2</v>
      </c>
      <c r="Q4181">
        <v>0.38446062205446102</v>
      </c>
      <c r="R4181">
        <v>0.90534816847744404</v>
      </c>
      <c r="S4181" t="s">
        <v>9732</v>
      </c>
      <c r="T4181" t="s">
        <v>11100</v>
      </c>
      <c r="U4181" t="s">
        <v>11100</v>
      </c>
      <c r="V4181" t="s">
        <v>11100</v>
      </c>
      <c r="W4181" t="s">
        <v>15230</v>
      </c>
      <c r="X4181">
        <v>3</v>
      </c>
      <c r="Y4181" t="s">
        <v>20663</v>
      </c>
      <c r="Z4181" t="s">
        <v>26186</v>
      </c>
      <c r="AA4181">
        <v>0.70234804607128254</v>
      </c>
      <c r="AB4181" t="str">
        <f>HYPERLINK("Melting_Curves/meltCurve_Q96A73_KIAA1191.pdf", "Melting_Curves/meltCurve_Q96A73_KIAA1191.pdf")</f>
        <v>Melting_Curves/meltCurve_Q96A73_KIAA1191.pdf</v>
      </c>
    </row>
    <row r="4182" spans="1:28" x14ac:dyDescent="0.25">
      <c r="A4182" t="s">
        <v>4186</v>
      </c>
      <c r="B4182">
        <v>0.99299721793515405</v>
      </c>
      <c r="C4182">
        <v>0.98720148908451799</v>
      </c>
      <c r="D4182">
        <v>0.88731922160180199</v>
      </c>
      <c r="E4182">
        <v>0.90597649294959604</v>
      </c>
      <c r="F4182">
        <v>0.80284557995832595</v>
      </c>
      <c r="G4182">
        <v>0.63434380288249503</v>
      </c>
      <c r="H4182">
        <v>0.51890473871850196</v>
      </c>
      <c r="I4182">
        <v>0.48907285889555502</v>
      </c>
      <c r="J4182">
        <v>0.34691605821599603</v>
      </c>
      <c r="K4182">
        <v>0.18030434436664</v>
      </c>
      <c r="L4182">
        <v>474.58631191632497</v>
      </c>
      <c r="M4182">
        <v>8.1365917519614008</v>
      </c>
      <c r="N4182">
        <v>58.3274050724444</v>
      </c>
      <c r="O4182">
        <v>55.121542183577901</v>
      </c>
      <c r="P4182">
        <v>-3.6942133805820801E-2</v>
      </c>
      <c r="Q4182">
        <v>0</v>
      </c>
      <c r="R4182">
        <v>0.97508016430254696</v>
      </c>
      <c r="S4182" t="s">
        <v>9733</v>
      </c>
      <c r="T4182" t="s">
        <v>11100</v>
      </c>
      <c r="U4182" t="s">
        <v>11100</v>
      </c>
      <c r="V4182" t="s">
        <v>11100</v>
      </c>
      <c r="W4182" t="s">
        <v>15231</v>
      </c>
      <c r="X4182">
        <v>6</v>
      </c>
      <c r="Y4182" t="s">
        <v>20664</v>
      </c>
      <c r="Z4182" t="s">
        <v>26187</v>
      </c>
      <c r="AA4182">
        <v>0.68768220900350285</v>
      </c>
      <c r="AB4182" t="str">
        <f>HYPERLINK("Melting_Curves/meltCurve_Q96AB3_ISOC2.pdf", "Melting_Curves/meltCurve_Q96AB3_ISOC2.pdf")</f>
        <v>Melting_Curves/meltCurve_Q96AB3_ISOC2.pdf</v>
      </c>
    </row>
    <row r="4183" spans="1:28" x14ac:dyDescent="0.25">
      <c r="A4183" t="s">
        <v>4187</v>
      </c>
      <c r="B4183">
        <v>0.99299721793515405</v>
      </c>
      <c r="C4183">
        <v>0.96086162923089402</v>
      </c>
      <c r="D4183">
        <v>1.0222926101740899</v>
      </c>
      <c r="E4183">
        <v>0.96746511595919704</v>
      </c>
      <c r="F4183">
        <v>0.75270947786219899</v>
      </c>
      <c r="G4183">
        <v>0.54869327958224701</v>
      </c>
      <c r="H4183">
        <v>0.29992986271088701</v>
      </c>
      <c r="I4183">
        <v>0.18635380796189399</v>
      </c>
      <c r="J4183">
        <v>0.17822420241967801</v>
      </c>
      <c r="K4183">
        <v>0.178231666496176</v>
      </c>
      <c r="L4183">
        <v>1024.8470060662301</v>
      </c>
      <c r="M4183">
        <v>19.308487781235701</v>
      </c>
      <c r="N4183">
        <v>54.046023575087901</v>
      </c>
      <c r="O4183">
        <v>52.518022826463898</v>
      </c>
      <c r="P4183">
        <v>-7.8474725498600004E-2</v>
      </c>
      <c r="Q4183">
        <v>0.14624390463279699</v>
      </c>
      <c r="R4183">
        <v>0.99512059035110301</v>
      </c>
      <c r="S4183" t="s">
        <v>9734</v>
      </c>
      <c r="T4183" t="s">
        <v>11100</v>
      </c>
      <c r="U4183" t="s">
        <v>11100</v>
      </c>
      <c r="V4183" t="s">
        <v>11100</v>
      </c>
      <c r="W4183" t="s">
        <v>15232</v>
      </c>
      <c r="X4183">
        <v>7</v>
      </c>
      <c r="Y4183" t="s">
        <v>20665</v>
      </c>
      <c r="Z4183" t="s">
        <v>26188</v>
      </c>
      <c r="AA4183">
        <v>0.61505813350923944</v>
      </c>
      <c r="AB4183" t="str">
        <f>HYPERLINK("Melting_Curves/meltCurve_Q96AB6_NTAN1.pdf", "Melting_Curves/meltCurve_Q96AB6_NTAN1.pdf")</f>
        <v>Melting_Curves/meltCurve_Q96AB6_NTAN1.pdf</v>
      </c>
    </row>
    <row r="4184" spans="1:28" x14ac:dyDescent="0.25">
      <c r="A4184" t="s">
        <v>4188</v>
      </c>
      <c r="B4184">
        <v>0.99299721793515405</v>
      </c>
      <c r="C4184">
        <v>1.04550837353848</v>
      </c>
      <c r="D4184">
        <v>0.94457753592704596</v>
      </c>
      <c r="E4184">
        <v>0.91242978139064501</v>
      </c>
      <c r="F4184">
        <v>0.79582433360720095</v>
      </c>
      <c r="G4184">
        <v>0.63446437998346605</v>
      </c>
      <c r="H4184">
        <v>0.57937484782927895</v>
      </c>
      <c r="I4184">
        <v>0.36995662147405101</v>
      </c>
      <c r="J4184">
        <v>0.14910387604449299</v>
      </c>
      <c r="K4184">
        <v>0.131293554522251</v>
      </c>
      <c r="L4184">
        <v>645.12315248145103</v>
      </c>
      <c r="M4184">
        <v>11.2841914071311</v>
      </c>
      <c r="N4184">
        <v>57.170525549742202</v>
      </c>
      <c r="O4184">
        <v>55.463287818030899</v>
      </c>
      <c r="P4184">
        <v>-5.0878889619923602E-2</v>
      </c>
      <c r="Q4184">
        <v>0</v>
      </c>
      <c r="R4184">
        <v>0.97798633775687505</v>
      </c>
      <c r="S4184" t="s">
        <v>9735</v>
      </c>
      <c r="T4184" t="s">
        <v>11100</v>
      </c>
      <c r="U4184" t="s">
        <v>11100</v>
      </c>
      <c r="V4184" t="s">
        <v>11100</v>
      </c>
      <c r="W4184" t="s">
        <v>15233</v>
      </c>
      <c r="X4184">
        <v>17</v>
      </c>
      <c r="Y4184" t="s">
        <v>20666</v>
      </c>
      <c r="Z4184" t="s">
        <v>26189</v>
      </c>
      <c r="AA4184">
        <v>0.67436744711122842</v>
      </c>
      <c r="AB4184" t="str">
        <f>HYPERLINK("Melting_Curves/meltCurve_Q96AC1_FERMT2.pdf", "Melting_Curves/meltCurve_Q96AC1_FERMT2.pdf")</f>
        <v>Melting_Curves/meltCurve_Q96AC1_FERMT2.pdf</v>
      </c>
    </row>
    <row r="4185" spans="1:28" x14ac:dyDescent="0.25">
      <c r="A4185" t="s">
        <v>4189</v>
      </c>
      <c r="B4185">
        <v>0.99299721793515405</v>
      </c>
      <c r="C4185">
        <v>1.0345244584564199</v>
      </c>
      <c r="D4185">
        <v>1.02081250705038</v>
      </c>
      <c r="E4185">
        <v>0.90696009496188001</v>
      </c>
      <c r="F4185">
        <v>0.71153527357850799</v>
      </c>
      <c r="G4185">
        <v>0.306219853999668</v>
      </c>
      <c r="H4185">
        <v>0.22476566047058999</v>
      </c>
      <c r="I4185">
        <v>0.257275081605157</v>
      </c>
      <c r="J4185">
        <v>0.22354867124091801</v>
      </c>
      <c r="K4185">
        <v>0.112412447182848</v>
      </c>
      <c r="L4185">
        <v>1491.9280894825299</v>
      </c>
      <c r="M4185">
        <v>29.2601786015376</v>
      </c>
      <c r="N4185">
        <v>51.838076126935597</v>
      </c>
      <c r="O4185">
        <v>50.751965730931602</v>
      </c>
      <c r="P4185">
        <v>-0.116677427551971</v>
      </c>
      <c r="Q4185">
        <v>0.19049488697833999</v>
      </c>
      <c r="R4185">
        <v>0.98805071245893294</v>
      </c>
      <c r="S4185" t="s">
        <v>9736</v>
      </c>
      <c r="T4185" t="s">
        <v>11100</v>
      </c>
      <c r="U4185" t="s">
        <v>11100</v>
      </c>
      <c r="V4185" t="s">
        <v>11100</v>
      </c>
      <c r="W4185" t="s">
        <v>15234</v>
      </c>
      <c r="X4185">
        <v>4</v>
      </c>
      <c r="Y4185" t="s">
        <v>20667</v>
      </c>
      <c r="Z4185" t="s">
        <v>26190</v>
      </c>
      <c r="AA4185">
        <v>0.57324293824257444</v>
      </c>
      <c r="AB4185" t="str">
        <f>HYPERLINK("Melting_Curves/meltCurve_Q96AD5_PNPLA2.pdf", "Melting_Curves/meltCurve_Q96AD5_PNPLA2.pdf")</f>
        <v>Melting_Curves/meltCurve_Q96AD5_PNPLA2.pdf</v>
      </c>
    </row>
    <row r="4186" spans="1:28" x14ac:dyDescent="0.25">
      <c r="A4186" t="s">
        <v>4190</v>
      </c>
      <c r="B4186">
        <v>0.99299721793515405</v>
      </c>
      <c r="C4186">
        <v>0.97965516676305997</v>
      </c>
      <c r="D4186">
        <v>0.94727241860760802</v>
      </c>
      <c r="E4186">
        <v>0.87313093970146904</v>
      </c>
      <c r="F4186">
        <v>0.73380212789270705</v>
      </c>
      <c r="G4186">
        <v>0.51353746433017899</v>
      </c>
      <c r="H4186">
        <v>0.56630007079288902</v>
      </c>
      <c r="I4186">
        <v>0.74757378509972305</v>
      </c>
      <c r="J4186">
        <v>0.864329059537151</v>
      </c>
      <c r="K4186">
        <v>0.72737307718579602</v>
      </c>
      <c r="L4186">
        <v>1760.46803591711</v>
      </c>
      <c r="M4186">
        <v>37.470993015370198</v>
      </c>
      <c r="O4186">
        <v>46.848943039927399</v>
      </c>
      <c r="P4186">
        <v>-6.2492236755046698E-2</v>
      </c>
      <c r="Q4186">
        <v>0.68747160126928497</v>
      </c>
      <c r="R4186">
        <v>0.65850445130726398</v>
      </c>
      <c r="S4186" t="s">
        <v>9737</v>
      </c>
      <c r="T4186" t="s">
        <v>11100</v>
      </c>
      <c r="U4186" t="s">
        <v>11100</v>
      </c>
      <c r="V4186" t="s">
        <v>11100</v>
      </c>
      <c r="W4186" t="s">
        <v>15235</v>
      </c>
      <c r="X4186">
        <v>54</v>
      </c>
      <c r="Y4186" t="s">
        <v>20668</v>
      </c>
      <c r="Z4186" t="s">
        <v>26191</v>
      </c>
      <c r="AA4186">
        <v>0.79262011312500369</v>
      </c>
      <c r="AB4186" t="str">
        <f>HYPERLINK("Melting_Curves/meltCurve_Q96AE4_FUBP1.pdf", "Melting_Curves/meltCurve_Q96AE4_FUBP1.pdf")</f>
        <v>Melting_Curves/meltCurve_Q96AE4_FUBP1.pdf</v>
      </c>
    </row>
    <row r="4187" spans="1:28" x14ac:dyDescent="0.25">
      <c r="A4187" t="s">
        <v>4191</v>
      </c>
      <c r="B4187">
        <v>0.99299721793515405</v>
      </c>
      <c r="C4187">
        <v>0.89366687560995695</v>
      </c>
      <c r="D4187">
        <v>0.95528573438356001</v>
      </c>
      <c r="E4187">
        <v>0.74570376843793995</v>
      </c>
      <c r="F4187">
        <v>0.71904061433660604</v>
      </c>
      <c r="G4187">
        <v>0.439847394257665</v>
      </c>
      <c r="H4187">
        <v>0.48654705230130502</v>
      </c>
      <c r="I4187">
        <v>0.59885595414303305</v>
      </c>
      <c r="J4187">
        <v>0.61427642090319201</v>
      </c>
      <c r="K4187">
        <v>0.47165747814973702</v>
      </c>
      <c r="L4187">
        <v>848.63265835042898</v>
      </c>
      <c r="M4187">
        <v>18.11504062313</v>
      </c>
      <c r="O4187">
        <v>46.2871513986412</v>
      </c>
      <c r="P4187">
        <v>-4.6809323719441097E-2</v>
      </c>
      <c r="Q4187">
        <v>0.52159837456635205</v>
      </c>
      <c r="R4187">
        <v>0.86439360865441395</v>
      </c>
      <c r="S4187" t="s">
        <v>9738</v>
      </c>
      <c r="T4187" t="s">
        <v>11100</v>
      </c>
      <c r="U4187" t="s">
        <v>11100</v>
      </c>
      <c r="V4187" t="s">
        <v>11100</v>
      </c>
      <c r="W4187" t="s">
        <v>15236</v>
      </c>
      <c r="X4187">
        <v>53</v>
      </c>
      <c r="Y4187" t="s">
        <v>20668</v>
      </c>
      <c r="Z4187" t="s">
        <v>26192</v>
      </c>
      <c r="AA4187">
        <v>0.68621560090641931</v>
      </c>
      <c r="AB4187" t="str">
        <f>HYPERLINK("Melting_Curves/meltCurve_Q96AE4_2_FUBP1.pdf", "Melting_Curves/meltCurve_Q96AE4_2_FUBP1.pdf")</f>
        <v>Melting_Curves/meltCurve_Q96AE4_2_FUBP1.pdf</v>
      </c>
    </row>
    <row r="4188" spans="1:28" x14ac:dyDescent="0.25">
      <c r="A4188" t="s">
        <v>4192</v>
      </c>
      <c r="B4188">
        <v>0.99299721793515405</v>
      </c>
      <c r="C4188">
        <v>1.0452306484279601</v>
      </c>
      <c r="D4188">
        <v>1.21595930332869</v>
      </c>
      <c r="E4188">
        <v>0.87376624233322397</v>
      </c>
      <c r="F4188">
        <v>0.72792499812275901</v>
      </c>
      <c r="G4188">
        <v>0.72903469251761499</v>
      </c>
      <c r="H4188">
        <v>0.47203950940629003</v>
      </c>
      <c r="I4188">
        <v>0.388249864544501</v>
      </c>
      <c r="J4188">
        <v>0.30222969331125599</v>
      </c>
      <c r="K4188">
        <v>0.21175305269119801</v>
      </c>
      <c r="L4188">
        <v>669.593769051143</v>
      </c>
      <c r="M4188">
        <v>11.981174405020701</v>
      </c>
      <c r="N4188">
        <v>57.362368524408701</v>
      </c>
      <c r="O4188">
        <v>54.398505587053599</v>
      </c>
      <c r="P4188">
        <v>-4.7773001727985501E-2</v>
      </c>
      <c r="Q4188">
        <v>0.13258911254341599</v>
      </c>
      <c r="R4188">
        <v>0.92565849555438195</v>
      </c>
      <c r="S4188" t="s">
        <v>9739</v>
      </c>
      <c r="T4188" t="s">
        <v>11100</v>
      </c>
      <c r="U4188" t="s">
        <v>11100</v>
      </c>
      <c r="V4188" t="s">
        <v>11100</v>
      </c>
      <c r="W4188" t="s">
        <v>15237</v>
      </c>
      <c r="X4188">
        <v>19</v>
      </c>
      <c r="Y4188" t="s">
        <v>20669</v>
      </c>
      <c r="Z4188" t="s">
        <v>26193</v>
      </c>
      <c r="AA4188">
        <v>0.68762364831912515</v>
      </c>
      <c r="AB4188" t="str">
        <f>HYPERLINK("Melting_Curves/meltCurve_Q96AG4_LRRC59.pdf", "Melting_Curves/meltCurve_Q96AG4_LRRC59.pdf")</f>
        <v>Melting_Curves/meltCurve_Q96AG4_LRRC59.pdf</v>
      </c>
    </row>
    <row r="4189" spans="1:28" x14ac:dyDescent="0.25">
      <c r="A4189" t="s">
        <v>4193</v>
      </c>
      <c r="B4189">
        <v>0.99299721793515405</v>
      </c>
      <c r="C4189">
        <v>0.97851533979450001</v>
      </c>
      <c r="D4189">
        <v>1.0015382384629901</v>
      </c>
      <c r="E4189">
        <v>0.793781729523382</v>
      </c>
      <c r="F4189">
        <v>0.64285155083863998</v>
      </c>
      <c r="G4189">
        <v>0.51826481309022998</v>
      </c>
      <c r="H4189">
        <v>0.41000999036637298</v>
      </c>
      <c r="I4189">
        <v>0.39971580679393898</v>
      </c>
      <c r="J4189">
        <v>0.443996765003283</v>
      </c>
      <c r="K4189">
        <v>0.35218051895492403</v>
      </c>
      <c r="L4189">
        <v>839.126926566473</v>
      </c>
      <c r="M4189">
        <v>17.070764403197199</v>
      </c>
      <c r="N4189">
        <v>53.735602885973897</v>
      </c>
      <c r="O4189">
        <v>48.496100205211</v>
      </c>
      <c r="P4189">
        <v>-5.4274146525584203E-2</v>
      </c>
      <c r="Q4189">
        <v>0.38329074599527702</v>
      </c>
      <c r="R4189">
        <v>0.98659060203254401</v>
      </c>
      <c r="S4189" t="s">
        <v>9740</v>
      </c>
      <c r="T4189" t="s">
        <v>11100</v>
      </c>
      <c r="U4189" t="s">
        <v>11100</v>
      </c>
      <c r="V4189" t="s">
        <v>11100</v>
      </c>
      <c r="W4189" t="s">
        <v>15238</v>
      </c>
      <c r="X4189">
        <v>9</v>
      </c>
      <c r="Y4189" t="s">
        <v>20670</v>
      </c>
      <c r="Z4189" t="s">
        <v>26194</v>
      </c>
      <c r="AA4189">
        <v>0.64389747752188498</v>
      </c>
      <c r="AB4189" t="str">
        <f>HYPERLINK("Melting_Curves/meltCurve_Q96AJ9_1_VTI1A.pdf", "Melting_Curves/meltCurve_Q96AJ9_1_VTI1A.pdf")</f>
        <v>Melting_Curves/meltCurve_Q96AJ9_1_VTI1A.pdf</v>
      </c>
    </row>
    <row r="4190" spans="1:28" x14ac:dyDescent="0.25">
      <c r="A4190" t="s">
        <v>4194</v>
      </c>
      <c r="B4190">
        <v>0.99299721793515405</v>
      </c>
      <c r="C4190">
        <v>0.98261624423990301</v>
      </c>
      <c r="D4190">
        <v>0.90303329580588299</v>
      </c>
      <c r="E4190">
        <v>0.98100880484165298</v>
      </c>
      <c r="F4190">
        <v>0.70793617055493396</v>
      </c>
      <c r="G4190">
        <v>0.65773407676905105</v>
      </c>
      <c r="H4190">
        <v>0.56915294470063904</v>
      </c>
      <c r="I4190">
        <v>0.50099500861238799</v>
      </c>
      <c r="J4190">
        <v>0.29797954331694698</v>
      </c>
      <c r="K4190">
        <v>0.22980370018304</v>
      </c>
      <c r="L4190">
        <v>471.19866594888902</v>
      </c>
      <c r="M4190">
        <v>8.0384109587973498</v>
      </c>
      <c r="N4190">
        <v>58.618381342147799</v>
      </c>
      <c r="O4190">
        <v>55.324547018054403</v>
      </c>
      <c r="P4190">
        <v>-3.63642397037219E-2</v>
      </c>
      <c r="Q4190">
        <v>0</v>
      </c>
      <c r="R4190">
        <v>0.96128787776347502</v>
      </c>
      <c r="S4190" t="s">
        <v>9741</v>
      </c>
      <c r="T4190" t="s">
        <v>11100</v>
      </c>
      <c r="U4190" t="s">
        <v>11100</v>
      </c>
      <c r="V4190" t="s">
        <v>11100</v>
      </c>
      <c r="W4190" t="s">
        <v>15239</v>
      </c>
      <c r="X4190">
        <v>4</v>
      </c>
      <c r="Y4190" t="s">
        <v>20671</v>
      </c>
      <c r="Z4190" t="s">
        <v>26195</v>
      </c>
      <c r="AA4190">
        <v>0.69345774917658931</v>
      </c>
      <c r="AB4190" t="str">
        <f>HYPERLINK("Melting_Curves/meltCurve_Q96AQ8_MCUR1.pdf", "Melting_Curves/meltCurve_Q96AQ8_MCUR1.pdf")</f>
        <v>Melting_Curves/meltCurve_Q96AQ8_MCUR1.pdf</v>
      </c>
    </row>
    <row r="4191" spans="1:28" x14ac:dyDescent="0.25">
      <c r="A4191" t="s">
        <v>4195</v>
      </c>
      <c r="B4191">
        <v>0.99299721793515405</v>
      </c>
      <c r="C4191">
        <v>0.89803595102951195</v>
      </c>
      <c r="D4191">
        <v>1.2256271738867299</v>
      </c>
      <c r="E4191">
        <v>0.92638264054604902</v>
      </c>
      <c r="F4191">
        <v>0.75563103676606003</v>
      </c>
      <c r="G4191">
        <v>0.62609278778254196</v>
      </c>
      <c r="H4191">
        <v>0.56877459607385805</v>
      </c>
      <c r="I4191">
        <v>0.759399345749598</v>
      </c>
      <c r="J4191">
        <v>0.95765108081132</v>
      </c>
      <c r="K4191">
        <v>0.90972636736058399</v>
      </c>
      <c r="L4191">
        <v>11687.184616841299</v>
      </c>
      <c r="M4191">
        <v>250</v>
      </c>
      <c r="O4191">
        <v>46.745746869140604</v>
      </c>
      <c r="P4191">
        <v>-0.317035258637483</v>
      </c>
      <c r="Q4191">
        <v>0.76287920115176699</v>
      </c>
      <c r="R4191">
        <v>0.46227172567179198</v>
      </c>
      <c r="S4191" t="s">
        <v>9742</v>
      </c>
      <c r="T4191" t="s">
        <v>11100</v>
      </c>
      <c r="U4191" t="s">
        <v>11100</v>
      </c>
      <c r="V4191" t="s">
        <v>11100</v>
      </c>
      <c r="W4191" t="s">
        <v>15240</v>
      </c>
      <c r="X4191">
        <v>16</v>
      </c>
      <c r="Y4191" t="s">
        <v>20672</v>
      </c>
      <c r="Z4191" t="s">
        <v>26196</v>
      </c>
      <c r="AA4191">
        <v>0.83995294376474183</v>
      </c>
      <c r="AB4191" t="str">
        <f>HYPERLINK("Melting_Curves/meltCurve_Q96AT1_KIAA1143.pdf", "Melting_Curves/meltCurve_Q96AT1_KIAA1143.pdf")</f>
        <v>Melting_Curves/meltCurve_Q96AT1_KIAA1143.pdf</v>
      </c>
    </row>
    <row r="4192" spans="1:28" x14ac:dyDescent="0.25">
      <c r="A4192" t="s">
        <v>4196</v>
      </c>
      <c r="B4192">
        <v>0.99299721793515405</v>
      </c>
      <c r="C4192">
        <v>1.0383981119571799</v>
      </c>
      <c r="D4192">
        <v>1.0261281731353999</v>
      </c>
      <c r="E4192">
        <v>1.0112705191258</v>
      </c>
      <c r="F4192">
        <v>0.83781434817272404</v>
      </c>
      <c r="G4192">
        <v>0.77269638370990601</v>
      </c>
      <c r="H4192">
        <v>0.68184637820031402</v>
      </c>
      <c r="I4192">
        <v>0.65845424944573405</v>
      </c>
      <c r="J4192">
        <v>0.49649545110197202</v>
      </c>
      <c r="K4192">
        <v>0.27527379948701503</v>
      </c>
      <c r="L4192">
        <v>563.98040351725797</v>
      </c>
      <c r="M4192">
        <v>8.9817012349766294</v>
      </c>
      <c r="N4192">
        <v>62.792154220226401</v>
      </c>
      <c r="O4192">
        <v>59.913722150746501</v>
      </c>
      <c r="P4192">
        <v>-3.7505074047154703E-2</v>
      </c>
      <c r="Q4192">
        <v>0</v>
      </c>
      <c r="R4192">
        <v>0.94660059476401004</v>
      </c>
      <c r="S4192" t="s">
        <v>9743</v>
      </c>
      <c r="T4192" t="s">
        <v>11100</v>
      </c>
      <c r="U4192" t="s">
        <v>11100</v>
      </c>
      <c r="V4192" t="s">
        <v>11100</v>
      </c>
      <c r="W4192" t="s">
        <v>15241</v>
      </c>
      <c r="X4192">
        <v>9</v>
      </c>
      <c r="Y4192" t="s">
        <v>20673</v>
      </c>
      <c r="Z4192" t="s">
        <v>26197</v>
      </c>
      <c r="AA4192">
        <v>0.79031884668736041</v>
      </c>
      <c r="AB4192" t="str">
        <f>HYPERLINK("Melting_Curves/meltCurve_Q96AT9_RPE.pdf", "Melting_Curves/meltCurve_Q96AT9_RPE.pdf")</f>
        <v>Melting_Curves/meltCurve_Q96AT9_RPE.pdf</v>
      </c>
    </row>
    <row r="4193" spans="1:28" x14ac:dyDescent="0.25">
      <c r="A4193" t="s">
        <v>4197</v>
      </c>
      <c r="B4193">
        <v>0.99299721793515405</v>
      </c>
      <c r="C4193">
        <v>0.98650841929242505</v>
      </c>
      <c r="D4193">
        <v>0.97435862637410797</v>
      </c>
      <c r="E4193">
        <v>0.89438025002539101</v>
      </c>
      <c r="F4193">
        <v>0.73858326675713404</v>
      </c>
      <c r="G4193">
        <v>0.49352529867717199</v>
      </c>
      <c r="H4193">
        <v>0.455789773365749</v>
      </c>
      <c r="I4193">
        <v>0.475783770232379</v>
      </c>
      <c r="J4193">
        <v>0.50281748352162403</v>
      </c>
      <c r="K4193">
        <v>0.45658735005349699</v>
      </c>
      <c r="L4193">
        <v>1299.1001553444</v>
      </c>
      <c r="M4193">
        <v>26.079302508929398</v>
      </c>
      <c r="N4193">
        <v>55.310283443767403</v>
      </c>
      <c r="O4193">
        <v>49.5233317678574</v>
      </c>
      <c r="P4193">
        <v>-7.0755906445715E-2</v>
      </c>
      <c r="Q4193">
        <v>0.46255797763039702</v>
      </c>
      <c r="R4193">
        <v>0.98863266400049998</v>
      </c>
      <c r="S4193" t="s">
        <v>9744</v>
      </c>
      <c r="T4193" t="s">
        <v>11100</v>
      </c>
      <c r="U4193" t="s">
        <v>11100</v>
      </c>
      <c r="V4193" t="s">
        <v>11100</v>
      </c>
      <c r="W4193" t="s">
        <v>15242</v>
      </c>
      <c r="X4193">
        <v>28</v>
      </c>
      <c r="Y4193" t="s">
        <v>20674</v>
      </c>
      <c r="Z4193" t="s">
        <v>26198</v>
      </c>
      <c r="AA4193">
        <v>0.69643202701233375</v>
      </c>
      <c r="AB4193" t="str">
        <f>HYPERLINK("Melting_Curves/meltCurve_Q96AY3_FKBP10.pdf", "Melting_Curves/meltCurve_Q96AY3_FKBP10.pdf")</f>
        <v>Melting_Curves/meltCurve_Q96AY3_FKBP10.pdf</v>
      </c>
    </row>
    <row r="4194" spans="1:28" x14ac:dyDescent="0.25">
      <c r="A4194" t="s">
        <v>4198</v>
      </c>
      <c r="B4194">
        <v>0.99299721793515405</v>
      </c>
      <c r="C4194">
        <v>0.92382935928662702</v>
      </c>
      <c r="D4194">
        <v>1.00275500129854</v>
      </c>
      <c r="E4194">
        <v>0.84533613595551504</v>
      </c>
      <c r="F4194">
        <v>0.77696060057859595</v>
      </c>
      <c r="G4194">
        <v>0.678860730447576</v>
      </c>
      <c r="H4194">
        <v>0.493637048631966</v>
      </c>
      <c r="I4194">
        <v>0.44932221807318901</v>
      </c>
      <c r="J4194">
        <v>0.51324504888774403</v>
      </c>
      <c r="K4194">
        <v>0.407207432328486</v>
      </c>
      <c r="L4194">
        <v>621.11110953978402</v>
      </c>
      <c r="M4194">
        <v>11.902857948285099</v>
      </c>
      <c r="N4194">
        <v>59.643375629841103</v>
      </c>
      <c r="O4194">
        <v>50.774212951303298</v>
      </c>
      <c r="P4194">
        <v>-3.59224152835321E-2</v>
      </c>
      <c r="Q4194">
        <v>0.38721326416025498</v>
      </c>
      <c r="R4194">
        <v>0.96450260545145505</v>
      </c>
      <c r="S4194" t="s">
        <v>9745</v>
      </c>
      <c r="T4194" t="s">
        <v>11100</v>
      </c>
      <c r="U4194" t="s">
        <v>11100</v>
      </c>
      <c r="V4194" t="s">
        <v>11100</v>
      </c>
      <c r="W4194" t="s">
        <v>15243</v>
      </c>
      <c r="X4194">
        <v>3</v>
      </c>
      <c r="Y4194" t="s">
        <v>20675</v>
      </c>
      <c r="Z4194" t="s">
        <v>26199</v>
      </c>
      <c r="AA4194">
        <v>0.71168217074071205</v>
      </c>
      <c r="AB4194" t="str">
        <f>HYPERLINK("Melting_Curves/meltCurve_Q96B01_2_RAD51AP1.pdf", "Melting_Curves/meltCurve_Q96B01_2_RAD51AP1.pdf")</f>
        <v>Melting_Curves/meltCurve_Q96B01_2_RAD51AP1.pdf</v>
      </c>
    </row>
    <row r="4195" spans="1:28" x14ac:dyDescent="0.25">
      <c r="A4195" t="s">
        <v>4199</v>
      </c>
      <c r="B4195">
        <v>0.99299721793515405</v>
      </c>
      <c r="C4195">
        <v>1.11954350064922</v>
      </c>
      <c r="D4195">
        <v>1.01123275530859</v>
      </c>
      <c r="E4195">
        <v>0.98993703216408901</v>
      </c>
      <c r="F4195">
        <v>0.96908999660208495</v>
      </c>
      <c r="G4195">
        <v>0.55032571169741895</v>
      </c>
      <c r="H4195">
        <v>0.80801110716212698</v>
      </c>
      <c r="I4195">
        <v>0.89265697171387004</v>
      </c>
      <c r="J4195">
        <v>1.2925949461495501</v>
      </c>
      <c r="K4195">
        <v>0.83338633102848703</v>
      </c>
      <c r="L4195">
        <v>12605.669484961199</v>
      </c>
      <c r="M4195">
        <v>250</v>
      </c>
      <c r="O4195">
        <v>50.419451517460203</v>
      </c>
      <c r="P4195">
        <v>-0.15446043774537899</v>
      </c>
      <c r="Q4195">
        <v>0.87539503203765001</v>
      </c>
      <c r="R4195">
        <v>0.14103129531731401</v>
      </c>
      <c r="S4195" t="s">
        <v>9746</v>
      </c>
      <c r="T4195" t="s">
        <v>11100</v>
      </c>
      <c r="U4195" t="s">
        <v>11100</v>
      </c>
      <c r="V4195" t="s">
        <v>11100</v>
      </c>
      <c r="W4195" t="s">
        <v>15244</v>
      </c>
      <c r="X4195">
        <v>4</v>
      </c>
      <c r="Y4195" t="s">
        <v>20676</v>
      </c>
      <c r="Z4195" t="s">
        <v>26200</v>
      </c>
      <c r="AA4195">
        <v>0.93115713694652136</v>
      </c>
      <c r="AB4195" t="str">
        <f>HYPERLINK("Melting_Curves/meltCurve_Q96B23_2_C18orf25.pdf", "Melting_Curves/meltCurve_Q96B23_2_C18orf25.pdf")</f>
        <v>Melting_Curves/meltCurve_Q96B23_2_C18orf25.pdf</v>
      </c>
    </row>
    <row r="4196" spans="1:28" x14ac:dyDescent="0.25">
      <c r="A4196" t="s">
        <v>4200</v>
      </c>
      <c r="B4196">
        <v>0.99299721793515405</v>
      </c>
      <c r="C4196">
        <v>0.92782174176907695</v>
      </c>
      <c r="D4196">
        <v>0.85827765057086303</v>
      </c>
      <c r="E4196">
        <v>0.79741590245985505</v>
      </c>
      <c r="F4196">
        <v>0.87089021760788299</v>
      </c>
      <c r="G4196">
        <v>1.57041036418414</v>
      </c>
      <c r="H4196">
        <v>1.87897354486225</v>
      </c>
      <c r="I4196">
        <v>1.7540849217272501</v>
      </c>
      <c r="J4196">
        <v>0.59333377531881604</v>
      </c>
      <c r="K4196">
        <v>0.26261772516764897</v>
      </c>
      <c r="L4196">
        <v>15000</v>
      </c>
      <c r="M4196">
        <v>234.21585643711799</v>
      </c>
      <c r="N4196">
        <v>64.247813976521201</v>
      </c>
      <c r="O4196">
        <v>64.038817070891398</v>
      </c>
      <c r="P4196">
        <v>-0.67425532238629504</v>
      </c>
      <c r="Q4196">
        <v>0.26258599536439903</v>
      </c>
      <c r="R4196">
        <v>0.28088382205499202</v>
      </c>
      <c r="S4196" t="s">
        <v>9747</v>
      </c>
      <c r="T4196" t="s">
        <v>11100</v>
      </c>
      <c r="U4196" t="s">
        <v>11100</v>
      </c>
      <c r="V4196" t="s">
        <v>11100</v>
      </c>
      <c r="W4196" t="s">
        <v>15245</v>
      </c>
      <c r="X4196">
        <v>6</v>
      </c>
      <c r="Y4196" t="s">
        <v>20677</v>
      </c>
      <c r="Z4196" t="s">
        <v>26201</v>
      </c>
      <c r="AA4196">
        <v>0.92742170510309652</v>
      </c>
      <c r="AB4196" t="str">
        <f>HYPERLINK("Melting_Curves/meltCurve_Q96B26_EXOSC8.pdf", "Melting_Curves/meltCurve_Q96B26_EXOSC8.pdf")</f>
        <v>Melting_Curves/meltCurve_Q96B26_EXOSC8.pdf</v>
      </c>
    </row>
    <row r="4197" spans="1:28" x14ac:dyDescent="0.25">
      <c r="A4197" t="s">
        <v>4201</v>
      </c>
      <c r="B4197">
        <v>0.99299721793515405</v>
      </c>
      <c r="C4197">
        <v>0.90658778269088802</v>
      </c>
      <c r="D4197">
        <v>0.93035863254587303</v>
      </c>
      <c r="E4197">
        <v>0.88241390508427497</v>
      </c>
      <c r="F4197">
        <v>0.78229983032261097</v>
      </c>
      <c r="G4197">
        <v>0.61892051142285498</v>
      </c>
      <c r="H4197">
        <v>0.52897370408869504</v>
      </c>
      <c r="I4197">
        <v>0.60113789643889903</v>
      </c>
      <c r="J4197">
        <v>0.74959989717165298</v>
      </c>
      <c r="K4197">
        <v>0.84173101009080697</v>
      </c>
      <c r="L4197">
        <v>1108.8459458893699</v>
      </c>
      <c r="M4197">
        <v>23.402380736606698</v>
      </c>
      <c r="O4197">
        <v>47.039857539220499</v>
      </c>
      <c r="P4197">
        <v>-4.0945478304949802E-2</v>
      </c>
      <c r="Q4197">
        <v>0.67079663619867702</v>
      </c>
      <c r="R4197">
        <v>0.64206444487219005</v>
      </c>
      <c r="S4197" t="s">
        <v>9748</v>
      </c>
      <c r="T4197" t="s">
        <v>11100</v>
      </c>
      <c r="U4197" t="s">
        <v>11100</v>
      </c>
      <c r="V4197" t="s">
        <v>11100</v>
      </c>
      <c r="W4197" t="s">
        <v>15246</v>
      </c>
      <c r="X4197">
        <v>11</v>
      </c>
      <c r="Y4197" t="s">
        <v>20678</v>
      </c>
      <c r="Z4197" t="s">
        <v>26202</v>
      </c>
      <c r="AA4197">
        <v>0.78789133165968084</v>
      </c>
      <c r="AB4197" t="str">
        <f>HYPERLINK("Melting_Curves/meltCurve_Q96B36_AKT1S1.pdf", "Melting_Curves/meltCurve_Q96B36_AKT1S1.pdf")</f>
        <v>Melting_Curves/meltCurve_Q96B36_AKT1S1.pdf</v>
      </c>
    </row>
    <row r="4198" spans="1:28" x14ac:dyDescent="0.25">
      <c r="A4198" t="s">
        <v>4202</v>
      </c>
      <c r="B4198">
        <v>0.99299721793515405</v>
      </c>
      <c r="C4198">
        <v>1.0297323879540801</v>
      </c>
      <c r="D4198">
        <v>0.92733880154825699</v>
      </c>
      <c r="E4198">
        <v>0.89416195649393204</v>
      </c>
      <c r="F4198">
        <v>0.78365362611266798</v>
      </c>
      <c r="G4198">
        <v>0.60937024205234303</v>
      </c>
      <c r="H4198">
        <v>0.62562509335375804</v>
      </c>
      <c r="I4198">
        <v>0.65935674281425405</v>
      </c>
      <c r="J4198">
        <v>0.64658952397102398</v>
      </c>
      <c r="K4198">
        <v>0.50680433957902304</v>
      </c>
      <c r="L4198">
        <v>840.15089084405201</v>
      </c>
      <c r="M4198">
        <v>17.081094062585802</v>
      </c>
      <c r="O4198">
        <v>48.526698643229601</v>
      </c>
      <c r="P4198">
        <v>-3.6372375907108699E-2</v>
      </c>
      <c r="Q4198">
        <v>0.58669526173292097</v>
      </c>
      <c r="R4198">
        <v>0.93342792767715299</v>
      </c>
      <c r="S4198" t="s">
        <v>9749</v>
      </c>
      <c r="T4198" t="s">
        <v>11100</v>
      </c>
      <c r="U4198" t="s">
        <v>11100</v>
      </c>
      <c r="V4198" t="s">
        <v>11100</v>
      </c>
      <c r="W4198" t="s">
        <v>15247</v>
      </c>
      <c r="X4198">
        <v>5</v>
      </c>
      <c r="Y4198" t="s">
        <v>20679</v>
      </c>
      <c r="Z4198" t="s">
        <v>26203</v>
      </c>
      <c r="AA4198">
        <v>0.7617544226781463</v>
      </c>
      <c r="AB4198" t="str">
        <f>HYPERLINK("Melting_Curves/meltCurve_Q96B45_C10orf32.pdf", "Melting_Curves/meltCurve_Q96B45_C10orf32.pdf")</f>
        <v>Melting_Curves/meltCurve_Q96B45_C10orf32.pdf</v>
      </c>
    </row>
    <row r="4199" spans="1:28" x14ac:dyDescent="0.25">
      <c r="A4199" t="s">
        <v>4203</v>
      </c>
      <c r="B4199">
        <v>0.99299721793515405</v>
      </c>
      <c r="C4199">
        <v>0.87861432220049895</v>
      </c>
      <c r="D4199">
        <v>1.0239210641426799</v>
      </c>
      <c r="E4199">
        <v>0.83428465641358296</v>
      </c>
      <c r="F4199">
        <v>0.74841153930669002</v>
      </c>
      <c r="G4199">
        <v>0.72924962583093</v>
      </c>
      <c r="H4199">
        <v>0.66016224576079297</v>
      </c>
      <c r="I4199">
        <v>0.953643732265682</v>
      </c>
      <c r="J4199">
        <v>1.23099906239474</v>
      </c>
      <c r="K4199">
        <v>1.4976830531163901</v>
      </c>
      <c r="L4199">
        <v>15000</v>
      </c>
      <c r="M4199">
        <v>233.86561380532299</v>
      </c>
      <c r="O4199">
        <v>64.134708068247704</v>
      </c>
      <c r="P4199">
        <v>0.45371833066039502</v>
      </c>
      <c r="Q4199">
        <v>1.49770622731467</v>
      </c>
      <c r="R4199">
        <v>0.485928109703472</v>
      </c>
      <c r="S4199" t="s">
        <v>9750</v>
      </c>
      <c r="T4199" t="s">
        <v>11100</v>
      </c>
      <c r="U4199" t="s">
        <v>11100</v>
      </c>
      <c r="V4199" t="s">
        <v>11100</v>
      </c>
      <c r="W4199" t="s">
        <v>15248</v>
      </c>
      <c r="X4199">
        <v>3</v>
      </c>
      <c r="Y4199" t="s">
        <v>20680</v>
      </c>
      <c r="Z4199" t="s">
        <v>26204</v>
      </c>
      <c r="AA4199">
        <v>1.047394166878266</v>
      </c>
      <c r="AB4199" t="str">
        <f>HYPERLINK("Melting_Curves/meltCurve_Q96B49_TOMM6.pdf", "Melting_Curves/meltCurve_Q96B49_TOMM6.pdf")</f>
        <v>Melting_Curves/meltCurve_Q96B49_TOMM6.pdf</v>
      </c>
    </row>
    <row r="4200" spans="1:28" x14ac:dyDescent="0.25">
      <c r="A4200" t="s">
        <v>4204</v>
      </c>
      <c r="B4200">
        <v>0.99299721793515405</v>
      </c>
      <c r="C4200">
        <v>1.02118218399409</v>
      </c>
      <c r="D4200">
        <v>1.0078701042826399</v>
      </c>
      <c r="E4200">
        <v>0.82296901518374899</v>
      </c>
      <c r="F4200">
        <v>0.48650111574293903</v>
      </c>
      <c r="G4200">
        <v>0.34417939633171002</v>
      </c>
      <c r="H4200">
        <v>0.240350874661135</v>
      </c>
      <c r="I4200">
        <v>0.19145687560236599</v>
      </c>
      <c r="J4200">
        <v>0.20475088175538</v>
      </c>
      <c r="K4200">
        <v>0.14090928952787099</v>
      </c>
      <c r="L4200">
        <v>1035.0230223589999</v>
      </c>
      <c r="M4200">
        <v>20.959953319802299</v>
      </c>
      <c r="N4200">
        <v>50.466614059656699</v>
      </c>
      <c r="O4200">
        <v>48.938065047529399</v>
      </c>
      <c r="P4200">
        <v>-8.7645609681151093E-2</v>
      </c>
      <c r="Q4200">
        <v>0.181469328612852</v>
      </c>
      <c r="R4200">
        <v>0.993770048916778</v>
      </c>
      <c r="S4200" t="s">
        <v>9751</v>
      </c>
      <c r="T4200" t="s">
        <v>11100</v>
      </c>
      <c r="U4200" t="s">
        <v>11100</v>
      </c>
      <c r="V4200" t="s">
        <v>11100</v>
      </c>
      <c r="W4200" t="s">
        <v>15249</v>
      </c>
      <c r="X4200">
        <v>4</v>
      </c>
      <c r="Y4200" t="s">
        <v>20681</v>
      </c>
      <c r="Z4200" t="s">
        <v>26205</v>
      </c>
      <c r="AA4200">
        <v>0.52918427194277551</v>
      </c>
      <c r="AB4200" t="str">
        <f>HYPERLINK("Melting_Curves/meltCurve_Q96B70_LENG9.pdf", "Melting_Curves/meltCurve_Q96B70_LENG9.pdf")</f>
        <v>Melting_Curves/meltCurve_Q96B70_LENG9.pdf</v>
      </c>
    </row>
    <row r="4201" spans="1:28" x14ac:dyDescent="0.25">
      <c r="A4201" t="s">
        <v>4205</v>
      </c>
      <c r="B4201">
        <v>0.99299721793515405</v>
      </c>
      <c r="C4201">
        <v>0.92449856221537996</v>
      </c>
      <c r="D4201">
        <v>0.89569475702812396</v>
      </c>
      <c r="E4201">
        <v>0.87637489434323901</v>
      </c>
      <c r="F4201">
        <v>0.72962809315884003</v>
      </c>
      <c r="G4201">
        <v>0.46871792242213101</v>
      </c>
      <c r="H4201">
        <v>0.33025551231188699</v>
      </c>
      <c r="I4201">
        <v>0.27162508897045401</v>
      </c>
      <c r="J4201">
        <v>0.21835894301929901</v>
      </c>
      <c r="K4201">
        <v>0.20313708727847801</v>
      </c>
      <c r="L4201">
        <v>692.35773989442396</v>
      </c>
      <c r="M4201">
        <v>13.2522070885323</v>
      </c>
      <c r="N4201">
        <v>53.706731300157799</v>
      </c>
      <c r="O4201">
        <v>51.098053438849099</v>
      </c>
      <c r="P4201">
        <v>-5.5028278043798201E-2</v>
      </c>
      <c r="Q4201">
        <v>0.15142376485380499</v>
      </c>
      <c r="R4201">
        <v>0.98882008112209996</v>
      </c>
      <c r="S4201" t="s">
        <v>9752</v>
      </c>
      <c r="T4201" t="s">
        <v>11100</v>
      </c>
      <c r="U4201" t="s">
        <v>11100</v>
      </c>
      <c r="V4201" t="s">
        <v>11100</v>
      </c>
      <c r="W4201" t="s">
        <v>15250</v>
      </c>
      <c r="X4201">
        <v>4</v>
      </c>
      <c r="Y4201" t="s">
        <v>20682</v>
      </c>
      <c r="Z4201" t="s">
        <v>26206</v>
      </c>
      <c r="AA4201">
        <v>0.60074880809104292</v>
      </c>
      <c r="AB4201" t="str">
        <f>HYPERLINK("Melting_Curves/meltCurve_Q96B97_SH3KBP1.pdf", "Melting_Curves/meltCurve_Q96B97_SH3KBP1.pdf")</f>
        <v>Melting_Curves/meltCurve_Q96B97_SH3KBP1.pdf</v>
      </c>
    </row>
    <row r="4202" spans="1:28" x14ac:dyDescent="0.25">
      <c r="A4202" t="s">
        <v>4206</v>
      </c>
      <c r="B4202">
        <v>0.99299721793515405</v>
      </c>
      <c r="C4202">
        <v>0.80664415872935202</v>
      </c>
      <c r="D4202">
        <v>0.96883864401935305</v>
      </c>
      <c r="E4202">
        <v>0.63265108699128003</v>
      </c>
      <c r="F4202">
        <v>0.33864761498041102</v>
      </c>
      <c r="G4202">
        <v>0.27479548381656099</v>
      </c>
      <c r="H4202">
        <v>0.16526031479367501</v>
      </c>
      <c r="I4202">
        <v>0.213164106776908</v>
      </c>
      <c r="J4202">
        <v>0.16623548169470001</v>
      </c>
      <c r="K4202">
        <v>0.14253277958048399</v>
      </c>
      <c r="L4202">
        <v>911.799112869753</v>
      </c>
      <c r="M4202">
        <v>19.298402446239599</v>
      </c>
      <c r="N4202">
        <v>48.244273113617503</v>
      </c>
      <c r="O4202">
        <v>46.748836116416498</v>
      </c>
      <c r="P4202">
        <v>-8.6236533991820602E-2</v>
      </c>
      <c r="Q4202">
        <v>0.16442689387498299</v>
      </c>
      <c r="R4202">
        <v>0.96291673863152205</v>
      </c>
      <c r="S4202" t="s">
        <v>9753</v>
      </c>
      <c r="T4202" t="s">
        <v>11100</v>
      </c>
      <c r="U4202" t="s">
        <v>11100</v>
      </c>
      <c r="V4202" t="s">
        <v>11100</v>
      </c>
      <c r="W4202" t="s">
        <v>15251</v>
      </c>
      <c r="X4202">
        <v>2</v>
      </c>
      <c r="Y4202" t="s">
        <v>20683</v>
      </c>
      <c r="Z4202" t="s">
        <v>26207</v>
      </c>
      <c r="AA4202">
        <v>0.4615722866630092</v>
      </c>
      <c r="AB4202" t="str">
        <f>HYPERLINK("Melting_Curves/meltCurve_Q96BD8_2_SKA1.pdf", "Melting_Curves/meltCurve_Q96BD8_2_SKA1.pdf")</f>
        <v>Melting_Curves/meltCurve_Q96BD8_2_SKA1.pdf</v>
      </c>
    </row>
    <row r="4203" spans="1:28" x14ac:dyDescent="0.25">
      <c r="A4203" t="s">
        <v>4207</v>
      </c>
      <c r="B4203">
        <v>0.99299721793515405</v>
      </c>
      <c r="C4203">
        <v>0.90725637812705995</v>
      </c>
      <c r="D4203">
        <v>0.88239228010912996</v>
      </c>
      <c r="E4203">
        <v>0.62846940392814199</v>
      </c>
      <c r="F4203">
        <v>0.398343596710037</v>
      </c>
      <c r="G4203">
        <v>0.241780036572837</v>
      </c>
      <c r="H4203">
        <v>0.220890891297882</v>
      </c>
      <c r="I4203">
        <v>0.13463243273650699</v>
      </c>
      <c r="J4203">
        <v>0.18642400779228699</v>
      </c>
      <c r="K4203">
        <v>0.135361757713024</v>
      </c>
      <c r="L4203">
        <v>734.50544934941104</v>
      </c>
      <c r="M4203">
        <v>15.4764941100107</v>
      </c>
      <c r="N4203">
        <v>48.480617457303403</v>
      </c>
      <c r="O4203">
        <v>46.688241923724597</v>
      </c>
      <c r="P4203">
        <v>-7.1350824759474907E-2</v>
      </c>
      <c r="Q4203">
        <v>0.13909550252587999</v>
      </c>
      <c r="R4203">
        <v>0.99417696855752702</v>
      </c>
      <c r="S4203" t="s">
        <v>9754</v>
      </c>
      <c r="T4203" t="s">
        <v>11100</v>
      </c>
      <c r="U4203" t="s">
        <v>11100</v>
      </c>
      <c r="V4203" t="s">
        <v>11100</v>
      </c>
      <c r="W4203" t="s">
        <v>15252</v>
      </c>
      <c r="X4203">
        <v>2</v>
      </c>
      <c r="Y4203" t="s">
        <v>20684</v>
      </c>
      <c r="Z4203" t="s">
        <v>26208</v>
      </c>
      <c r="AA4203">
        <v>0.4574094193028525</v>
      </c>
      <c r="AB4203" t="str">
        <f>HYPERLINK("Melting_Curves/meltCurve_Q96BF6_NACC2.pdf", "Melting_Curves/meltCurve_Q96BF6_NACC2.pdf")</f>
        <v>Melting_Curves/meltCurve_Q96BF6_NACC2.pdf</v>
      </c>
    </row>
    <row r="4204" spans="1:28" x14ac:dyDescent="0.25">
      <c r="A4204" t="s">
        <v>4208</v>
      </c>
      <c r="B4204">
        <v>0.99299721793515405</v>
      </c>
      <c r="C4204">
        <v>0.93472032835600605</v>
      </c>
      <c r="D4204">
        <v>1.0329438259575801</v>
      </c>
      <c r="E4204">
        <v>0.86091989020614401</v>
      </c>
      <c r="F4204">
        <v>0.77449365394797498</v>
      </c>
      <c r="G4204">
        <v>0.58663484500419205</v>
      </c>
      <c r="H4204">
        <v>0.40362270708835302</v>
      </c>
      <c r="I4204">
        <v>0.28624433935993299</v>
      </c>
      <c r="J4204">
        <v>0.197123859195559</v>
      </c>
      <c r="K4204">
        <v>0.14618335547204001</v>
      </c>
      <c r="L4204">
        <v>633.38872305445102</v>
      </c>
      <c r="M4204">
        <v>11.490761089842</v>
      </c>
      <c r="N4204">
        <v>55.501992498469498</v>
      </c>
      <c r="O4204">
        <v>53.531384654084697</v>
      </c>
      <c r="P4204">
        <v>-5.1646053306936501E-2</v>
      </c>
      <c r="Q4204">
        <v>3.7871649849993201E-2</v>
      </c>
      <c r="R4204">
        <v>0.99137459842353404</v>
      </c>
      <c r="S4204" t="s">
        <v>9755</v>
      </c>
      <c r="T4204" t="s">
        <v>11100</v>
      </c>
      <c r="U4204" t="s">
        <v>11100</v>
      </c>
      <c r="V4204" t="s">
        <v>11100</v>
      </c>
      <c r="W4204" t="s">
        <v>15253</v>
      </c>
      <c r="X4204">
        <v>6</v>
      </c>
      <c r="Y4204" t="s">
        <v>20685</v>
      </c>
      <c r="Z4204" t="s">
        <v>26209</v>
      </c>
      <c r="AA4204">
        <v>0.63189049346293713</v>
      </c>
      <c r="AB4204" t="str">
        <f>HYPERLINK("Melting_Curves/meltCurve_Q96BH1_RNF25.pdf", "Melting_Curves/meltCurve_Q96BH1_RNF25.pdf")</f>
        <v>Melting_Curves/meltCurve_Q96BH1_RNF25.pdf</v>
      </c>
    </row>
    <row r="4205" spans="1:28" x14ac:dyDescent="0.25">
      <c r="A4205" t="s">
        <v>4209</v>
      </c>
      <c r="B4205">
        <v>0.99299721793515405</v>
      </c>
      <c r="C4205">
        <v>0.79922676941054105</v>
      </c>
      <c r="D4205">
        <v>0.90636187280476099</v>
      </c>
      <c r="E4205">
        <v>0.59879455807274795</v>
      </c>
      <c r="F4205">
        <v>0.55119785950824796</v>
      </c>
      <c r="G4205">
        <v>0.40848409386621398</v>
      </c>
      <c r="H4205">
        <v>0.39400341507925701</v>
      </c>
      <c r="I4205">
        <v>0.41350963737273999</v>
      </c>
      <c r="J4205">
        <v>0.50046822939955105</v>
      </c>
      <c r="K4205">
        <v>0.38467062423588</v>
      </c>
      <c r="L4205">
        <v>636.09076829701803</v>
      </c>
      <c r="M4205">
        <v>14.0775443281899</v>
      </c>
      <c r="N4205">
        <v>51.1060861593729</v>
      </c>
      <c r="O4205">
        <v>44.302313436998801</v>
      </c>
      <c r="P4205">
        <v>-4.75003203934675E-2</v>
      </c>
      <c r="Q4205">
        <v>0.40213960797463499</v>
      </c>
      <c r="R4205">
        <v>0.91234664518936004</v>
      </c>
      <c r="S4205" t="s">
        <v>9756</v>
      </c>
      <c r="T4205" t="s">
        <v>11100</v>
      </c>
      <c r="U4205" t="s">
        <v>11100</v>
      </c>
      <c r="V4205" t="s">
        <v>11100</v>
      </c>
      <c r="W4205" t="s">
        <v>15254</v>
      </c>
      <c r="X4205">
        <v>1</v>
      </c>
      <c r="Y4205" t="s">
        <v>20686</v>
      </c>
      <c r="Z4205" t="s">
        <v>26210</v>
      </c>
      <c r="AA4205">
        <v>0.58124510286308728</v>
      </c>
      <c r="AB4205" t="str">
        <f>HYPERLINK("Melting_Curves/meltCurve_Q96BK5_PINX1.pdf", "Melting_Curves/meltCurve_Q96BK5_PINX1.pdf")</f>
        <v>Melting_Curves/meltCurve_Q96BK5_PINX1.pdf</v>
      </c>
    </row>
    <row r="4206" spans="1:28" x14ac:dyDescent="0.25">
      <c r="A4206" t="s">
        <v>4210</v>
      </c>
      <c r="B4206">
        <v>0.99299721793515405</v>
      </c>
      <c r="C4206">
        <v>1.06095325298871</v>
      </c>
      <c r="D4206">
        <v>0.98879327754063895</v>
      </c>
      <c r="E4206">
        <v>0.91352623443519398</v>
      </c>
      <c r="F4206">
        <v>0.775490477446653</v>
      </c>
      <c r="G4206">
        <v>0.37910870853693002</v>
      </c>
      <c r="H4206">
        <v>0.20452975601333501</v>
      </c>
      <c r="I4206">
        <v>0.133807948025053</v>
      </c>
      <c r="J4206">
        <v>0.14156879679470699</v>
      </c>
      <c r="K4206">
        <v>0.109098143190292</v>
      </c>
      <c r="L4206">
        <v>1290.78165185797</v>
      </c>
      <c r="M4206">
        <v>24.7719204073063</v>
      </c>
      <c r="N4206">
        <v>52.670143859868801</v>
      </c>
      <c r="O4206">
        <v>51.770640584561903</v>
      </c>
      <c r="P4206">
        <v>-0.105699945742752</v>
      </c>
      <c r="Q4206">
        <v>0.11640645427014699</v>
      </c>
      <c r="R4206">
        <v>0.99547314214038995</v>
      </c>
      <c r="S4206" t="s">
        <v>9757</v>
      </c>
      <c r="T4206" t="s">
        <v>11100</v>
      </c>
      <c r="U4206" t="s">
        <v>11100</v>
      </c>
      <c r="V4206" t="s">
        <v>11100</v>
      </c>
      <c r="W4206" t="s">
        <v>15255</v>
      </c>
      <c r="X4206">
        <v>13</v>
      </c>
      <c r="Y4206" t="s">
        <v>20687</v>
      </c>
      <c r="Z4206" t="s">
        <v>26211</v>
      </c>
      <c r="AA4206">
        <v>0.56930212265793301</v>
      </c>
      <c r="AB4206" t="str">
        <f>HYPERLINK("Melting_Curves/meltCurve_Q96BN8_FAM105B.pdf", "Melting_Curves/meltCurve_Q96BN8_FAM105B.pdf")</f>
        <v>Melting_Curves/meltCurve_Q96BN8_FAM105B.pdf</v>
      </c>
    </row>
    <row r="4207" spans="1:28" x14ac:dyDescent="0.25">
      <c r="A4207" t="s">
        <v>4211</v>
      </c>
      <c r="B4207">
        <v>0.99299721793515405</v>
      </c>
      <c r="C4207">
        <v>1.2587967764500001</v>
      </c>
      <c r="D4207">
        <v>0.95131509443877005</v>
      </c>
      <c r="E4207">
        <v>0.95785408374869596</v>
      </c>
      <c r="F4207">
        <v>0.62448090435859704</v>
      </c>
      <c r="G4207">
        <v>0.44250737211186097</v>
      </c>
      <c r="H4207">
        <v>0.33126937833854597</v>
      </c>
      <c r="I4207">
        <v>0.31431812790438401</v>
      </c>
      <c r="J4207">
        <v>0.35711000735627901</v>
      </c>
      <c r="K4207">
        <v>0.28359912421314998</v>
      </c>
      <c r="L4207">
        <v>1394.56648003687</v>
      </c>
      <c r="M4207">
        <v>27.833411209638399</v>
      </c>
      <c r="N4207">
        <v>52.014777569283197</v>
      </c>
      <c r="O4207">
        <v>49.847550145183902</v>
      </c>
      <c r="P4207">
        <v>-9.4903710761407106E-2</v>
      </c>
      <c r="Q4207">
        <v>0.32014432159211997</v>
      </c>
      <c r="R4207">
        <v>0.93501674422916603</v>
      </c>
      <c r="S4207" t="s">
        <v>9758</v>
      </c>
      <c r="T4207" t="s">
        <v>11100</v>
      </c>
      <c r="U4207" t="s">
        <v>11100</v>
      </c>
      <c r="V4207" t="s">
        <v>11100</v>
      </c>
      <c r="W4207" t="s">
        <v>15256</v>
      </c>
      <c r="X4207">
        <v>1</v>
      </c>
      <c r="Y4207" t="s">
        <v>20688</v>
      </c>
      <c r="Z4207" t="s">
        <v>26212</v>
      </c>
      <c r="AA4207">
        <v>0.62194636529310265</v>
      </c>
      <c r="AB4207" t="str">
        <f>HYPERLINK("Melting_Curves/meltCurve_Q96BP2_CHCHD1.pdf", "Melting_Curves/meltCurve_Q96BP2_CHCHD1.pdf")</f>
        <v>Melting_Curves/meltCurve_Q96BP2_CHCHD1.pdf</v>
      </c>
    </row>
    <row r="4208" spans="1:28" x14ac:dyDescent="0.25">
      <c r="A4208" t="s">
        <v>4212</v>
      </c>
      <c r="B4208">
        <v>0.99299721793515405</v>
      </c>
      <c r="C4208">
        <v>1.0148241974813701</v>
      </c>
      <c r="D4208">
        <v>0.92481878308417997</v>
      </c>
      <c r="E4208">
        <v>0.88909440469094103</v>
      </c>
      <c r="F4208">
        <v>0.71762341856037004</v>
      </c>
      <c r="G4208">
        <v>0.395588734959545</v>
      </c>
      <c r="H4208">
        <v>0.229482940228072</v>
      </c>
      <c r="I4208">
        <v>0.19051970312942201</v>
      </c>
      <c r="J4208">
        <v>0.15644680094820401</v>
      </c>
      <c r="K4208">
        <v>0.146225265330031</v>
      </c>
      <c r="L4208">
        <v>999.43165574859404</v>
      </c>
      <c r="M4208">
        <v>19.338021652893499</v>
      </c>
      <c r="N4208">
        <v>52.534746341931601</v>
      </c>
      <c r="O4208">
        <v>51.1390543297018</v>
      </c>
      <c r="P4208">
        <v>-8.1807867075056898E-2</v>
      </c>
      <c r="Q4208">
        <v>0.13467438819938601</v>
      </c>
      <c r="R4208">
        <v>0.99562234939755401</v>
      </c>
      <c r="S4208" t="s">
        <v>9759</v>
      </c>
      <c r="T4208" t="s">
        <v>11100</v>
      </c>
      <c r="U4208" t="s">
        <v>11100</v>
      </c>
      <c r="V4208" t="s">
        <v>11100</v>
      </c>
      <c r="W4208" t="s">
        <v>15257</v>
      </c>
      <c r="X4208">
        <v>10</v>
      </c>
      <c r="Y4208" t="s">
        <v>20689</v>
      </c>
      <c r="Z4208" t="s">
        <v>26213</v>
      </c>
      <c r="AA4208">
        <v>0.57001959773234867</v>
      </c>
      <c r="AB4208" t="str">
        <f>HYPERLINK("Melting_Curves/meltCurve_Q96BP3_PPWD1.pdf", "Melting_Curves/meltCurve_Q96BP3_PPWD1.pdf")</f>
        <v>Melting_Curves/meltCurve_Q96BP3_PPWD1.pdf</v>
      </c>
    </row>
    <row r="4209" spans="1:28" x14ac:dyDescent="0.25">
      <c r="A4209" t="s">
        <v>4213</v>
      </c>
      <c r="B4209">
        <v>0.99299721793515405</v>
      </c>
      <c r="C4209">
        <v>0.98296420913693805</v>
      </c>
      <c r="D4209">
        <v>1.05197346938167</v>
      </c>
      <c r="E4209">
        <v>0.87260893738040002</v>
      </c>
      <c r="F4209">
        <v>0.74834449552286897</v>
      </c>
      <c r="G4209">
        <v>0.67718392102245895</v>
      </c>
      <c r="H4209">
        <v>0.32181275263945602</v>
      </c>
      <c r="I4209">
        <v>0.28331557516115402</v>
      </c>
      <c r="J4209">
        <v>0.28702144068416302</v>
      </c>
      <c r="K4209">
        <v>0.25451359907842203</v>
      </c>
      <c r="L4209">
        <v>840.12235021384902</v>
      </c>
      <c r="M4209">
        <v>15.760351300731299</v>
      </c>
      <c r="N4209">
        <v>55.203115962014998</v>
      </c>
      <c r="O4209">
        <v>52.470000490764697</v>
      </c>
      <c r="P4209">
        <v>-5.9395804746678403E-2</v>
      </c>
      <c r="Q4209">
        <v>0.20909432450687801</v>
      </c>
      <c r="R4209">
        <v>0.97214169273082796</v>
      </c>
      <c r="S4209" t="s">
        <v>9760</v>
      </c>
      <c r="T4209" t="s">
        <v>11100</v>
      </c>
      <c r="U4209" t="s">
        <v>11100</v>
      </c>
      <c r="V4209" t="s">
        <v>11100</v>
      </c>
      <c r="W4209" t="s">
        <v>15258</v>
      </c>
      <c r="X4209">
        <v>15</v>
      </c>
      <c r="Y4209" t="s">
        <v>20690</v>
      </c>
      <c r="Z4209" t="s">
        <v>26214</v>
      </c>
      <c r="AA4209">
        <v>0.65210416619829492</v>
      </c>
      <c r="AB4209" t="str">
        <f>HYPERLINK("Melting_Curves/meltCurve_Q96BR5_SELRC1.pdf", "Melting_Curves/meltCurve_Q96BR5_SELRC1.pdf")</f>
        <v>Melting_Curves/meltCurve_Q96BR5_SELRC1.pdf</v>
      </c>
    </row>
    <row r="4210" spans="1:28" x14ac:dyDescent="0.25">
      <c r="A4210" t="s">
        <v>4214</v>
      </c>
      <c r="B4210">
        <v>0.99299721793515405</v>
      </c>
      <c r="C4210">
        <v>0.98082918236634098</v>
      </c>
      <c r="D4210">
        <v>0.93680357017976801</v>
      </c>
      <c r="E4210">
        <v>0.862553792397596</v>
      </c>
      <c r="F4210">
        <v>0.80207647968309104</v>
      </c>
      <c r="G4210">
        <v>0.55826150966031596</v>
      </c>
      <c r="H4210">
        <v>0.64452016648972799</v>
      </c>
      <c r="I4210">
        <v>0.68581012545691999</v>
      </c>
      <c r="J4210">
        <v>0.59330657560634303</v>
      </c>
      <c r="K4210">
        <v>0.37921981895115903</v>
      </c>
      <c r="L4210">
        <v>389.19744069224299</v>
      </c>
      <c r="M4210">
        <v>7.1045092495511302</v>
      </c>
      <c r="N4210">
        <v>66.377665797065404</v>
      </c>
      <c r="O4210">
        <v>50.938660746914799</v>
      </c>
      <c r="P4210">
        <v>-2.2512860555286202E-2</v>
      </c>
      <c r="Q4210">
        <v>0.35547108614601802</v>
      </c>
      <c r="R4210">
        <v>0.85670047658869097</v>
      </c>
      <c r="S4210" t="s">
        <v>9761</v>
      </c>
      <c r="T4210" t="s">
        <v>11100</v>
      </c>
      <c r="U4210" t="s">
        <v>11100</v>
      </c>
      <c r="V4210" t="s">
        <v>11100</v>
      </c>
      <c r="W4210" t="s">
        <v>15259</v>
      </c>
      <c r="X4210">
        <v>9</v>
      </c>
      <c r="Y4210" t="s">
        <v>20691</v>
      </c>
      <c r="Z4210" t="s">
        <v>26215</v>
      </c>
      <c r="AA4210">
        <v>0.74052634974866272</v>
      </c>
      <c r="AB4210" t="str">
        <f>HYPERLINK("Melting_Curves/meltCurve_Q96BW5_2_PTER.pdf", "Melting_Curves/meltCurve_Q96BW5_2_PTER.pdf")</f>
        <v>Melting_Curves/meltCurve_Q96BW5_2_PTER.pdf</v>
      </c>
    </row>
    <row r="4211" spans="1:28" x14ac:dyDescent="0.25">
      <c r="A4211" t="s">
        <v>4215</v>
      </c>
      <c r="B4211">
        <v>0.99299721793515405</v>
      </c>
      <c r="C4211">
        <v>1.0519692123764499</v>
      </c>
      <c r="D4211">
        <v>1.05665517454852</v>
      </c>
      <c r="E4211">
        <v>1.0395273107166401</v>
      </c>
      <c r="F4211">
        <v>0.66180078764898698</v>
      </c>
      <c r="G4211">
        <v>0.77785532451849904</v>
      </c>
      <c r="H4211">
        <v>1.0210484340668899</v>
      </c>
      <c r="I4211">
        <v>1.09327036555916</v>
      </c>
      <c r="J4211">
        <v>0.81554677730214997</v>
      </c>
      <c r="K4211">
        <v>0.72416385257070404</v>
      </c>
      <c r="L4211">
        <v>12047.4665191923</v>
      </c>
      <c r="M4211">
        <v>250</v>
      </c>
      <c r="O4211">
        <v>48.186776940684297</v>
      </c>
      <c r="P4211">
        <v>-0.19591840092190499</v>
      </c>
      <c r="Q4211">
        <v>0.84894916298022405</v>
      </c>
      <c r="R4211">
        <v>0.337777640885288</v>
      </c>
      <c r="S4211" t="s">
        <v>9762</v>
      </c>
      <c r="T4211" t="s">
        <v>11100</v>
      </c>
      <c r="U4211" t="s">
        <v>11100</v>
      </c>
      <c r="V4211" t="s">
        <v>11100</v>
      </c>
      <c r="W4211" t="s">
        <v>15260</v>
      </c>
      <c r="X4211">
        <v>2</v>
      </c>
      <c r="Y4211" t="s">
        <v>20692</v>
      </c>
      <c r="Z4211" t="s">
        <v>26216</v>
      </c>
      <c r="AA4211">
        <v>0.90530322562301857</v>
      </c>
      <c r="AB4211" t="str">
        <f>HYPERLINK("Melting_Curves/meltCurve_Q96BY7_ATG2B.pdf", "Melting_Curves/meltCurve_Q96BY7_ATG2B.pdf")</f>
        <v>Melting_Curves/meltCurve_Q96BY7_ATG2B.pdf</v>
      </c>
    </row>
    <row r="4212" spans="1:28" x14ac:dyDescent="0.25">
      <c r="A4212" t="s">
        <v>4216</v>
      </c>
      <c r="B4212">
        <v>0.99299721793515405</v>
      </c>
      <c r="C4212">
        <v>0.95006508387956801</v>
      </c>
      <c r="D4212">
        <v>0.92166001172297096</v>
      </c>
      <c r="E4212">
        <v>0.80432529431198696</v>
      </c>
      <c r="F4212">
        <v>0.73329981435876102</v>
      </c>
      <c r="G4212">
        <v>0.46837258195228099</v>
      </c>
      <c r="H4212">
        <v>0.51591922075714003</v>
      </c>
      <c r="I4212">
        <v>0.61094029076452006</v>
      </c>
      <c r="J4212">
        <v>0.776188718322391</v>
      </c>
      <c r="K4212">
        <v>0.66158789276889196</v>
      </c>
      <c r="L4212">
        <v>1062.71254000716</v>
      </c>
      <c r="M4212">
        <v>22.9586156724991</v>
      </c>
      <c r="O4212">
        <v>45.941291192891498</v>
      </c>
      <c r="P4212">
        <v>-4.8112667269585102E-2</v>
      </c>
      <c r="Q4212">
        <v>0.61490424017045298</v>
      </c>
      <c r="R4212">
        <v>0.75776104195463301</v>
      </c>
      <c r="S4212" t="s">
        <v>9763</v>
      </c>
      <c r="T4212" t="s">
        <v>11100</v>
      </c>
      <c r="U4212" t="s">
        <v>11100</v>
      </c>
      <c r="V4212" t="s">
        <v>11100</v>
      </c>
      <c r="W4212" t="s">
        <v>15261</v>
      </c>
      <c r="X4212">
        <v>6</v>
      </c>
      <c r="Y4212" t="s">
        <v>20693</v>
      </c>
      <c r="Z4212" t="s">
        <v>26217</v>
      </c>
      <c r="AA4212">
        <v>0.73794107968523626</v>
      </c>
      <c r="AB4212" t="str">
        <f>HYPERLINK("Melting_Curves/meltCurve_Q96BZ8_LENG1.pdf", "Melting_Curves/meltCurve_Q96BZ8_LENG1.pdf")</f>
        <v>Melting_Curves/meltCurve_Q96BZ8_LENG1.pdf</v>
      </c>
    </row>
    <row r="4213" spans="1:28" x14ac:dyDescent="0.25">
      <c r="A4213" t="s">
        <v>4217</v>
      </c>
      <c r="B4213">
        <v>0.99299721793515405</v>
      </c>
      <c r="C4213">
        <v>0.86561783240624701</v>
      </c>
      <c r="D4213">
        <v>0.72180988434441795</v>
      </c>
      <c r="E4213">
        <v>0.71863211330912902</v>
      </c>
      <c r="F4213">
        <v>0.66121274754186898</v>
      </c>
      <c r="G4213">
        <v>0.35368148138094302</v>
      </c>
      <c r="H4213">
        <v>0.24694535225964501</v>
      </c>
      <c r="I4213">
        <v>0.19664601972427201</v>
      </c>
      <c r="J4213">
        <v>0.16914269610468999</v>
      </c>
      <c r="K4213">
        <v>0.184591114452828</v>
      </c>
      <c r="L4213">
        <v>396.99340886561902</v>
      </c>
      <c r="M4213">
        <v>7.75770079876418</v>
      </c>
      <c r="N4213">
        <v>51.174106566126298</v>
      </c>
      <c r="O4213">
        <v>48.1072569298939</v>
      </c>
      <c r="P4213">
        <v>-4.03657410056407E-2</v>
      </c>
      <c r="Q4213">
        <v>0</v>
      </c>
      <c r="R4213">
        <v>0.95863127027092099</v>
      </c>
      <c r="S4213" t="s">
        <v>9764</v>
      </c>
      <c r="T4213" t="s">
        <v>11100</v>
      </c>
      <c r="U4213" t="s">
        <v>11100</v>
      </c>
      <c r="V4213" t="s">
        <v>11100</v>
      </c>
      <c r="W4213" t="s">
        <v>15262</v>
      </c>
      <c r="X4213">
        <v>10</v>
      </c>
      <c r="Y4213" t="s">
        <v>20694</v>
      </c>
      <c r="Z4213" t="s">
        <v>26218</v>
      </c>
      <c r="AA4213">
        <v>0.50664973940159519</v>
      </c>
      <c r="AB4213" t="str">
        <f>HYPERLINK("Melting_Curves/meltCurve_Q96C19_EFHD2.pdf", "Melting_Curves/meltCurve_Q96C19_EFHD2.pdf")</f>
        <v>Melting_Curves/meltCurve_Q96C19_EFHD2.pdf</v>
      </c>
    </row>
    <row r="4214" spans="1:28" x14ac:dyDescent="0.25">
      <c r="A4214" t="s">
        <v>4218</v>
      </c>
      <c r="B4214">
        <v>0.99299721793515405</v>
      </c>
      <c r="C4214">
        <v>1.03263100191109</v>
      </c>
      <c r="D4214">
        <v>0.96817405344641705</v>
      </c>
      <c r="E4214">
        <v>0.89312842489309596</v>
      </c>
      <c r="F4214">
        <v>0.79622079157386305</v>
      </c>
      <c r="G4214">
        <v>0.44790417900673002</v>
      </c>
      <c r="H4214">
        <v>0.27588257683898698</v>
      </c>
      <c r="I4214">
        <v>0.16747041802432799</v>
      </c>
      <c r="J4214">
        <v>0.14590695570458101</v>
      </c>
      <c r="K4214">
        <v>0.110323022144222</v>
      </c>
      <c r="L4214">
        <v>997.15550671255096</v>
      </c>
      <c r="M4214">
        <v>18.880087822671701</v>
      </c>
      <c r="N4214">
        <v>53.4717681186142</v>
      </c>
      <c r="O4214">
        <v>52.233377492943603</v>
      </c>
      <c r="P4214">
        <v>-8.1018506868803603E-2</v>
      </c>
      <c r="Q4214">
        <v>0.103458122762594</v>
      </c>
      <c r="R4214">
        <v>0.99565276586347795</v>
      </c>
      <c r="S4214" t="s">
        <v>9765</v>
      </c>
      <c r="T4214" t="s">
        <v>11100</v>
      </c>
      <c r="U4214" t="s">
        <v>11100</v>
      </c>
      <c r="V4214" t="s">
        <v>11100</v>
      </c>
      <c r="W4214" t="s">
        <v>15263</v>
      </c>
      <c r="X4214">
        <v>10</v>
      </c>
      <c r="Y4214" t="s">
        <v>20695</v>
      </c>
      <c r="Z4214" t="s">
        <v>26219</v>
      </c>
      <c r="AA4214">
        <v>0.58842026949731308</v>
      </c>
      <c r="AB4214" t="str">
        <f>HYPERLINK("Melting_Curves/meltCurve_Q96C23_GALM.pdf", "Melting_Curves/meltCurve_Q96C23_GALM.pdf")</f>
        <v>Melting_Curves/meltCurve_Q96C23_GALM.pdf</v>
      </c>
    </row>
    <row r="4215" spans="1:28" x14ac:dyDescent="0.25">
      <c r="A4215" t="s">
        <v>4219</v>
      </c>
      <c r="B4215">
        <v>0.99299721793515405</v>
      </c>
      <c r="C4215">
        <v>0.90841418878306202</v>
      </c>
      <c r="D4215">
        <v>0.82581932610591602</v>
      </c>
      <c r="E4215">
        <v>0.777219161116532</v>
      </c>
      <c r="F4215">
        <v>0.45269854895956602</v>
      </c>
      <c r="G4215">
        <v>0.32856521316199799</v>
      </c>
      <c r="H4215">
        <v>0.191984645846142</v>
      </c>
      <c r="I4215">
        <v>0.18128328764028501</v>
      </c>
      <c r="J4215">
        <v>0.27919647033638501</v>
      </c>
      <c r="K4215">
        <v>0.121093371054975</v>
      </c>
      <c r="L4215">
        <v>665.58163234525796</v>
      </c>
      <c r="M4215">
        <v>13.6893623457714</v>
      </c>
      <c r="N4215">
        <v>49.884003653331298</v>
      </c>
      <c r="O4215">
        <v>47.618027735843697</v>
      </c>
      <c r="P4215">
        <v>-6.1349035145982E-2</v>
      </c>
      <c r="Q4215">
        <v>0.146520321912016</v>
      </c>
      <c r="R4215">
        <v>0.972525735490266</v>
      </c>
      <c r="S4215" t="s">
        <v>9766</v>
      </c>
      <c r="T4215" t="s">
        <v>11100</v>
      </c>
      <c r="U4215" t="s">
        <v>11100</v>
      </c>
      <c r="V4215" t="s">
        <v>11100</v>
      </c>
      <c r="W4215" t="s">
        <v>15264</v>
      </c>
      <c r="X4215">
        <v>1</v>
      </c>
      <c r="Y4215" t="s">
        <v>20696</v>
      </c>
      <c r="Z4215" t="s">
        <v>26220</v>
      </c>
      <c r="AA4215">
        <v>0.49849972876315862</v>
      </c>
      <c r="AB4215" t="str">
        <f>HYPERLINK("Melting_Curves/meltCurve_Q96C34_2_RUNDC1.pdf", "Melting_Curves/meltCurve_Q96C34_2_RUNDC1.pdf")</f>
        <v>Melting_Curves/meltCurve_Q96C34_2_RUNDC1.pdf</v>
      </c>
    </row>
    <row r="4216" spans="1:28" x14ac:dyDescent="0.25">
      <c r="A4216" t="s">
        <v>4220</v>
      </c>
      <c r="B4216">
        <v>0.99299721793515405</v>
      </c>
      <c r="C4216">
        <v>0.91478030100237395</v>
      </c>
      <c r="D4216">
        <v>0.84835507306958602</v>
      </c>
      <c r="E4216">
        <v>0.764749326636051</v>
      </c>
      <c r="F4216">
        <v>0.694155707510276</v>
      </c>
      <c r="G4216">
        <v>0.76484873393679198</v>
      </c>
      <c r="H4216">
        <v>0.89274464250583996</v>
      </c>
      <c r="I4216">
        <v>0.86512752833543405</v>
      </c>
      <c r="J4216">
        <v>0.63861306317842303</v>
      </c>
      <c r="K4216">
        <v>0.37595485579186499</v>
      </c>
      <c r="L4216">
        <v>200.69327896340201</v>
      </c>
      <c r="M4216">
        <v>2.5902353586328299</v>
      </c>
      <c r="O4216">
        <v>53.214753892497697</v>
      </c>
      <c r="P4216">
        <v>-1.27350412113592E-2</v>
      </c>
      <c r="Q4216">
        <v>0</v>
      </c>
      <c r="R4216">
        <v>0.48221981584823298</v>
      </c>
      <c r="S4216" t="s">
        <v>9767</v>
      </c>
      <c r="T4216" t="s">
        <v>11100</v>
      </c>
      <c r="U4216" t="s">
        <v>11100</v>
      </c>
      <c r="V4216" t="s">
        <v>11100</v>
      </c>
      <c r="W4216" t="s">
        <v>15265</v>
      </c>
      <c r="X4216">
        <v>9</v>
      </c>
      <c r="Y4216" t="s">
        <v>20697</v>
      </c>
      <c r="Z4216" t="s">
        <v>26221</v>
      </c>
      <c r="AA4216">
        <v>0.77827470432075396</v>
      </c>
      <c r="AB4216" t="str">
        <f>HYPERLINK("Melting_Curves/meltCurve_Q96C36_PYCR2.pdf", "Melting_Curves/meltCurve_Q96C36_PYCR2.pdf")</f>
        <v>Melting_Curves/meltCurve_Q96C36_PYCR2.pdf</v>
      </c>
    </row>
    <row r="4217" spans="1:28" x14ac:dyDescent="0.25">
      <c r="A4217" t="s">
        <v>4221</v>
      </c>
      <c r="B4217">
        <v>0.99299721793515405</v>
      </c>
      <c r="C4217">
        <v>0.82810536745538599</v>
      </c>
      <c r="D4217">
        <v>0.95996264612817295</v>
      </c>
      <c r="E4217">
        <v>0.7623276397041</v>
      </c>
      <c r="F4217">
        <v>0.63885503831978996</v>
      </c>
      <c r="G4217">
        <v>0.88654240255467498</v>
      </c>
      <c r="H4217">
        <v>1.07443287178584</v>
      </c>
      <c r="I4217">
        <v>0.87759269396106698</v>
      </c>
      <c r="J4217">
        <v>0.93214426079498303</v>
      </c>
      <c r="K4217">
        <v>0.81913704770574103</v>
      </c>
      <c r="L4217">
        <v>9357.6992263095308</v>
      </c>
      <c r="M4217">
        <v>250</v>
      </c>
      <c r="O4217">
        <v>37.428400382179703</v>
      </c>
      <c r="P4217">
        <v>-0.22652510328940001</v>
      </c>
      <c r="Q4217">
        <v>0.86434443960583995</v>
      </c>
      <c r="R4217">
        <v>0.107904655844853</v>
      </c>
      <c r="S4217" t="s">
        <v>9768</v>
      </c>
      <c r="T4217" t="s">
        <v>11100</v>
      </c>
      <c r="U4217" t="s">
        <v>11100</v>
      </c>
      <c r="V4217" t="s">
        <v>11100</v>
      </c>
      <c r="W4217" t="s">
        <v>15266</v>
      </c>
      <c r="X4217">
        <v>4</v>
      </c>
      <c r="Y4217" t="s">
        <v>20698</v>
      </c>
      <c r="Z4217" t="s">
        <v>26222</v>
      </c>
      <c r="AA4217">
        <v>0.8663361361778108</v>
      </c>
      <c r="AB4217" t="str">
        <f>HYPERLINK("Melting_Curves/meltCurve_Q96C57_C12orf43.pdf", "Melting_Curves/meltCurve_Q96C57_C12orf43.pdf")</f>
        <v>Melting_Curves/meltCurve_Q96C57_C12orf43.pdf</v>
      </c>
    </row>
    <row r="4218" spans="1:28" x14ac:dyDescent="0.25">
      <c r="A4218" t="s">
        <v>4222</v>
      </c>
      <c r="B4218">
        <v>0.99299721793515405</v>
      </c>
      <c r="C4218">
        <v>0.96554887984670901</v>
      </c>
      <c r="D4218">
        <v>0.91345410890655199</v>
      </c>
      <c r="E4218">
        <v>0.81459403936395502</v>
      </c>
      <c r="F4218">
        <v>0.71761063284925797</v>
      </c>
      <c r="G4218">
        <v>0.56630135957657401</v>
      </c>
      <c r="H4218">
        <v>0.50915452180242904</v>
      </c>
      <c r="I4218">
        <v>0.52304478053265102</v>
      </c>
      <c r="J4218">
        <v>0.37874456206698398</v>
      </c>
      <c r="K4218">
        <v>0.21376389368242801</v>
      </c>
      <c r="L4218">
        <v>368.640534516277</v>
      </c>
      <c r="M4218">
        <v>6.3662866449972704</v>
      </c>
      <c r="N4218">
        <v>57.905132021227097</v>
      </c>
      <c r="O4218">
        <v>52.981999675099601</v>
      </c>
      <c r="P4218">
        <v>-3.0118506320749999E-2</v>
      </c>
      <c r="Q4218">
        <v>0</v>
      </c>
      <c r="R4218">
        <v>0.96453476842810304</v>
      </c>
      <c r="S4218" t="s">
        <v>9769</v>
      </c>
      <c r="T4218" t="s">
        <v>11100</v>
      </c>
      <c r="U4218" t="s">
        <v>11100</v>
      </c>
      <c r="V4218" t="s">
        <v>11100</v>
      </c>
      <c r="W4218" t="s">
        <v>15267</v>
      </c>
      <c r="X4218">
        <v>11</v>
      </c>
      <c r="Y4218" t="s">
        <v>20699</v>
      </c>
      <c r="Z4218" t="s">
        <v>26223</v>
      </c>
      <c r="AA4218">
        <v>0.66097398024396314</v>
      </c>
      <c r="AB4218" t="str">
        <f>HYPERLINK("Melting_Curves/meltCurve_Q96C86_DCPS.pdf", "Melting_Curves/meltCurve_Q96C86_DCPS.pdf")</f>
        <v>Melting_Curves/meltCurve_Q96C86_DCPS.pdf</v>
      </c>
    </row>
    <row r="4219" spans="1:28" x14ac:dyDescent="0.25">
      <c r="A4219" t="s">
        <v>4223</v>
      </c>
      <c r="B4219">
        <v>0.99299721793515405</v>
      </c>
      <c r="C4219">
        <v>1.0795402615160701</v>
      </c>
      <c r="D4219">
        <v>1.35338677609865</v>
      </c>
      <c r="E4219">
        <v>1.01116039823683</v>
      </c>
      <c r="F4219">
        <v>0.73790075010035805</v>
      </c>
      <c r="G4219">
        <v>0.77920501371970496</v>
      </c>
      <c r="H4219">
        <v>0.60977683749762002</v>
      </c>
      <c r="I4219">
        <v>0.68721902411457603</v>
      </c>
      <c r="J4219">
        <v>0.79651487473540805</v>
      </c>
      <c r="K4219">
        <v>0.80276151445607202</v>
      </c>
      <c r="L4219">
        <v>12322.245391882399</v>
      </c>
      <c r="M4219">
        <v>250</v>
      </c>
      <c r="O4219">
        <v>49.285827555041102</v>
      </c>
      <c r="P4219">
        <v>-0.33592906436634501</v>
      </c>
      <c r="Q4219">
        <v>0.73509533015237405</v>
      </c>
      <c r="R4219">
        <v>0.64286320004494502</v>
      </c>
      <c r="S4219" t="s">
        <v>9770</v>
      </c>
      <c r="T4219" t="s">
        <v>11100</v>
      </c>
      <c r="U4219" t="s">
        <v>11100</v>
      </c>
      <c r="V4219" t="s">
        <v>11100</v>
      </c>
      <c r="W4219" t="s">
        <v>15268</v>
      </c>
      <c r="X4219">
        <v>8</v>
      </c>
      <c r="Y4219" t="s">
        <v>20700</v>
      </c>
      <c r="Z4219" t="s">
        <v>26224</v>
      </c>
      <c r="AA4219">
        <v>0.84363186493966902</v>
      </c>
      <c r="AB4219" t="str">
        <f>HYPERLINK("Melting_Curves/meltCurve_Q96C90_PPP1R14B.pdf", "Melting_Curves/meltCurve_Q96C90_PPP1R14B.pdf")</f>
        <v>Melting_Curves/meltCurve_Q96C90_PPP1R14B.pdf</v>
      </c>
    </row>
    <row r="4220" spans="1:28" x14ac:dyDescent="0.25">
      <c r="A4220" t="s">
        <v>4224</v>
      </c>
      <c r="B4220">
        <v>0.99299721793515405</v>
      </c>
      <c r="C4220">
        <v>0.90202740467252596</v>
      </c>
      <c r="D4220">
        <v>0.908498851898489</v>
      </c>
      <c r="E4220">
        <v>0.82676395578164696</v>
      </c>
      <c r="F4220">
        <v>0.56969595556580799</v>
      </c>
      <c r="G4220">
        <v>0.77738072475141096</v>
      </c>
      <c r="H4220">
        <v>0.32759639957096498</v>
      </c>
      <c r="I4220">
        <v>0.18371871256397401</v>
      </c>
      <c r="J4220">
        <v>0.153837979052699</v>
      </c>
      <c r="K4220">
        <v>0.14199254683194501</v>
      </c>
      <c r="L4220">
        <v>531.47841999446803</v>
      </c>
      <c r="M4220">
        <v>9.7630480415313006</v>
      </c>
      <c r="N4220">
        <v>54.437755254829099</v>
      </c>
      <c r="O4220">
        <v>52.301196752368497</v>
      </c>
      <c r="P4220">
        <v>-4.6692302521835399E-2</v>
      </c>
      <c r="Q4220">
        <v>0</v>
      </c>
      <c r="R4220">
        <v>0.91431771082051105</v>
      </c>
      <c r="S4220" t="s">
        <v>9771</v>
      </c>
      <c r="T4220" t="s">
        <v>11100</v>
      </c>
      <c r="U4220" t="s">
        <v>11100</v>
      </c>
      <c r="V4220" t="s">
        <v>11100</v>
      </c>
      <c r="W4220" t="s">
        <v>15269</v>
      </c>
      <c r="X4220">
        <v>6</v>
      </c>
      <c r="Y4220" t="s">
        <v>20701</v>
      </c>
      <c r="Z4220" t="s">
        <v>26225</v>
      </c>
      <c r="AA4220">
        <v>0.59626926023188709</v>
      </c>
      <c r="AB4220" t="str">
        <f>HYPERLINK("Melting_Curves/meltCurve_Q96C92_2_SDCCAG3.pdf", "Melting_Curves/meltCurve_Q96C92_2_SDCCAG3.pdf")</f>
        <v>Melting_Curves/meltCurve_Q96C92_2_SDCCAG3.pdf</v>
      </c>
    </row>
    <row r="4221" spans="1:28" x14ac:dyDescent="0.25">
      <c r="A4221" t="s">
        <v>4225</v>
      </c>
      <c r="B4221">
        <v>0.99299721793515405</v>
      </c>
      <c r="C4221">
        <v>0.82742249078193297</v>
      </c>
      <c r="D4221">
        <v>0.85023257286697196</v>
      </c>
      <c r="E4221">
        <v>0.63681082133815503</v>
      </c>
      <c r="F4221">
        <v>0.41892219422381999</v>
      </c>
      <c r="G4221">
        <v>0.238321527820264</v>
      </c>
      <c r="H4221">
        <v>0.24052506848168401</v>
      </c>
      <c r="I4221">
        <v>0.143291730775961</v>
      </c>
      <c r="J4221">
        <v>0.14995651615983199</v>
      </c>
      <c r="K4221">
        <v>0.140104414821666</v>
      </c>
      <c r="L4221">
        <v>571.75958903008996</v>
      </c>
      <c r="M4221">
        <v>11.985457868582699</v>
      </c>
      <c r="N4221">
        <v>48.631364002835902</v>
      </c>
      <c r="O4221">
        <v>46.4346308300576</v>
      </c>
      <c r="P4221">
        <v>-5.7953364245432501E-2</v>
      </c>
      <c r="Q4221">
        <v>0.10211476002838001</v>
      </c>
      <c r="R4221">
        <v>0.98462216981149397</v>
      </c>
      <c r="S4221" t="s">
        <v>9772</v>
      </c>
      <c r="T4221" t="s">
        <v>11100</v>
      </c>
      <c r="U4221" t="s">
        <v>11100</v>
      </c>
      <c r="V4221" t="s">
        <v>11100</v>
      </c>
      <c r="W4221" t="s">
        <v>15270</v>
      </c>
      <c r="X4221">
        <v>6</v>
      </c>
      <c r="Y4221" t="s">
        <v>20701</v>
      </c>
      <c r="Z4221" t="s">
        <v>26226</v>
      </c>
      <c r="AA4221">
        <v>0.45106657891227198</v>
      </c>
      <c r="AB4221" t="str">
        <f>HYPERLINK("Melting_Curves/meltCurve_Q96C92_4_SDCCAG3.pdf", "Melting_Curves/meltCurve_Q96C92_4_SDCCAG3.pdf")</f>
        <v>Melting_Curves/meltCurve_Q96C92_4_SDCCAG3.pdf</v>
      </c>
    </row>
    <row r="4222" spans="1:28" x14ac:dyDescent="0.25">
      <c r="A4222" t="s">
        <v>4226</v>
      </c>
      <c r="B4222">
        <v>0.99299721793515405</v>
      </c>
      <c r="C4222">
        <v>0.90526747452513601</v>
      </c>
      <c r="D4222">
        <v>1.0049634928125899</v>
      </c>
      <c r="E4222">
        <v>0.80706414569545704</v>
      </c>
      <c r="F4222">
        <v>0.68368065912542397</v>
      </c>
      <c r="G4222">
        <v>0.43503770115241203</v>
      </c>
      <c r="H4222">
        <v>0.256023877994217</v>
      </c>
      <c r="I4222">
        <v>0.16231636908463101</v>
      </c>
      <c r="J4222">
        <v>0.13736742964086299</v>
      </c>
      <c r="K4222">
        <v>0.12646540164676501</v>
      </c>
      <c r="L4222">
        <v>729.715939520142</v>
      </c>
      <c r="M4222">
        <v>14.017549108448399</v>
      </c>
      <c r="N4222">
        <v>52.642937533597099</v>
      </c>
      <c r="O4222">
        <v>51.032187324739397</v>
      </c>
      <c r="P4222">
        <v>-6.3720979014232196E-2</v>
      </c>
      <c r="Q4222">
        <v>7.2193719932398995E-2</v>
      </c>
      <c r="R4222">
        <v>0.98952584188478199</v>
      </c>
      <c r="S4222" t="s">
        <v>9773</v>
      </c>
      <c r="T4222" t="s">
        <v>11100</v>
      </c>
      <c r="U4222" t="s">
        <v>11100</v>
      </c>
      <c r="V4222" t="s">
        <v>11100</v>
      </c>
      <c r="W4222" t="s">
        <v>15271</v>
      </c>
      <c r="X4222">
        <v>3</v>
      </c>
      <c r="Y4222" t="s">
        <v>20702</v>
      </c>
      <c r="Z4222" t="s">
        <v>26227</v>
      </c>
      <c r="AA4222">
        <v>0.55691436049705756</v>
      </c>
      <c r="AB4222" t="str">
        <f>HYPERLINK("Melting_Curves/meltCurve_Q96CB9_4_NSUN4.pdf", "Melting_Curves/meltCurve_Q96CB9_4_NSUN4.pdf")</f>
        <v>Melting_Curves/meltCurve_Q96CB9_4_NSUN4.pdf</v>
      </c>
    </row>
    <row r="4223" spans="1:28" x14ac:dyDescent="0.25">
      <c r="A4223" t="s">
        <v>4227</v>
      </c>
      <c r="B4223">
        <v>0.99299721793515405</v>
      </c>
      <c r="C4223">
        <v>0.95584656226753295</v>
      </c>
      <c r="D4223">
        <v>1.0131287344676601</v>
      </c>
      <c r="E4223">
        <v>0.86274971839400705</v>
      </c>
      <c r="F4223">
        <v>0.75250780373200299</v>
      </c>
      <c r="G4223">
        <v>0.55810765637230797</v>
      </c>
      <c r="H4223">
        <v>0.45827489084735001</v>
      </c>
      <c r="I4223">
        <v>0.44397731755110298</v>
      </c>
      <c r="J4223">
        <v>0.48865404374503602</v>
      </c>
      <c r="K4223">
        <v>0.45790085239609601</v>
      </c>
      <c r="L4223">
        <v>991.67106797285498</v>
      </c>
      <c r="M4223">
        <v>19.7645228180834</v>
      </c>
      <c r="N4223">
        <v>56.593714035456699</v>
      </c>
      <c r="O4223">
        <v>49.669133504678598</v>
      </c>
      <c r="P4223">
        <v>-5.5027653976889898E-2</v>
      </c>
      <c r="Q4223">
        <v>0.44687106690793699</v>
      </c>
      <c r="R4223">
        <v>0.985357113776689</v>
      </c>
      <c r="S4223" t="s">
        <v>9774</v>
      </c>
      <c r="T4223" t="s">
        <v>11100</v>
      </c>
      <c r="U4223" t="s">
        <v>11100</v>
      </c>
      <c r="V4223" t="s">
        <v>11100</v>
      </c>
      <c r="W4223" t="s">
        <v>15272</v>
      </c>
      <c r="X4223">
        <v>7</v>
      </c>
      <c r="Y4223" t="s">
        <v>20703</v>
      </c>
      <c r="Z4223" t="s">
        <v>26228</v>
      </c>
      <c r="AA4223">
        <v>0.69720479340726216</v>
      </c>
      <c r="AB4223" t="str">
        <f>HYPERLINK("Melting_Curves/meltCurve_Q96CF2_CHMP4C.pdf", "Melting_Curves/meltCurve_Q96CF2_CHMP4C.pdf")</f>
        <v>Melting_Curves/meltCurve_Q96CF2_CHMP4C.pdf</v>
      </c>
    </row>
    <row r="4224" spans="1:28" x14ac:dyDescent="0.25">
      <c r="A4224" t="s">
        <v>4228</v>
      </c>
      <c r="B4224">
        <v>0.99299721793515405</v>
      </c>
      <c r="C4224">
        <v>0.88829596285651902</v>
      </c>
      <c r="D4224">
        <v>0.90311454522895895</v>
      </c>
      <c r="E4224">
        <v>0.732683444792674</v>
      </c>
      <c r="F4224">
        <v>0.56175252492796202</v>
      </c>
      <c r="G4224">
        <v>0.32748350945255</v>
      </c>
      <c r="H4224">
        <v>0.36310660785911397</v>
      </c>
      <c r="I4224">
        <v>0.33348864173137899</v>
      </c>
      <c r="J4224">
        <v>0.16655884687601999</v>
      </c>
      <c r="K4224">
        <v>8.7683876867949206E-2</v>
      </c>
      <c r="L4224">
        <v>453.84942882335099</v>
      </c>
      <c r="M4224">
        <v>8.8359044846932608</v>
      </c>
      <c r="N4224">
        <v>51.849334763183897</v>
      </c>
      <c r="O4224">
        <v>48.937329830783803</v>
      </c>
      <c r="P4224">
        <v>-4.33818593930397E-2</v>
      </c>
      <c r="Q4224">
        <v>3.9672193324912501E-2</v>
      </c>
      <c r="R4224">
        <v>0.96716098559722996</v>
      </c>
      <c r="S4224" t="s">
        <v>9775</v>
      </c>
      <c r="T4224" t="s">
        <v>11100</v>
      </c>
      <c r="U4224" t="s">
        <v>11100</v>
      </c>
      <c r="V4224" t="s">
        <v>11100</v>
      </c>
      <c r="W4224" t="s">
        <v>15273</v>
      </c>
      <c r="X4224">
        <v>1</v>
      </c>
      <c r="Y4224" t="s">
        <v>20704</v>
      </c>
      <c r="Z4224" t="s">
        <v>26229</v>
      </c>
      <c r="AA4224">
        <v>0.52949927095554716</v>
      </c>
      <c r="AB4224" t="str">
        <f>HYPERLINK("Melting_Curves/meltCurve_Q96CG3_TIFA.pdf", "Melting_Curves/meltCurve_Q96CG3_TIFA.pdf")</f>
        <v>Melting_Curves/meltCurve_Q96CG3_TIFA.pdf</v>
      </c>
    </row>
    <row r="4225" spans="1:28" x14ac:dyDescent="0.25">
      <c r="A4225" t="s">
        <v>4229</v>
      </c>
      <c r="B4225">
        <v>0.99299721793515405</v>
      </c>
      <c r="C4225">
        <v>1.0378768383808501</v>
      </c>
      <c r="D4225">
        <v>1.02571633500474</v>
      </c>
      <c r="E4225">
        <v>0.89666498691016105</v>
      </c>
      <c r="F4225">
        <v>0.79979620078186298</v>
      </c>
      <c r="G4225">
        <v>0.83758771976007196</v>
      </c>
      <c r="H4225">
        <v>0.74143282654027298</v>
      </c>
      <c r="I4225">
        <v>0.66655831403154797</v>
      </c>
      <c r="J4225">
        <v>0.11975417461611899</v>
      </c>
      <c r="K4225">
        <v>9.3254284972464199E-2</v>
      </c>
      <c r="L4225">
        <v>1242.3515985874899</v>
      </c>
      <c r="M4225">
        <v>20.426197107615501</v>
      </c>
      <c r="N4225">
        <v>60.821483481803</v>
      </c>
      <c r="O4225">
        <v>60.247557600722601</v>
      </c>
      <c r="P4225">
        <v>-8.4762013222522206E-2</v>
      </c>
      <c r="Q4225">
        <v>0</v>
      </c>
      <c r="R4225">
        <v>0.89597819264723999</v>
      </c>
      <c r="S4225" t="s">
        <v>9776</v>
      </c>
      <c r="T4225" t="s">
        <v>11100</v>
      </c>
      <c r="U4225" t="s">
        <v>11100</v>
      </c>
      <c r="V4225" t="s">
        <v>11100</v>
      </c>
      <c r="W4225" t="s">
        <v>15274</v>
      </c>
      <c r="X4225">
        <v>8</v>
      </c>
      <c r="Y4225" t="s">
        <v>20705</v>
      </c>
      <c r="Z4225" t="s">
        <v>26230</v>
      </c>
      <c r="AA4225">
        <v>0.7912495063434416</v>
      </c>
      <c r="AB4225" t="str">
        <f>HYPERLINK("Melting_Curves/meltCurve_Q96CN7_ISOC1.pdf", "Melting_Curves/meltCurve_Q96CN7_ISOC1.pdf")</f>
        <v>Melting_Curves/meltCurve_Q96CN7_ISOC1.pdf</v>
      </c>
    </row>
    <row r="4226" spans="1:28" x14ac:dyDescent="0.25">
      <c r="A4226" t="s">
        <v>4230</v>
      </c>
      <c r="B4226">
        <v>0.99299721793515405</v>
      </c>
      <c r="C4226">
        <v>0.93925294626225597</v>
      </c>
      <c r="D4226">
        <v>0.99592041694507705</v>
      </c>
      <c r="E4226">
        <v>0.85944507667460102</v>
      </c>
      <c r="F4226">
        <v>0.50759495099780505</v>
      </c>
      <c r="G4226">
        <v>0.28752428778929201</v>
      </c>
      <c r="H4226">
        <v>0.181125819570055</v>
      </c>
      <c r="I4226">
        <v>0.14008838222161399</v>
      </c>
      <c r="J4226">
        <v>0.14042519812090801</v>
      </c>
      <c r="K4226">
        <v>0.135737805066065</v>
      </c>
      <c r="L4226">
        <v>1130.96773474468</v>
      </c>
      <c r="M4226">
        <v>22.7265458660364</v>
      </c>
      <c r="N4226">
        <v>50.470051576502101</v>
      </c>
      <c r="O4226">
        <v>49.383675202331098</v>
      </c>
      <c r="P4226">
        <v>-9.9389110664549404E-2</v>
      </c>
      <c r="Q4226">
        <v>0.13614620437636399</v>
      </c>
      <c r="R4226">
        <v>0.99654053785234398</v>
      </c>
      <c r="S4226" t="s">
        <v>9777</v>
      </c>
      <c r="T4226" t="s">
        <v>11100</v>
      </c>
      <c r="U4226" t="s">
        <v>11100</v>
      </c>
      <c r="V4226" t="s">
        <v>11100</v>
      </c>
      <c r="W4226" t="s">
        <v>15275</v>
      </c>
      <c r="X4226">
        <v>10</v>
      </c>
      <c r="Y4226" t="s">
        <v>20706</v>
      </c>
      <c r="Z4226" t="s">
        <v>26231</v>
      </c>
      <c r="AA4226">
        <v>0.5127150321578976</v>
      </c>
      <c r="AB4226" t="str">
        <f>HYPERLINK("Melting_Curves/meltCurve_Q96CN9_GCC1.pdf", "Melting_Curves/meltCurve_Q96CN9_GCC1.pdf")</f>
        <v>Melting_Curves/meltCurve_Q96CN9_GCC1.pdf</v>
      </c>
    </row>
    <row r="4227" spans="1:28" x14ac:dyDescent="0.25">
      <c r="A4227" t="s">
        <v>4231</v>
      </c>
      <c r="B4227">
        <v>0.99299721793515405</v>
      </c>
      <c r="C4227">
        <v>0.93427944444724498</v>
      </c>
      <c r="D4227">
        <v>1.12983239285866</v>
      </c>
      <c r="E4227">
        <v>0.87450219598645595</v>
      </c>
      <c r="F4227">
        <v>0.83229959741473702</v>
      </c>
      <c r="G4227">
        <v>0.62145453946475204</v>
      </c>
      <c r="H4227">
        <v>0.54211890077443903</v>
      </c>
      <c r="I4227">
        <v>0.59693974388902005</v>
      </c>
      <c r="J4227">
        <v>0.76992407452556999</v>
      </c>
      <c r="K4227">
        <v>0.64172258265734905</v>
      </c>
      <c r="L4227">
        <v>1441.5943830127401</v>
      </c>
      <c r="M4227">
        <v>29.110627155330199</v>
      </c>
      <c r="O4227">
        <v>49.289315585568097</v>
      </c>
      <c r="P4227">
        <v>-5.4388960941559102E-2</v>
      </c>
      <c r="Q4227">
        <v>0.63164311996189804</v>
      </c>
      <c r="R4227">
        <v>0.81500679736134896</v>
      </c>
      <c r="S4227" t="s">
        <v>9778</v>
      </c>
      <c r="T4227" t="s">
        <v>11100</v>
      </c>
      <c r="U4227" t="s">
        <v>11100</v>
      </c>
      <c r="V4227" t="s">
        <v>11100</v>
      </c>
      <c r="W4227" t="s">
        <v>15276</v>
      </c>
      <c r="X4227">
        <v>9</v>
      </c>
      <c r="Y4227" t="s">
        <v>20707</v>
      </c>
      <c r="Z4227" t="s">
        <v>26232</v>
      </c>
      <c r="AA4227">
        <v>0.78776577892848754</v>
      </c>
      <c r="AB4227" t="str">
        <f>HYPERLINK("Melting_Curves/meltCurve_Q96CP2_FLYWCH2.pdf", "Melting_Curves/meltCurve_Q96CP2_FLYWCH2.pdf")</f>
        <v>Melting_Curves/meltCurve_Q96CP2_FLYWCH2.pdf</v>
      </c>
    </row>
    <row r="4228" spans="1:28" x14ac:dyDescent="0.25">
      <c r="A4228" t="s">
        <v>4232</v>
      </c>
      <c r="B4228">
        <v>0.99299721793515405</v>
      </c>
      <c r="C4228">
        <v>0.95262089120184201</v>
      </c>
      <c r="D4228">
        <v>1.19494463410781</v>
      </c>
      <c r="E4228">
        <v>0.86543700422145997</v>
      </c>
      <c r="F4228">
        <v>0.67487211681016301</v>
      </c>
      <c r="G4228">
        <v>0.42679441328080397</v>
      </c>
      <c r="H4228">
        <v>0.31957900501294101</v>
      </c>
      <c r="I4228">
        <v>0.28329424702105599</v>
      </c>
      <c r="J4228">
        <v>0.27989351408098301</v>
      </c>
      <c r="K4228">
        <v>0.256515901046595</v>
      </c>
      <c r="L4228">
        <v>1175.5918368560499</v>
      </c>
      <c r="M4228">
        <v>23.204878899044999</v>
      </c>
      <c r="N4228">
        <v>52.40538263813</v>
      </c>
      <c r="O4228">
        <v>50.289670939567898</v>
      </c>
      <c r="P4228">
        <v>-8.4325941818427105E-2</v>
      </c>
      <c r="Q4228">
        <v>0.269007761013697</v>
      </c>
      <c r="R4228">
        <v>0.95799810744171798</v>
      </c>
      <c r="S4228" t="s">
        <v>9779</v>
      </c>
      <c r="T4228" t="s">
        <v>11100</v>
      </c>
      <c r="U4228" t="s">
        <v>11100</v>
      </c>
      <c r="V4228" t="s">
        <v>11100</v>
      </c>
      <c r="W4228" t="s">
        <v>15277</v>
      </c>
      <c r="X4228">
        <v>6</v>
      </c>
      <c r="Y4228" t="s">
        <v>20708</v>
      </c>
      <c r="Z4228" t="s">
        <v>26233</v>
      </c>
      <c r="AA4228">
        <v>0.60927128460664548</v>
      </c>
      <c r="AB4228" t="str">
        <f>HYPERLINK("Melting_Curves/meltCurve_Q96CS2_HAUS1.pdf", "Melting_Curves/meltCurve_Q96CS2_HAUS1.pdf")</f>
        <v>Melting_Curves/meltCurve_Q96CS2_HAUS1.pdf</v>
      </c>
    </row>
    <row r="4229" spans="1:28" x14ac:dyDescent="0.25">
      <c r="A4229" t="s">
        <v>4233</v>
      </c>
      <c r="B4229">
        <v>0.99299721793515405</v>
      </c>
      <c r="C4229">
        <v>1.0317970361000399</v>
      </c>
      <c r="D4229">
        <v>0.92172341767287902</v>
      </c>
      <c r="E4229">
        <v>0.88256175755439403</v>
      </c>
      <c r="F4229">
        <v>0.71612194796332995</v>
      </c>
      <c r="G4229">
        <v>0.365360788245922</v>
      </c>
      <c r="H4229">
        <v>0.215375113745156</v>
      </c>
      <c r="I4229">
        <v>0.19310794594621999</v>
      </c>
      <c r="J4229">
        <v>0.192697366273436</v>
      </c>
      <c r="K4229">
        <v>0.14842608313319</v>
      </c>
      <c r="L4229">
        <v>1099.9099738319601</v>
      </c>
      <c r="M4229">
        <v>21.425562247578402</v>
      </c>
      <c r="N4229">
        <v>52.244795223204797</v>
      </c>
      <c r="O4229">
        <v>50.895408213742698</v>
      </c>
      <c r="P4229">
        <v>-8.88784613161272E-2</v>
      </c>
      <c r="Q4229">
        <v>0.155514630575559</v>
      </c>
      <c r="R4229">
        <v>0.99242501431162999</v>
      </c>
      <c r="S4229" t="s">
        <v>9780</v>
      </c>
      <c r="T4229" t="s">
        <v>11100</v>
      </c>
      <c r="U4229" t="s">
        <v>11100</v>
      </c>
      <c r="V4229" t="s">
        <v>11100</v>
      </c>
      <c r="W4229" t="s">
        <v>15278</v>
      </c>
      <c r="X4229">
        <v>16</v>
      </c>
      <c r="Y4229" t="s">
        <v>20709</v>
      </c>
      <c r="Z4229" t="s">
        <v>26234</v>
      </c>
      <c r="AA4229">
        <v>0.56889523439470191</v>
      </c>
      <c r="AB4229" t="str">
        <f>HYPERLINK("Melting_Curves/meltCurve_Q96CS3_FAF2.pdf", "Melting_Curves/meltCurve_Q96CS3_FAF2.pdf")</f>
        <v>Melting_Curves/meltCurve_Q96CS3_FAF2.pdf</v>
      </c>
    </row>
    <row r="4230" spans="1:28" x14ac:dyDescent="0.25">
      <c r="A4230" t="s">
        <v>4234</v>
      </c>
      <c r="B4230">
        <v>0.99299721793515405</v>
      </c>
      <c r="C4230">
        <v>0.99678874856018895</v>
      </c>
      <c r="D4230">
        <v>1.1521210365916299</v>
      </c>
      <c r="E4230">
        <v>0.90669164819467996</v>
      </c>
      <c r="F4230">
        <v>0.810623895405434</v>
      </c>
      <c r="G4230">
        <v>0.58191425087828597</v>
      </c>
      <c r="H4230">
        <v>0.51752195686429603</v>
      </c>
      <c r="I4230">
        <v>0.59931741362986302</v>
      </c>
      <c r="J4230">
        <v>0.65065055589484799</v>
      </c>
      <c r="K4230">
        <v>0.61024192155634205</v>
      </c>
      <c r="L4230">
        <v>1831.2030983037</v>
      </c>
      <c r="M4230">
        <v>36.573496904196197</v>
      </c>
      <c r="O4230">
        <v>49.920167822234802</v>
      </c>
      <c r="P4230">
        <v>-7.5527016426430199E-2</v>
      </c>
      <c r="Q4230">
        <v>0.58764584191341895</v>
      </c>
      <c r="R4230">
        <v>0.90746404496570698</v>
      </c>
      <c r="S4230" t="s">
        <v>9781</v>
      </c>
      <c r="T4230" t="s">
        <v>11100</v>
      </c>
      <c r="U4230" t="s">
        <v>11100</v>
      </c>
      <c r="V4230" t="s">
        <v>11100</v>
      </c>
      <c r="W4230" t="s">
        <v>15279</v>
      </c>
      <c r="X4230">
        <v>25</v>
      </c>
      <c r="Y4230" t="s">
        <v>20710</v>
      </c>
      <c r="Z4230" t="s">
        <v>26235</v>
      </c>
      <c r="AA4230">
        <v>0.76898985999062908</v>
      </c>
      <c r="AB4230" t="str">
        <f>HYPERLINK("Melting_Curves/meltCurve_Q96CT7_CCDC124.pdf", "Melting_Curves/meltCurve_Q96CT7_CCDC124.pdf")</f>
        <v>Melting_Curves/meltCurve_Q96CT7_CCDC124.pdf</v>
      </c>
    </row>
    <row r="4231" spans="1:28" x14ac:dyDescent="0.25">
      <c r="A4231" t="s">
        <v>4235</v>
      </c>
      <c r="B4231">
        <v>0.99299721793515405</v>
      </c>
      <c r="C4231">
        <v>0.99124493928300805</v>
      </c>
      <c r="D4231">
        <v>0.92851269545481596</v>
      </c>
      <c r="E4231">
        <v>0.90227648662523297</v>
      </c>
      <c r="F4231">
        <v>0.65413992798812703</v>
      </c>
      <c r="G4231">
        <v>0.45240053347233999</v>
      </c>
      <c r="H4231">
        <v>0.38661289038736402</v>
      </c>
      <c r="I4231">
        <v>0.39403527628377499</v>
      </c>
      <c r="J4231">
        <v>0.35789392520727897</v>
      </c>
      <c r="K4231">
        <v>0.33552103082954099</v>
      </c>
      <c r="L4231">
        <v>1071.4638240828001</v>
      </c>
      <c r="M4231">
        <v>21.480411370018601</v>
      </c>
      <c r="N4231">
        <v>52.879677067229103</v>
      </c>
      <c r="O4231">
        <v>49.454695016369598</v>
      </c>
      <c r="P4231">
        <v>-7.0354012830273302E-2</v>
      </c>
      <c r="Q4231">
        <v>0.35210721898313901</v>
      </c>
      <c r="R4231">
        <v>0.99392151978953103</v>
      </c>
      <c r="S4231" t="s">
        <v>9782</v>
      </c>
      <c r="T4231" t="s">
        <v>11100</v>
      </c>
      <c r="U4231" t="s">
        <v>11100</v>
      </c>
      <c r="V4231" t="s">
        <v>11100</v>
      </c>
      <c r="W4231" t="s">
        <v>15280</v>
      </c>
      <c r="X4231">
        <v>2</v>
      </c>
      <c r="Y4231" t="s">
        <v>20711</v>
      </c>
      <c r="Z4231" t="s">
        <v>26236</v>
      </c>
      <c r="AA4231">
        <v>0.63780151996464041</v>
      </c>
      <c r="AB4231" t="str">
        <f>HYPERLINK("Melting_Curves/meltCurve_Q96CU9_3_FOXRED1.pdf", "Melting_Curves/meltCurve_Q96CU9_3_FOXRED1.pdf")</f>
        <v>Melting_Curves/meltCurve_Q96CU9_3_FOXRED1.pdf</v>
      </c>
    </row>
    <row r="4232" spans="1:28" x14ac:dyDescent="0.25">
      <c r="A4232" t="s">
        <v>4236</v>
      </c>
      <c r="B4232">
        <v>0.99299721793515405</v>
      </c>
      <c r="C4232">
        <v>0.88859222296380003</v>
      </c>
      <c r="D4232">
        <v>0.89473775126606303</v>
      </c>
      <c r="E4232">
        <v>0.88373600100632099</v>
      </c>
      <c r="F4232">
        <v>0.66035220930886596</v>
      </c>
      <c r="G4232">
        <v>0.42364148144224201</v>
      </c>
      <c r="H4232">
        <v>0.444234845434748</v>
      </c>
      <c r="I4232">
        <v>0.40833037797028998</v>
      </c>
      <c r="J4232">
        <v>0.31083506278690198</v>
      </c>
      <c r="K4232">
        <v>0.339287929819792</v>
      </c>
      <c r="L4232">
        <v>707.98272080479501</v>
      </c>
      <c r="M4232">
        <v>14.1644868406839</v>
      </c>
      <c r="N4232">
        <v>53.793675109269699</v>
      </c>
      <c r="O4232">
        <v>49.018329798729503</v>
      </c>
      <c r="P4232">
        <v>-4.9369343483520303E-2</v>
      </c>
      <c r="Q4232">
        <v>0.31668633912383698</v>
      </c>
      <c r="R4232">
        <v>0.96189622746348102</v>
      </c>
      <c r="S4232" t="s">
        <v>9783</v>
      </c>
      <c r="T4232" t="s">
        <v>11100</v>
      </c>
      <c r="U4232" t="s">
        <v>11100</v>
      </c>
      <c r="V4232" t="s">
        <v>11100</v>
      </c>
      <c r="W4232" t="s">
        <v>15281</v>
      </c>
      <c r="X4232">
        <v>6</v>
      </c>
      <c r="Y4232" t="s">
        <v>20712</v>
      </c>
      <c r="Z4232" t="s">
        <v>26237</v>
      </c>
      <c r="AA4232">
        <v>0.62789776927049323</v>
      </c>
      <c r="AB4232" t="str">
        <f>HYPERLINK("Melting_Curves/meltCurve_Q96CV9_3_OPTN.pdf", "Melting_Curves/meltCurve_Q96CV9_3_OPTN.pdf")</f>
        <v>Melting_Curves/meltCurve_Q96CV9_3_OPTN.pdf</v>
      </c>
    </row>
    <row r="4233" spans="1:28" x14ac:dyDescent="0.25">
      <c r="A4233" t="s">
        <v>4237</v>
      </c>
      <c r="B4233">
        <v>0.99299721793515405</v>
      </c>
      <c r="C4233">
        <v>0.98026725351138999</v>
      </c>
      <c r="D4233">
        <v>0.95816720841081404</v>
      </c>
      <c r="E4233">
        <v>0.77579680618832003</v>
      </c>
      <c r="F4233">
        <v>0.70527296410309004</v>
      </c>
      <c r="G4233">
        <v>0.74572428069389596</v>
      </c>
      <c r="H4233">
        <v>0.54635127721915</v>
      </c>
      <c r="I4233">
        <v>0.30775428862261001</v>
      </c>
      <c r="J4233">
        <v>0.16192741265179</v>
      </c>
      <c r="K4233">
        <v>0.107813612654448</v>
      </c>
      <c r="L4233">
        <v>575.82636627188595</v>
      </c>
      <c r="M4233">
        <v>10.184284563776201</v>
      </c>
      <c r="N4233">
        <v>56.5406934717073</v>
      </c>
      <c r="O4233">
        <v>54.490696423082802</v>
      </c>
      <c r="P4233">
        <v>-4.6746071151016498E-2</v>
      </c>
      <c r="Q4233">
        <v>0</v>
      </c>
      <c r="R4233">
        <v>0.94915545850977301</v>
      </c>
      <c r="S4233" t="s">
        <v>9784</v>
      </c>
      <c r="T4233" t="s">
        <v>11100</v>
      </c>
      <c r="U4233" t="s">
        <v>11100</v>
      </c>
      <c r="V4233" t="s">
        <v>11100</v>
      </c>
      <c r="W4233" t="s">
        <v>15282</v>
      </c>
      <c r="X4233">
        <v>7</v>
      </c>
      <c r="Y4233" t="s">
        <v>20713</v>
      </c>
      <c r="Z4233" t="s">
        <v>26238</v>
      </c>
      <c r="AA4233">
        <v>0.6543637929329521</v>
      </c>
      <c r="AB4233" t="str">
        <f>HYPERLINK("Melting_Curves/meltCurve_Q96CW1_2_AP2M1.pdf", "Melting_Curves/meltCurve_Q96CW1_2_AP2M1.pdf")</f>
        <v>Melting_Curves/meltCurve_Q96CW1_2_AP2M1.pdf</v>
      </c>
    </row>
    <row r="4234" spans="1:28" x14ac:dyDescent="0.25">
      <c r="A4234" t="s">
        <v>4238</v>
      </c>
      <c r="B4234">
        <v>0.99299721793515405</v>
      </c>
      <c r="C4234">
        <v>0.89783067174930198</v>
      </c>
      <c r="D4234">
        <v>1.37810746833146</v>
      </c>
      <c r="E4234">
        <v>1.01940594480686</v>
      </c>
      <c r="F4234">
        <v>0.74977730650525898</v>
      </c>
      <c r="G4234">
        <v>1.15234417958619</v>
      </c>
      <c r="H4234">
        <v>1.5227413500667899</v>
      </c>
      <c r="I4234">
        <v>1.2652159122790101</v>
      </c>
      <c r="J4234">
        <v>0.95547556953431001</v>
      </c>
      <c r="K4234">
        <v>0.62697424475009</v>
      </c>
      <c r="L4234">
        <v>15000</v>
      </c>
      <c r="M4234">
        <v>232.010463270846</v>
      </c>
      <c r="O4234">
        <v>64.647466656536594</v>
      </c>
      <c r="P4234">
        <v>-0.33478265324371997</v>
      </c>
      <c r="Q4234">
        <v>0.626864315132585</v>
      </c>
      <c r="R4234">
        <v>0.15827633414522399</v>
      </c>
      <c r="S4234" t="s">
        <v>9785</v>
      </c>
      <c r="T4234" t="s">
        <v>11100</v>
      </c>
      <c r="U4234" t="s">
        <v>11100</v>
      </c>
      <c r="V4234" t="s">
        <v>11100</v>
      </c>
      <c r="W4234" t="s">
        <v>15283</v>
      </c>
      <c r="X4234">
        <v>4</v>
      </c>
      <c r="Y4234" t="s">
        <v>20714</v>
      </c>
      <c r="Z4234" t="s">
        <v>26239</v>
      </c>
      <c r="AA4234">
        <v>0.97084715775526242</v>
      </c>
      <c r="AB4234" t="str">
        <f>HYPERLINK("Melting_Curves/meltCurve_Q96CW5_2_TUBGCP3.pdf", "Melting_Curves/meltCurve_Q96CW5_2_TUBGCP3.pdf")</f>
        <v>Melting_Curves/meltCurve_Q96CW5_2_TUBGCP3.pdf</v>
      </c>
    </row>
    <row r="4235" spans="1:28" x14ac:dyDescent="0.25">
      <c r="A4235" t="s">
        <v>4239</v>
      </c>
      <c r="B4235">
        <v>0.99299721793515405</v>
      </c>
      <c r="C4235">
        <v>0.91121484739033598</v>
      </c>
      <c r="D4235">
        <v>0.93074336095840604</v>
      </c>
      <c r="E4235">
        <v>0.91271074919398198</v>
      </c>
      <c r="F4235">
        <v>0.75625495345260196</v>
      </c>
      <c r="G4235">
        <v>0.55729880662042797</v>
      </c>
      <c r="H4235">
        <v>0.54675109331739702</v>
      </c>
      <c r="I4235">
        <v>0.60131280206337701</v>
      </c>
      <c r="J4235">
        <v>0.60321628382820403</v>
      </c>
      <c r="K4235">
        <v>0.52987237578221302</v>
      </c>
      <c r="L4235">
        <v>1231.6302823835599</v>
      </c>
      <c r="M4235">
        <v>25.0156949712675</v>
      </c>
      <c r="O4235">
        <v>48.922909610042197</v>
      </c>
      <c r="P4235">
        <v>-5.6373919993171401E-2</v>
      </c>
      <c r="Q4235">
        <v>0.55900658141781101</v>
      </c>
      <c r="R4235">
        <v>0.93885879159361496</v>
      </c>
      <c r="S4235" t="s">
        <v>9786</v>
      </c>
      <c r="T4235" t="s">
        <v>11100</v>
      </c>
      <c r="U4235" t="s">
        <v>11100</v>
      </c>
      <c r="V4235" t="s">
        <v>11100</v>
      </c>
      <c r="W4235" t="s">
        <v>15284</v>
      </c>
      <c r="X4235">
        <v>10</v>
      </c>
      <c r="Y4235" t="s">
        <v>20715</v>
      </c>
      <c r="Z4235" t="s">
        <v>26240</v>
      </c>
      <c r="AA4235">
        <v>0.74266576769981363</v>
      </c>
      <c r="AB4235" t="str">
        <f>HYPERLINK("Melting_Curves/meltCurve_Q96CW6_SLC7A6OS.pdf", "Melting_Curves/meltCurve_Q96CW6_SLC7A6OS.pdf")</f>
        <v>Melting_Curves/meltCurve_Q96CW6_SLC7A6OS.pdf</v>
      </c>
    </row>
    <row r="4236" spans="1:28" x14ac:dyDescent="0.25">
      <c r="A4236" t="s">
        <v>4240</v>
      </c>
      <c r="B4236">
        <v>0.99299721793515405</v>
      </c>
      <c r="C4236">
        <v>1.00377512111846</v>
      </c>
      <c r="D4236">
        <v>0.94760057370830497</v>
      </c>
      <c r="E4236">
        <v>0.87132798203544204</v>
      </c>
      <c r="F4236">
        <v>0.71393171610172401</v>
      </c>
      <c r="G4236">
        <v>0.70859331505294498</v>
      </c>
      <c r="H4236">
        <v>0.65761441076681604</v>
      </c>
      <c r="I4236">
        <v>0.64369366178878296</v>
      </c>
      <c r="J4236">
        <v>0.58899037238126795</v>
      </c>
      <c r="K4236">
        <v>0.41401191530235298</v>
      </c>
      <c r="L4236">
        <v>337.973229728749</v>
      </c>
      <c r="M4236">
        <v>5.6769205769552196</v>
      </c>
      <c r="N4236">
        <v>66.262107710191302</v>
      </c>
      <c r="O4236">
        <v>53.383067167879403</v>
      </c>
      <c r="P4236">
        <v>-2.0844448058605199E-2</v>
      </c>
      <c r="Q4236">
        <v>0.219032635801273</v>
      </c>
      <c r="R4236">
        <v>0.93036245003558304</v>
      </c>
      <c r="S4236" t="s">
        <v>9787</v>
      </c>
      <c r="T4236" t="s">
        <v>11100</v>
      </c>
      <c r="U4236" t="s">
        <v>11100</v>
      </c>
      <c r="V4236" t="s">
        <v>11100</v>
      </c>
      <c r="W4236" t="s">
        <v>15285</v>
      </c>
      <c r="X4236">
        <v>21</v>
      </c>
      <c r="Y4236" t="s">
        <v>20716</v>
      </c>
      <c r="Z4236" t="s">
        <v>26241</v>
      </c>
      <c r="AA4236">
        <v>0.75240751826591756</v>
      </c>
      <c r="AB4236" t="str">
        <f>HYPERLINK("Melting_Curves/meltCurve_Q96CX2_KCTD12.pdf", "Melting_Curves/meltCurve_Q96CX2_KCTD12.pdf")</f>
        <v>Melting_Curves/meltCurve_Q96CX2_KCTD12.pdf</v>
      </c>
    </row>
    <row r="4237" spans="1:28" x14ac:dyDescent="0.25">
      <c r="A4237" t="s">
        <v>4241</v>
      </c>
      <c r="B4237">
        <v>0.99299721793515405</v>
      </c>
      <c r="C4237">
        <v>1.05497355653863</v>
      </c>
      <c r="D4237">
        <v>1.1091962964623701</v>
      </c>
      <c r="E4237">
        <v>1.01312149436196</v>
      </c>
      <c r="F4237">
        <v>0.61209626690998897</v>
      </c>
      <c r="G4237">
        <v>0.407851169475345</v>
      </c>
      <c r="H4237">
        <v>0.224629416202557</v>
      </c>
      <c r="I4237">
        <v>0.192321610113592</v>
      </c>
      <c r="J4237">
        <v>0.17284970717088999</v>
      </c>
      <c r="K4237">
        <v>0.16480618236818501</v>
      </c>
      <c r="L4237">
        <v>1313.8371441218401</v>
      </c>
      <c r="M4237">
        <v>25.733613934891601</v>
      </c>
      <c r="N4237">
        <v>51.949349319551303</v>
      </c>
      <c r="O4237">
        <v>50.749970830470097</v>
      </c>
      <c r="P4237">
        <v>-0.10408791951718301</v>
      </c>
      <c r="Q4237">
        <v>0.17891120116043399</v>
      </c>
      <c r="R4237">
        <v>0.97989359413074095</v>
      </c>
      <c r="S4237" t="s">
        <v>9788</v>
      </c>
      <c r="T4237" t="s">
        <v>11100</v>
      </c>
      <c r="U4237" t="s">
        <v>11100</v>
      </c>
      <c r="V4237" t="s">
        <v>11100</v>
      </c>
      <c r="W4237" t="s">
        <v>15286</v>
      </c>
      <c r="X4237">
        <v>6</v>
      </c>
      <c r="Y4237" t="s">
        <v>20717</v>
      </c>
      <c r="Z4237" t="s">
        <v>26242</v>
      </c>
      <c r="AA4237">
        <v>0.57046570754645776</v>
      </c>
      <c r="AB4237" t="str">
        <f>HYPERLINK("Melting_Curves/meltCurve_Q96CX6_LRRC58.pdf", "Melting_Curves/meltCurve_Q96CX6_LRRC58.pdf")</f>
        <v>Melting_Curves/meltCurve_Q96CX6_LRRC58.pdf</v>
      </c>
    </row>
    <row r="4238" spans="1:28" x14ac:dyDescent="0.25">
      <c r="A4238" t="s">
        <v>4242</v>
      </c>
      <c r="B4238">
        <v>0.99299721793515405</v>
      </c>
      <c r="C4238">
        <v>0.91025684402022999</v>
      </c>
      <c r="D4238">
        <v>0.92666551548453502</v>
      </c>
      <c r="E4238">
        <v>0.860063007580678</v>
      </c>
      <c r="F4238">
        <v>0.85021125146057597</v>
      </c>
      <c r="G4238">
        <v>0.51659392778986002</v>
      </c>
      <c r="H4238">
        <v>0.53088553185283305</v>
      </c>
      <c r="I4238">
        <v>0.41479158300854202</v>
      </c>
      <c r="J4238">
        <v>0.52200398791873104</v>
      </c>
      <c r="K4238">
        <v>0.46859151659104198</v>
      </c>
      <c r="L4238">
        <v>891.62078500038797</v>
      </c>
      <c r="M4238">
        <v>17.571068950489199</v>
      </c>
      <c r="N4238">
        <v>58.368889510072599</v>
      </c>
      <c r="O4238">
        <v>50.100113141735598</v>
      </c>
      <c r="P4238">
        <v>-4.8257884043837303E-2</v>
      </c>
      <c r="Q4238">
        <v>0.44964208029982</v>
      </c>
      <c r="R4238">
        <v>0.92131855150407205</v>
      </c>
      <c r="S4238" t="s">
        <v>9789</v>
      </c>
      <c r="T4238" t="s">
        <v>11100</v>
      </c>
      <c r="U4238" t="s">
        <v>11100</v>
      </c>
      <c r="V4238" t="s">
        <v>11100</v>
      </c>
      <c r="W4238" t="s">
        <v>15287</v>
      </c>
      <c r="X4238">
        <v>2</v>
      </c>
      <c r="Y4238" t="s">
        <v>20718</v>
      </c>
      <c r="Z4238" t="s">
        <v>26243</v>
      </c>
      <c r="AA4238">
        <v>0.71067931545968899</v>
      </c>
      <c r="AB4238" t="str">
        <f>HYPERLINK("Melting_Curves/meltCurve_Q96D05_C10orf35.pdf", "Melting_Curves/meltCurve_Q96D05_C10orf35.pdf")</f>
        <v>Melting_Curves/meltCurve_Q96D05_C10orf35.pdf</v>
      </c>
    </row>
    <row r="4239" spans="1:28" x14ac:dyDescent="0.25">
      <c r="A4239" t="s">
        <v>4243</v>
      </c>
      <c r="B4239">
        <v>0.99299721793515405</v>
      </c>
      <c r="C4239">
        <v>0.88814610877356304</v>
      </c>
      <c r="D4239">
        <v>1.13870291266288</v>
      </c>
      <c r="E4239">
        <v>0.86144155219349605</v>
      </c>
      <c r="F4239">
        <v>0.62626957702948205</v>
      </c>
      <c r="G4239">
        <v>0.610711558342653</v>
      </c>
      <c r="H4239">
        <v>0.26210564383117502</v>
      </c>
      <c r="I4239">
        <v>0.32618346959007499</v>
      </c>
      <c r="J4239">
        <v>0.341338613918093</v>
      </c>
      <c r="K4239">
        <v>0.18652438108498401</v>
      </c>
      <c r="L4239">
        <v>817.944595682461</v>
      </c>
      <c r="M4239">
        <v>15.840304528247</v>
      </c>
      <c r="N4239">
        <v>53.760931446185303</v>
      </c>
      <c r="O4239">
        <v>50.834969710501198</v>
      </c>
      <c r="P4239">
        <v>-5.9786562549630697E-2</v>
      </c>
      <c r="Q4239">
        <v>0.232590471703156</v>
      </c>
      <c r="R4239">
        <v>0.921897086771577</v>
      </c>
      <c r="S4239" t="s">
        <v>9790</v>
      </c>
      <c r="T4239" t="s">
        <v>11100</v>
      </c>
      <c r="U4239" t="s">
        <v>11100</v>
      </c>
      <c r="V4239" t="s">
        <v>11100</v>
      </c>
      <c r="W4239" t="s">
        <v>15288</v>
      </c>
      <c r="X4239">
        <v>2</v>
      </c>
      <c r="Y4239" t="s">
        <v>20719</v>
      </c>
      <c r="Z4239" t="s">
        <v>26244</v>
      </c>
      <c r="AA4239">
        <v>0.62100399427880426</v>
      </c>
      <c r="AB4239" t="str">
        <f>HYPERLINK("Melting_Curves/meltCurve_Q96D53_ADCK4.pdf", "Melting_Curves/meltCurve_Q96D53_ADCK4.pdf")</f>
        <v>Melting_Curves/meltCurve_Q96D53_ADCK4.pdf</v>
      </c>
    </row>
    <row r="4240" spans="1:28" x14ac:dyDescent="0.25">
      <c r="A4240" t="s">
        <v>4244</v>
      </c>
      <c r="B4240">
        <v>0.99299721793515405</v>
      </c>
      <c r="C4240">
        <v>1.0326334832702899</v>
      </c>
      <c r="D4240">
        <v>1.1351542671803401</v>
      </c>
      <c r="E4240">
        <v>0.91384181408113496</v>
      </c>
      <c r="F4240">
        <v>0.65023829788941701</v>
      </c>
      <c r="G4240">
        <v>0.304830999094378</v>
      </c>
      <c r="H4240">
        <v>0.20129199076829299</v>
      </c>
      <c r="I4240">
        <v>0.19082536573058401</v>
      </c>
      <c r="J4240">
        <v>0.12376883891967499</v>
      </c>
      <c r="K4240">
        <v>0.14134774616146101</v>
      </c>
      <c r="L4240">
        <v>1371.71749413061</v>
      </c>
      <c r="M4240">
        <v>26.9716341306702</v>
      </c>
      <c r="N4240">
        <v>51.541639100707798</v>
      </c>
      <c r="O4240">
        <v>50.580651791144199</v>
      </c>
      <c r="P4240">
        <v>-0.113259325088177</v>
      </c>
      <c r="Q4240">
        <v>0.15041466178722601</v>
      </c>
      <c r="R4240">
        <v>0.98494709155670801</v>
      </c>
      <c r="S4240" t="s">
        <v>9791</v>
      </c>
      <c r="T4240" t="s">
        <v>11100</v>
      </c>
      <c r="U4240" t="s">
        <v>11100</v>
      </c>
      <c r="V4240" t="s">
        <v>11100</v>
      </c>
      <c r="W4240" t="s">
        <v>15289</v>
      </c>
      <c r="X4240">
        <v>12</v>
      </c>
      <c r="Y4240" t="s">
        <v>20720</v>
      </c>
      <c r="Z4240" t="s">
        <v>26245</v>
      </c>
      <c r="AA4240">
        <v>0.54934864146422946</v>
      </c>
      <c r="AB4240" t="str">
        <f>HYPERLINK("Melting_Curves/meltCurve_Q96D71_3_REPS1.pdf", "Melting_Curves/meltCurve_Q96D71_3_REPS1.pdf")</f>
        <v>Melting_Curves/meltCurve_Q96D71_3_REPS1.pdf</v>
      </c>
    </row>
    <row r="4241" spans="1:28" x14ac:dyDescent="0.25">
      <c r="A4241" t="s">
        <v>4245</v>
      </c>
      <c r="B4241">
        <v>0.99299721793515405</v>
      </c>
      <c r="C4241">
        <v>0.76776852302948495</v>
      </c>
      <c r="D4241">
        <v>0.74165138914934603</v>
      </c>
      <c r="E4241">
        <v>0.96236413369884299</v>
      </c>
      <c r="F4241">
        <v>0.84077880608167599</v>
      </c>
      <c r="G4241">
        <v>0.54472583535526797</v>
      </c>
      <c r="H4241">
        <v>0.56201835236661202</v>
      </c>
      <c r="I4241">
        <v>0.47896491323839002</v>
      </c>
      <c r="J4241">
        <v>0.18064391096026999</v>
      </c>
      <c r="K4241">
        <v>0.470961822098731</v>
      </c>
      <c r="L4241">
        <v>316.20139002379398</v>
      </c>
      <c r="M4241">
        <v>5.3733596374125598</v>
      </c>
      <c r="N4241">
        <v>58.8461252593777</v>
      </c>
      <c r="O4241">
        <v>52.185432888370002</v>
      </c>
      <c r="P4241">
        <v>-2.5864667542215E-2</v>
      </c>
      <c r="Q4241">
        <v>0</v>
      </c>
      <c r="R4241">
        <v>0.73031409539246905</v>
      </c>
      <c r="S4241" t="s">
        <v>9792</v>
      </c>
      <c r="T4241" t="s">
        <v>11100</v>
      </c>
      <c r="U4241" t="s">
        <v>11100</v>
      </c>
      <c r="V4241" t="s">
        <v>11100</v>
      </c>
      <c r="W4241" t="s">
        <v>15290</v>
      </c>
      <c r="X4241">
        <v>2</v>
      </c>
      <c r="Y4241" t="s">
        <v>20721</v>
      </c>
      <c r="Z4241" t="s">
        <v>26246</v>
      </c>
      <c r="AA4241">
        <v>0.66502788777054689</v>
      </c>
      <c r="AB4241" t="str">
        <f>HYPERLINK("Melting_Curves/meltCurve_Q96DA2_RAB39B.pdf", "Melting_Curves/meltCurve_Q96DA2_RAB39B.pdf")</f>
        <v>Melting_Curves/meltCurve_Q96DA2_RAB39B.pdf</v>
      </c>
    </row>
    <row r="4242" spans="1:28" x14ac:dyDescent="0.25">
      <c r="A4242" t="s">
        <v>4246</v>
      </c>
      <c r="B4242">
        <v>0.99299721793515405</v>
      </c>
      <c r="C4242">
        <v>0.988606106294181</v>
      </c>
      <c r="D4242">
        <v>0.92148328061569795</v>
      </c>
      <c r="E4242">
        <v>0.84371960772287602</v>
      </c>
      <c r="F4242">
        <v>0.67757121627436001</v>
      </c>
      <c r="G4242">
        <v>0.48683115065242799</v>
      </c>
      <c r="H4242">
        <v>0.46267956828816698</v>
      </c>
      <c r="I4242">
        <v>0.39433528680346802</v>
      </c>
      <c r="J4242">
        <v>0.31374224985557098</v>
      </c>
      <c r="K4242">
        <v>0.22860025184372801</v>
      </c>
      <c r="L4242">
        <v>537.26564785784399</v>
      </c>
      <c r="M4242">
        <v>10.2641834378244</v>
      </c>
      <c r="N4242">
        <v>55.028869433245703</v>
      </c>
      <c r="O4242">
        <v>50.4736250018086</v>
      </c>
      <c r="P4242">
        <v>-4.0842450953850203E-2</v>
      </c>
      <c r="Q4242">
        <v>0.19699037714408299</v>
      </c>
      <c r="R4242">
        <v>0.98750871324085499</v>
      </c>
      <c r="S4242" t="s">
        <v>9793</v>
      </c>
      <c r="T4242" t="s">
        <v>11100</v>
      </c>
      <c r="U4242" t="s">
        <v>11100</v>
      </c>
      <c r="V4242" t="s">
        <v>11100</v>
      </c>
      <c r="W4242" t="s">
        <v>15291</v>
      </c>
      <c r="X4242">
        <v>7</v>
      </c>
      <c r="Y4242" t="s">
        <v>20722</v>
      </c>
      <c r="Z4242" t="s">
        <v>26247</v>
      </c>
      <c r="AA4242">
        <v>0.62776060733730155</v>
      </c>
      <c r="AB4242" t="str">
        <f>HYPERLINK("Melting_Curves/meltCurve_Q96DA6_2_DNAJC19.pdf", "Melting_Curves/meltCurve_Q96DA6_2_DNAJC19.pdf")</f>
        <v>Melting_Curves/meltCurve_Q96DA6_2_DNAJC19.pdf</v>
      </c>
    </row>
    <row r="4243" spans="1:28" x14ac:dyDescent="0.25">
      <c r="A4243" t="s">
        <v>4247</v>
      </c>
      <c r="B4243">
        <v>0.99299721793515405</v>
      </c>
      <c r="C4243">
        <v>0.97716233821314002</v>
      </c>
      <c r="D4243">
        <v>0.92959515919944902</v>
      </c>
      <c r="E4243">
        <v>0.86019530973367697</v>
      </c>
      <c r="F4243">
        <v>0.759530996791973</v>
      </c>
      <c r="G4243">
        <v>0.61111811970632801</v>
      </c>
      <c r="H4243">
        <v>0.53249449075962996</v>
      </c>
      <c r="I4243">
        <v>0.4576419967118</v>
      </c>
      <c r="J4243">
        <v>0.504727868778162</v>
      </c>
      <c r="K4243">
        <v>0.41099922033466502</v>
      </c>
      <c r="L4243">
        <v>593.91056902468904</v>
      </c>
      <c r="M4243">
        <v>11.550505663895899</v>
      </c>
      <c r="N4243">
        <v>59.572870975637102</v>
      </c>
      <c r="O4243">
        <v>49.949812234723197</v>
      </c>
      <c r="P4243">
        <v>-3.4862685902368497E-2</v>
      </c>
      <c r="Q4243">
        <v>0.39711796328119298</v>
      </c>
      <c r="R4243">
        <v>0.990059283962063</v>
      </c>
      <c r="S4243" t="s">
        <v>9794</v>
      </c>
      <c r="T4243" t="s">
        <v>11100</v>
      </c>
      <c r="U4243" t="s">
        <v>11100</v>
      </c>
      <c r="V4243" t="s">
        <v>11100</v>
      </c>
      <c r="W4243" t="s">
        <v>15292</v>
      </c>
      <c r="X4243">
        <v>10</v>
      </c>
      <c r="Y4243" t="s">
        <v>20723</v>
      </c>
      <c r="Z4243" t="s">
        <v>26248</v>
      </c>
      <c r="AA4243">
        <v>0.70253948928890608</v>
      </c>
      <c r="AB4243" t="str">
        <f>HYPERLINK("Melting_Curves/meltCurve_Q96DE0_NUDT16.pdf", "Melting_Curves/meltCurve_Q96DE0_NUDT16.pdf")</f>
        <v>Melting_Curves/meltCurve_Q96DE0_NUDT16.pdf</v>
      </c>
    </row>
    <row r="4244" spans="1:28" x14ac:dyDescent="0.25">
      <c r="A4244" t="s">
        <v>4248</v>
      </c>
      <c r="B4244">
        <v>0.99299721793515405</v>
      </c>
      <c r="C4244">
        <v>0.857194739489476</v>
      </c>
      <c r="D4244">
        <v>0.76370562802563102</v>
      </c>
      <c r="E4244">
        <v>0.65725466622613204</v>
      </c>
      <c r="F4244">
        <v>0.60039646352704901</v>
      </c>
      <c r="G4244">
        <v>0.32934859979046199</v>
      </c>
      <c r="H4244">
        <v>0.42795113212007202</v>
      </c>
      <c r="I4244">
        <v>1.09945627943585</v>
      </c>
      <c r="J4244">
        <v>0.96243765795659197</v>
      </c>
      <c r="K4244">
        <v>0.99414879482834995</v>
      </c>
      <c r="L4244">
        <v>1513.2299603746801</v>
      </c>
      <c r="M4244">
        <v>37.951845496265101</v>
      </c>
      <c r="O4244">
        <v>39.762147504009398</v>
      </c>
      <c r="P4244">
        <v>-6.5190102785652002E-2</v>
      </c>
      <c r="Q4244">
        <v>0.72680201964024704</v>
      </c>
      <c r="R4244">
        <v>0.11745563671553499</v>
      </c>
      <c r="S4244" t="s">
        <v>9795</v>
      </c>
      <c r="T4244" t="s">
        <v>11100</v>
      </c>
      <c r="U4244" t="s">
        <v>11100</v>
      </c>
      <c r="V4244" t="s">
        <v>11100</v>
      </c>
      <c r="W4244" t="s">
        <v>15293</v>
      </c>
      <c r="X4244">
        <v>1</v>
      </c>
      <c r="Y4244" t="s">
        <v>20724</v>
      </c>
      <c r="Z4244" t="s">
        <v>26249</v>
      </c>
      <c r="AA4244">
        <v>0.75419936146026012</v>
      </c>
      <c r="AB4244" t="str">
        <f>HYPERLINK("Melting_Curves/meltCurve_Q96DE5_ANAPC16.pdf", "Melting_Curves/meltCurve_Q96DE5_ANAPC16.pdf")</f>
        <v>Melting_Curves/meltCurve_Q96DE5_ANAPC16.pdf</v>
      </c>
    </row>
    <row r="4245" spans="1:28" x14ac:dyDescent="0.25">
      <c r="A4245" t="s">
        <v>4249</v>
      </c>
      <c r="B4245">
        <v>0.99299721793515405</v>
      </c>
      <c r="C4245">
        <v>0.93926537380611697</v>
      </c>
      <c r="D4245">
        <v>0.86981941771521898</v>
      </c>
      <c r="E4245">
        <v>0.81084971197431599</v>
      </c>
      <c r="F4245">
        <v>0.56673010703686399</v>
      </c>
      <c r="G4245">
        <v>0.32520067349850601</v>
      </c>
      <c r="H4245">
        <v>0.307210159866595</v>
      </c>
      <c r="I4245">
        <v>0.30755862117733301</v>
      </c>
      <c r="J4245">
        <v>0.29998303362714202</v>
      </c>
      <c r="K4245">
        <v>0.28994393083633002</v>
      </c>
      <c r="L4245">
        <v>862.03411506178895</v>
      </c>
      <c r="M4245">
        <v>17.713187636617299</v>
      </c>
      <c r="N4245">
        <v>50.941445355544602</v>
      </c>
      <c r="O4245">
        <v>48.0586690137063</v>
      </c>
      <c r="P4245">
        <v>-6.69610557308431E-2</v>
      </c>
      <c r="Q4245">
        <v>0.27333461565758999</v>
      </c>
      <c r="R4245">
        <v>0.98378572051444202</v>
      </c>
      <c r="S4245" t="s">
        <v>9796</v>
      </c>
      <c r="T4245" t="s">
        <v>11100</v>
      </c>
      <c r="U4245" t="s">
        <v>11100</v>
      </c>
      <c r="V4245" t="s">
        <v>11100</v>
      </c>
      <c r="W4245" t="s">
        <v>15294</v>
      </c>
      <c r="X4245">
        <v>15</v>
      </c>
      <c r="Y4245" t="s">
        <v>20725</v>
      </c>
      <c r="Z4245" t="s">
        <v>26250</v>
      </c>
      <c r="AA4245">
        <v>0.56782629132762197</v>
      </c>
      <c r="AB4245" t="str">
        <f>HYPERLINK("Melting_Curves/meltCurve_Q96DF8_DGCR14.pdf", "Melting_Curves/meltCurve_Q96DF8_DGCR14.pdf")</f>
        <v>Melting_Curves/meltCurve_Q96DF8_DGCR14.pdf</v>
      </c>
    </row>
    <row r="4246" spans="1:28" x14ac:dyDescent="0.25">
      <c r="A4246" t="s">
        <v>4250</v>
      </c>
      <c r="B4246">
        <v>0.99299721793515405</v>
      </c>
      <c r="C4246">
        <v>1.0566736044871901</v>
      </c>
      <c r="D4246">
        <v>1.00605292963732</v>
      </c>
      <c r="E4246">
        <v>0.81783531992682501</v>
      </c>
      <c r="F4246">
        <v>0.74016631462530702</v>
      </c>
      <c r="G4246">
        <v>0.51443264762947705</v>
      </c>
      <c r="H4246">
        <v>0.39893944536582499</v>
      </c>
      <c r="I4246">
        <v>0.256857070101908</v>
      </c>
      <c r="J4246">
        <v>0.19626842826209501</v>
      </c>
      <c r="K4246">
        <v>0.13911833376140001</v>
      </c>
      <c r="L4246">
        <v>632.17984720554603</v>
      </c>
      <c r="M4246">
        <v>11.7285115300997</v>
      </c>
      <c r="N4246">
        <v>54.562506742088203</v>
      </c>
      <c r="O4246">
        <v>52.405682141063402</v>
      </c>
      <c r="P4246">
        <v>-5.2256857876075702E-2</v>
      </c>
      <c r="Q4246">
        <v>6.6263031388512403E-2</v>
      </c>
      <c r="R4246">
        <v>0.98905729564676204</v>
      </c>
      <c r="S4246" t="s">
        <v>9797</v>
      </c>
      <c r="T4246" t="s">
        <v>11100</v>
      </c>
      <c r="U4246" t="s">
        <v>11100</v>
      </c>
      <c r="V4246" t="s">
        <v>11100</v>
      </c>
      <c r="W4246" t="s">
        <v>15295</v>
      </c>
      <c r="X4246">
        <v>12</v>
      </c>
      <c r="Y4246" t="s">
        <v>20726</v>
      </c>
      <c r="Z4246" t="s">
        <v>26251</v>
      </c>
      <c r="AA4246">
        <v>0.6094157160129654</v>
      </c>
      <c r="AB4246" t="str">
        <f>HYPERLINK("Melting_Curves/meltCurve_Q96DG6_CMBL.pdf", "Melting_Curves/meltCurve_Q96DG6_CMBL.pdf")</f>
        <v>Melting_Curves/meltCurve_Q96DG6_CMBL.pdf</v>
      </c>
    </row>
    <row r="4247" spans="1:28" x14ac:dyDescent="0.25">
      <c r="A4247" t="s">
        <v>4251</v>
      </c>
      <c r="B4247">
        <v>0.99299721793515405</v>
      </c>
      <c r="C4247">
        <v>1.20057520217839</v>
      </c>
      <c r="D4247">
        <v>1.1053817472894201</v>
      </c>
      <c r="E4247">
        <v>0.95396315803388199</v>
      </c>
      <c r="F4247">
        <v>0.56441777297177098</v>
      </c>
      <c r="G4247">
        <v>0.33063305925146402</v>
      </c>
      <c r="H4247">
        <v>0.17396459447505599</v>
      </c>
      <c r="I4247">
        <v>0.266192513603346</v>
      </c>
      <c r="J4247">
        <v>0.23554465869447999</v>
      </c>
      <c r="K4247">
        <v>6.6507604323257294E-2</v>
      </c>
      <c r="L4247">
        <v>1507.9694318517099</v>
      </c>
      <c r="M4247">
        <v>30.034138068622401</v>
      </c>
      <c r="N4247">
        <v>51.004115042168102</v>
      </c>
      <c r="O4247">
        <v>49.987503264370197</v>
      </c>
      <c r="P4247">
        <v>-0.12211572321999099</v>
      </c>
      <c r="Q4247">
        <v>0.18702903832064299</v>
      </c>
      <c r="R4247">
        <v>0.95235138001055697</v>
      </c>
      <c r="S4247" t="s">
        <v>9798</v>
      </c>
      <c r="T4247" t="s">
        <v>11100</v>
      </c>
      <c r="U4247" t="s">
        <v>11100</v>
      </c>
      <c r="V4247" t="s">
        <v>11100</v>
      </c>
      <c r="W4247" t="s">
        <v>15296</v>
      </c>
      <c r="X4247">
        <v>1</v>
      </c>
      <c r="Y4247" t="s">
        <v>20727</v>
      </c>
      <c r="Z4247" t="s">
        <v>26252</v>
      </c>
      <c r="AA4247">
        <v>0.54996067201419951</v>
      </c>
      <c r="AB4247" t="str">
        <f>HYPERLINK("Melting_Curves/meltCurve_Q96DR7_ARHGEF26.pdf", "Melting_Curves/meltCurve_Q96DR7_ARHGEF26.pdf")</f>
        <v>Melting_Curves/meltCurve_Q96DR7_ARHGEF26.pdf</v>
      </c>
    </row>
    <row r="4248" spans="1:28" x14ac:dyDescent="0.25">
      <c r="A4248" t="s">
        <v>4252</v>
      </c>
      <c r="B4248">
        <v>0.99299721793515405</v>
      </c>
      <c r="C4248">
        <v>1.0283092027182299</v>
      </c>
      <c r="D4248">
        <v>1.52225834755918</v>
      </c>
      <c r="E4248">
        <v>1.1277122659241801</v>
      </c>
      <c r="F4248">
        <v>0.94277689417799504</v>
      </c>
      <c r="G4248">
        <v>0.758991139202288</v>
      </c>
      <c r="H4248">
        <v>0.33112240633583301</v>
      </c>
      <c r="I4248">
        <v>0.29495893408405099</v>
      </c>
      <c r="J4248">
        <v>0.214891885205066</v>
      </c>
      <c r="K4248">
        <v>0.17290573456036501</v>
      </c>
      <c r="L4248">
        <v>1943.0827204437601</v>
      </c>
      <c r="M4248">
        <v>35.365739502623498</v>
      </c>
      <c r="N4248">
        <v>55.813138651223497</v>
      </c>
      <c r="O4248">
        <v>54.767740741489</v>
      </c>
      <c r="P4248">
        <v>-0.12721045315910401</v>
      </c>
      <c r="Q4248">
        <v>0.21200519409021201</v>
      </c>
      <c r="R4248">
        <v>0.844699529243227</v>
      </c>
      <c r="S4248" t="s">
        <v>9799</v>
      </c>
      <c r="T4248" t="s">
        <v>11100</v>
      </c>
      <c r="U4248" t="s">
        <v>11100</v>
      </c>
      <c r="V4248" t="s">
        <v>11100</v>
      </c>
      <c r="W4248" t="s">
        <v>15297</v>
      </c>
      <c r="X4248">
        <v>3</v>
      </c>
      <c r="Y4248" t="s">
        <v>20728</v>
      </c>
      <c r="Z4248" t="s">
        <v>26253</v>
      </c>
      <c r="AA4248">
        <v>0.68701874364059945</v>
      </c>
      <c r="AB4248" t="str">
        <f>HYPERLINK("Melting_Curves/meltCurve_Q96DT6_ATG4C.pdf", "Melting_Curves/meltCurve_Q96DT6_ATG4C.pdf")</f>
        <v>Melting_Curves/meltCurve_Q96DT6_ATG4C.pdf</v>
      </c>
    </row>
    <row r="4249" spans="1:28" x14ac:dyDescent="0.25">
      <c r="A4249" t="s">
        <v>4253</v>
      </c>
      <c r="B4249">
        <v>0.99299721793515405</v>
      </c>
      <c r="C4249">
        <v>0.85727940315237205</v>
      </c>
      <c r="D4249">
        <v>0.83176402874487698</v>
      </c>
      <c r="E4249">
        <v>0.64603274224664198</v>
      </c>
      <c r="F4249">
        <v>0.64798464199251105</v>
      </c>
      <c r="G4249">
        <v>0.43106683914767902</v>
      </c>
      <c r="H4249">
        <v>0.39722699968006597</v>
      </c>
      <c r="I4249">
        <v>0.30285650579212098</v>
      </c>
      <c r="J4249">
        <v>0.23124845588374901</v>
      </c>
      <c r="K4249">
        <v>0.23975678033209699</v>
      </c>
      <c r="L4249">
        <v>358.36506886748799</v>
      </c>
      <c r="M4249">
        <v>6.9328064586551701</v>
      </c>
      <c r="N4249">
        <v>52.721140493817799</v>
      </c>
      <c r="O4249">
        <v>47.9045014116519</v>
      </c>
      <c r="P4249">
        <v>-3.3954029729530502E-2</v>
      </c>
      <c r="Q4249">
        <v>6.3332933138409001E-2</v>
      </c>
      <c r="R4249">
        <v>0.97886836205753902</v>
      </c>
      <c r="S4249" t="s">
        <v>9800</v>
      </c>
      <c r="T4249" t="s">
        <v>11100</v>
      </c>
      <c r="U4249" t="s">
        <v>11100</v>
      </c>
      <c r="V4249" t="s">
        <v>11100</v>
      </c>
      <c r="W4249" t="s">
        <v>15298</v>
      </c>
      <c r="X4249">
        <v>4</v>
      </c>
      <c r="Y4249" t="s">
        <v>20729</v>
      </c>
      <c r="Z4249" t="s">
        <v>26254</v>
      </c>
      <c r="AA4249">
        <v>0.55129899204173627</v>
      </c>
      <c r="AB4249" t="str">
        <f>HYPERLINK("Melting_Curves/meltCurve_Q96DT7_2_ZBTB10.pdf", "Melting_Curves/meltCurve_Q96DT7_2_ZBTB10.pdf")</f>
        <v>Melting_Curves/meltCurve_Q96DT7_2_ZBTB10.pdf</v>
      </c>
    </row>
    <row r="4250" spans="1:28" x14ac:dyDescent="0.25">
      <c r="A4250" t="s">
        <v>4254</v>
      </c>
      <c r="B4250">
        <v>0.99299721793515405</v>
      </c>
      <c r="C4250">
        <v>0.85610227231865799</v>
      </c>
      <c r="D4250">
        <v>0.91626597136408905</v>
      </c>
      <c r="E4250">
        <v>0.94593727096356495</v>
      </c>
      <c r="F4250">
        <v>0.51132647908346596</v>
      </c>
      <c r="G4250">
        <v>0.33377532433657803</v>
      </c>
      <c r="H4250">
        <v>0.197607189857893</v>
      </c>
      <c r="I4250">
        <v>0.162084949856168</v>
      </c>
      <c r="J4250">
        <v>0.13067529321642801</v>
      </c>
      <c r="K4250">
        <v>0.12658157152030799</v>
      </c>
      <c r="L4250">
        <v>1107.8358682134599</v>
      </c>
      <c r="M4250">
        <v>22.0692215297777</v>
      </c>
      <c r="N4250">
        <v>50.938913393918803</v>
      </c>
      <c r="O4250">
        <v>49.791501394435599</v>
      </c>
      <c r="P4250">
        <v>-9.5601780173335094E-2</v>
      </c>
      <c r="Q4250">
        <v>0.13725035132400701</v>
      </c>
      <c r="R4250">
        <v>0.97181163026135797</v>
      </c>
      <c r="S4250" t="s">
        <v>9801</v>
      </c>
      <c r="T4250" t="s">
        <v>11100</v>
      </c>
      <c r="U4250" t="s">
        <v>11100</v>
      </c>
      <c r="V4250" t="s">
        <v>11100</v>
      </c>
      <c r="W4250" t="s">
        <v>15299</v>
      </c>
      <c r="X4250">
        <v>2</v>
      </c>
      <c r="Y4250" t="s">
        <v>20730</v>
      </c>
      <c r="Z4250" t="s">
        <v>26255</v>
      </c>
      <c r="AA4250">
        <v>0.52634154273044298</v>
      </c>
      <c r="AB4250" t="str">
        <f>HYPERLINK("Melting_Curves/meltCurve_Q96DU7_ITPKC.pdf", "Melting_Curves/meltCurve_Q96DU7_ITPKC.pdf")</f>
        <v>Melting_Curves/meltCurve_Q96DU7_ITPKC.pdf</v>
      </c>
    </row>
    <row r="4251" spans="1:28" x14ac:dyDescent="0.25">
      <c r="A4251" t="s">
        <v>4255</v>
      </c>
      <c r="B4251">
        <v>0.99299721793515405</v>
      </c>
      <c r="C4251">
        <v>1.2213663574818201</v>
      </c>
      <c r="D4251">
        <v>1.06322167984649</v>
      </c>
      <c r="E4251">
        <v>1.0942157299278801</v>
      </c>
      <c r="F4251">
        <v>0.90422007237356306</v>
      </c>
      <c r="G4251">
        <v>0.67212831148413499</v>
      </c>
      <c r="H4251">
        <v>0.83030794108878203</v>
      </c>
      <c r="I4251">
        <v>0.99099316336752596</v>
      </c>
      <c r="J4251">
        <v>1.02845399054761</v>
      </c>
      <c r="K4251">
        <v>0.68212901052998998</v>
      </c>
      <c r="L4251">
        <v>12529.3019126741</v>
      </c>
      <c r="M4251">
        <v>250</v>
      </c>
      <c r="O4251">
        <v>50.113997204320597</v>
      </c>
      <c r="P4251">
        <v>-0.198544209779456</v>
      </c>
      <c r="Q4251">
        <v>0.84080248618307296</v>
      </c>
      <c r="R4251">
        <v>0.385618211216886</v>
      </c>
      <c r="S4251" t="s">
        <v>9802</v>
      </c>
      <c r="T4251" t="s">
        <v>11100</v>
      </c>
      <c r="U4251" t="s">
        <v>11100</v>
      </c>
      <c r="V4251" t="s">
        <v>11100</v>
      </c>
      <c r="W4251" t="s">
        <v>15300</v>
      </c>
      <c r="X4251">
        <v>2</v>
      </c>
      <c r="Y4251" t="s">
        <v>20731</v>
      </c>
      <c r="Z4251" t="s">
        <v>26256</v>
      </c>
      <c r="AA4251">
        <v>0.91042404992794901</v>
      </c>
      <c r="AB4251" t="str">
        <f>HYPERLINK("Melting_Curves/meltCurve_Q96DX7_TRIM44.pdf", "Melting_Curves/meltCurve_Q96DX7_TRIM44.pdf")</f>
        <v>Melting_Curves/meltCurve_Q96DX7_TRIM44.pdf</v>
      </c>
    </row>
    <row r="4252" spans="1:28" x14ac:dyDescent="0.25">
      <c r="A4252" t="s">
        <v>4256</v>
      </c>
      <c r="B4252">
        <v>0.99299721793515405</v>
      </c>
      <c r="C4252">
        <v>0.93306150787800002</v>
      </c>
      <c r="D4252">
        <v>0.91727087635637194</v>
      </c>
      <c r="E4252">
        <v>0.86610153551573299</v>
      </c>
      <c r="F4252">
        <v>0.69444081177938999</v>
      </c>
      <c r="G4252">
        <v>0.67903192809295398</v>
      </c>
      <c r="H4252">
        <v>0.51130514504400604</v>
      </c>
      <c r="I4252">
        <v>0.39646825456923201</v>
      </c>
      <c r="J4252">
        <v>0.285531034405267</v>
      </c>
      <c r="K4252">
        <v>0.22688309382531099</v>
      </c>
      <c r="L4252">
        <v>440.566103109496</v>
      </c>
      <c r="M4252">
        <v>7.6855378248053601</v>
      </c>
      <c r="N4252">
        <v>57.324043049845599</v>
      </c>
      <c r="O4252">
        <v>53.830199830685103</v>
      </c>
      <c r="P4252">
        <v>-3.57403030802943E-2</v>
      </c>
      <c r="Q4252">
        <v>0</v>
      </c>
      <c r="R4252">
        <v>0.98786009379357598</v>
      </c>
      <c r="S4252" t="s">
        <v>9803</v>
      </c>
      <c r="T4252" t="s">
        <v>11100</v>
      </c>
      <c r="U4252" t="s">
        <v>11100</v>
      </c>
      <c r="V4252" t="s">
        <v>11100</v>
      </c>
      <c r="W4252" t="s">
        <v>15301</v>
      </c>
      <c r="X4252">
        <v>5</v>
      </c>
      <c r="Y4252" t="s">
        <v>20732</v>
      </c>
      <c r="Z4252" t="s">
        <v>26257</v>
      </c>
      <c r="AA4252">
        <v>0.66107273019093371</v>
      </c>
      <c r="AB4252" t="str">
        <f>HYPERLINK("Melting_Curves/meltCurve_Q96DZ1_2_ERLEC1.pdf", "Melting_Curves/meltCurve_Q96DZ1_2_ERLEC1.pdf")</f>
        <v>Melting_Curves/meltCurve_Q96DZ1_2_ERLEC1.pdf</v>
      </c>
    </row>
    <row r="4253" spans="1:28" x14ac:dyDescent="0.25">
      <c r="A4253" t="s">
        <v>4257</v>
      </c>
      <c r="B4253">
        <v>0.99299721793515405</v>
      </c>
      <c r="C4253">
        <v>0.88943945867401397</v>
      </c>
      <c r="D4253">
        <v>0.97090647082460602</v>
      </c>
      <c r="E4253">
        <v>0.87545957778658501</v>
      </c>
      <c r="F4253">
        <v>0.75552026928365201</v>
      </c>
      <c r="G4253">
        <v>0.66258556610480501</v>
      </c>
      <c r="H4253">
        <v>0.52743083333952701</v>
      </c>
      <c r="I4253">
        <v>0.644519386946515</v>
      </c>
      <c r="J4253">
        <v>0.76686253806056703</v>
      </c>
      <c r="K4253">
        <v>0.61555434684344801</v>
      </c>
      <c r="L4253">
        <v>1044.3067869705901</v>
      </c>
      <c r="M4253">
        <v>21.7926078652076</v>
      </c>
      <c r="O4253">
        <v>47.522184277575597</v>
      </c>
      <c r="P4253">
        <v>-4.1546941613577498E-2</v>
      </c>
      <c r="Q4253">
        <v>0.63760992632228097</v>
      </c>
      <c r="R4253">
        <v>0.80972439594228196</v>
      </c>
      <c r="S4253" t="s">
        <v>9804</v>
      </c>
      <c r="T4253" t="s">
        <v>11100</v>
      </c>
      <c r="U4253" t="s">
        <v>11100</v>
      </c>
      <c r="V4253" t="s">
        <v>11100</v>
      </c>
      <c r="W4253" t="s">
        <v>15302</v>
      </c>
      <c r="X4253">
        <v>6</v>
      </c>
      <c r="Y4253" t="s">
        <v>20733</v>
      </c>
      <c r="Z4253" t="s">
        <v>26258</v>
      </c>
      <c r="AA4253">
        <v>0.77356021972576583</v>
      </c>
      <c r="AB4253" t="str">
        <f>HYPERLINK("Melting_Curves/meltCurve_Q96E09_FAM122A.pdf", "Melting_Curves/meltCurve_Q96E09_FAM122A.pdf")</f>
        <v>Melting_Curves/meltCurve_Q96E09_FAM122A.pdf</v>
      </c>
    </row>
    <row r="4254" spans="1:28" x14ac:dyDescent="0.25">
      <c r="A4254" t="s">
        <v>4258</v>
      </c>
      <c r="B4254">
        <v>0.99299721793515405</v>
      </c>
      <c r="C4254">
        <v>0.946889758017459</v>
      </c>
      <c r="D4254">
        <v>0.89031378251802795</v>
      </c>
      <c r="E4254">
        <v>0.728769716828923</v>
      </c>
      <c r="F4254">
        <v>0.60505762696984899</v>
      </c>
      <c r="G4254">
        <v>0.26625980495115198</v>
      </c>
      <c r="H4254">
        <v>0.25138007593248002</v>
      </c>
      <c r="I4254">
        <v>0.30703384120946098</v>
      </c>
      <c r="J4254">
        <v>0.379498967574385</v>
      </c>
      <c r="K4254">
        <v>0.27637646619670397</v>
      </c>
      <c r="L4254">
        <v>859.14531050482105</v>
      </c>
      <c r="M4254">
        <v>17.860492648406399</v>
      </c>
      <c r="N4254">
        <v>50.395920573858398</v>
      </c>
      <c r="O4254">
        <v>47.512262583501702</v>
      </c>
      <c r="P4254">
        <v>-6.7842373009305998E-2</v>
      </c>
      <c r="Q4254">
        <v>0.27814322003338898</v>
      </c>
      <c r="R4254">
        <v>0.95714087198744102</v>
      </c>
      <c r="S4254" t="s">
        <v>9805</v>
      </c>
      <c r="T4254" t="s">
        <v>11100</v>
      </c>
      <c r="U4254" t="s">
        <v>11100</v>
      </c>
      <c r="V4254" t="s">
        <v>11100</v>
      </c>
      <c r="W4254" t="s">
        <v>15303</v>
      </c>
      <c r="X4254">
        <v>11</v>
      </c>
      <c r="Y4254" t="s">
        <v>20734</v>
      </c>
      <c r="Z4254" t="s">
        <v>26259</v>
      </c>
      <c r="AA4254">
        <v>0.55700212325500198</v>
      </c>
      <c r="AB4254" t="str">
        <f>HYPERLINK("Melting_Curves/meltCurve_Q96E11_3_MRRF.pdf", "Melting_Curves/meltCurve_Q96E11_3_MRRF.pdf")</f>
        <v>Melting_Curves/meltCurve_Q96E11_3_MRRF.pdf</v>
      </c>
    </row>
    <row r="4255" spans="1:28" x14ac:dyDescent="0.25">
      <c r="A4255" t="s">
        <v>4259</v>
      </c>
      <c r="B4255">
        <v>0.99299721793515405</v>
      </c>
      <c r="C4255">
        <v>0.86339532715257095</v>
      </c>
      <c r="D4255">
        <v>0.80998258276649804</v>
      </c>
      <c r="E4255">
        <v>0.78763353187770802</v>
      </c>
      <c r="F4255">
        <v>0.63205583395445697</v>
      </c>
      <c r="G4255">
        <v>0.53354329356081598</v>
      </c>
      <c r="H4255">
        <v>0.440927322675918</v>
      </c>
      <c r="I4255">
        <v>0.31140558089855203</v>
      </c>
      <c r="J4255">
        <v>0.192610216343619</v>
      </c>
      <c r="K4255">
        <v>0.15782890614959599</v>
      </c>
      <c r="L4255">
        <v>389.39560750234199</v>
      </c>
      <c r="M4255">
        <v>7.2140313357605299</v>
      </c>
      <c r="N4255">
        <v>53.977532030958997</v>
      </c>
      <c r="O4255">
        <v>50.292450404936297</v>
      </c>
      <c r="P4255">
        <v>-3.5919928255017698E-2</v>
      </c>
      <c r="Q4255">
        <v>0</v>
      </c>
      <c r="R4255">
        <v>0.97970106451633998</v>
      </c>
      <c r="S4255" t="s">
        <v>9806</v>
      </c>
      <c r="T4255" t="s">
        <v>11100</v>
      </c>
      <c r="U4255" t="s">
        <v>11100</v>
      </c>
      <c r="V4255" t="s">
        <v>11100</v>
      </c>
      <c r="W4255" t="s">
        <v>15304</v>
      </c>
      <c r="X4255">
        <v>3</v>
      </c>
      <c r="Y4255" t="s">
        <v>20735</v>
      </c>
      <c r="Z4255" t="s">
        <v>26260</v>
      </c>
      <c r="AA4255">
        <v>0.5783702690967264</v>
      </c>
      <c r="AB4255" t="str">
        <f>HYPERLINK("Melting_Curves/meltCurve_Q96E22_NUS1.pdf", "Melting_Curves/meltCurve_Q96E22_NUS1.pdf")</f>
        <v>Melting_Curves/meltCurve_Q96E22_NUS1.pdf</v>
      </c>
    </row>
    <row r="4256" spans="1:28" x14ac:dyDescent="0.25">
      <c r="A4256" t="s">
        <v>4260</v>
      </c>
      <c r="B4256">
        <v>0.99299721793515405</v>
      </c>
      <c r="C4256">
        <v>0.97696426833536099</v>
      </c>
      <c r="D4256">
        <v>0.885437826074991</v>
      </c>
      <c r="E4256">
        <v>0.94272530817377798</v>
      </c>
      <c r="F4256">
        <v>0.69867253780079297</v>
      </c>
      <c r="G4256">
        <v>0.45853445729199399</v>
      </c>
      <c r="H4256">
        <v>0.52554497016843105</v>
      </c>
      <c r="I4256">
        <v>0.51235532258151695</v>
      </c>
      <c r="J4256">
        <v>0.65343863733719598</v>
      </c>
      <c r="K4256">
        <v>0.42519547660950602</v>
      </c>
      <c r="L4256">
        <v>2033.83760095195</v>
      </c>
      <c r="M4256">
        <v>41.158996949039803</v>
      </c>
      <c r="O4256">
        <v>49.297949306060197</v>
      </c>
      <c r="P4256">
        <v>-0.10148592024216101</v>
      </c>
      <c r="Q4256">
        <v>0.51378421524074303</v>
      </c>
      <c r="R4256">
        <v>0.89770257124349395</v>
      </c>
      <c r="S4256" t="s">
        <v>9807</v>
      </c>
      <c r="T4256" t="s">
        <v>11100</v>
      </c>
      <c r="U4256" t="s">
        <v>11100</v>
      </c>
      <c r="V4256" t="s">
        <v>11100</v>
      </c>
      <c r="W4256" t="s">
        <v>15305</v>
      </c>
      <c r="X4256">
        <v>2</v>
      </c>
      <c r="Y4256" t="s">
        <v>20736</v>
      </c>
      <c r="Z4256" t="s">
        <v>26261</v>
      </c>
      <c r="AA4256">
        <v>0.7165504700950095</v>
      </c>
      <c r="AB4256" t="str">
        <f>HYPERLINK("Melting_Curves/meltCurve_Q96E52_OMA1.pdf", "Melting_Curves/meltCurve_Q96E52_OMA1.pdf")</f>
        <v>Melting_Curves/meltCurve_Q96E52_OMA1.pdf</v>
      </c>
    </row>
    <row r="4257" spans="1:28" x14ac:dyDescent="0.25">
      <c r="A4257" t="s">
        <v>4261</v>
      </c>
      <c r="B4257">
        <v>0.99299721793515405</v>
      </c>
      <c r="C4257">
        <v>0.87566280437417299</v>
      </c>
      <c r="D4257">
        <v>1.08212263814607</v>
      </c>
      <c r="E4257">
        <v>0.78966649551392898</v>
      </c>
      <c r="F4257">
        <v>0.48318285060543098</v>
      </c>
      <c r="G4257">
        <v>0.281862588914363</v>
      </c>
      <c r="H4257">
        <v>0.17028432292977499</v>
      </c>
      <c r="I4257">
        <v>0.14255572406053399</v>
      </c>
      <c r="J4257">
        <v>0.14514732594832999</v>
      </c>
      <c r="K4257">
        <v>0.13325604226601501</v>
      </c>
      <c r="L4257">
        <v>1092.5147617759101</v>
      </c>
      <c r="M4257">
        <v>22.134522829295701</v>
      </c>
      <c r="N4257">
        <v>50.085074160160502</v>
      </c>
      <c r="O4257">
        <v>48.960379168205499</v>
      </c>
      <c r="P4257">
        <v>-9.7494027081506299E-2</v>
      </c>
      <c r="Q4257">
        <v>0.13741253013490801</v>
      </c>
      <c r="R4257">
        <v>0.97866000175388301</v>
      </c>
      <c r="S4257" t="s">
        <v>9808</v>
      </c>
      <c r="T4257" t="s">
        <v>11100</v>
      </c>
      <c r="U4257" t="s">
        <v>11100</v>
      </c>
      <c r="V4257" t="s">
        <v>11100</v>
      </c>
      <c r="W4257" t="s">
        <v>15306</v>
      </c>
      <c r="X4257">
        <v>10</v>
      </c>
      <c r="Y4257" t="s">
        <v>20737</v>
      </c>
      <c r="Z4257" t="s">
        <v>26262</v>
      </c>
      <c r="AA4257">
        <v>0.5021780256780678</v>
      </c>
      <c r="AB4257" t="str">
        <f>HYPERLINK("Melting_Curves/meltCurve_Q96EA4_SPDL1.pdf", "Melting_Curves/meltCurve_Q96EA4_SPDL1.pdf")</f>
        <v>Melting_Curves/meltCurve_Q96EA4_SPDL1.pdf</v>
      </c>
    </row>
    <row r="4258" spans="1:28" x14ac:dyDescent="0.25">
      <c r="A4258" t="s">
        <v>4262</v>
      </c>
      <c r="B4258">
        <v>0.99299721793515405</v>
      </c>
      <c r="C4258">
        <v>1.01607309856998</v>
      </c>
      <c r="D4258">
        <v>1.28313397634416</v>
      </c>
      <c r="E4258">
        <v>0.96308434137500198</v>
      </c>
      <c r="F4258">
        <v>0.83037784305667695</v>
      </c>
      <c r="G4258">
        <v>0.60727481128165495</v>
      </c>
      <c r="H4258">
        <v>0.28046733534905699</v>
      </c>
      <c r="I4258">
        <v>0.26700273637739003</v>
      </c>
      <c r="J4258">
        <v>0.22980003796031401</v>
      </c>
      <c r="K4258">
        <v>0.22071676697784101</v>
      </c>
      <c r="L4258">
        <v>1346.24137932139</v>
      </c>
      <c r="M4258">
        <v>25.229544400758201</v>
      </c>
      <c r="N4258">
        <v>54.573258593553099</v>
      </c>
      <c r="O4258">
        <v>53.027871958059599</v>
      </c>
      <c r="P4258">
        <v>-9.3409861071327704E-2</v>
      </c>
      <c r="Q4258">
        <v>0.214688645684037</v>
      </c>
      <c r="R4258">
        <v>0.93863047951924194</v>
      </c>
      <c r="S4258" t="s">
        <v>9809</v>
      </c>
      <c r="T4258" t="s">
        <v>11100</v>
      </c>
      <c r="U4258" t="s">
        <v>11100</v>
      </c>
      <c r="V4258" t="s">
        <v>11100</v>
      </c>
      <c r="W4258" t="s">
        <v>15307</v>
      </c>
      <c r="X4258">
        <v>20</v>
      </c>
      <c r="Y4258" t="s">
        <v>20738</v>
      </c>
      <c r="Z4258" t="s">
        <v>26263</v>
      </c>
      <c r="AA4258">
        <v>0.64975023109945673</v>
      </c>
      <c r="AB4258" t="str">
        <f>HYPERLINK("Melting_Curves/meltCurve_Q96EB6_SIRT1.pdf", "Melting_Curves/meltCurve_Q96EB6_SIRT1.pdf")</f>
        <v>Melting_Curves/meltCurve_Q96EB6_SIRT1.pdf</v>
      </c>
    </row>
    <row r="4259" spans="1:28" x14ac:dyDescent="0.25">
      <c r="A4259" t="s">
        <v>4263</v>
      </c>
      <c r="B4259">
        <v>0.99299721793515405</v>
      </c>
      <c r="C4259">
        <v>0.98799749391434499</v>
      </c>
      <c r="D4259">
        <v>0.83573793586129497</v>
      </c>
      <c r="E4259">
        <v>0.81828329954008205</v>
      </c>
      <c r="F4259">
        <v>0.755527572864508</v>
      </c>
      <c r="G4259">
        <v>0.57160835379396702</v>
      </c>
      <c r="H4259">
        <v>0.62200746915799998</v>
      </c>
      <c r="I4259">
        <v>0.59917725802575905</v>
      </c>
      <c r="J4259">
        <v>0.53351830075282403</v>
      </c>
      <c r="K4259">
        <v>0.419845195999831</v>
      </c>
      <c r="L4259">
        <v>375.30106143722497</v>
      </c>
      <c r="M4259">
        <v>7.2155894169313903</v>
      </c>
      <c r="N4259">
        <v>64.818032049752105</v>
      </c>
      <c r="O4259">
        <v>48.462965174826998</v>
      </c>
      <c r="P4259">
        <v>-2.3123186663732E-2</v>
      </c>
      <c r="Q4259">
        <v>0.37980794902491799</v>
      </c>
      <c r="R4259">
        <v>0.93384940147398099</v>
      </c>
      <c r="S4259" t="s">
        <v>9810</v>
      </c>
      <c r="T4259" t="s">
        <v>11100</v>
      </c>
      <c r="U4259" t="s">
        <v>11100</v>
      </c>
      <c r="V4259" t="s">
        <v>11100</v>
      </c>
      <c r="W4259" t="s">
        <v>15308</v>
      </c>
      <c r="X4259">
        <v>2</v>
      </c>
      <c r="Y4259" t="s">
        <v>20739</v>
      </c>
      <c r="Z4259" t="s">
        <v>26264</v>
      </c>
      <c r="AA4259">
        <v>0.70793101035491124</v>
      </c>
      <c r="AB4259" t="str">
        <f>HYPERLINK("Melting_Curves/meltCurve_Q96EC8_YIPF6.pdf", "Melting_Curves/meltCurve_Q96EC8_YIPF6.pdf")</f>
        <v>Melting_Curves/meltCurve_Q96EC8_YIPF6.pdf</v>
      </c>
    </row>
    <row r="4260" spans="1:28" x14ac:dyDescent="0.25">
      <c r="A4260" t="s">
        <v>4264</v>
      </c>
      <c r="B4260">
        <v>0.99299721793515405</v>
      </c>
      <c r="C4260">
        <v>0.98425836814979795</v>
      </c>
      <c r="D4260">
        <v>0.89114972842181095</v>
      </c>
      <c r="E4260">
        <v>0.86363340454090998</v>
      </c>
      <c r="F4260">
        <v>0.70708967678009604</v>
      </c>
      <c r="G4260">
        <v>0.65138600879703301</v>
      </c>
      <c r="H4260">
        <v>0.77557730619455201</v>
      </c>
      <c r="I4260">
        <v>0.41738700661363098</v>
      </c>
      <c r="J4260">
        <v>0.14685098187007301</v>
      </c>
      <c r="K4260">
        <v>0.110750549579717</v>
      </c>
      <c r="L4260">
        <v>570.13800138840998</v>
      </c>
      <c r="M4260">
        <v>9.8422639883876197</v>
      </c>
      <c r="N4260">
        <v>57.9275306253666</v>
      </c>
      <c r="O4260">
        <v>55.688142256083196</v>
      </c>
      <c r="P4260">
        <v>-4.4207574721358903E-2</v>
      </c>
      <c r="Q4260">
        <v>0</v>
      </c>
      <c r="R4260">
        <v>0.87902900750563895</v>
      </c>
      <c r="S4260" t="s">
        <v>9811</v>
      </c>
      <c r="T4260" t="s">
        <v>11100</v>
      </c>
      <c r="U4260" t="s">
        <v>11100</v>
      </c>
      <c r="V4260" t="s">
        <v>11100</v>
      </c>
      <c r="W4260" t="s">
        <v>15309</v>
      </c>
      <c r="X4260">
        <v>6</v>
      </c>
      <c r="Y4260" t="s">
        <v>20740</v>
      </c>
      <c r="Z4260" t="s">
        <v>26265</v>
      </c>
      <c r="AA4260">
        <v>0.68885689885519519</v>
      </c>
      <c r="AB4260" t="str">
        <f>HYPERLINK("Melting_Curves/meltCurve_Q96EE3_SEH1L.pdf", "Melting_Curves/meltCurve_Q96EE3_SEH1L.pdf")</f>
        <v>Melting_Curves/meltCurve_Q96EE3_SEH1L.pdf</v>
      </c>
    </row>
    <row r="4261" spans="1:28" x14ac:dyDescent="0.25">
      <c r="A4261" t="s">
        <v>4265</v>
      </c>
      <c r="B4261">
        <v>0.99299721793515405</v>
      </c>
      <c r="C4261">
        <v>1.21863346932845</v>
      </c>
      <c r="D4261">
        <v>1.1531999732515601</v>
      </c>
      <c r="E4261">
        <v>1.26856669989118</v>
      </c>
      <c r="F4261">
        <v>0.72198046153816398</v>
      </c>
      <c r="G4261">
        <v>1.2132327318379601</v>
      </c>
      <c r="H4261">
        <v>0.95978692694654599</v>
      </c>
      <c r="I4261">
        <v>0.68233190335786897</v>
      </c>
      <c r="J4261">
        <v>0.40285174150219899</v>
      </c>
      <c r="K4261">
        <v>0.18992891908179901</v>
      </c>
      <c r="L4261">
        <v>2036.9892589994199</v>
      </c>
      <c r="M4261">
        <v>32.683448010499397</v>
      </c>
      <c r="N4261">
        <v>62.863023197332403</v>
      </c>
      <c r="O4261">
        <v>62.092861691491301</v>
      </c>
      <c r="P4261">
        <v>-0.115531554797242</v>
      </c>
      <c r="Q4261">
        <v>0.122044689843731</v>
      </c>
      <c r="R4261">
        <v>0.78195684369974605</v>
      </c>
      <c r="S4261" t="s">
        <v>9812</v>
      </c>
      <c r="T4261" t="s">
        <v>11100</v>
      </c>
      <c r="U4261" t="s">
        <v>11100</v>
      </c>
      <c r="V4261" t="s">
        <v>11100</v>
      </c>
      <c r="W4261" t="s">
        <v>15310</v>
      </c>
      <c r="X4261">
        <v>1</v>
      </c>
      <c r="Y4261" t="s">
        <v>20741</v>
      </c>
      <c r="Z4261" t="s">
        <v>26266</v>
      </c>
      <c r="AA4261">
        <v>0.86212267763514983</v>
      </c>
      <c r="AB4261" t="str">
        <f>HYPERLINK("Melting_Curves/meltCurve_Q96EH3_MALSU1.pdf", "Melting_Curves/meltCurve_Q96EH3_MALSU1.pdf")</f>
        <v>Melting_Curves/meltCurve_Q96EH3_MALSU1.pdf</v>
      </c>
    </row>
    <row r="4262" spans="1:28" x14ac:dyDescent="0.25">
      <c r="A4262" t="s">
        <v>4266</v>
      </c>
      <c r="B4262">
        <v>0.99299721793515405</v>
      </c>
      <c r="C4262">
        <v>0.97096625534648195</v>
      </c>
      <c r="D4262">
        <v>0.95520130187152197</v>
      </c>
      <c r="E4262">
        <v>0.91267317644846202</v>
      </c>
      <c r="F4262">
        <v>0.61926238217340601</v>
      </c>
      <c r="G4262">
        <v>0.48981109487515001</v>
      </c>
      <c r="H4262">
        <v>0.48265087916565602</v>
      </c>
      <c r="I4262">
        <v>0.48847948138062902</v>
      </c>
      <c r="J4262">
        <v>0.51204859058525998</v>
      </c>
      <c r="K4262">
        <v>0.377567770541336</v>
      </c>
      <c r="L4262">
        <v>1526.0554796438</v>
      </c>
      <c r="M4262">
        <v>31.241019368261799</v>
      </c>
      <c r="N4262">
        <v>53.267588610841003</v>
      </c>
      <c r="O4262">
        <v>48.648974259180001</v>
      </c>
      <c r="P4262">
        <v>-8.6280971462873002E-2</v>
      </c>
      <c r="Q4262">
        <v>0.46257099422385201</v>
      </c>
      <c r="R4262">
        <v>0.97647051049813105</v>
      </c>
      <c r="S4262" t="s">
        <v>9813</v>
      </c>
      <c r="T4262" t="s">
        <v>11100</v>
      </c>
      <c r="U4262" t="s">
        <v>11100</v>
      </c>
      <c r="V4262" t="s">
        <v>11100</v>
      </c>
      <c r="W4262" t="s">
        <v>15311</v>
      </c>
      <c r="X4262">
        <v>8</v>
      </c>
      <c r="Y4262" t="s">
        <v>20742</v>
      </c>
      <c r="Z4262" t="s">
        <v>26267</v>
      </c>
      <c r="AA4262">
        <v>0.67779757255913609</v>
      </c>
      <c r="AB4262" t="str">
        <f>HYPERLINK("Melting_Curves/meltCurve_Q96EI5_TCEAL4.pdf", "Melting_Curves/meltCurve_Q96EI5_TCEAL4.pdf")</f>
        <v>Melting_Curves/meltCurve_Q96EI5_TCEAL4.pdf</v>
      </c>
    </row>
    <row r="4263" spans="1:28" x14ac:dyDescent="0.25">
      <c r="A4263" t="s">
        <v>4267</v>
      </c>
      <c r="B4263">
        <v>0.99299721793515405</v>
      </c>
      <c r="C4263">
        <v>0.98260742868093498</v>
      </c>
      <c r="D4263">
        <v>0.925620310983721</v>
      </c>
      <c r="E4263">
        <v>0.875421362562528</v>
      </c>
      <c r="F4263">
        <v>0.60347273733296802</v>
      </c>
      <c r="G4263">
        <v>0.20971563768283799</v>
      </c>
      <c r="H4263">
        <v>0.172978993110176</v>
      </c>
      <c r="I4263">
        <v>0.153225079258792</v>
      </c>
      <c r="J4263">
        <v>0.14992622327923399</v>
      </c>
      <c r="K4263">
        <v>0.12083106642078401</v>
      </c>
      <c r="L4263">
        <v>1331.93929187394</v>
      </c>
      <c r="M4263">
        <v>26.5239501600899</v>
      </c>
      <c r="N4263">
        <v>50.801962611878899</v>
      </c>
      <c r="O4263">
        <v>49.933636735264997</v>
      </c>
      <c r="P4263">
        <v>-0.11530944482399701</v>
      </c>
      <c r="Q4263">
        <v>0.131689113841787</v>
      </c>
      <c r="R4263">
        <v>0.99313658746084799</v>
      </c>
      <c r="S4263" t="s">
        <v>9814</v>
      </c>
      <c r="T4263" t="s">
        <v>11100</v>
      </c>
      <c r="U4263" t="s">
        <v>11100</v>
      </c>
      <c r="V4263" t="s">
        <v>11100</v>
      </c>
      <c r="W4263" t="s">
        <v>15312</v>
      </c>
      <c r="X4263">
        <v>16</v>
      </c>
      <c r="Y4263" t="s">
        <v>20743</v>
      </c>
      <c r="Z4263" t="s">
        <v>26268</v>
      </c>
      <c r="AA4263">
        <v>0.52101956365023294</v>
      </c>
      <c r="AB4263" t="str">
        <f>HYPERLINK("Melting_Curves/meltCurve_Q96EK5_KIAA1279.pdf", "Melting_Curves/meltCurve_Q96EK5_KIAA1279.pdf")</f>
        <v>Melting_Curves/meltCurve_Q96EK5_KIAA1279.pdf</v>
      </c>
    </row>
    <row r="4264" spans="1:28" x14ac:dyDescent="0.25">
      <c r="A4264" t="s">
        <v>4268</v>
      </c>
      <c r="B4264">
        <v>0.99299721793515405</v>
      </c>
      <c r="C4264">
        <v>0.93872364073054104</v>
      </c>
      <c r="D4264">
        <v>0.89679593696319104</v>
      </c>
      <c r="E4264">
        <v>0.83284799730935</v>
      </c>
      <c r="F4264">
        <v>0.66249016556219698</v>
      </c>
      <c r="G4264">
        <v>0.50092135377125402</v>
      </c>
      <c r="H4264">
        <v>0.44994886447889498</v>
      </c>
      <c r="I4264">
        <v>0.47379172571837902</v>
      </c>
      <c r="J4264">
        <v>0.33267486386155598</v>
      </c>
      <c r="K4264">
        <v>0.16264110494943501</v>
      </c>
      <c r="L4264">
        <v>381.61555076194003</v>
      </c>
      <c r="M4264">
        <v>6.8136784944322999</v>
      </c>
      <c r="N4264">
        <v>56.0072759496244</v>
      </c>
      <c r="O4264">
        <v>51.777219898944203</v>
      </c>
      <c r="P4264">
        <v>-3.2966336104369102E-2</v>
      </c>
      <c r="Q4264">
        <v>0</v>
      </c>
      <c r="R4264">
        <v>0.96184706210856297</v>
      </c>
      <c r="S4264" t="s">
        <v>9815</v>
      </c>
      <c r="T4264" t="s">
        <v>11100</v>
      </c>
      <c r="U4264" t="s">
        <v>11100</v>
      </c>
      <c r="V4264" t="s">
        <v>11100</v>
      </c>
      <c r="W4264" t="s">
        <v>15313</v>
      </c>
      <c r="X4264">
        <v>13</v>
      </c>
      <c r="Y4264" t="s">
        <v>20744</v>
      </c>
      <c r="Z4264" t="s">
        <v>26269</v>
      </c>
      <c r="AA4264">
        <v>0.62416320578296902</v>
      </c>
      <c r="AB4264" t="str">
        <f>HYPERLINK("Melting_Curves/meltCurve_Q96EK6_GNPNAT1.pdf", "Melting_Curves/meltCurve_Q96EK6_GNPNAT1.pdf")</f>
        <v>Melting_Curves/meltCurve_Q96EK6_GNPNAT1.pdf</v>
      </c>
    </row>
    <row r="4265" spans="1:28" x14ac:dyDescent="0.25">
      <c r="A4265" t="s">
        <v>4269</v>
      </c>
      <c r="B4265">
        <v>0.99299721793515405</v>
      </c>
      <c r="C4265">
        <v>0.89370200798079602</v>
      </c>
      <c r="D4265">
        <v>0.94752552732717099</v>
      </c>
      <c r="E4265">
        <v>0.86565746758028805</v>
      </c>
      <c r="F4265">
        <v>0.59566694822474997</v>
      </c>
      <c r="G4265">
        <v>0.215557169696039</v>
      </c>
      <c r="H4265">
        <v>0.166780018727752</v>
      </c>
      <c r="I4265">
        <v>0.21526611681027599</v>
      </c>
      <c r="J4265">
        <v>0.16675836786506101</v>
      </c>
      <c r="K4265">
        <v>0.15273001959354501</v>
      </c>
      <c r="L4265">
        <v>1360.15248773997</v>
      </c>
      <c r="M4265">
        <v>27.2087600473408</v>
      </c>
      <c r="N4265">
        <v>50.708245022677197</v>
      </c>
      <c r="O4265">
        <v>49.721819770350002</v>
      </c>
      <c r="P4265">
        <v>-0.114917511814273</v>
      </c>
      <c r="Q4265">
        <v>0.15999810928230301</v>
      </c>
      <c r="R4265">
        <v>0.98307060838734905</v>
      </c>
      <c r="S4265" t="s">
        <v>9816</v>
      </c>
      <c r="T4265" t="s">
        <v>11100</v>
      </c>
      <c r="U4265" t="s">
        <v>11100</v>
      </c>
      <c r="V4265" t="s">
        <v>11100</v>
      </c>
      <c r="W4265" t="s">
        <v>15314</v>
      </c>
      <c r="X4265">
        <v>7</v>
      </c>
      <c r="Y4265" t="s">
        <v>20745</v>
      </c>
      <c r="Z4265" t="s">
        <v>26270</v>
      </c>
      <c r="AA4265">
        <v>0.52994540400959589</v>
      </c>
      <c r="AB4265" t="str">
        <f>HYPERLINK("Melting_Curves/meltCurve_Q96EK9_KTI12.pdf", "Melting_Curves/meltCurve_Q96EK9_KTI12.pdf")</f>
        <v>Melting_Curves/meltCurve_Q96EK9_KTI12.pdf</v>
      </c>
    </row>
    <row r="4266" spans="1:28" x14ac:dyDescent="0.25">
      <c r="A4266" t="s">
        <v>4270</v>
      </c>
      <c r="B4266">
        <v>0.99299721793515405</v>
      </c>
      <c r="C4266">
        <v>0.96782486591327699</v>
      </c>
      <c r="D4266">
        <v>1.0098575320103</v>
      </c>
      <c r="E4266">
        <v>0.846734564518827</v>
      </c>
      <c r="F4266">
        <v>0.84055574403898603</v>
      </c>
      <c r="G4266">
        <v>0.74423870700177897</v>
      </c>
      <c r="H4266">
        <v>0.84388980910512001</v>
      </c>
      <c r="I4266">
        <v>0.64723042833895905</v>
      </c>
      <c r="J4266">
        <v>0.58139631109036205</v>
      </c>
      <c r="K4266">
        <v>0.46480916590161903</v>
      </c>
      <c r="L4266">
        <v>361.05092751194701</v>
      </c>
      <c r="M4266">
        <v>5.3327161216069001</v>
      </c>
      <c r="O4266">
        <v>59.9453582976044</v>
      </c>
      <c r="P4266">
        <v>-2.2349018834946E-2</v>
      </c>
      <c r="Q4266">
        <v>0</v>
      </c>
      <c r="R4266">
        <v>0.904056427708684</v>
      </c>
      <c r="S4266" t="s">
        <v>9817</v>
      </c>
      <c r="T4266" t="s">
        <v>11100</v>
      </c>
      <c r="U4266" t="s">
        <v>11100</v>
      </c>
      <c r="V4266" t="s">
        <v>11100</v>
      </c>
      <c r="W4266" t="s">
        <v>15315</v>
      </c>
      <c r="X4266">
        <v>1</v>
      </c>
      <c r="Y4266" t="s">
        <v>20746</v>
      </c>
      <c r="Z4266" t="s">
        <v>26271</v>
      </c>
      <c r="AA4266">
        <v>0.80322604548411336</v>
      </c>
      <c r="AB4266" t="str">
        <f>HYPERLINK("Melting_Curves/meltCurve_Q96EL3_MRPL53.pdf", "Melting_Curves/meltCurve_Q96EL3_MRPL53.pdf")</f>
        <v>Melting_Curves/meltCurve_Q96EL3_MRPL53.pdf</v>
      </c>
    </row>
    <row r="4267" spans="1:28" x14ac:dyDescent="0.25">
      <c r="A4267" t="s">
        <v>4271</v>
      </c>
      <c r="B4267">
        <v>0.99299721793515405</v>
      </c>
      <c r="C4267">
        <v>0.99394892063084495</v>
      </c>
      <c r="D4267">
        <v>0.949006711564091</v>
      </c>
      <c r="E4267">
        <v>0.85177686611536896</v>
      </c>
      <c r="F4267">
        <v>0.79005419364765705</v>
      </c>
      <c r="G4267">
        <v>0.56636340263168505</v>
      </c>
      <c r="H4267">
        <v>0.51370994247776502</v>
      </c>
      <c r="I4267">
        <v>0.399132098977375</v>
      </c>
      <c r="J4267">
        <v>0.13722351475066299</v>
      </c>
      <c r="K4267">
        <v>7.3843577086073406E-2</v>
      </c>
      <c r="L4267">
        <v>594.20402060798006</v>
      </c>
      <c r="M4267">
        <v>10.5754128511867</v>
      </c>
      <c r="N4267">
        <v>56.187317453454497</v>
      </c>
      <c r="O4267">
        <v>54.289866696417</v>
      </c>
      <c r="P4267">
        <v>-4.8717952123649301E-2</v>
      </c>
      <c r="Q4267">
        <v>0</v>
      </c>
      <c r="R4267">
        <v>0.97073928447086599</v>
      </c>
      <c r="S4267" t="s">
        <v>9818</v>
      </c>
      <c r="T4267" t="s">
        <v>11100</v>
      </c>
      <c r="U4267" t="s">
        <v>11100</v>
      </c>
      <c r="V4267" t="s">
        <v>11100</v>
      </c>
      <c r="W4267" t="s">
        <v>15316</v>
      </c>
      <c r="X4267">
        <v>10</v>
      </c>
      <c r="Y4267" t="s">
        <v>20747</v>
      </c>
      <c r="Z4267" t="s">
        <v>26272</v>
      </c>
      <c r="AA4267">
        <v>0.64589988021283884</v>
      </c>
      <c r="AB4267" t="str">
        <f>HYPERLINK("Melting_Curves/meltCurve_Q96EM0_L3HYPDH.pdf", "Melting_Curves/meltCurve_Q96EM0_L3HYPDH.pdf")</f>
        <v>Melting_Curves/meltCurve_Q96EM0_L3HYPDH.pdf</v>
      </c>
    </row>
    <row r="4268" spans="1:28" x14ac:dyDescent="0.25">
      <c r="A4268" t="s">
        <v>4272</v>
      </c>
      <c r="B4268">
        <v>0.99299721793515405</v>
      </c>
      <c r="C4268">
        <v>0.91276761268522799</v>
      </c>
      <c r="D4268">
        <v>0.95799838016861605</v>
      </c>
      <c r="E4268">
        <v>0.80814351032960996</v>
      </c>
      <c r="F4268">
        <v>0.68135398142992698</v>
      </c>
      <c r="G4268">
        <v>0.44094427989974899</v>
      </c>
      <c r="H4268">
        <v>0.34646009323558602</v>
      </c>
      <c r="I4268">
        <v>0.27580752384979401</v>
      </c>
      <c r="J4268">
        <v>0.21188821985923001</v>
      </c>
      <c r="K4268">
        <v>0.174173623485507</v>
      </c>
      <c r="L4268">
        <v>601.58856802840603</v>
      </c>
      <c r="M4268">
        <v>11.5683926241751</v>
      </c>
      <c r="N4268">
        <v>53.290797926547199</v>
      </c>
      <c r="O4268">
        <v>50.521701667831898</v>
      </c>
      <c r="P4268">
        <v>-5.0277150449021098E-2</v>
      </c>
      <c r="Q4268">
        <v>0.12195865175134001</v>
      </c>
      <c r="R4268">
        <v>0.992156433049314</v>
      </c>
      <c r="S4268" t="s">
        <v>9819</v>
      </c>
      <c r="T4268" t="s">
        <v>11100</v>
      </c>
      <c r="U4268" t="s">
        <v>11100</v>
      </c>
      <c r="V4268" t="s">
        <v>11100</v>
      </c>
      <c r="W4268" t="s">
        <v>15317</v>
      </c>
      <c r="X4268">
        <v>7</v>
      </c>
      <c r="Y4268" t="s">
        <v>20748</v>
      </c>
      <c r="Z4268" t="s">
        <v>26273</v>
      </c>
      <c r="AA4268">
        <v>0.58249662946803715</v>
      </c>
      <c r="AB4268" t="str">
        <f>HYPERLINK("Melting_Curves/meltCurve_Q96EP5_DAZAP1.pdf", "Melting_Curves/meltCurve_Q96EP5_DAZAP1.pdf")</f>
        <v>Melting_Curves/meltCurve_Q96EP5_DAZAP1.pdf</v>
      </c>
    </row>
    <row r="4269" spans="1:28" x14ac:dyDescent="0.25">
      <c r="A4269" t="s">
        <v>4273</v>
      </c>
      <c r="B4269">
        <v>0.99299721793515405</v>
      </c>
      <c r="C4269">
        <v>1.1036617754379801</v>
      </c>
      <c r="D4269">
        <v>1.2855954843414501</v>
      </c>
      <c r="E4269">
        <v>1.09103547456156</v>
      </c>
      <c r="F4269">
        <v>0.74552052388983103</v>
      </c>
      <c r="G4269">
        <v>0.84456353184990396</v>
      </c>
      <c r="H4269">
        <v>0.43897228563437801</v>
      </c>
      <c r="I4269">
        <v>0.33520255442547497</v>
      </c>
      <c r="J4269">
        <v>0.28329993182466701</v>
      </c>
      <c r="K4269">
        <v>0.203865898285855</v>
      </c>
      <c r="L4269">
        <v>1058.83682254217</v>
      </c>
      <c r="M4269">
        <v>18.94122701841</v>
      </c>
      <c r="N4269">
        <v>57.335725557781103</v>
      </c>
      <c r="O4269">
        <v>55.289277565873199</v>
      </c>
      <c r="P4269">
        <v>-6.9485803357960396E-2</v>
      </c>
      <c r="Q4269">
        <v>0.18871917533546601</v>
      </c>
      <c r="R4269">
        <v>0.89066838776170698</v>
      </c>
      <c r="S4269" t="s">
        <v>9820</v>
      </c>
      <c r="T4269" t="s">
        <v>11100</v>
      </c>
      <c r="U4269" t="s">
        <v>11100</v>
      </c>
      <c r="V4269" t="s">
        <v>11100</v>
      </c>
      <c r="W4269" t="s">
        <v>15318</v>
      </c>
      <c r="X4269">
        <v>5</v>
      </c>
      <c r="Y4269" t="s">
        <v>20749</v>
      </c>
      <c r="Z4269" t="s">
        <v>26274</v>
      </c>
      <c r="AA4269">
        <v>0.70865528508108311</v>
      </c>
      <c r="AB4269" t="str">
        <f>HYPERLINK("Melting_Curves/meltCurve_Q96EQ0_SGTB.pdf", "Melting_Curves/meltCurve_Q96EQ0_SGTB.pdf")</f>
        <v>Melting_Curves/meltCurve_Q96EQ0_SGTB.pdf</v>
      </c>
    </row>
    <row r="4270" spans="1:28" x14ac:dyDescent="0.25">
      <c r="A4270" t="s">
        <v>4274</v>
      </c>
      <c r="B4270">
        <v>0.99299721793515405</v>
      </c>
      <c r="C4270">
        <v>1.1087819101377501</v>
      </c>
      <c r="D4270">
        <v>0.98993734035810699</v>
      </c>
      <c r="E4270">
        <v>0.89274069791185495</v>
      </c>
      <c r="F4270">
        <v>0.742963344535851</v>
      </c>
      <c r="G4270">
        <v>0.57447782225942801</v>
      </c>
      <c r="H4270">
        <v>0.28635941353933803</v>
      </c>
      <c r="I4270">
        <v>0.16538519652394401</v>
      </c>
      <c r="J4270">
        <v>0.14874163910826699</v>
      </c>
      <c r="K4270">
        <v>0.103981836635654</v>
      </c>
      <c r="L4270">
        <v>833.21234918817504</v>
      </c>
      <c r="M4270">
        <v>15.4988385275773</v>
      </c>
      <c r="N4270">
        <v>54.1896077291224</v>
      </c>
      <c r="O4270">
        <v>52.888544982169698</v>
      </c>
      <c r="P4270">
        <v>-6.9029413135790904E-2</v>
      </c>
      <c r="Q4270">
        <v>5.7854373148853597E-2</v>
      </c>
      <c r="R4270">
        <v>0.98714569842271105</v>
      </c>
      <c r="S4270" t="s">
        <v>9821</v>
      </c>
      <c r="T4270" t="s">
        <v>11100</v>
      </c>
      <c r="U4270" t="s">
        <v>11100</v>
      </c>
      <c r="V4270" t="s">
        <v>11100</v>
      </c>
      <c r="W4270" t="s">
        <v>15319</v>
      </c>
      <c r="X4270">
        <v>7</v>
      </c>
      <c r="Y4270" t="s">
        <v>20750</v>
      </c>
      <c r="Z4270" t="s">
        <v>26275</v>
      </c>
      <c r="AA4270">
        <v>0.5994446625976565</v>
      </c>
      <c r="AB4270" t="str">
        <f>HYPERLINK("Melting_Curves/meltCurve_Q96ER3_SAAL1.pdf", "Melting_Curves/meltCurve_Q96ER3_SAAL1.pdf")</f>
        <v>Melting_Curves/meltCurve_Q96ER3_SAAL1.pdf</v>
      </c>
    </row>
    <row r="4271" spans="1:28" x14ac:dyDescent="0.25">
      <c r="A4271" t="s">
        <v>4275</v>
      </c>
      <c r="B4271">
        <v>0.99299721793515405</v>
      </c>
      <c r="C4271">
        <v>0.97734439879885004</v>
      </c>
      <c r="D4271">
        <v>0.956650789234195</v>
      </c>
      <c r="E4271">
        <v>0.841363712563028</v>
      </c>
      <c r="F4271">
        <v>0.74887793529502</v>
      </c>
      <c r="G4271">
        <v>0.69093504705391395</v>
      </c>
      <c r="H4271">
        <v>0.60613407817464104</v>
      </c>
      <c r="I4271">
        <v>0.22668997745237299</v>
      </c>
      <c r="J4271">
        <v>0.22489762152329301</v>
      </c>
      <c r="K4271">
        <v>0.20717109624154101</v>
      </c>
      <c r="L4271">
        <v>562.77515830001198</v>
      </c>
      <c r="M4271">
        <v>9.8692904465257101</v>
      </c>
      <c r="N4271">
        <v>57.022876531852503</v>
      </c>
      <c r="O4271">
        <v>54.829748188615497</v>
      </c>
      <c r="P4271">
        <v>-4.5022723150736403E-2</v>
      </c>
      <c r="Q4271">
        <v>0</v>
      </c>
      <c r="R4271">
        <v>0.95916164296257</v>
      </c>
      <c r="S4271" t="s">
        <v>9822</v>
      </c>
      <c r="T4271" t="s">
        <v>11100</v>
      </c>
      <c r="U4271" t="s">
        <v>11100</v>
      </c>
      <c r="V4271" t="s">
        <v>11100</v>
      </c>
      <c r="W4271" t="s">
        <v>15320</v>
      </c>
      <c r="X4271">
        <v>15</v>
      </c>
      <c r="Y4271" t="s">
        <v>20751</v>
      </c>
      <c r="Z4271" t="s">
        <v>26276</v>
      </c>
      <c r="AA4271">
        <v>0.66592997649027597</v>
      </c>
      <c r="AB4271" t="str">
        <f>HYPERLINK("Melting_Curves/meltCurve_Q96ER9_CCDC51.pdf", "Melting_Curves/meltCurve_Q96ER9_CCDC51.pdf")</f>
        <v>Melting_Curves/meltCurve_Q96ER9_CCDC51.pdf</v>
      </c>
    </row>
    <row r="4272" spans="1:28" x14ac:dyDescent="0.25">
      <c r="A4272" t="s">
        <v>4276</v>
      </c>
      <c r="B4272">
        <v>0.99299721793515405</v>
      </c>
      <c r="C4272">
        <v>0.87371395904139704</v>
      </c>
      <c r="D4272">
        <v>1.2298726035779799</v>
      </c>
      <c r="E4272">
        <v>0.83685555267775102</v>
      </c>
      <c r="F4272">
        <v>0.61215028850200504</v>
      </c>
      <c r="G4272">
        <v>0.76987933039228695</v>
      </c>
      <c r="H4272">
        <v>0.46180574889070097</v>
      </c>
      <c r="I4272">
        <v>0.56098874402099597</v>
      </c>
      <c r="J4272">
        <v>0.68537732722908895</v>
      </c>
      <c r="K4272">
        <v>0.37112937592970302</v>
      </c>
      <c r="L4272">
        <v>4157.0118706400399</v>
      </c>
      <c r="M4272">
        <v>88.732029554525695</v>
      </c>
      <c r="O4272">
        <v>46.825288334172001</v>
      </c>
      <c r="P4272">
        <v>-0.200557892201987</v>
      </c>
      <c r="Q4272">
        <v>0.57664992980780405</v>
      </c>
      <c r="R4272">
        <v>0.70698402835378105</v>
      </c>
      <c r="S4272" t="s">
        <v>9823</v>
      </c>
      <c r="T4272" t="s">
        <v>11100</v>
      </c>
      <c r="U4272" t="s">
        <v>11100</v>
      </c>
      <c r="V4272" t="s">
        <v>11100</v>
      </c>
      <c r="W4272" t="s">
        <v>15321</v>
      </c>
      <c r="X4272">
        <v>1</v>
      </c>
      <c r="Y4272" t="s">
        <v>20752</v>
      </c>
      <c r="Z4272" t="s">
        <v>26277</v>
      </c>
      <c r="AA4272">
        <v>0.71591328921148967</v>
      </c>
      <c r="AB4272" t="str">
        <f>HYPERLINK("Melting_Curves/meltCurve_Q96EU6_RRP36.pdf", "Melting_Curves/meltCurve_Q96EU6_RRP36.pdf")</f>
        <v>Melting_Curves/meltCurve_Q96EU6_RRP36.pdf</v>
      </c>
    </row>
    <row r="4273" spans="1:28" x14ac:dyDescent="0.25">
      <c r="A4273" t="s">
        <v>4277</v>
      </c>
      <c r="B4273">
        <v>0.99299721793515405</v>
      </c>
      <c r="C4273">
        <v>0.98977045317377299</v>
      </c>
      <c r="D4273">
        <v>0.93263716660625595</v>
      </c>
      <c r="E4273">
        <v>0.88364678697110899</v>
      </c>
      <c r="F4273">
        <v>0.73701229192654005</v>
      </c>
      <c r="G4273">
        <v>0.50516891990758195</v>
      </c>
      <c r="H4273">
        <v>0.39247043923130398</v>
      </c>
      <c r="I4273">
        <v>0.284336545332109</v>
      </c>
      <c r="J4273">
        <v>0.29285498817816003</v>
      </c>
      <c r="K4273">
        <v>0.23670842316096199</v>
      </c>
      <c r="L4273">
        <v>746.52947380141802</v>
      </c>
      <c r="M4273">
        <v>14.302980459554</v>
      </c>
      <c r="N4273">
        <v>54.327764554492703</v>
      </c>
      <c r="O4273">
        <v>51.205502183252598</v>
      </c>
      <c r="P4273">
        <v>-5.4831260994112799E-2</v>
      </c>
      <c r="Q4273">
        <v>0.21489912675268399</v>
      </c>
      <c r="R4273">
        <v>0.99646558246572803</v>
      </c>
      <c r="S4273" t="s">
        <v>9824</v>
      </c>
      <c r="T4273" t="s">
        <v>11100</v>
      </c>
      <c r="U4273" t="s">
        <v>11100</v>
      </c>
      <c r="V4273" t="s">
        <v>11100</v>
      </c>
      <c r="W4273" t="s">
        <v>15322</v>
      </c>
      <c r="X4273">
        <v>1</v>
      </c>
      <c r="Y4273" t="s">
        <v>20753</v>
      </c>
      <c r="Z4273" t="s">
        <v>26278</v>
      </c>
      <c r="AA4273">
        <v>0.62815438258817535</v>
      </c>
      <c r="AB4273" t="str">
        <f>HYPERLINK("Melting_Curves/meltCurve_Q96EU7_C1GALT1C1.pdf", "Melting_Curves/meltCurve_Q96EU7_C1GALT1C1.pdf")</f>
        <v>Melting_Curves/meltCurve_Q96EU7_C1GALT1C1.pdf</v>
      </c>
    </row>
    <row r="4274" spans="1:28" x14ac:dyDescent="0.25">
      <c r="A4274" t="s">
        <v>4278</v>
      </c>
      <c r="B4274">
        <v>0.99299721793515405</v>
      </c>
      <c r="C4274">
        <v>0.993849387493696</v>
      </c>
      <c r="D4274">
        <v>1.03421687213422</v>
      </c>
      <c r="E4274">
        <v>0.79388440522544701</v>
      </c>
      <c r="F4274">
        <v>0.59978585599632095</v>
      </c>
      <c r="G4274">
        <v>0.42474953410056798</v>
      </c>
      <c r="H4274">
        <v>0.28860068229292102</v>
      </c>
      <c r="I4274">
        <v>0.29375742405371502</v>
      </c>
      <c r="J4274">
        <v>0.30389808278749397</v>
      </c>
      <c r="K4274">
        <v>0.251695824927189</v>
      </c>
      <c r="L4274">
        <v>943.27579565443205</v>
      </c>
      <c r="M4274">
        <v>19.016353651410999</v>
      </c>
      <c r="N4274">
        <v>51.682672928951902</v>
      </c>
      <c r="O4274">
        <v>49.064647940571703</v>
      </c>
      <c r="P4274">
        <v>-7.0992873488463101E-2</v>
      </c>
      <c r="Q4274">
        <v>0.26734628512859598</v>
      </c>
      <c r="R4274">
        <v>0.99027294383928199</v>
      </c>
      <c r="S4274" t="s">
        <v>9825</v>
      </c>
      <c r="T4274" t="s">
        <v>11100</v>
      </c>
      <c r="U4274" t="s">
        <v>11100</v>
      </c>
      <c r="V4274" t="s">
        <v>11100</v>
      </c>
      <c r="W4274" t="s">
        <v>15323</v>
      </c>
      <c r="X4274">
        <v>8</v>
      </c>
      <c r="Y4274" t="s">
        <v>20754</v>
      </c>
      <c r="Z4274" t="s">
        <v>26279</v>
      </c>
      <c r="AA4274">
        <v>0.58569471630029757</v>
      </c>
      <c r="AB4274" t="str">
        <f>HYPERLINK("Melting_Curves/meltCurve_Q96EV2_RBM33.pdf", "Melting_Curves/meltCurve_Q96EV2_RBM33.pdf")</f>
        <v>Melting_Curves/meltCurve_Q96EV2_RBM33.pdf</v>
      </c>
    </row>
    <row r="4275" spans="1:28" x14ac:dyDescent="0.25">
      <c r="A4275" t="s">
        <v>4279</v>
      </c>
      <c r="B4275">
        <v>0.99299721793515405</v>
      </c>
      <c r="C4275">
        <v>1.04299455060385</v>
      </c>
      <c r="D4275">
        <v>0.98784130574046702</v>
      </c>
      <c r="E4275">
        <v>0.95751737953150695</v>
      </c>
      <c r="F4275">
        <v>0.77941114283306101</v>
      </c>
      <c r="G4275">
        <v>0.67499776268246403</v>
      </c>
      <c r="H4275">
        <v>0.55918052646817196</v>
      </c>
      <c r="I4275">
        <v>0.43745859203330301</v>
      </c>
      <c r="J4275">
        <v>0.29544411925281999</v>
      </c>
      <c r="K4275">
        <v>0.15757856048021199</v>
      </c>
      <c r="L4275">
        <v>583.47972802499805</v>
      </c>
      <c r="M4275">
        <v>10.0128174289152</v>
      </c>
      <c r="N4275">
        <v>58.273281454450903</v>
      </c>
      <c r="O4275">
        <v>56.091966287622299</v>
      </c>
      <c r="P4275">
        <v>-4.4648388937590898E-2</v>
      </c>
      <c r="Q4275">
        <v>0</v>
      </c>
      <c r="R4275">
        <v>0.98516204910926097</v>
      </c>
      <c r="S4275" t="s">
        <v>9826</v>
      </c>
      <c r="T4275" t="s">
        <v>11100</v>
      </c>
      <c r="U4275" t="s">
        <v>11100</v>
      </c>
      <c r="V4275" t="s">
        <v>11100</v>
      </c>
      <c r="W4275" t="s">
        <v>15324</v>
      </c>
      <c r="X4275">
        <v>7</v>
      </c>
      <c r="Y4275" t="s">
        <v>20755</v>
      </c>
      <c r="Z4275" t="s">
        <v>26280</v>
      </c>
      <c r="AA4275">
        <v>0.69832306936947397</v>
      </c>
      <c r="AB4275" t="str">
        <f>HYPERLINK("Melting_Curves/meltCurve_Q96EV8_DTNBP1.pdf", "Melting_Curves/meltCurve_Q96EV8_DTNBP1.pdf")</f>
        <v>Melting_Curves/meltCurve_Q96EV8_DTNBP1.pdf</v>
      </c>
    </row>
    <row r="4276" spans="1:28" x14ac:dyDescent="0.25">
      <c r="A4276" t="s">
        <v>4280</v>
      </c>
      <c r="B4276">
        <v>0.99299721793515405</v>
      </c>
      <c r="C4276">
        <v>1.0150751915582801</v>
      </c>
      <c r="D4276">
        <v>0.85713535505097305</v>
      </c>
      <c r="E4276">
        <v>0.85290241910034004</v>
      </c>
      <c r="F4276">
        <v>0.74182992399046499</v>
      </c>
      <c r="G4276">
        <v>0.43778324291246901</v>
      </c>
      <c r="H4276">
        <v>0.35689664523906001</v>
      </c>
      <c r="I4276">
        <v>0.24158872746877699</v>
      </c>
      <c r="J4276">
        <v>0.19536724498150301</v>
      </c>
      <c r="K4276">
        <v>0.18952201123166801</v>
      </c>
      <c r="L4276">
        <v>651.35420777160402</v>
      </c>
      <c r="M4276">
        <v>12.420583570794101</v>
      </c>
      <c r="N4276">
        <v>53.611282811813901</v>
      </c>
      <c r="O4276">
        <v>51.137769912233303</v>
      </c>
      <c r="P4276">
        <v>-5.3525121783454303E-2</v>
      </c>
      <c r="Q4276">
        <v>0.11869578178679099</v>
      </c>
      <c r="R4276">
        <v>0.98401109016161803</v>
      </c>
      <c r="S4276" t="s">
        <v>9827</v>
      </c>
      <c r="T4276" t="s">
        <v>11100</v>
      </c>
      <c r="U4276" t="s">
        <v>11100</v>
      </c>
      <c r="V4276" t="s">
        <v>11100</v>
      </c>
      <c r="W4276" t="s">
        <v>15325</v>
      </c>
      <c r="X4276">
        <v>3</v>
      </c>
      <c r="Y4276" t="s">
        <v>20756</v>
      </c>
      <c r="Z4276" t="s">
        <v>26281</v>
      </c>
      <c r="AA4276">
        <v>0.59177970387353862</v>
      </c>
      <c r="AB4276" t="str">
        <f>HYPERLINK("Melting_Curves/meltCurve_Q96EX3_WDR34.pdf", "Melting_Curves/meltCurve_Q96EX3_WDR34.pdf")</f>
        <v>Melting_Curves/meltCurve_Q96EX3_WDR34.pdf</v>
      </c>
    </row>
    <row r="4277" spans="1:28" x14ac:dyDescent="0.25">
      <c r="A4277" t="s">
        <v>4281</v>
      </c>
      <c r="B4277">
        <v>0.99299721793515405</v>
      </c>
      <c r="C4277">
        <v>1.1374325262475</v>
      </c>
      <c r="D4277">
        <v>0.85445916497797303</v>
      </c>
      <c r="E4277">
        <v>0.89297442622964995</v>
      </c>
      <c r="F4277">
        <v>0.78125526769278697</v>
      </c>
      <c r="G4277">
        <v>0.488565152421295</v>
      </c>
      <c r="H4277">
        <v>0.49098239395898302</v>
      </c>
      <c r="I4277">
        <v>0.39984740398862001</v>
      </c>
      <c r="J4277">
        <v>0.34914541707257402</v>
      </c>
      <c r="K4277">
        <v>0.29923476400208099</v>
      </c>
      <c r="L4277">
        <v>705.94352990132904</v>
      </c>
      <c r="M4277">
        <v>13.570644924617101</v>
      </c>
      <c r="N4277">
        <v>55.648408755591603</v>
      </c>
      <c r="O4277">
        <v>50.9292930161821</v>
      </c>
      <c r="P4277">
        <v>-4.7062968809840899E-2</v>
      </c>
      <c r="Q4277">
        <v>0.29361481752350899</v>
      </c>
      <c r="R4277">
        <v>0.94275957983194503</v>
      </c>
      <c r="S4277" t="s">
        <v>9828</v>
      </c>
      <c r="T4277" t="s">
        <v>11100</v>
      </c>
      <c r="U4277" t="s">
        <v>11100</v>
      </c>
      <c r="V4277" t="s">
        <v>11100</v>
      </c>
      <c r="W4277" t="s">
        <v>15326</v>
      </c>
      <c r="X4277">
        <v>1</v>
      </c>
      <c r="Y4277" t="s">
        <v>20757</v>
      </c>
      <c r="Z4277" t="s">
        <v>26282</v>
      </c>
      <c r="AA4277">
        <v>0.6622994195423928</v>
      </c>
      <c r="AB4277" t="str">
        <f>HYPERLINK("Melting_Curves/meltCurve_Q96EY1_DNAJA3.pdf", "Melting_Curves/meltCurve_Q96EY1_DNAJA3.pdf")</f>
        <v>Melting_Curves/meltCurve_Q96EY1_DNAJA3.pdf</v>
      </c>
    </row>
    <row r="4278" spans="1:28" x14ac:dyDescent="0.25">
      <c r="A4278" t="s">
        <v>4282</v>
      </c>
      <c r="B4278">
        <v>0.99299721793515405</v>
      </c>
      <c r="C4278">
        <v>1.04142067113833</v>
      </c>
      <c r="D4278">
        <v>0.90575993696770496</v>
      </c>
      <c r="E4278">
        <v>0.96208474130740296</v>
      </c>
      <c r="F4278">
        <v>0.706240792144878</v>
      </c>
      <c r="G4278">
        <v>0.232320636933457</v>
      </c>
      <c r="H4278">
        <v>0.179785518500651</v>
      </c>
      <c r="I4278">
        <v>0.139926379749574</v>
      </c>
      <c r="J4278">
        <v>0.112876228477514</v>
      </c>
      <c r="K4278">
        <v>6.0414590231390099E-2</v>
      </c>
      <c r="L4278">
        <v>1742.59353898012</v>
      </c>
      <c r="M4278">
        <v>34.056196053026802</v>
      </c>
      <c r="N4278">
        <v>51.554339725580498</v>
      </c>
      <c r="O4278">
        <v>50.992722161831203</v>
      </c>
      <c r="P4278">
        <v>-0.14816941030845501</v>
      </c>
      <c r="Q4278">
        <v>0.11258071861664801</v>
      </c>
      <c r="R4278">
        <v>0.98970582158439402</v>
      </c>
      <c r="S4278" t="s">
        <v>9829</v>
      </c>
      <c r="T4278" t="s">
        <v>11100</v>
      </c>
      <c r="U4278" t="s">
        <v>11100</v>
      </c>
      <c r="V4278" t="s">
        <v>11100</v>
      </c>
      <c r="W4278" t="s">
        <v>15327</v>
      </c>
      <c r="X4278">
        <v>6</v>
      </c>
      <c r="Y4278" t="s">
        <v>20758</v>
      </c>
      <c r="Z4278" t="s">
        <v>26283</v>
      </c>
      <c r="AA4278">
        <v>0.53600402451332008</v>
      </c>
      <c r="AB4278" t="str">
        <f>HYPERLINK("Melting_Curves/meltCurve_Q96EY5_MVB12A.pdf", "Melting_Curves/meltCurve_Q96EY5_MVB12A.pdf")</f>
        <v>Melting_Curves/meltCurve_Q96EY5_MVB12A.pdf</v>
      </c>
    </row>
    <row r="4279" spans="1:28" x14ac:dyDescent="0.25">
      <c r="A4279" t="s">
        <v>4283</v>
      </c>
      <c r="B4279">
        <v>0.99299721793515405</v>
      </c>
      <c r="C4279">
        <v>1.0248630689878899</v>
      </c>
      <c r="D4279">
        <v>0.95179755022278001</v>
      </c>
      <c r="E4279">
        <v>0.88579953711102699</v>
      </c>
      <c r="F4279">
        <v>0.76473879323376104</v>
      </c>
      <c r="G4279">
        <v>0.534295663016363</v>
      </c>
      <c r="H4279">
        <v>0.562004032485099</v>
      </c>
      <c r="I4279">
        <v>0.566633380302903</v>
      </c>
      <c r="J4279">
        <v>0.50267539937782402</v>
      </c>
      <c r="K4279">
        <v>0.33568584238985399</v>
      </c>
      <c r="L4279">
        <v>672.609762056656</v>
      </c>
      <c r="M4279">
        <v>13.145623517168</v>
      </c>
      <c r="N4279">
        <v>59.312902799780097</v>
      </c>
      <c r="O4279">
        <v>50.025463167914999</v>
      </c>
      <c r="P4279">
        <v>-3.8253125558154598E-2</v>
      </c>
      <c r="Q4279">
        <v>0.41781182170894099</v>
      </c>
      <c r="R4279">
        <v>0.94093992418839201</v>
      </c>
      <c r="S4279" t="s">
        <v>9830</v>
      </c>
      <c r="T4279" t="s">
        <v>11100</v>
      </c>
      <c r="U4279" t="s">
        <v>11100</v>
      </c>
      <c r="V4279" t="s">
        <v>11100</v>
      </c>
      <c r="W4279" t="s">
        <v>15328</v>
      </c>
      <c r="X4279">
        <v>10</v>
      </c>
      <c r="Y4279" t="s">
        <v>20759</v>
      </c>
      <c r="Z4279" t="s">
        <v>26284</v>
      </c>
      <c r="AA4279">
        <v>0.70633511690531525</v>
      </c>
      <c r="AB4279" t="str">
        <f>HYPERLINK("Melting_Curves/meltCurve_Q96EY8_MMAB.pdf", "Melting_Curves/meltCurve_Q96EY8_MMAB.pdf")</f>
        <v>Melting_Curves/meltCurve_Q96EY8_MMAB.pdf</v>
      </c>
    </row>
    <row r="4280" spans="1:28" x14ac:dyDescent="0.25">
      <c r="A4280" t="s">
        <v>4284</v>
      </c>
      <c r="B4280">
        <v>0.99299721793515405</v>
      </c>
      <c r="C4280">
        <v>0.96886387909080496</v>
      </c>
      <c r="D4280">
        <v>0.95705449021119204</v>
      </c>
      <c r="E4280">
        <v>0.91293633215542502</v>
      </c>
      <c r="F4280">
        <v>0.811273776664451</v>
      </c>
      <c r="G4280">
        <v>0.60162420487054802</v>
      </c>
      <c r="H4280">
        <v>0.44992202095662298</v>
      </c>
      <c r="I4280">
        <v>0.47583535039380498</v>
      </c>
      <c r="J4280">
        <v>0.32990228435212998</v>
      </c>
      <c r="K4280">
        <v>0.131773274438479</v>
      </c>
      <c r="L4280">
        <v>517.181305064252</v>
      </c>
      <c r="M4280">
        <v>8.9942488294022809</v>
      </c>
      <c r="N4280">
        <v>57.501322424450798</v>
      </c>
      <c r="O4280">
        <v>54.872259683819799</v>
      </c>
      <c r="P4280">
        <v>-4.1007972404745699E-2</v>
      </c>
      <c r="Q4280">
        <v>0</v>
      </c>
      <c r="R4280">
        <v>0.96884092006032496</v>
      </c>
      <c r="S4280" t="s">
        <v>9831</v>
      </c>
      <c r="T4280" t="s">
        <v>11100</v>
      </c>
      <c r="U4280" t="s">
        <v>11100</v>
      </c>
      <c r="V4280" t="s">
        <v>11100</v>
      </c>
      <c r="W4280" t="s">
        <v>15329</v>
      </c>
      <c r="X4280">
        <v>4</v>
      </c>
      <c r="Y4280" t="s">
        <v>20760</v>
      </c>
      <c r="Z4280" t="s">
        <v>26285</v>
      </c>
      <c r="AA4280">
        <v>0.67390359020810908</v>
      </c>
      <c r="AB4280" t="str">
        <f>HYPERLINK("Melting_Curves/meltCurve_Q96EY9_ADAT3.pdf", "Melting_Curves/meltCurve_Q96EY9_ADAT3.pdf")</f>
        <v>Melting_Curves/meltCurve_Q96EY9_ADAT3.pdf</v>
      </c>
    </row>
    <row r="4281" spans="1:28" x14ac:dyDescent="0.25">
      <c r="A4281" t="s">
        <v>4285</v>
      </c>
      <c r="B4281">
        <v>0.99299721793515405</v>
      </c>
      <c r="C4281">
        <v>0.92800437871218699</v>
      </c>
      <c r="D4281">
        <v>0.92608505608984504</v>
      </c>
      <c r="E4281">
        <v>0.85691534967004601</v>
      </c>
      <c r="F4281">
        <v>0.68227239570037701</v>
      </c>
      <c r="G4281">
        <v>0.50512255220032098</v>
      </c>
      <c r="H4281">
        <v>0.39028640081228</v>
      </c>
      <c r="I4281">
        <v>0.307257613841661</v>
      </c>
      <c r="J4281">
        <v>0.23993072280560801</v>
      </c>
      <c r="K4281">
        <v>0.17082823919675799</v>
      </c>
      <c r="L4281">
        <v>525.88964768605695</v>
      </c>
      <c r="M4281">
        <v>9.8148088604531907</v>
      </c>
      <c r="N4281">
        <v>54.471350514292503</v>
      </c>
      <c r="O4281">
        <v>51.499011053557297</v>
      </c>
      <c r="P4281">
        <v>-4.4138551584232598E-2</v>
      </c>
      <c r="Q4281">
        <v>7.40910048387107E-2</v>
      </c>
      <c r="R4281">
        <v>0.99566931513773904</v>
      </c>
      <c r="S4281" t="s">
        <v>9832</v>
      </c>
      <c r="T4281" t="s">
        <v>11100</v>
      </c>
      <c r="U4281" t="s">
        <v>11100</v>
      </c>
      <c r="V4281" t="s">
        <v>11100</v>
      </c>
      <c r="W4281" t="s">
        <v>15330</v>
      </c>
      <c r="X4281">
        <v>6</v>
      </c>
      <c r="Y4281" t="s">
        <v>20761</v>
      </c>
      <c r="Z4281" t="s">
        <v>26286</v>
      </c>
      <c r="AA4281">
        <v>0.60400711892754944</v>
      </c>
      <c r="AB4281" t="str">
        <f>HYPERLINK("Melting_Curves/meltCurve_Q96F10_SAT2.pdf", "Melting_Curves/meltCurve_Q96F10_SAT2.pdf")</f>
        <v>Melting_Curves/meltCurve_Q96F10_SAT2.pdf</v>
      </c>
    </row>
    <row r="4282" spans="1:28" x14ac:dyDescent="0.25">
      <c r="A4282" t="s">
        <v>4286</v>
      </c>
      <c r="B4282">
        <v>0.99299721793515405</v>
      </c>
      <c r="C4282">
        <v>0.95693677996017301</v>
      </c>
      <c r="D4282">
        <v>1.1054395780191899</v>
      </c>
      <c r="E4282">
        <v>1.0269146617799201</v>
      </c>
      <c r="F4282">
        <v>0.85748998909799201</v>
      </c>
      <c r="G4282">
        <v>0.85149680219229995</v>
      </c>
      <c r="H4282">
        <v>0.57160116002487305</v>
      </c>
      <c r="I4282">
        <v>0.55500529861537395</v>
      </c>
      <c r="J4282">
        <v>0.50362043536221301</v>
      </c>
      <c r="K4282">
        <v>0.37745533870104903</v>
      </c>
      <c r="L4282">
        <v>902.07811929183003</v>
      </c>
      <c r="M4282">
        <v>16.066015777310799</v>
      </c>
      <c r="N4282">
        <v>61.723717707513003</v>
      </c>
      <c r="O4282">
        <v>55.299915846082598</v>
      </c>
      <c r="P4282">
        <v>-4.4827090200649303E-2</v>
      </c>
      <c r="Q4282">
        <v>0.38286050367496199</v>
      </c>
      <c r="R4282">
        <v>0.94265073423448897</v>
      </c>
      <c r="S4282" t="s">
        <v>9833</v>
      </c>
      <c r="T4282" t="s">
        <v>11100</v>
      </c>
      <c r="U4282" t="s">
        <v>11100</v>
      </c>
      <c r="V4282" t="s">
        <v>11100</v>
      </c>
      <c r="W4282" t="s">
        <v>15331</v>
      </c>
      <c r="X4282">
        <v>2</v>
      </c>
      <c r="Y4282" t="s">
        <v>20762</v>
      </c>
      <c r="Z4282" t="s">
        <v>26287</v>
      </c>
      <c r="AA4282">
        <v>0.78360513588010561</v>
      </c>
      <c r="AB4282" t="str">
        <f>HYPERLINK("Melting_Curves/meltCurve_Q96F24_2_NRBF2.pdf", "Melting_Curves/meltCurve_Q96F24_2_NRBF2.pdf")</f>
        <v>Melting_Curves/meltCurve_Q96F24_2_NRBF2.pdf</v>
      </c>
    </row>
    <row r="4283" spans="1:28" x14ac:dyDescent="0.25">
      <c r="A4283" t="s">
        <v>4287</v>
      </c>
      <c r="B4283">
        <v>0.99299721793515405</v>
      </c>
      <c r="C4283">
        <v>1.0444877103960499</v>
      </c>
      <c r="D4283">
        <v>0.89418558133679604</v>
      </c>
      <c r="E4283">
        <v>0.84087192053369997</v>
      </c>
      <c r="F4283">
        <v>0.58828082134379001</v>
      </c>
      <c r="G4283">
        <v>0.44922744070908599</v>
      </c>
      <c r="H4283">
        <v>0.26646515725675102</v>
      </c>
      <c r="I4283">
        <v>0.25405603993419801</v>
      </c>
      <c r="J4283">
        <v>0.30868017632646599</v>
      </c>
      <c r="K4283">
        <v>0.22771929039995101</v>
      </c>
      <c r="L4283">
        <v>818.65405215051101</v>
      </c>
      <c r="M4283">
        <v>16.387051662543801</v>
      </c>
      <c r="N4283">
        <v>51.946997875958402</v>
      </c>
      <c r="O4283">
        <v>49.231188843868701</v>
      </c>
      <c r="P4283">
        <v>-6.3824034632241303E-2</v>
      </c>
      <c r="Q4283">
        <v>0.23307527733397801</v>
      </c>
      <c r="R4283">
        <v>0.98551073355681695</v>
      </c>
      <c r="S4283" t="s">
        <v>9834</v>
      </c>
      <c r="T4283" t="s">
        <v>11100</v>
      </c>
      <c r="U4283" t="s">
        <v>11100</v>
      </c>
      <c r="V4283" t="s">
        <v>11100</v>
      </c>
      <c r="W4283" t="s">
        <v>15332</v>
      </c>
      <c r="X4283">
        <v>5</v>
      </c>
      <c r="Y4283" t="s">
        <v>20763</v>
      </c>
      <c r="Z4283" t="s">
        <v>26288</v>
      </c>
      <c r="AA4283">
        <v>0.57837405900277572</v>
      </c>
      <c r="AB4283" t="str">
        <f>HYPERLINK("Melting_Curves/meltCurve_Q96F44_3_TRIM11.pdf", "Melting_Curves/meltCurve_Q96F44_3_TRIM11.pdf")</f>
        <v>Melting_Curves/meltCurve_Q96F44_3_TRIM11.pdf</v>
      </c>
    </row>
    <row r="4284" spans="1:28" x14ac:dyDescent="0.25">
      <c r="A4284" t="s">
        <v>4288</v>
      </c>
      <c r="B4284">
        <v>0.99299721793515405</v>
      </c>
      <c r="C4284">
        <v>0.95993969663521095</v>
      </c>
      <c r="D4284">
        <v>1.0255883307338101</v>
      </c>
      <c r="E4284">
        <v>0.86254956532698901</v>
      </c>
      <c r="F4284">
        <v>0.78422745748125799</v>
      </c>
      <c r="G4284">
        <v>0.52692638689678395</v>
      </c>
      <c r="H4284">
        <v>0.46824121240676198</v>
      </c>
      <c r="I4284">
        <v>0.497119809182688</v>
      </c>
      <c r="J4284">
        <v>0.56867309815843503</v>
      </c>
      <c r="K4284">
        <v>0.44824382248174399</v>
      </c>
      <c r="L4284">
        <v>1172.75149187118</v>
      </c>
      <c r="M4284">
        <v>23.453692934008799</v>
      </c>
      <c r="N4284">
        <v>58.550779278977998</v>
      </c>
      <c r="O4284">
        <v>49.643589283368001</v>
      </c>
      <c r="P4284">
        <v>-6.0980286921867501E-2</v>
      </c>
      <c r="Q4284">
        <v>0.48370981423242199</v>
      </c>
      <c r="R4284">
        <v>0.95871750597048799</v>
      </c>
      <c r="S4284" t="s">
        <v>9835</v>
      </c>
      <c r="T4284" t="s">
        <v>11100</v>
      </c>
      <c r="U4284" t="s">
        <v>11100</v>
      </c>
      <c r="V4284" t="s">
        <v>11100</v>
      </c>
      <c r="W4284" t="s">
        <v>15333</v>
      </c>
      <c r="X4284">
        <v>6</v>
      </c>
      <c r="Y4284" t="s">
        <v>20764</v>
      </c>
      <c r="Z4284" t="s">
        <v>26289</v>
      </c>
      <c r="AA4284">
        <v>0.71257823902388773</v>
      </c>
      <c r="AB4284" t="str">
        <f>HYPERLINK("Melting_Curves/meltCurve_Q96F45_ZNF503.pdf", "Melting_Curves/meltCurve_Q96F45_ZNF503.pdf")</f>
        <v>Melting_Curves/meltCurve_Q96F45_ZNF503.pdf</v>
      </c>
    </row>
    <row r="4285" spans="1:28" x14ac:dyDescent="0.25">
      <c r="A4285" t="s">
        <v>4289</v>
      </c>
      <c r="B4285">
        <v>0.99299721793515405</v>
      </c>
      <c r="C4285">
        <v>1.0403417829986401</v>
      </c>
      <c r="D4285">
        <v>0.88306591672763202</v>
      </c>
      <c r="E4285">
        <v>0.97391326417874402</v>
      </c>
      <c r="F4285">
        <v>0.75344590513141596</v>
      </c>
      <c r="G4285">
        <v>0.638350686137928</v>
      </c>
      <c r="H4285">
        <v>0.70411135803318903</v>
      </c>
      <c r="I4285">
        <v>0.50967184215956696</v>
      </c>
      <c r="J4285">
        <v>0.41030475985419701</v>
      </c>
      <c r="K4285">
        <v>0.29462966672100199</v>
      </c>
      <c r="L4285">
        <v>432.06376305854502</v>
      </c>
      <c r="M4285">
        <v>7.1140594145586897</v>
      </c>
      <c r="N4285">
        <v>60.733785483606297</v>
      </c>
      <c r="O4285">
        <v>56.483315080668199</v>
      </c>
      <c r="P4285">
        <v>-3.1542452635261502E-2</v>
      </c>
      <c r="Q4285">
        <v>0</v>
      </c>
      <c r="R4285">
        <v>0.93790526306691502</v>
      </c>
      <c r="S4285" t="s">
        <v>9836</v>
      </c>
      <c r="T4285" t="s">
        <v>11100</v>
      </c>
      <c r="U4285" t="s">
        <v>11100</v>
      </c>
      <c r="V4285" t="s">
        <v>11100</v>
      </c>
      <c r="W4285" t="s">
        <v>15334</v>
      </c>
      <c r="X4285">
        <v>1</v>
      </c>
      <c r="Y4285" t="s">
        <v>20765</v>
      </c>
      <c r="Z4285" t="s">
        <v>26290</v>
      </c>
      <c r="AA4285">
        <v>0.72778475994114089</v>
      </c>
      <c r="AB4285" t="str">
        <f>HYPERLINK("Melting_Curves/meltCurve_Q96F46_IL17RA.pdf", "Melting_Curves/meltCurve_Q96F46_IL17RA.pdf")</f>
        <v>Melting_Curves/meltCurve_Q96F46_IL17RA.pdf</v>
      </c>
    </row>
    <row r="4286" spans="1:28" x14ac:dyDescent="0.25">
      <c r="A4286" t="s">
        <v>4290</v>
      </c>
      <c r="B4286">
        <v>0.99299721793515405</v>
      </c>
      <c r="C4286">
        <v>0.91014089049425695</v>
      </c>
      <c r="D4286">
        <v>1.1139034388142799</v>
      </c>
      <c r="E4286">
        <v>0.77961519937867896</v>
      </c>
      <c r="F4286">
        <v>0.63255050057974904</v>
      </c>
      <c r="G4286">
        <v>0.53450807676724799</v>
      </c>
      <c r="H4286">
        <v>0.47871674975296002</v>
      </c>
      <c r="I4286">
        <v>0.80588133058937494</v>
      </c>
      <c r="J4286">
        <v>0.78149398048445096</v>
      </c>
      <c r="K4286">
        <v>0.72463463962322505</v>
      </c>
      <c r="L4286">
        <v>11621.666545488401</v>
      </c>
      <c r="M4286">
        <v>250</v>
      </c>
      <c r="O4286">
        <v>46.483689176208898</v>
      </c>
      <c r="P4286">
        <v>-0.45764588527223399</v>
      </c>
      <c r="Q4286">
        <v>0.65963087917627194</v>
      </c>
      <c r="R4286">
        <v>0.68386080776162195</v>
      </c>
      <c r="S4286" t="s">
        <v>9837</v>
      </c>
      <c r="T4286" t="s">
        <v>11100</v>
      </c>
      <c r="U4286" t="s">
        <v>11100</v>
      </c>
      <c r="V4286" t="s">
        <v>11100</v>
      </c>
      <c r="W4286" t="s">
        <v>15335</v>
      </c>
      <c r="X4286">
        <v>4</v>
      </c>
      <c r="Y4286" t="s">
        <v>20766</v>
      </c>
      <c r="Z4286" t="s">
        <v>26291</v>
      </c>
      <c r="AA4286">
        <v>0.76729092190144399</v>
      </c>
      <c r="AB4286" t="str">
        <f>HYPERLINK("Melting_Curves/meltCurve_Q96F63_CCDC97.pdf", "Melting_Curves/meltCurve_Q96F63_CCDC97.pdf")</f>
        <v>Melting_Curves/meltCurve_Q96F63_CCDC97.pdf</v>
      </c>
    </row>
    <row r="4287" spans="1:28" x14ac:dyDescent="0.25">
      <c r="A4287" t="s">
        <v>4291</v>
      </c>
      <c r="B4287">
        <v>0.99299721793515405</v>
      </c>
      <c r="C4287">
        <v>0.94917369068758595</v>
      </c>
      <c r="D4287">
        <v>1.1466525283158</v>
      </c>
      <c r="E4287">
        <v>0.72563620263498196</v>
      </c>
      <c r="F4287">
        <v>0.62336895711724105</v>
      </c>
      <c r="G4287">
        <v>0.31019943460983801</v>
      </c>
      <c r="H4287">
        <v>0.20470640528141401</v>
      </c>
      <c r="I4287">
        <v>0.254667643168902</v>
      </c>
      <c r="J4287">
        <v>0.34238617098136098</v>
      </c>
      <c r="K4287">
        <v>0.29119654603279299</v>
      </c>
      <c r="L4287">
        <v>1147.8238217661899</v>
      </c>
      <c r="M4287">
        <v>23.3870248099864</v>
      </c>
      <c r="N4287">
        <v>50.716639536226602</v>
      </c>
      <c r="O4287">
        <v>48.724878135917301</v>
      </c>
      <c r="P4287">
        <v>-8.8200441484006104E-2</v>
      </c>
      <c r="Q4287">
        <v>0.26498008338617501</v>
      </c>
      <c r="R4287">
        <v>0.94019317838682803</v>
      </c>
      <c r="S4287" t="s">
        <v>9838</v>
      </c>
      <c r="T4287" t="s">
        <v>11100</v>
      </c>
      <c r="U4287" t="s">
        <v>11100</v>
      </c>
      <c r="V4287" t="s">
        <v>11100</v>
      </c>
      <c r="W4287" t="s">
        <v>15336</v>
      </c>
      <c r="X4287">
        <v>6</v>
      </c>
      <c r="Y4287" t="s">
        <v>20767</v>
      </c>
      <c r="Z4287" t="s">
        <v>26292</v>
      </c>
      <c r="AA4287">
        <v>0.56816642095207037</v>
      </c>
      <c r="AB4287" t="str">
        <f>HYPERLINK("Melting_Curves/meltCurve_Q96F86_EDC3.pdf", "Melting_Curves/meltCurve_Q96F86_EDC3.pdf")</f>
        <v>Melting_Curves/meltCurve_Q96F86_EDC3.pdf</v>
      </c>
    </row>
    <row r="4288" spans="1:28" x14ac:dyDescent="0.25">
      <c r="A4288" t="s">
        <v>4292</v>
      </c>
      <c r="B4288">
        <v>0.99299721793515405</v>
      </c>
      <c r="C4288">
        <v>0.99160553931595696</v>
      </c>
      <c r="D4288">
        <v>0.93856141848783003</v>
      </c>
      <c r="E4288">
        <v>0.77789791752677395</v>
      </c>
      <c r="F4288">
        <v>0.59441901139276698</v>
      </c>
      <c r="G4288">
        <v>0.31671941823929201</v>
      </c>
      <c r="H4288">
        <v>0.29498325832220901</v>
      </c>
      <c r="I4288">
        <v>0.244422308869712</v>
      </c>
      <c r="J4288">
        <v>0.20588769771465901</v>
      </c>
      <c r="K4288">
        <v>0.197377356613751</v>
      </c>
      <c r="L4288">
        <v>822.98695028214195</v>
      </c>
      <c r="M4288">
        <v>16.591989582724501</v>
      </c>
      <c r="N4288">
        <v>51.113967646047001</v>
      </c>
      <c r="O4288">
        <v>48.897727700781502</v>
      </c>
      <c r="P4288">
        <v>-6.8379020644128805E-2</v>
      </c>
      <c r="Q4288">
        <v>0.19398404558106799</v>
      </c>
      <c r="R4288">
        <v>0.99505890981686396</v>
      </c>
      <c r="S4288" t="s">
        <v>9839</v>
      </c>
      <c r="T4288" t="s">
        <v>11100</v>
      </c>
      <c r="U4288" t="s">
        <v>11100</v>
      </c>
      <c r="V4288" t="s">
        <v>11100</v>
      </c>
      <c r="W4288" t="s">
        <v>15337</v>
      </c>
      <c r="X4288">
        <v>6</v>
      </c>
      <c r="Y4288" t="s">
        <v>20768</v>
      </c>
      <c r="Z4288" t="s">
        <v>26293</v>
      </c>
      <c r="AA4288">
        <v>0.54713463654663674</v>
      </c>
      <c r="AB4288" t="str">
        <f>HYPERLINK("Melting_Curves/meltCurve_Q96FC9_4_DDX11.pdf", "Melting_Curves/meltCurve_Q96FC9_4_DDX11.pdf")</f>
        <v>Melting_Curves/meltCurve_Q96FC9_4_DDX11.pdf</v>
      </c>
    </row>
    <row r="4289" spans="1:28" x14ac:dyDescent="0.25">
      <c r="A4289" t="s">
        <v>4293</v>
      </c>
      <c r="B4289">
        <v>0.99299721793515405</v>
      </c>
      <c r="C4289">
        <v>1.1412766235775</v>
      </c>
      <c r="D4289">
        <v>1.1074773048520199</v>
      </c>
      <c r="E4289">
        <v>1.0602133546827299</v>
      </c>
      <c r="F4289">
        <v>0.82272315867647305</v>
      </c>
      <c r="G4289">
        <v>0.85358395391470898</v>
      </c>
      <c r="H4289">
        <v>0.64704706296667602</v>
      </c>
      <c r="I4289">
        <v>0.558492502755637</v>
      </c>
      <c r="J4289">
        <v>0.44798683012986601</v>
      </c>
      <c r="K4289">
        <v>0.27189722065282501</v>
      </c>
      <c r="L4289">
        <v>654.651174173664</v>
      </c>
      <c r="M4289">
        <v>10.5935021691228</v>
      </c>
      <c r="N4289">
        <v>61.797451555234097</v>
      </c>
      <c r="O4289">
        <v>59.717252364895003</v>
      </c>
      <c r="P4289">
        <v>-4.4365876724936797E-2</v>
      </c>
      <c r="Q4289">
        <v>0</v>
      </c>
      <c r="R4289">
        <v>0.92715605080774199</v>
      </c>
      <c r="S4289" t="s">
        <v>9840</v>
      </c>
      <c r="T4289" t="s">
        <v>11100</v>
      </c>
      <c r="U4289" t="s">
        <v>11100</v>
      </c>
      <c r="V4289" t="s">
        <v>11100</v>
      </c>
      <c r="W4289" t="s">
        <v>15338</v>
      </c>
      <c r="X4289">
        <v>2</v>
      </c>
      <c r="Y4289" t="s">
        <v>20769</v>
      </c>
      <c r="Z4289" t="s">
        <v>26294</v>
      </c>
      <c r="AA4289">
        <v>0.78412373243070543</v>
      </c>
      <c r="AB4289" t="str">
        <f>HYPERLINK("Melting_Curves/meltCurve_Q96FH0_2_MEF2BNB.pdf", "Melting_Curves/meltCurve_Q96FH0_2_MEF2BNB.pdf")</f>
        <v>Melting_Curves/meltCurve_Q96FH0_2_MEF2BNB.pdf</v>
      </c>
    </row>
    <row r="4290" spans="1:28" x14ac:dyDescent="0.25">
      <c r="A4290" t="s">
        <v>4294</v>
      </c>
      <c r="B4290">
        <v>0.99299721793515405</v>
      </c>
      <c r="C4290">
        <v>0.96515790799444801</v>
      </c>
      <c r="D4290">
        <v>0.87777076816597999</v>
      </c>
      <c r="E4290">
        <v>0.72718051266968498</v>
      </c>
      <c r="F4290">
        <v>0.65033993231096199</v>
      </c>
      <c r="G4290">
        <v>0.46676704002356401</v>
      </c>
      <c r="H4290">
        <v>0.279634618848769</v>
      </c>
      <c r="I4290">
        <v>0.253764765801963</v>
      </c>
      <c r="J4290">
        <v>0.27343617220141497</v>
      </c>
      <c r="K4290">
        <v>0.177040965958427</v>
      </c>
      <c r="L4290">
        <v>525.30856101821098</v>
      </c>
      <c r="M4290">
        <v>10.283400398189899</v>
      </c>
      <c r="N4290">
        <v>52.547709359587898</v>
      </c>
      <c r="O4290">
        <v>49.264506822602698</v>
      </c>
      <c r="P4290">
        <v>-4.5702489444891199E-2</v>
      </c>
      <c r="Q4290">
        <v>0.124598114857587</v>
      </c>
      <c r="R4290">
        <v>0.98799411692240202</v>
      </c>
      <c r="S4290" t="s">
        <v>9841</v>
      </c>
      <c r="T4290" t="s">
        <v>11100</v>
      </c>
      <c r="U4290" t="s">
        <v>11100</v>
      </c>
      <c r="V4290" t="s">
        <v>11100</v>
      </c>
      <c r="W4290" t="s">
        <v>15339</v>
      </c>
      <c r="X4290">
        <v>1</v>
      </c>
      <c r="Y4290" t="s">
        <v>20770</v>
      </c>
      <c r="Z4290" t="s">
        <v>26295</v>
      </c>
      <c r="AA4290">
        <v>0.56142182854863565</v>
      </c>
      <c r="AB4290" t="str">
        <f>HYPERLINK("Melting_Curves/meltCurve_Q96FJ0_STAMBPL1.pdf", "Melting_Curves/meltCurve_Q96FJ0_STAMBPL1.pdf")</f>
        <v>Melting_Curves/meltCurve_Q96FJ0_STAMBPL1.pdf</v>
      </c>
    </row>
    <row r="4291" spans="1:28" x14ac:dyDescent="0.25">
      <c r="A4291" t="s">
        <v>4295</v>
      </c>
      <c r="B4291">
        <v>0.99299721793515405</v>
      </c>
      <c r="C4291">
        <v>0.95118526708898199</v>
      </c>
      <c r="D4291">
        <v>0.95389312656303404</v>
      </c>
      <c r="E4291">
        <v>0.86941546642811895</v>
      </c>
      <c r="F4291">
        <v>1.9003473789021199</v>
      </c>
      <c r="G4291">
        <v>2.1962854481391898</v>
      </c>
      <c r="H4291">
        <v>2.12317790403449</v>
      </c>
      <c r="I4291">
        <v>1.4141178102699701</v>
      </c>
      <c r="J4291">
        <v>0.308849262750307</v>
      </c>
      <c r="K4291">
        <v>0.13495147660564799</v>
      </c>
      <c r="L4291">
        <v>15000</v>
      </c>
      <c r="M4291">
        <v>235.38843980678701</v>
      </c>
      <c r="N4291">
        <v>63.809694432683301</v>
      </c>
      <c r="O4291">
        <v>63.719855043169503</v>
      </c>
      <c r="P4291">
        <v>-0.79894637838432903</v>
      </c>
      <c r="Q4291">
        <v>0.13489808893899599</v>
      </c>
      <c r="R4291">
        <v>0.19326056865265401</v>
      </c>
      <c r="S4291" t="s">
        <v>9842</v>
      </c>
      <c r="T4291" t="s">
        <v>11100</v>
      </c>
      <c r="U4291" t="s">
        <v>11100</v>
      </c>
      <c r="V4291" t="s">
        <v>11100</v>
      </c>
      <c r="W4291" t="s">
        <v>15340</v>
      </c>
      <c r="X4291">
        <v>4</v>
      </c>
      <c r="Y4291" t="s">
        <v>20771</v>
      </c>
      <c r="Z4291" t="s">
        <v>26296</v>
      </c>
      <c r="AA4291">
        <v>0.90565303577663203</v>
      </c>
      <c r="AB4291" t="str">
        <f>HYPERLINK("Melting_Curves/meltCurve_Q96FK6_WDR89.pdf", "Melting_Curves/meltCurve_Q96FK6_WDR89.pdf")</f>
        <v>Melting_Curves/meltCurve_Q96FK6_WDR89.pdf</v>
      </c>
    </row>
    <row r="4292" spans="1:28" x14ac:dyDescent="0.25">
      <c r="A4292" t="s">
        <v>4296</v>
      </c>
      <c r="B4292">
        <v>0.99299721793515405</v>
      </c>
      <c r="C4292">
        <v>1.21668725073353</v>
      </c>
      <c r="D4292">
        <v>0.90468242095583595</v>
      </c>
      <c r="E4292">
        <v>1.0109240213878501</v>
      </c>
      <c r="F4292">
        <v>0.84942644758811503</v>
      </c>
      <c r="G4292">
        <v>0.61109790992299096</v>
      </c>
      <c r="H4292">
        <v>0.31049165100065301</v>
      </c>
      <c r="I4292">
        <v>0.24198335123222001</v>
      </c>
      <c r="J4292">
        <v>0.28645507927610803</v>
      </c>
      <c r="K4292">
        <v>0.188775137278339</v>
      </c>
      <c r="L4292">
        <v>1342.76310927185</v>
      </c>
      <c r="M4292">
        <v>25.079317837099801</v>
      </c>
      <c r="N4292">
        <v>54.783101545263399</v>
      </c>
      <c r="O4292">
        <v>53.203699662878599</v>
      </c>
      <c r="P4292">
        <v>-9.2287018028383794E-2</v>
      </c>
      <c r="Q4292">
        <v>0.21689291187962301</v>
      </c>
      <c r="R4292">
        <v>0.95127505644527599</v>
      </c>
      <c r="S4292" t="s">
        <v>9843</v>
      </c>
      <c r="T4292" t="s">
        <v>11100</v>
      </c>
      <c r="U4292" t="s">
        <v>11100</v>
      </c>
      <c r="V4292" t="s">
        <v>11100</v>
      </c>
      <c r="W4292" t="s">
        <v>15341</v>
      </c>
      <c r="X4292">
        <v>4</v>
      </c>
      <c r="Y4292" t="s">
        <v>20772</v>
      </c>
      <c r="Z4292" t="s">
        <v>26297</v>
      </c>
      <c r="AA4292">
        <v>0.65551167680570399</v>
      </c>
      <c r="AB4292" t="str">
        <f>HYPERLINK("Melting_Curves/meltCurve_Q96FN4_CPNE2.pdf", "Melting_Curves/meltCurve_Q96FN4_CPNE2.pdf")</f>
        <v>Melting_Curves/meltCurve_Q96FN4_CPNE2.pdf</v>
      </c>
    </row>
    <row r="4293" spans="1:28" x14ac:dyDescent="0.25">
      <c r="A4293" t="s">
        <v>4297</v>
      </c>
      <c r="B4293">
        <v>0.99299721793515405</v>
      </c>
      <c r="C4293">
        <v>0.952640225042936</v>
      </c>
      <c r="D4293">
        <v>1.02534011120087</v>
      </c>
      <c r="E4293">
        <v>1.01821959842075</v>
      </c>
      <c r="F4293">
        <v>1.36777938062171</v>
      </c>
      <c r="G4293">
        <v>1.3162490778109901</v>
      </c>
      <c r="H4293">
        <v>0.48695584367758299</v>
      </c>
      <c r="I4293">
        <v>0.37313754375623198</v>
      </c>
      <c r="J4293">
        <v>0.27677254601069101</v>
      </c>
      <c r="K4293">
        <v>0.19065191924227801</v>
      </c>
      <c r="L4293">
        <v>14297.8372063063</v>
      </c>
      <c r="M4293">
        <v>250</v>
      </c>
      <c r="N4293">
        <v>57.379975538627697</v>
      </c>
      <c r="O4293">
        <v>57.187689038697599</v>
      </c>
      <c r="P4293">
        <v>-0.78667802481086802</v>
      </c>
      <c r="Q4293">
        <v>0.28018722975301003</v>
      </c>
      <c r="R4293">
        <v>0.84746430456563004</v>
      </c>
      <c r="S4293" t="s">
        <v>9844</v>
      </c>
      <c r="T4293" t="s">
        <v>11100</v>
      </c>
      <c r="U4293" t="s">
        <v>11100</v>
      </c>
      <c r="V4293" t="s">
        <v>11100</v>
      </c>
      <c r="W4293" t="s">
        <v>15342</v>
      </c>
      <c r="X4293">
        <v>1</v>
      </c>
      <c r="Y4293" t="s">
        <v>20773</v>
      </c>
      <c r="Z4293" t="s">
        <v>26298</v>
      </c>
      <c r="AA4293">
        <v>0.76472583507190406</v>
      </c>
      <c r="AB4293" t="str">
        <f>HYPERLINK("Melting_Curves/meltCurve_Q96FV9_THOC1.pdf", "Melting_Curves/meltCurve_Q96FV9_THOC1.pdf")</f>
        <v>Melting_Curves/meltCurve_Q96FV9_THOC1.pdf</v>
      </c>
    </row>
    <row r="4294" spans="1:28" x14ac:dyDescent="0.25">
      <c r="A4294" t="s">
        <v>4298</v>
      </c>
      <c r="B4294">
        <v>0.99299721793515405</v>
      </c>
      <c r="C4294">
        <v>1.00948292743464</v>
      </c>
      <c r="D4294">
        <v>0.74078856612351995</v>
      </c>
      <c r="E4294">
        <v>0.81377435303975099</v>
      </c>
      <c r="F4294">
        <v>1.0901534989014401</v>
      </c>
      <c r="G4294">
        <v>0.94564754981166599</v>
      </c>
      <c r="H4294">
        <v>1.10823846585775</v>
      </c>
      <c r="I4294">
        <v>1.0042128731179401</v>
      </c>
      <c r="J4294">
        <v>0.38755766334973202</v>
      </c>
      <c r="K4294">
        <v>7.0776472440933005E-2</v>
      </c>
      <c r="L4294">
        <v>15000</v>
      </c>
      <c r="M4294">
        <v>234.66854178633801</v>
      </c>
      <c r="N4294">
        <v>63.961532740203303</v>
      </c>
      <c r="O4294">
        <v>63.9153016661582</v>
      </c>
      <c r="P4294">
        <v>-0.85294152269464696</v>
      </c>
      <c r="Q4294">
        <v>7.0757178498686304E-2</v>
      </c>
      <c r="R4294">
        <v>0.87835513843978397</v>
      </c>
      <c r="S4294" t="s">
        <v>9845</v>
      </c>
      <c r="T4294" t="s">
        <v>11100</v>
      </c>
      <c r="U4294" t="s">
        <v>11100</v>
      </c>
      <c r="V4294" t="s">
        <v>11100</v>
      </c>
      <c r="W4294" t="s">
        <v>15343</v>
      </c>
      <c r="X4294">
        <v>3</v>
      </c>
      <c r="Y4294" t="s">
        <v>20774</v>
      </c>
      <c r="Z4294" t="s">
        <v>26299</v>
      </c>
      <c r="AA4294">
        <v>0.90471411292097303</v>
      </c>
      <c r="AB4294" t="str">
        <f>HYPERLINK("Melting_Curves/meltCurve_Q96FX7_TRMT61A.pdf", "Melting_Curves/meltCurve_Q96FX7_TRMT61A.pdf")</f>
        <v>Melting_Curves/meltCurve_Q96FX7_TRMT61A.pdf</v>
      </c>
    </row>
    <row r="4295" spans="1:28" x14ac:dyDescent="0.25">
      <c r="A4295" t="s">
        <v>4299</v>
      </c>
      <c r="B4295">
        <v>0.99299721793515405</v>
      </c>
      <c r="C4295">
        <v>0.90391011363389795</v>
      </c>
      <c r="D4295">
        <v>0.88919365441675002</v>
      </c>
      <c r="E4295">
        <v>0.77667399192453301</v>
      </c>
      <c r="F4295">
        <v>0.55559267926865596</v>
      </c>
      <c r="G4295">
        <v>0.24943503758358401</v>
      </c>
      <c r="H4295">
        <v>0.188625116649485</v>
      </c>
      <c r="I4295">
        <v>0.15157298658517801</v>
      </c>
      <c r="J4295">
        <v>0.14948777747769099</v>
      </c>
      <c r="K4295">
        <v>0.10577718662588</v>
      </c>
      <c r="L4295">
        <v>759.07479946856301</v>
      </c>
      <c r="M4295">
        <v>15.280125046037</v>
      </c>
      <c r="N4295">
        <v>50.364302512213897</v>
      </c>
      <c r="O4295">
        <v>48.849726167204999</v>
      </c>
      <c r="P4295">
        <v>-7.0849603963480098E-2</v>
      </c>
      <c r="Q4295">
        <v>9.4075871099178698E-2</v>
      </c>
      <c r="R4295">
        <v>0.98872559989153996</v>
      </c>
      <c r="S4295" t="s">
        <v>9846</v>
      </c>
      <c r="T4295" t="s">
        <v>11100</v>
      </c>
      <c r="U4295" t="s">
        <v>11100</v>
      </c>
      <c r="V4295" t="s">
        <v>11100</v>
      </c>
      <c r="W4295" t="s">
        <v>15344</v>
      </c>
      <c r="X4295">
        <v>6</v>
      </c>
      <c r="Y4295" t="s">
        <v>20775</v>
      </c>
      <c r="Z4295" t="s">
        <v>26300</v>
      </c>
      <c r="AA4295">
        <v>0.4955023073656788</v>
      </c>
      <c r="AB4295" t="str">
        <f>HYPERLINK("Melting_Curves/meltCurve_Q96FZ2_C3orf37.pdf", "Melting_Curves/meltCurve_Q96FZ2_C3orf37.pdf")</f>
        <v>Melting_Curves/meltCurve_Q96FZ2_C3orf37.pdf</v>
      </c>
    </row>
    <row r="4296" spans="1:28" x14ac:dyDescent="0.25">
      <c r="A4296" t="s">
        <v>4300</v>
      </c>
      <c r="B4296">
        <v>0.99299721793515405</v>
      </c>
      <c r="C4296">
        <v>1.09106401830359</v>
      </c>
      <c r="D4296">
        <v>0.90925908023070801</v>
      </c>
      <c r="E4296">
        <v>0.96233199600137298</v>
      </c>
      <c r="F4296">
        <v>0.86476693452668296</v>
      </c>
      <c r="G4296">
        <v>0.59811737957873201</v>
      </c>
      <c r="H4296">
        <v>0.60203891009826604</v>
      </c>
      <c r="I4296">
        <v>0.53382424728155198</v>
      </c>
      <c r="J4296">
        <v>0.50487890141510605</v>
      </c>
      <c r="K4296">
        <v>0.28245594296188598</v>
      </c>
      <c r="L4296">
        <v>525.77635315469695</v>
      </c>
      <c r="M4296">
        <v>9.2025534752997604</v>
      </c>
      <c r="N4296">
        <v>60.602484621458501</v>
      </c>
      <c r="O4296">
        <v>54.630027637176703</v>
      </c>
      <c r="P4296">
        <v>-3.3513444724900601E-2</v>
      </c>
      <c r="Q4296">
        <v>0.20473410279446</v>
      </c>
      <c r="R4296">
        <v>0.92332450405778099</v>
      </c>
      <c r="S4296" t="s">
        <v>9847</v>
      </c>
      <c r="T4296" t="s">
        <v>11100</v>
      </c>
      <c r="U4296" t="s">
        <v>11100</v>
      </c>
      <c r="V4296" t="s">
        <v>11100</v>
      </c>
      <c r="W4296" t="s">
        <v>15345</v>
      </c>
      <c r="X4296">
        <v>4</v>
      </c>
      <c r="Y4296" t="s">
        <v>20776</v>
      </c>
      <c r="Z4296" t="s">
        <v>26301</v>
      </c>
      <c r="AA4296">
        <v>0.73427336346954319</v>
      </c>
      <c r="AB4296" t="str">
        <f>HYPERLINK("Melting_Curves/meltCurve_Q96FZ7_CHMP6.pdf", "Melting_Curves/meltCurve_Q96FZ7_CHMP6.pdf")</f>
        <v>Melting_Curves/meltCurve_Q96FZ7_CHMP6.pdf</v>
      </c>
    </row>
    <row r="4297" spans="1:28" x14ac:dyDescent="0.25">
      <c r="A4297" t="s">
        <v>4301</v>
      </c>
      <c r="B4297">
        <v>0.99299721793515405</v>
      </c>
      <c r="C4297">
        <v>0.99328218053903194</v>
      </c>
      <c r="D4297">
        <v>0.99734984884882405</v>
      </c>
      <c r="E4297">
        <v>0.88599528909067005</v>
      </c>
      <c r="F4297">
        <v>0.77798007074985398</v>
      </c>
      <c r="G4297">
        <v>0.62641646935192696</v>
      </c>
      <c r="H4297">
        <v>0.58385732235450605</v>
      </c>
      <c r="I4297">
        <v>0.60514753955692502</v>
      </c>
      <c r="J4297">
        <v>0.51562625026520703</v>
      </c>
      <c r="K4297">
        <v>0.372836492708222</v>
      </c>
      <c r="L4297">
        <v>536.31315920817894</v>
      </c>
      <c r="M4297">
        <v>10.037619519570001</v>
      </c>
      <c r="N4297">
        <v>62.314097144398097</v>
      </c>
      <c r="O4297">
        <v>51.4395529584787</v>
      </c>
      <c r="P4297">
        <v>-3.0237558203279301E-2</v>
      </c>
      <c r="Q4297">
        <v>0.380466218135314</v>
      </c>
      <c r="R4297">
        <v>0.95533830180408197</v>
      </c>
      <c r="S4297" t="s">
        <v>9848</v>
      </c>
      <c r="T4297" t="s">
        <v>11100</v>
      </c>
      <c r="U4297" t="s">
        <v>11100</v>
      </c>
      <c r="V4297" t="s">
        <v>11100</v>
      </c>
      <c r="W4297" t="s">
        <v>15346</v>
      </c>
      <c r="X4297">
        <v>21</v>
      </c>
      <c r="Y4297" t="s">
        <v>20777</v>
      </c>
      <c r="Z4297" t="s">
        <v>26302</v>
      </c>
      <c r="AA4297">
        <v>0.73240950377480318</v>
      </c>
      <c r="AB4297" t="str">
        <f>HYPERLINK("Melting_Curves/meltCurve_Q96G03_PGM2.pdf", "Melting_Curves/meltCurve_Q96G03_PGM2.pdf")</f>
        <v>Melting_Curves/meltCurve_Q96G03_PGM2.pdf</v>
      </c>
    </row>
    <row r="4298" spans="1:28" x14ac:dyDescent="0.25">
      <c r="A4298" t="s">
        <v>4302</v>
      </c>
      <c r="B4298">
        <v>0.99299721793515405</v>
      </c>
      <c r="C4298">
        <v>1.07118736301636</v>
      </c>
      <c r="D4298">
        <v>0.98051989025750397</v>
      </c>
      <c r="E4298">
        <v>0.95894944881058597</v>
      </c>
      <c r="F4298">
        <v>0.78796198405276696</v>
      </c>
      <c r="G4298">
        <v>0.48728459105139699</v>
      </c>
      <c r="H4298">
        <v>0.173696410793961</v>
      </c>
      <c r="I4298">
        <v>7.9552547507942897E-2</v>
      </c>
      <c r="J4298">
        <v>5.0333678798085202E-2</v>
      </c>
      <c r="K4298">
        <v>4.19047026840269E-2</v>
      </c>
      <c r="L4298">
        <v>1167.8727620996101</v>
      </c>
      <c r="M4298">
        <v>21.8953996843066</v>
      </c>
      <c r="N4298">
        <v>53.454691641521002</v>
      </c>
      <c r="O4298">
        <v>52.899781006549503</v>
      </c>
      <c r="P4298">
        <v>-0.101078068509371</v>
      </c>
      <c r="Q4298">
        <v>2.3194617262746599E-2</v>
      </c>
      <c r="R4298">
        <v>0.99624883250290996</v>
      </c>
      <c r="S4298" t="s">
        <v>9849</v>
      </c>
      <c r="T4298" t="s">
        <v>11100</v>
      </c>
      <c r="U4298" t="s">
        <v>11100</v>
      </c>
      <c r="V4298" t="s">
        <v>11100</v>
      </c>
      <c r="W4298" t="s">
        <v>15347</v>
      </c>
      <c r="X4298">
        <v>1</v>
      </c>
      <c r="Y4298" t="s">
        <v>20778</v>
      </c>
      <c r="Z4298" t="s">
        <v>26303</v>
      </c>
      <c r="AA4298">
        <v>0.56584080684097049</v>
      </c>
      <c r="AB4298" t="str">
        <f>HYPERLINK("Melting_Curves/meltCurve_Q96G23_CERS2.pdf", "Melting_Curves/meltCurve_Q96G23_CERS2.pdf")</f>
        <v>Melting_Curves/meltCurve_Q96G23_CERS2.pdf</v>
      </c>
    </row>
    <row r="4299" spans="1:28" x14ac:dyDescent="0.25">
      <c r="A4299" t="s">
        <v>4303</v>
      </c>
      <c r="B4299">
        <v>0.99299721793515405</v>
      </c>
      <c r="C4299">
        <v>0.860767325300419</v>
      </c>
      <c r="D4299">
        <v>0.83637314231686499</v>
      </c>
      <c r="E4299">
        <v>0.72903281667541997</v>
      </c>
      <c r="F4299">
        <v>0.55955762734339598</v>
      </c>
      <c r="G4299">
        <v>0.38623346548743998</v>
      </c>
      <c r="H4299">
        <v>0.582929820776666</v>
      </c>
      <c r="I4299">
        <v>0.78625429250227497</v>
      </c>
      <c r="J4299">
        <v>1.04108142253339</v>
      </c>
      <c r="K4299">
        <v>0.85247387188049994</v>
      </c>
      <c r="L4299">
        <v>960.31330973431204</v>
      </c>
      <c r="M4299">
        <v>23.428529670255202</v>
      </c>
      <c r="O4299">
        <v>40.693931574032497</v>
      </c>
      <c r="P4299">
        <v>-4.2185566295606797E-2</v>
      </c>
      <c r="Q4299">
        <v>0.70691004166916305</v>
      </c>
      <c r="R4299">
        <v>0.22888773863074399</v>
      </c>
      <c r="S4299" t="s">
        <v>9850</v>
      </c>
      <c r="T4299" t="s">
        <v>11100</v>
      </c>
      <c r="U4299" t="s">
        <v>11100</v>
      </c>
      <c r="V4299" t="s">
        <v>11100</v>
      </c>
      <c r="W4299" t="s">
        <v>15348</v>
      </c>
      <c r="X4299">
        <v>4</v>
      </c>
      <c r="Y4299" t="s">
        <v>20779</v>
      </c>
      <c r="Z4299" t="s">
        <v>26304</v>
      </c>
      <c r="AA4299">
        <v>0.7493362177595505</v>
      </c>
      <c r="AB4299" t="str">
        <f>HYPERLINK("Melting_Curves/meltCurve_Q96G25_MED8.pdf", "Melting_Curves/meltCurve_Q96G25_MED8.pdf")</f>
        <v>Melting_Curves/meltCurve_Q96G25_MED8.pdf</v>
      </c>
    </row>
    <row r="4300" spans="1:28" x14ac:dyDescent="0.25">
      <c r="A4300" t="s">
        <v>4304</v>
      </c>
      <c r="B4300">
        <v>0.99299721793515405</v>
      </c>
      <c r="C4300">
        <v>1.1317595402806</v>
      </c>
      <c r="D4300">
        <v>1.55111277204413</v>
      </c>
      <c r="E4300">
        <v>1.11386819806287</v>
      </c>
      <c r="F4300">
        <v>0.77298925052201595</v>
      </c>
      <c r="G4300">
        <v>0.57883081587904905</v>
      </c>
      <c r="H4300">
        <v>0.237616228390296</v>
      </c>
      <c r="I4300">
        <v>0.21578262869801801</v>
      </c>
      <c r="J4300">
        <v>0.19030981162163599</v>
      </c>
      <c r="K4300">
        <v>0.20074119307420099</v>
      </c>
      <c r="L4300">
        <v>1447.6203815799399</v>
      </c>
      <c r="M4300">
        <v>27.241243126507001</v>
      </c>
      <c r="N4300">
        <v>54.056939041320597</v>
      </c>
      <c r="O4300">
        <v>52.856867520094198</v>
      </c>
      <c r="P4300">
        <v>-0.10502298803455901</v>
      </c>
      <c r="Q4300">
        <v>0.18489283928641101</v>
      </c>
      <c r="R4300">
        <v>0.83553385246137102</v>
      </c>
      <c r="S4300" t="s">
        <v>9851</v>
      </c>
      <c r="T4300" t="s">
        <v>11100</v>
      </c>
      <c r="U4300" t="s">
        <v>11100</v>
      </c>
      <c r="V4300" t="s">
        <v>11100</v>
      </c>
      <c r="W4300" t="s">
        <v>15349</v>
      </c>
      <c r="X4300">
        <v>11</v>
      </c>
      <c r="Y4300" t="s">
        <v>20780</v>
      </c>
      <c r="Z4300" t="s">
        <v>26305</v>
      </c>
      <c r="AA4300">
        <v>0.62963398170069185</v>
      </c>
      <c r="AB4300" t="str">
        <f>HYPERLINK("Melting_Curves/meltCurve_Q96G28_CCDC104.pdf", "Melting_Curves/meltCurve_Q96G28_CCDC104.pdf")</f>
        <v>Melting_Curves/meltCurve_Q96G28_CCDC104.pdf</v>
      </c>
    </row>
    <row r="4301" spans="1:28" x14ac:dyDescent="0.25">
      <c r="A4301" t="s">
        <v>4305</v>
      </c>
      <c r="B4301">
        <v>0.99299721793515405</v>
      </c>
      <c r="C4301">
        <v>0.94728495648521904</v>
      </c>
      <c r="D4301">
        <v>0.90480863361668595</v>
      </c>
      <c r="E4301">
        <v>0.82111801716682598</v>
      </c>
      <c r="F4301">
        <v>0.70332571879068395</v>
      </c>
      <c r="G4301">
        <v>0.37632149216232802</v>
      </c>
      <c r="H4301">
        <v>0.28452424786143699</v>
      </c>
      <c r="I4301">
        <v>0.23669088894606199</v>
      </c>
      <c r="J4301">
        <v>0.20999641935805399</v>
      </c>
      <c r="K4301">
        <v>0.14754870880568799</v>
      </c>
      <c r="L4301">
        <v>707.88387065332699</v>
      </c>
      <c r="M4301">
        <v>13.783629059162999</v>
      </c>
      <c r="N4301">
        <v>52.519165287944801</v>
      </c>
      <c r="O4301">
        <v>50.3120655242436</v>
      </c>
      <c r="P4301">
        <v>-5.94955505914464E-2</v>
      </c>
      <c r="Q4301">
        <v>0.131455689977067</v>
      </c>
      <c r="R4301">
        <v>0.98814048607015703</v>
      </c>
      <c r="S4301" t="s">
        <v>9852</v>
      </c>
      <c r="T4301" t="s">
        <v>11100</v>
      </c>
      <c r="U4301" t="s">
        <v>11100</v>
      </c>
      <c r="V4301" t="s">
        <v>11100</v>
      </c>
      <c r="W4301" t="s">
        <v>15350</v>
      </c>
      <c r="X4301">
        <v>24</v>
      </c>
      <c r="Y4301" t="s">
        <v>20781</v>
      </c>
      <c r="Z4301" t="s">
        <v>26306</v>
      </c>
      <c r="AA4301">
        <v>0.56613732750785351</v>
      </c>
      <c r="AB4301" t="str">
        <f>HYPERLINK("Melting_Curves/meltCurve_Q96G46_DUS3L.pdf", "Melting_Curves/meltCurve_Q96G46_DUS3L.pdf")</f>
        <v>Melting_Curves/meltCurve_Q96G46_DUS3L.pdf</v>
      </c>
    </row>
    <row r="4302" spans="1:28" x14ac:dyDescent="0.25">
      <c r="A4302" t="s">
        <v>4306</v>
      </c>
      <c r="B4302">
        <v>0.99299721793515405</v>
      </c>
      <c r="C4302">
        <v>0.95459882611320501</v>
      </c>
      <c r="D4302">
        <v>0.989558215270818</v>
      </c>
      <c r="E4302">
        <v>0.90734429149211004</v>
      </c>
      <c r="F4302">
        <v>0.68185956384306701</v>
      </c>
      <c r="G4302">
        <v>0.33350611992696699</v>
      </c>
      <c r="H4302">
        <v>0.19967287760142499</v>
      </c>
      <c r="I4302">
        <v>0.17142947340171399</v>
      </c>
      <c r="J4302">
        <v>0.157730260299595</v>
      </c>
      <c r="K4302">
        <v>0.127211065192575</v>
      </c>
      <c r="L4302">
        <v>1210.9482871052701</v>
      </c>
      <c r="M4302">
        <v>23.6625355713463</v>
      </c>
      <c r="N4302">
        <v>51.896215571062001</v>
      </c>
      <c r="O4302">
        <v>50.814476606384702</v>
      </c>
      <c r="P4302">
        <v>-0.100119556128241</v>
      </c>
      <c r="Q4302">
        <v>0.14000153372061999</v>
      </c>
      <c r="R4302">
        <v>0.99763580661501505</v>
      </c>
      <c r="S4302" t="s">
        <v>9853</v>
      </c>
      <c r="T4302" t="s">
        <v>11100</v>
      </c>
      <c r="U4302" t="s">
        <v>11100</v>
      </c>
      <c r="V4302" t="s">
        <v>11100</v>
      </c>
      <c r="W4302" t="s">
        <v>15351</v>
      </c>
      <c r="X4302">
        <v>14</v>
      </c>
      <c r="Y4302" t="s">
        <v>20782</v>
      </c>
      <c r="Z4302" t="s">
        <v>26307</v>
      </c>
      <c r="AA4302">
        <v>0.55477176340688716</v>
      </c>
      <c r="AB4302" t="str">
        <f>HYPERLINK("Melting_Curves/meltCurve_Q96G61_NUDT11.pdf", "Melting_Curves/meltCurve_Q96G61_NUDT11.pdf")</f>
        <v>Melting_Curves/meltCurve_Q96G61_NUDT11.pdf</v>
      </c>
    </row>
    <row r="4303" spans="1:28" x14ac:dyDescent="0.25">
      <c r="A4303" t="s">
        <v>4307</v>
      </c>
      <c r="B4303">
        <v>0.99299721793515405</v>
      </c>
      <c r="C4303">
        <v>0.90467698975634503</v>
      </c>
      <c r="D4303">
        <v>0.92282225575076204</v>
      </c>
      <c r="E4303">
        <v>0.859597999571589</v>
      </c>
      <c r="F4303">
        <v>0.68226725255051002</v>
      </c>
      <c r="G4303">
        <v>0.492485090731896</v>
      </c>
      <c r="H4303">
        <v>0.41572074987692798</v>
      </c>
      <c r="I4303">
        <v>0.394186814734243</v>
      </c>
      <c r="J4303">
        <v>0.432719504994169</v>
      </c>
      <c r="K4303">
        <v>0.361972127493013</v>
      </c>
      <c r="L4303">
        <v>764.304465949107</v>
      </c>
      <c r="M4303">
        <v>15.3537092084148</v>
      </c>
      <c r="N4303">
        <v>54.417101435243801</v>
      </c>
      <c r="O4303">
        <v>48.958274224419299</v>
      </c>
      <c r="P4303">
        <v>-4.9799663818333402E-2</v>
      </c>
      <c r="Q4303">
        <v>0.36487527848421403</v>
      </c>
      <c r="R4303">
        <v>0.97919199374784804</v>
      </c>
      <c r="S4303" t="s">
        <v>9854</v>
      </c>
      <c r="T4303" t="s">
        <v>11100</v>
      </c>
      <c r="U4303" t="s">
        <v>11100</v>
      </c>
      <c r="V4303" t="s">
        <v>11100</v>
      </c>
      <c r="W4303" t="s">
        <v>15352</v>
      </c>
      <c r="X4303">
        <v>11</v>
      </c>
      <c r="Y4303" t="s">
        <v>20783</v>
      </c>
      <c r="Z4303" t="s">
        <v>26308</v>
      </c>
      <c r="AA4303">
        <v>0.6483470467683442</v>
      </c>
      <c r="AB4303" t="str">
        <f>HYPERLINK("Melting_Curves/meltCurve_Q96G74_3_OTUD5.pdf", "Melting_Curves/meltCurve_Q96G74_3_OTUD5.pdf")</f>
        <v>Melting_Curves/meltCurve_Q96G74_3_OTUD5.pdf</v>
      </c>
    </row>
    <row r="4304" spans="1:28" x14ac:dyDescent="0.25">
      <c r="A4304" t="s">
        <v>4308</v>
      </c>
      <c r="B4304">
        <v>0.99299721793515405</v>
      </c>
      <c r="C4304">
        <v>0.99406707548822404</v>
      </c>
      <c r="D4304">
        <v>0.93009777595684395</v>
      </c>
      <c r="E4304">
        <v>0.842521937504494</v>
      </c>
      <c r="F4304">
        <v>0.77756205757757002</v>
      </c>
      <c r="G4304">
        <v>0.551541730803494</v>
      </c>
      <c r="H4304">
        <v>0.61864028098993495</v>
      </c>
      <c r="I4304">
        <v>0.66889700288336895</v>
      </c>
      <c r="J4304">
        <v>0.66152836312368402</v>
      </c>
      <c r="K4304">
        <v>0.41473319658512497</v>
      </c>
      <c r="L4304">
        <v>668.77597787515299</v>
      </c>
      <c r="M4304">
        <v>13.7003755643797</v>
      </c>
      <c r="O4304">
        <v>47.809660957445601</v>
      </c>
      <c r="P4304">
        <v>-3.22545536945959E-2</v>
      </c>
      <c r="Q4304">
        <v>0.549835023443072</v>
      </c>
      <c r="R4304">
        <v>0.85239204844316996</v>
      </c>
      <c r="S4304" t="s">
        <v>9855</v>
      </c>
      <c r="T4304" t="s">
        <v>11100</v>
      </c>
      <c r="U4304" t="s">
        <v>11100</v>
      </c>
      <c r="V4304" t="s">
        <v>11100</v>
      </c>
      <c r="W4304" t="s">
        <v>15353</v>
      </c>
      <c r="X4304">
        <v>9</v>
      </c>
      <c r="Y4304" t="s">
        <v>20784</v>
      </c>
      <c r="Z4304" t="s">
        <v>26309</v>
      </c>
      <c r="AA4304">
        <v>0.738306912362655</v>
      </c>
      <c r="AB4304" t="str">
        <f>HYPERLINK("Melting_Curves/meltCurve_Q96GA7_SDSL.pdf", "Melting_Curves/meltCurve_Q96GA7_SDSL.pdf")</f>
        <v>Melting_Curves/meltCurve_Q96GA7_SDSL.pdf</v>
      </c>
    </row>
    <row r="4305" spans="1:28" x14ac:dyDescent="0.25">
      <c r="A4305" t="s">
        <v>4309</v>
      </c>
      <c r="B4305">
        <v>0.99299721793515405</v>
      </c>
      <c r="C4305">
        <v>0.96670195408481496</v>
      </c>
      <c r="D4305">
        <v>0.933124633059917</v>
      </c>
      <c r="E4305">
        <v>0.91417699026508403</v>
      </c>
      <c r="F4305">
        <v>0.80215712918396498</v>
      </c>
      <c r="G4305">
        <v>0.57276908717096797</v>
      </c>
      <c r="H4305">
        <v>0.56833944840853801</v>
      </c>
      <c r="I4305">
        <v>0.668221271843215</v>
      </c>
      <c r="J4305">
        <v>0.75053249974871195</v>
      </c>
      <c r="K4305">
        <v>0.64206075937843399</v>
      </c>
      <c r="L4305">
        <v>1507.71004977443</v>
      </c>
      <c r="M4305">
        <v>30.788471485654</v>
      </c>
      <c r="O4305">
        <v>48.764756692952801</v>
      </c>
      <c r="P4305">
        <v>-5.6573483948535598E-2</v>
      </c>
      <c r="Q4305">
        <v>0.64158325080433998</v>
      </c>
      <c r="R4305">
        <v>0.85887813735644902</v>
      </c>
      <c r="S4305" t="s">
        <v>9856</v>
      </c>
      <c r="T4305" t="s">
        <v>11100</v>
      </c>
      <c r="U4305" t="s">
        <v>11100</v>
      </c>
      <c r="V4305" t="s">
        <v>11100</v>
      </c>
      <c r="W4305" t="s">
        <v>15354</v>
      </c>
      <c r="X4305">
        <v>26</v>
      </c>
      <c r="Y4305" t="s">
        <v>20785</v>
      </c>
      <c r="Z4305" t="s">
        <v>26310</v>
      </c>
      <c r="AA4305">
        <v>0.78664269994672475</v>
      </c>
      <c r="AB4305" t="str">
        <f>HYPERLINK("Melting_Curves/meltCurve_Q96GD0_PDXP.pdf", "Melting_Curves/meltCurve_Q96GD0_PDXP.pdf")</f>
        <v>Melting_Curves/meltCurve_Q96GD0_PDXP.pdf</v>
      </c>
    </row>
    <row r="4306" spans="1:28" x14ac:dyDescent="0.25">
      <c r="A4306" t="s">
        <v>4310</v>
      </c>
      <c r="B4306">
        <v>0.99299721793515405</v>
      </c>
      <c r="C4306">
        <v>0.98510412977793105</v>
      </c>
      <c r="D4306">
        <v>0.87358203856169703</v>
      </c>
      <c r="E4306">
        <v>0.68387218193850297</v>
      </c>
      <c r="F4306">
        <v>0.54000778951027195</v>
      </c>
      <c r="G4306">
        <v>0.54893394563809195</v>
      </c>
      <c r="H4306">
        <v>0.67942440122957204</v>
      </c>
      <c r="I4306">
        <v>0.79462282688080998</v>
      </c>
      <c r="J4306">
        <v>0.75015583756286797</v>
      </c>
      <c r="K4306">
        <v>0.73085280942633801</v>
      </c>
      <c r="L4306">
        <v>2358.6381788990702</v>
      </c>
      <c r="M4306">
        <v>54.404943673139897</v>
      </c>
      <c r="O4306">
        <v>43.294924912482301</v>
      </c>
      <c r="P4306">
        <v>-0.10229598134384101</v>
      </c>
      <c r="Q4306">
        <v>0.67437562014491204</v>
      </c>
      <c r="R4306">
        <v>0.74484574542359105</v>
      </c>
      <c r="S4306" t="s">
        <v>9857</v>
      </c>
      <c r="T4306" t="s">
        <v>11100</v>
      </c>
      <c r="U4306" t="s">
        <v>11100</v>
      </c>
      <c r="V4306" t="s">
        <v>11100</v>
      </c>
      <c r="W4306" t="s">
        <v>15355</v>
      </c>
      <c r="X4306">
        <v>1</v>
      </c>
      <c r="Y4306" t="s">
        <v>20786</v>
      </c>
      <c r="Z4306" t="s">
        <v>26311</v>
      </c>
      <c r="AA4306">
        <v>0.7438621565573692</v>
      </c>
      <c r="AB4306" t="str">
        <f>HYPERLINK("Melting_Curves/meltCurve_Q96GF1_RNF185.pdf", "Melting_Curves/meltCurve_Q96GF1_RNF185.pdf")</f>
        <v>Melting_Curves/meltCurve_Q96GF1_RNF185.pdf</v>
      </c>
    </row>
    <row r="4307" spans="1:28" x14ac:dyDescent="0.25">
      <c r="A4307" t="s">
        <v>4311</v>
      </c>
      <c r="B4307">
        <v>0.99299721793515405</v>
      </c>
      <c r="C4307">
        <v>0.99334595578774099</v>
      </c>
      <c r="D4307">
        <v>0.98581363255194299</v>
      </c>
      <c r="E4307">
        <v>0.92016497211390402</v>
      </c>
      <c r="F4307">
        <v>0.79005718865324803</v>
      </c>
      <c r="G4307">
        <v>0.69732519180241603</v>
      </c>
      <c r="H4307">
        <v>0.37605344518940997</v>
      </c>
      <c r="I4307">
        <v>0.23519494683181999</v>
      </c>
      <c r="J4307">
        <v>0.24395083032433601</v>
      </c>
      <c r="K4307">
        <v>0.14434881153344001</v>
      </c>
      <c r="L4307">
        <v>806.45822388375996</v>
      </c>
      <c r="M4307">
        <v>14.6360184270426</v>
      </c>
      <c r="N4307">
        <v>55.8822359611368</v>
      </c>
      <c r="O4307">
        <v>54.102945443076301</v>
      </c>
      <c r="P4307">
        <v>-6.1379682303722198E-2</v>
      </c>
      <c r="Q4307">
        <v>9.25258009029572E-2</v>
      </c>
      <c r="R4307">
        <v>0.98905213634552203</v>
      </c>
      <c r="S4307" t="s">
        <v>9858</v>
      </c>
      <c r="T4307" t="s">
        <v>11100</v>
      </c>
      <c r="U4307" t="s">
        <v>11100</v>
      </c>
      <c r="V4307" t="s">
        <v>11100</v>
      </c>
      <c r="W4307" t="s">
        <v>15356</v>
      </c>
      <c r="X4307">
        <v>4</v>
      </c>
      <c r="Y4307" t="s">
        <v>20787</v>
      </c>
      <c r="Z4307" t="s">
        <v>26312</v>
      </c>
      <c r="AA4307">
        <v>0.65273836485528391</v>
      </c>
      <c r="AB4307" t="str">
        <f>HYPERLINK("Melting_Curves/meltCurve_Q96GG9_DCUN1D1.pdf", "Melting_Curves/meltCurve_Q96GG9_DCUN1D1.pdf")</f>
        <v>Melting_Curves/meltCurve_Q96GG9_DCUN1D1.pdf</v>
      </c>
    </row>
    <row r="4308" spans="1:28" x14ac:dyDescent="0.25">
      <c r="A4308" t="s">
        <v>4312</v>
      </c>
      <c r="B4308">
        <v>0.99299721793515405</v>
      </c>
      <c r="C4308">
        <v>0.96923072318504899</v>
      </c>
      <c r="D4308">
        <v>0.92379821510897697</v>
      </c>
      <c r="E4308">
        <v>0.85554795948885498</v>
      </c>
      <c r="F4308">
        <v>0.76602894504173202</v>
      </c>
      <c r="G4308">
        <v>0.58690940585919604</v>
      </c>
      <c r="H4308">
        <v>0.489408578755401</v>
      </c>
      <c r="I4308">
        <v>0.41662180069357202</v>
      </c>
      <c r="J4308">
        <v>0.27378153877753603</v>
      </c>
      <c r="K4308">
        <v>0.192581158963848</v>
      </c>
      <c r="L4308">
        <v>467.00149217115501</v>
      </c>
      <c r="M4308">
        <v>8.2042984953522904</v>
      </c>
      <c r="N4308">
        <v>56.921561942997798</v>
      </c>
      <c r="O4308">
        <v>53.839877868161203</v>
      </c>
      <c r="P4308">
        <v>-3.81350328975643E-2</v>
      </c>
      <c r="Q4308">
        <v>0</v>
      </c>
      <c r="R4308">
        <v>0.99349453952977995</v>
      </c>
      <c r="S4308" t="s">
        <v>9859</v>
      </c>
      <c r="T4308" t="s">
        <v>11100</v>
      </c>
      <c r="U4308" t="s">
        <v>11100</v>
      </c>
      <c r="V4308" t="s">
        <v>11100</v>
      </c>
      <c r="W4308" t="s">
        <v>15357</v>
      </c>
      <c r="X4308">
        <v>14</v>
      </c>
      <c r="Y4308" t="s">
        <v>20788</v>
      </c>
      <c r="Z4308" t="s">
        <v>26313</v>
      </c>
      <c r="AA4308">
        <v>0.65517709975673044</v>
      </c>
      <c r="AB4308" t="str">
        <f>HYPERLINK("Melting_Curves/meltCurve_Q96GK7_FAHD2A.pdf", "Melting_Curves/meltCurve_Q96GK7_FAHD2A.pdf")</f>
        <v>Melting_Curves/meltCurve_Q96GK7_FAHD2A.pdf</v>
      </c>
    </row>
    <row r="4309" spans="1:28" x14ac:dyDescent="0.25">
      <c r="A4309" t="s">
        <v>4313</v>
      </c>
      <c r="B4309">
        <v>0.99299721793515405</v>
      </c>
      <c r="C4309">
        <v>1.0202070144439599</v>
      </c>
      <c r="D4309">
        <v>1.0296724690483301</v>
      </c>
      <c r="E4309">
        <v>0.84138118403682205</v>
      </c>
      <c r="F4309">
        <v>0.75588311577427103</v>
      </c>
      <c r="G4309">
        <v>0.622140888109594</v>
      </c>
      <c r="H4309">
        <v>0.60719386226540195</v>
      </c>
      <c r="I4309">
        <v>0.78495024214690801</v>
      </c>
      <c r="J4309">
        <v>0.77705676105898103</v>
      </c>
      <c r="K4309">
        <v>0.51342517916418895</v>
      </c>
      <c r="L4309">
        <v>1419.90170559231</v>
      </c>
      <c r="M4309">
        <v>30.0525050651509</v>
      </c>
      <c r="O4309">
        <v>47.0396284921801</v>
      </c>
      <c r="P4309">
        <v>-5.3542836527416503E-2</v>
      </c>
      <c r="Q4309">
        <v>0.66477076254196998</v>
      </c>
      <c r="R4309">
        <v>0.79208921595411397</v>
      </c>
      <c r="S4309" t="s">
        <v>9860</v>
      </c>
      <c r="T4309" t="s">
        <v>11100</v>
      </c>
      <c r="U4309" t="s">
        <v>11100</v>
      </c>
      <c r="V4309" t="s">
        <v>11100</v>
      </c>
      <c r="W4309" t="s">
        <v>15358</v>
      </c>
      <c r="X4309">
        <v>13</v>
      </c>
      <c r="Y4309" t="s">
        <v>20789</v>
      </c>
      <c r="Z4309" t="s">
        <v>26314</v>
      </c>
      <c r="AA4309">
        <v>0.78122857317990568</v>
      </c>
      <c r="AB4309" t="str">
        <f>HYPERLINK("Melting_Curves/meltCurve_Q96GP6_2_SCARF2.pdf", "Melting_Curves/meltCurve_Q96GP6_2_SCARF2.pdf")</f>
        <v>Melting_Curves/meltCurve_Q96GP6_2_SCARF2.pdf</v>
      </c>
    </row>
    <row r="4310" spans="1:28" x14ac:dyDescent="0.25">
      <c r="A4310" t="s">
        <v>4314</v>
      </c>
      <c r="B4310">
        <v>0.99299721793515405</v>
      </c>
      <c r="C4310">
        <v>0.97345822886322597</v>
      </c>
      <c r="D4310">
        <v>0.97667225342988795</v>
      </c>
      <c r="E4310">
        <v>0.91539890182720696</v>
      </c>
      <c r="F4310">
        <v>0.83309264774173097</v>
      </c>
      <c r="G4310">
        <v>0.75788053567279101</v>
      </c>
      <c r="H4310">
        <v>0.65148341512059305</v>
      </c>
      <c r="I4310">
        <v>0.62101609968238203</v>
      </c>
      <c r="J4310">
        <v>0.37863742194942901</v>
      </c>
      <c r="K4310">
        <v>0.22227062563004499</v>
      </c>
      <c r="L4310">
        <v>555.84971295240098</v>
      </c>
      <c r="M4310">
        <v>9.1001811644501593</v>
      </c>
      <c r="N4310">
        <v>61.081156310577001</v>
      </c>
      <c r="O4310">
        <v>58.348321873567997</v>
      </c>
      <c r="P4310">
        <v>-3.9017910207041699E-2</v>
      </c>
      <c r="Q4310">
        <v>0</v>
      </c>
      <c r="R4310">
        <v>0.96013742606346297</v>
      </c>
      <c r="S4310" t="s">
        <v>9861</v>
      </c>
      <c r="T4310" t="s">
        <v>11100</v>
      </c>
      <c r="U4310" t="s">
        <v>11100</v>
      </c>
      <c r="V4310" t="s">
        <v>11100</v>
      </c>
      <c r="W4310" t="s">
        <v>15359</v>
      </c>
      <c r="X4310">
        <v>12</v>
      </c>
      <c r="Y4310" t="s">
        <v>20790</v>
      </c>
      <c r="Z4310" t="s">
        <v>26315</v>
      </c>
      <c r="AA4310">
        <v>0.75680896687978005</v>
      </c>
      <c r="AB4310" t="str">
        <f>HYPERLINK("Melting_Curves/meltCurve_Q96GS4_C17orf59.pdf", "Melting_Curves/meltCurve_Q96GS4_C17orf59.pdf")</f>
        <v>Melting_Curves/meltCurve_Q96GS4_C17orf59.pdf</v>
      </c>
    </row>
    <row r="4311" spans="1:28" x14ac:dyDescent="0.25">
      <c r="A4311" t="s">
        <v>4315</v>
      </c>
      <c r="B4311">
        <v>0.99299721793515405</v>
      </c>
      <c r="C4311">
        <v>0.99457909019051605</v>
      </c>
      <c r="D4311">
        <v>1.0888724144022399</v>
      </c>
      <c r="E4311">
        <v>0.93445186471146602</v>
      </c>
      <c r="F4311">
        <v>0.75483066233832696</v>
      </c>
      <c r="G4311">
        <v>0.688918023521498</v>
      </c>
      <c r="H4311">
        <v>0.57913912320981498</v>
      </c>
      <c r="I4311">
        <v>0.584600027070033</v>
      </c>
      <c r="J4311">
        <v>0.37500913124177099</v>
      </c>
      <c r="K4311">
        <v>0.19619039983256101</v>
      </c>
      <c r="L4311">
        <v>513.12295191337398</v>
      </c>
      <c r="M4311">
        <v>8.5739541034069209</v>
      </c>
      <c r="N4311">
        <v>59.8467003129606</v>
      </c>
      <c r="O4311">
        <v>56.857857810491097</v>
      </c>
      <c r="P4311">
        <v>-3.7731950947508898E-2</v>
      </c>
      <c r="Q4311">
        <v>0</v>
      </c>
      <c r="R4311">
        <v>0.93795135582866296</v>
      </c>
      <c r="S4311" t="s">
        <v>9862</v>
      </c>
      <c r="T4311" t="s">
        <v>11100</v>
      </c>
      <c r="U4311" t="s">
        <v>11100</v>
      </c>
      <c r="V4311" t="s">
        <v>11100</v>
      </c>
      <c r="W4311" t="s">
        <v>15360</v>
      </c>
      <c r="X4311">
        <v>10</v>
      </c>
      <c r="Y4311" t="s">
        <v>20791</v>
      </c>
      <c r="Z4311" t="s">
        <v>26316</v>
      </c>
      <c r="AA4311">
        <v>0.72544441070323051</v>
      </c>
      <c r="AB4311" t="str">
        <f>HYPERLINK("Melting_Curves/meltCurve_Q96GW9_MARS2.pdf", "Melting_Curves/meltCurve_Q96GW9_MARS2.pdf")</f>
        <v>Melting_Curves/meltCurve_Q96GW9_MARS2.pdf</v>
      </c>
    </row>
    <row r="4312" spans="1:28" x14ac:dyDescent="0.25">
      <c r="A4312" t="s">
        <v>4316</v>
      </c>
      <c r="B4312">
        <v>0.99299721793515405</v>
      </c>
      <c r="C4312">
        <v>1.16584924861808</v>
      </c>
      <c r="D4312">
        <v>1.13875975014632</v>
      </c>
      <c r="E4312">
        <v>0.987658192954186</v>
      </c>
      <c r="F4312">
        <v>0.96880067117826396</v>
      </c>
      <c r="G4312">
        <v>0.55310049157303898</v>
      </c>
      <c r="H4312">
        <v>0.51039694115027801</v>
      </c>
      <c r="I4312">
        <v>0.472953310500211</v>
      </c>
      <c r="J4312">
        <v>0.372004135860804</v>
      </c>
      <c r="K4312">
        <v>0.25294190462585298</v>
      </c>
      <c r="L4312">
        <v>2025.25841927739</v>
      </c>
      <c r="M4312">
        <v>38.331189903160897</v>
      </c>
      <c r="N4312">
        <v>54.974797445169997</v>
      </c>
      <c r="O4312">
        <v>52.692601561110301</v>
      </c>
      <c r="P4312">
        <v>-0.11139560487771701</v>
      </c>
      <c r="Q4312">
        <v>0.38747441786370002</v>
      </c>
      <c r="R4312">
        <v>0.919668476188225</v>
      </c>
      <c r="S4312" t="s">
        <v>9863</v>
      </c>
      <c r="T4312" t="s">
        <v>11100</v>
      </c>
      <c r="U4312" t="s">
        <v>11100</v>
      </c>
      <c r="V4312" t="s">
        <v>11100</v>
      </c>
      <c r="W4312" t="s">
        <v>15361</v>
      </c>
      <c r="X4312">
        <v>4</v>
      </c>
      <c r="Y4312" t="s">
        <v>20792</v>
      </c>
      <c r="Z4312" t="s">
        <v>26317</v>
      </c>
      <c r="AA4312">
        <v>0.71322582851329897</v>
      </c>
      <c r="AB4312" t="str">
        <f>HYPERLINK("Melting_Curves/meltCurve_Q96GX2_ATXN7L3B.pdf", "Melting_Curves/meltCurve_Q96GX2_ATXN7L3B.pdf")</f>
        <v>Melting_Curves/meltCurve_Q96GX2_ATXN7L3B.pdf</v>
      </c>
    </row>
    <row r="4313" spans="1:28" x14ac:dyDescent="0.25">
      <c r="A4313" t="s">
        <v>4317</v>
      </c>
      <c r="B4313">
        <v>0.99299721793515405</v>
      </c>
      <c r="C4313">
        <v>0.93050622164087404</v>
      </c>
      <c r="D4313">
        <v>0.93923436064730204</v>
      </c>
      <c r="E4313">
        <v>0.87744962123594705</v>
      </c>
      <c r="F4313">
        <v>0.59477495203362696</v>
      </c>
      <c r="G4313">
        <v>0.173368773093102</v>
      </c>
      <c r="H4313">
        <v>0.14118232960063201</v>
      </c>
      <c r="I4313">
        <v>0.107814292537093</v>
      </c>
      <c r="J4313">
        <v>0.111972054152553</v>
      </c>
      <c r="K4313">
        <v>8.2638440135947303E-2</v>
      </c>
      <c r="L4313">
        <v>1391.03366506923</v>
      </c>
      <c r="M4313">
        <v>27.652860531601601</v>
      </c>
      <c r="N4313">
        <v>50.683921414603702</v>
      </c>
      <c r="O4313">
        <v>50.042553395476602</v>
      </c>
      <c r="P4313">
        <v>-0.12519904479091301</v>
      </c>
      <c r="Q4313">
        <v>9.3732117840371595E-2</v>
      </c>
      <c r="R4313">
        <v>0.99124465368063697</v>
      </c>
      <c r="S4313" t="s">
        <v>9864</v>
      </c>
      <c r="T4313" t="s">
        <v>11100</v>
      </c>
      <c r="U4313" t="s">
        <v>11100</v>
      </c>
      <c r="V4313" t="s">
        <v>11100</v>
      </c>
      <c r="W4313" t="s">
        <v>15362</v>
      </c>
      <c r="X4313">
        <v>10</v>
      </c>
      <c r="Y4313" t="s">
        <v>20793</v>
      </c>
      <c r="Z4313" t="s">
        <v>26318</v>
      </c>
      <c r="AA4313">
        <v>0.50216658902368938</v>
      </c>
      <c r="AB4313" t="str">
        <f>HYPERLINK("Melting_Curves/meltCurve_Q96GX5_2_MASTL.pdf", "Melting_Curves/meltCurve_Q96GX5_2_MASTL.pdf")</f>
        <v>Melting_Curves/meltCurve_Q96GX5_2_MASTL.pdf</v>
      </c>
    </row>
    <row r="4314" spans="1:28" x14ac:dyDescent="0.25">
      <c r="A4314" t="s">
        <v>4318</v>
      </c>
      <c r="B4314">
        <v>0.99299721793515405</v>
      </c>
      <c r="C4314">
        <v>0.96173090690318297</v>
      </c>
      <c r="D4314">
        <v>0.929805956628451</v>
      </c>
      <c r="E4314">
        <v>0.83740798545893702</v>
      </c>
      <c r="F4314">
        <v>0.70730798282754304</v>
      </c>
      <c r="G4314">
        <v>0.63551141402988098</v>
      </c>
      <c r="H4314">
        <v>0.69114829296959401</v>
      </c>
      <c r="I4314">
        <v>0.83846648233262</v>
      </c>
      <c r="J4314">
        <v>0.98288068050766297</v>
      </c>
      <c r="K4314">
        <v>0.87058735565705903</v>
      </c>
      <c r="L4314">
        <v>1438.9318006543999</v>
      </c>
      <c r="M4314">
        <v>32.825247367014804</v>
      </c>
      <c r="O4314">
        <v>43.674400503435699</v>
      </c>
      <c r="P4314">
        <v>-3.9404257781846301E-2</v>
      </c>
      <c r="Q4314">
        <v>0.79028955216544094</v>
      </c>
      <c r="R4314">
        <v>0.40508017828202902</v>
      </c>
      <c r="S4314" t="s">
        <v>9865</v>
      </c>
      <c r="T4314" t="s">
        <v>11100</v>
      </c>
      <c r="U4314" t="s">
        <v>11100</v>
      </c>
      <c r="V4314" t="s">
        <v>11100</v>
      </c>
      <c r="W4314" t="s">
        <v>15363</v>
      </c>
      <c r="X4314">
        <v>10</v>
      </c>
      <c r="Y4314" t="s">
        <v>20794</v>
      </c>
      <c r="Z4314" t="s">
        <v>26319</v>
      </c>
      <c r="AA4314">
        <v>0.83903886143075179</v>
      </c>
      <c r="AB4314" t="str">
        <f>HYPERLINK("Melting_Curves/meltCurve_Q96GX9_APIP.pdf", "Melting_Curves/meltCurve_Q96GX9_APIP.pdf")</f>
        <v>Melting_Curves/meltCurve_Q96GX9_APIP.pdf</v>
      </c>
    </row>
    <row r="4315" spans="1:28" x14ac:dyDescent="0.25">
      <c r="A4315" t="s">
        <v>4319</v>
      </c>
      <c r="B4315">
        <v>0.99299721793515405</v>
      </c>
      <c r="C4315">
        <v>0.92403511045873699</v>
      </c>
      <c r="D4315">
        <v>0.92082455867588198</v>
      </c>
      <c r="E4315">
        <v>0.79884563944585196</v>
      </c>
      <c r="F4315">
        <v>0.69188809123728501</v>
      </c>
      <c r="G4315">
        <v>0.84081064158067798</v>
      </c>
      <c r="H4315">
        <v>0.66496973880002497</v>
      </c>
      <c r="I4315">
        <v>0.82155247026300005</v>
      </c>
      <c r="J4315">
        <v>0.54103693630765703</v>
      </c>
      <c r="K4315">
        <v>0.20977012354348801</v>
      </c>
      <c r="L4315">
        <v>340.09647826511002</v>
      </c>
      <c r="M4315">
        <v>5.27196289927224</v>
      </c>
      <c r="N4315">
        <v>64.510407056241803</v>
      </c>
      <c r="O4315">
        <v>56.977052166333898</v>
      </c>
      <c r="P4315">
        <v>-2.3250051857872499E-2</v>
      </c>
      <c r="Q4315">
        <v>0</v>
      </c>
      <c r="R4315">
        <v>0.67685019241454702</v>
      </c>
      <c r="S4315" t="s">
        <v>9866</v>
      </c>
      <c r="T4315" t="s">
        <v>11100</v>
      </c>
      <c r="U4315" t="s">
        <v>11100</v>
      </c>
      <c r="V4315" t="s">
        <v>11100</v>
      </c>
      <c r="W4315" t="s">
        <v>15364</v>
      </c>
      <c r="X4315">
        <v>5</v>
      </c>
      <c r="Y4315" t="s">
        <v>20795</v>
      </c>
      <c r="Z4315" t="s">
        <v>26320</v>
      </c>
      <c r="AA4315">
        <v>0.75722810515759942</v>
      </c>
      <c r="AB4315" t="str">
        <f>HYPERLINK("Melting_Curves/meltCurve_Q96GY0_ZC2HC1A.pdf", "Melting_Curves/meltCurve_Q96GY0_ZC2HC1A.pdf")</f>
        <v>Melting_Curves/meltCurve_Q96GY0_ZC2HC1A.pdf</v>
      </c>
    </row>
    <row r="4316" spans="1:28" x14ac:dyDescent="0.25">
      <c r="A4316" t="s">
        <v>4320</v>
      </c>
      <c r="B4316">
        <v>0.99299721793515405</v>
      </c>
      <c r="C4316">
        <v>1.03600219470721</v>
      </c>
      <c r="D4316">
        <v>0.89233971501490705</v>
      </c>
      <c r="E4316">
        <v>0.87726788734322403</v>
      </c>
      <c r="F4316">
        <v>0.70937820214376701</v>
      </c>
      <c r="G4316">
        <v>0.44070295425151201</v>
      </c>
      <c r="H4316">
        <v>0.31159759886626198</v>
      </c>
      <c r="I4316">
        <v>0.16685525084768901</v>
      </c>
      <c r="J4316">
        <v>0.120603654697788</v>
      </c>
      <c r="K4316">
        <v>8.7398943380104496E-2</v>
      </c>
      <c r="L4316">
        <v>691.44499215395797</v>
      </c>
      <c r="M4316">
        <v>13.024169127192</v>
      </c>
      <c r="N4316">
        <v>53.2973279499586</v>
      </c>
      <c r="O4316">
        <v>51.884548539858599</v>
      </c>
      <c r="P4316">
        <v>-6.1211560995172803E-2</v>
      </c>
      <c r="Q4316">
        <v>2.47737900627822E-2</v>
      </c>
      <c r="R4316">
        <v>0.99336499673859702</v>
      </c>
      <c r="S4316" t="s">
        <v>9867</v>
      </c>
      <c r="T4316" t="s">
        <v>11100</v>
      </c>
      <c r="U4316" t="s">
        <v>11100</v>
      </c>
      <c r="V4316" t="s">
        <v>11100</v>
      </c>
      <c r="W4316" t="s">
        <v>15365</v>
      </c>
      <c r="X4316">
        <v>6</v>
      </c>
      <c r="Y4316" t="s">
        <v>20796</v>
      </c>
      <c r="Z4316" t="s">
        <v>26321</v>
      </c>
      <c r="AA4316">
        <v>0.56715773791034829</v>
      </c>
      <c r="AB4316" t="str">
        <f>HYPERLINK("Melting_Curves/meltCurve_Q96H20_SNF8.pdf", "Melting_Curves/meltCurve_Q96H20_SNF8.pdf")</f>
        <v>Melting_Curves/meltCurve_Q96H20_SNF8.pdf</v>
      </c>
    </row>
    <row r="4317" spans="1:28" x14ac:dyDescent="0.25">
      <c r="A4317" t="s">
        <v>4321</v>
      </c>
      <c r="B4317">
        <v>0.99299721793515405</v>
      </c>
      <c r="C4317">
        <v>1.03240018962685</v>
      </c>
      <c r="D4317">
        <v>0.81291190515539802</v>
      </c>
      <c r="E4317">
        <v>0.74983453315424198</v>
      </c>
      <c r="F4317">
        <v>0.39520762555878802</v>
      </c>
      <c r="G4317">
        <v>0.251928327579231</v>
      </c>
      <c r="H4317">
        <v>0.17480334650409601</v>
      </c>
      <c r="I4317">
        <v>0.19501341778235901</v>
      </c>
      <c r="J4317">
        <v>0.21944685325055299</v>
      </c>
      <c r="K4317">
        <v>0.178686984448231</v>
      </c>
      <c r="L4317">
        <v>903.43964793479802</v>
      </c>
      <c r="M4317">
        <v>18.889061567596201</v>
      </c>
      <c r="N4317">
        <v>48.943350789114596</v>
      </c>
      <c r="O4317">
        <v>47.302336420306297</v>
      </c>
      <c r="P4317">
        <v>-8.2384058532776999E-2</v>
      </c>
      <c r="Q4317">
        <v>0.174803109703556</v>
      </c>
      <c r="R4317">
        <v>0.98299405140720497</v>
      </c>
      <c r="S4317" t="s">
        <v>9868</v>
      </c>
      <c r="T4317" t="s">
        <v>11100</v>
      </c>
      <c r="U4317" t="s">
        <v>11100</v>
      </c>
      <c r="V4317" t="s">
        <v>11100</v>
      </c>
      <c r="W4317" t="s">
        <v>15366</v>
      </c>
      <c r="X4317">
        <v>1</v>
      </c>
      <c r="Y4317" t="s">
        <v>20797</v>
      </c>
      <c r="Z4317" t="s">
        <v>26322</v>
      </c>
      <c r="AA4317">
        <v>0.4847332066875995</v>
      </c>
      <c r="AB4317" t="str">
        <f>HYPERLINK("Melting_Curves/meltCurve_Q96H55_3_MYO19.pdf", "Melting_Curves/meltCurve_Q96H55_3_MYO19.pdf")</f>
        <v>Melting_Curves/meltCurve_Q96H55_3_MYO19.pdf</v>
      </c>
    </row>
    <row r="4318" spans="1:28" x14ac:dyDescent="0.25">
      <c r="A4318" t="s">
        <v>4322</v>
      </c>
      <c r="B4318">
        <v>0.99299721793515405</v>
      </c>
      <c r="C4318">
        <v>0.86539941368417495</v>
      </c>
      <c r="D4318">
        <v>1.1181677182216301</v>
      </c>
      <c r="E4318">
        <v>0.790782795106305</v>
      </c>
      <c r="F4318">
        <v>0.71048471231849097</v>
      </c>
      <c r="G4318">
        <v>0.49037335792940301</v>
      </c>
      <c r="H4318">
        <v>0.242984729777346</v>
      </c>
      <c r="I4318">
        <v>0.23759808761446899</v>
      </c>
      <c r="J4318">
        <v>0.20529032488582999</v>
      </c>
      <c r="K4318">
        <v>0.20236191033019599</v>
      </c>
      <c r="L4318">
        <v>850.03761279722403</v>
      </c>
      <c r="M4318">
        <v>16.4438218100908</v>
      </c>
      <c r="N4318">
        <v>53.012230299791497</v>
      </c>
      <c r="O4318">
        <v>50.9470684251054</v>
      </c>
      <c r="P4318">
        <v>-6.7150035086653695E-2</v>
      </c>
      <c r="Q4318">
        <v>0.16786824825993901</v>
      </c>
      <c r="R4318">
        <v>0.95344088670717297</v>
      </c>
      <c r="S4318" t="s">
        <v>9869</v>
      </c>
      <c r="T4318" t="s">
        <v>11100</v>
      </c>
      <c r="U4318" t="s">
        <v>11100</v>
      </c>
      <c r="V4318" t="s">
        <v>11100</v>
      </c>
      <c r="W4318" t="s">
        <v>15367</v>
      </c>
      <c r="X4318">
        <v>8</v>
      </c>
      <c r="Y4318" t="s">
        <v>20798</v>
      </c>
      <c r="Z4318" t="s">
        <v>26323</v>
      </c>
      <c r="AA4318">
        <v>0.58984443134417452</v>
      </c>
      <c r="AB4318" t="str">
        <f>HYPERLINK("Melting_Curves/meltCurve_Q96H79_ZC3HAV1L.pdf", "Melting_Curves/meltCurve_Q96H79_ZC3HAV1L.pdf")</f>
        <v>Melting_Curves/meltCurve_Q96H79_ZC3HAV1L.pdf</v>
      </c>
    </row>
    <row r="4319" spans="1:28" x14ac:dyDescent="0.25">
      <c r="A4319" t="s">
        <v>4323</v>
      </c>
      <c r="B4319">
        <v>0.99299721793515405</v>
      </c>
      <c r="C4319">
        <v>0.98013711979068197</v>
      </c>
      <c r="D4319">
        <v>1.19825317848621</v>
      </c>
      <c r="E4319">
        <v>0.79122235199999102</v>
      </c>
      <c r="F4319">
        <v>0.652051480322553</v>
      </c>
      <c r="G4319">
        <v>0.424227717453385</v>
      </c>
      <c r="H4319">
        <v>0.346637173445001</v>
      </c>
      <c r="I4319">
        <v>0.31948942928366603</v>
      </c>
      <c r="J4319">
        <v>0.328103887496415</v>
      </c>
      <c r="K4319">
        <v>0.32809768039245202</v>
      </c>
      <c r="L4319">
        <v>1135.4427737159201</v>
      </c>
      <c r="M4319">
        <v>22.841961393669099</v>
      </c>
      <c r="N4319">
        <v>52.0510224542979</v>
      </c>
      <c r="O4319">
        <v>49.332350458813103</v>
      </c>
      <c r="P4319">
        <v>-7.85850996554293E-2</v>
      </c>
      <c r="Q4319">
        <v>0.32112433660395201</v>
      </c>
      <c r="R4319">
        <v>0.94417140540865296</v>
      </c>
      <c r="S4319" t="s">
        <v>9870</v>
      </c>
      <c r="T4319" t="s">
        <v>11100</v>
      </c>
      <c r="U4319" t="s">
        <v>11100</v>
      </c>
      <c r="V4319" t="s">
        <v>11100</v>
      </c>
      <c r="W4319" t="s">
        <v>15368</v>
      </c>
      <c r="X4319">
        <v>3</v>
      </c>
      <c r="Y4319" t="s">
        <v>20799</v>
      </c>
      <c r="Z4319" t="s">
        <v>26324</v>
      </c>
      <c r="AA4319">
        <v>0.61573187456626688</v>
      </c>
      <c r="AB4319" t="str">
        <f>HYPERLINK("Melting_Curves/meltCurve_Q96HA1_2_POM121.pdf", "Melting_Curves/meltCurve_Q96HA1_2_POM121.pdf")</f>
        <v>Melting_Curves/meltCurve_Q96HA1_2_POM121.pdf</v>
      </c>
    </row>
    <row r="4320" spans="1:28" x14ac:dyDescent="0.25">
      <c r="A4320" t="s">
        <v>4324</v>
      </c>
      <c r="B4320">
        <v>0.99299721793515405</v>
      </c>
      <c r="C4320">
        <v>0.89473968522167702</v>
      </c>
      <c r="D4320">
        <v>0.99219141154590695</v>
      </c>
      <c r="E4320">
        <v>0.80152700353700401</v>
      </c>
      <c r="F4320">
        <v>0.61049195653168897</v>
      </c>
      <c r="G4320">
        <v>0.44579719499248299</v>
      </c>
      <c r="H4320">
        <v>0.44769119316738898</v>
      </c>
      <c r="I4320">
        <v>0.54784904836738402</v>
      </c>
      <c r="J4320">
        <v>0.66932026321916904</v>
      </c>
      <c r="K4320">
        <v>0.56826482030773295</v>
      </c>
      <c r="L4320">
        <v>1663.20008566808</v>
      </c>
      <c r="M4320">
        <v>35.369507640841</v>
      </c>
      <c r="O4320">
        <v>46.873999257579896</v>
      </c>
      <c r="P4320">
        <v>-8.6915951225000704E-2</v>
      </c>
      <c r="Q4320">
        <v>0.53925460336729902</v>
      </c>
      <c r="R4320">
        <v>0.87946686592637102</v>
      </c>
      <c r="S4320" t="s">
        <v>9871</v>
      </c>
      <c r="T4320" t="s">
        <v>11100</v>
      </c>
      <c r="U4320" t="s">
        <v>11100</v>
      </c>
      <c r="V4320" t="s">
        <v>11100</v>
      </c>
      <c r="W4320" t="s">
        <v>15369</v>
      </c>
      <c r="X4320">
        <v>3</v>
      </c>
      <c r="Y4320" t="s">
        <v>20800</v>
      </c>
      <c r="Z4320" t="s">
        <v>26325</v>
      </c>
      <c r="AA4320">
        <v>0.69511859896727057</v>
      </c>
      <c r="AB4320" t="str">
        <f>HYPERLINK("Melting_Curves/meltCurve_Q96HA4_4_C1orf159.pdf", "Melting_Curves/meltCurve_Q96HA4_4_C1orf159.pdf")</f>
        <v>Melting_Curves/meltCurve_Q96HA4_4_C1orf159.pdf</v>
      </c>
    </row>
    <row r="4321" spans="1:28" x14ac:dyDescent="0.25">
      <c r="A4321" t="s">
        <v>4325</v>
      </c>
      <c r="B4321">
        <v>0.99299721793515405</v>
      </c>
      <c r="C4321">
        <v>1.0054371872874699</v>
      </c>
      <c r="D4321">
        <v>0.97517716620016104</v>
      </c>
      <c r="E4321">
        <v>0.92928999621654995</v>
      </c>
      <c r="F4321">
        <v>0.77700457336939099</v>
      </c>
      <c r="G4321">
        <v>0.53788975964482399</v>
      </c>
      <c r="H4321">
        <v>0.40318885489686401</v>
      </c>
      <c r="I4321">
        <v>0.27540933812615598</v>
      </c>
      <c r="J4321">
        <v>0.22837660164629101</v>
      </c>
      <c r="K4321">
        <v>0.17892707781818601</v>
      </c>
      <c r="L4321">
        <v>791.32959489097595</v>
      </c>
      <c r="M4321">
        <v>14.765081508349599</v>
      </c>
      <c r="N4321">
        <v>54.935565486202499</v>
      </c>
      <c r="O4321">
        <v>52.640345605286498</v>
      </c>
      <c r="P4321">
        <v>-5.9519334443898703E-2</v>
      </c>
      <c r="Q4321">
        <v>0.15129962284258899</v>
      </c>
      <c r="R4321">
        <v>0.99838819926408195</v>
      </c>
      <c r="S4321" t="s">
        <v>9872</v>
      </c>
      <c r="T4321" t="s">
        <v>11100</v>
      </c>
      <c r="U4321" t="s">
        <v>11100</v>
      </c>
      <c r="V4321" t="s">
        <v>11100</v>
      </c>
      <c r="W4321" t="s">
        <v>15370</v>
      </c>
      <c r="X4321">
        <v>19</v>
      </c>
      <c r="Y4321" t="s">
        <v>20801</v>
      </c>
      <c r="Z4321" t="s">
        <v>26326</v>
      </c>
      <c r="AA4321">
        <v>0.63530325878075822</v>
      </c>
      <c r="AB4321" t="str">
        <f>HYPERLINK("Melting_Curves/meltCurve_Q96HC4_PDLIM5.pdf", "Melting_Curves/meltCurve_Q96HC4_PDLIM5.pdf")</f>
        <v>Melting_Curves/meltCurve_Q96HC4_PDLIM5.pdf</v>
      </c>
    </row>
    <row r="4322" spans="1:28" x14ac:dyDescent="0.25">
      <c r="A4322" t="s">
        <v>4326</v>
      </c>
      <c r="B4322">
        <v>0.99299721793515405</v>
      </c>
      <c r="C4322">
        <v>0.87642884677484501</v>
      </c>
      <c r="D4322">
        <v>0.81443802041503999</v>
      </c>
      <c r="E4322">
        <v>0.77746419640212705</v>
      </c>
      <c r="F4322">
        <v>0.80427254197322295</v>
      </c>
      <c r="G4322">
        <v>0.47675206581545698</v>
      </c>
      <c r="H4322">
        <v>0.51132188049607197</v>
      </c>
      <c r="I4322">
        <v>0.44017697803240902</v>
      </c>
      <c r="J4322">
        <v>0.40513302628113901</v>
      </c>
      <c r="K4322">
        <v>0.23821808867810601</v>
      </c>
      <c r="L4322">
        <v>318.34439627141802</v>
      </c>
      <c r="M4322">
        <v>5.5688226059492703</v>
      </c>
      <c r="N4322">
        <v>57.165483482085598</v>
      </c>
      <c r="O4322">
        <v>51.066218779171599</v>
      </c>
      <c r="P4322">
        <v>-2.7377713892149599E-2</v>
      </c>
      <c r="Q4322">
        <v>0</v>
      </c>
      <c r="R4322">
        <v>0.92771212384596202</v>
      </c>
      <c r="S4322" t="s">
        <v>9873</v>
      </c>
      <c r="T4322" t="s">
        <v>11100</v>
      </c>
      <c r="U4322" t="s">
        <v>11100</v>
      </c>
      <c r="V4322" t="s">
        <v>11100</v>
      </c>
      <c r="W4322" t="s">
        <v>15371</v>
      </c>
      <c r="X4322">
        <v>6</v>
      </c>
      <c r="Y4322" t="s">
        <v>20802</v>
      </c>
      <c r="Z4322" t="s">
        <v>26327</v>
      </c>
      <c r="AA4322">
        <v>0.63592495296640794</v>
      </c>
      <c r="AB4322" t="str">
        <f>HYPERLINK("Melting_Curves/meltCurve_Q96HD1_CRELD1.pdf", "Melting_Curves/meltCurve_Q96HD1_CRELD1.pdf")</f>
        <v>Melting_Curves/meltCurve_Q96HD1_CRELD1.pdf</v>
      </c>
    </row>
    <row r="4323" spans="1:28" x14ac:dyDescent="0.25">
      <c r="A4323" t="s">
        <v>4327</v>
      </c>
      <c r="B4323">
        <v>0.99299721793515405</v>
      </c>
      <c r="C4323">
        <v>0.977422100891431</v>
      </c>
      <c r="D4323">
        <v>0.95132459191225704</v>
      </c>
      <c r="E4323">
        <v>0.88824595223426905</v>
      </c>
      <c r="F4323">
        <v>0.73983004590615198</v>
      </c>
      <c r="G4323">
        <v>0.53091178351704804</v>
      </c>
      <c r="H4323">
        <v>0.345675342262181</v>
      </c>
      <c r="I4323">
        <v>0.271694208264259</v>
      </c>
      <c r="J4323">
        <v>0.20569181173243201</v>
      </c>
      <c r="K4323">
        <v>0.15946154287883499</v>
      </c>
      <c r="L4323">
        <v>702.17960908557302</v>
      </c>
      <c r="M4323">
        <v>13.1578550774337</v>
      </c>
      <c r="N4323">
        <v>54.407794083671597</v>
      </c>
      <c r="O4323">
        <v>52.178290433579001</v>
      </c>
      <c r="P4323">
        <v>-5.60308641149199E-2</v>
      </c>
      <c r="Q4323">
        <v>0.11137403467946</v>
      </c>
      <c r="R4323">
        <v>0.99889129477434402</v>
      </c>
      <c r="S4323" t="s">
        <v>9874</v>
      </c>
      <c r="T4323" t="s">
        <v>11100</v>
      </c>
      <c r="U4323" t="s">
        <v>11100</v>
      </c>
      <c r="V4323" t="s">
        <v>11100</v>
      </c>
      <c r="W4323" t="s">
        <v>15372</v>
      </c>
      <c r="X4323">
        <v>22</v>
      </c>
      <c r="Y4323" t="s">
        <v>20803</v>
      </c>
      <c r="Z4323" t="s">
        <v>26328</v>
      </c>
      <c r="AA4323">
        <v>0.61308684563031624</v>
      </c>
      <c r="AB4323" t="str">
        <f>HYPERLINK("Melting_Curves/meltCurve_Q96HE7_ERO1L.pdf", "Melting_Curves/meltCurve_Q96HE7_ERO1L.pdf")</f>
        <v>Melting_Curves/meltCurve_Q96HE7_ERO1L.pdf</v>
      </c>
    </row>
    <row r="4324" spans="1:28" x14ac:dyDescent="0.25">
      <c r="A4324" t="s">
        <v>4328</v>
      </c>
      <c r="B4324">
        <v>0.99299721793515405</v>
      </c>
      <c r="C4324">
        <v>1.0157937408502999</v>
      </c>
      <c r="D4324">
        <v>0.88504331648948698</v>
      </c>
      <c r="E4324">
        <v>0.86666678979746503</v>
      </c>
      <c r="F4324">
        <v>0.61605590701023605</v>
      </c>
      <c r="G4324">
        <v>0.47941754639860701</v>
      </c>
      <c r="H4324">
        <v>0.66783946326491495</v>
      </c>
      <c r="I4324">
        <v>0.65339507551197995</v>
      </c>
      <c r="J4324">
        <v>0.53224806902631405</v>
      </c>
      <c r="K4324">
        <v>0.29406044612467303</v>
      </c>
      <c r="L4324">
        <v>685.08643638837202</v>
      </c>
      <c r="M4324">
        <v>14.221681499266101</v>
      </c>
      <c r="N4324">
        <v>63.843777384141397</v>
      </c>
      <c r="O4324">
        <v>47.249535763558001</v>
      </c>
      <c r="P4324">
        <v>-3.8775090028930898E-2</v>
      </c>
      <c r="Q4324">
        <v>0.48476499864620398</v>
      </c>
      <c r="R4324">
        <v>0.79925210514955103</v>
      </c>
      <c r="S4324" t="s">
        <v>9875</v>
      </c>
      <c r="T4324" t="s">
        <v>11100</v>
      </c>
      <c r="U4324" t="s">
        <v>11100</v>
      </c>
      <c r="V4324" t="s">
        <v>11100</v>
      </c>
      <c r="W4324" t="s">
        <v>15373</v>
      </c>
      <c r="X4324">
        <v>32</v>
      </c>
      <c r="Y4324" t="s">
        <v>20804</v>
      </c>
      <c r="Z4324" t="s">
        <v>26329</v>
      </c>
      <c r="AA4324">
        <v>0.68897410899828815</v>
      </c>
      <c r="AB4324" t="str">
        <f>HYPERLINK("Melting_Curves/meltCurve_Q96HJ9_2_C7orf55.pdf", "Melting_Curves/meltCurve_Q96HJ9_2_C7orf55.pdf")</f>
        <v>Melting_Curves/meltCurve_Q96HJ9_2_C7orf55.pdf</v>
      </c>
    </row>
    <row r="4325" spans="1:28" x14ac:dyDescent="0.25">
      <c r="A4325" t="s">
        <v>4329</v>
      </c>
      <c r="B4325">
        <v>0.99299721793515405</v>
      </c>
      <c r="C4325">
        <v>1.0357813940724101</v>
      </c>
      <c r="D4325">
        <v>0.93434949820381796</v>
      </c>
      <c r="E4325">
        <v>0.93234587267001201</v>
      </c>
      <c r="F4325">
        <v>0.77263586961818798</v>
      </c>
      <c r="G4325">
        <v>0.88526449468403801</v>
      </c>
      <c r="H4325">
        <v>0.79850638799139495</v>
      </c>
      <c r="I4325">
        <v>0.88052298221723402</v>
      </c>
      <c r="J4325">
        <v>0.890209898563182</v>
      </c>
      <c r="K4325">
        <v>0.60087029135289505</v>
      </c>
      <c r="L4325">
        <v>231.23188259851</v>
      </c>
      <c r="M4325">
        <v>2.4401821728119701</v>
      </c>
      <c r="O4325">
        <v>63.095998470459499</v>
      </c>
      <c r="P4325">
        <v>-1.0195928922362299E-2</v>
      </c>
      <c r="Q4325">
        <v>0</v>
      </c>
      <c r="R4325">
        <v>0.541059173455951</v>
      </c>
      <c r="S4325" t="s">
        <v>9876</v>
      </c>
      <c r="T4325" t="s">
        <v>11100</v>
      </c>
      <c r="U4325" t="s">
        <v>11100</v>
      </c>
      <c r="V4325" t="s">
        <v>11100</v>
      </c>
      <c r="W4325" t="s">
        <v>15374</v>
      </c>
      <c r="X4325">
        <v>18</v>
      </c>
      <c r="Y4325" t="s">
        <v>20805</v>
      </c>
      <c r="Z4325" t="s">
        <v>26330</v>
      </c>
      <c r="AA4325">
        <v>0.87274388795484292</v>
      </c>
      <c r="AB4325" t="str">
        <f>HYPERLINK("Melting_Curves/meltCurve_Q96HN2_2_AHCYL2.pdf", "Melting_Curves/meltCurve_Q96HN2_2_AHCYL2.pdf")</f>
        <v>Melting_Curves/meltCurve_Q96HN2_2_AHCYL2.pdf</v>
      </c>
    </row>
    <row r="4326" spans="1:28" x14ac:dyDescent="0.25">
      <c r="A4326" t="s">
        <v>4330</v>
      </c>
      <c r="B4326">
        <v>0.99299721793515405</v>
      </c>
      <c r="C4326">
        <v>0.92818674816020397</v>
      </c>
      <c r="D4326">
        <v>0.745700332078577</v>
      </c>
      <c r="E4326">
        <v>0.84753991073342505</v>
      </c>
      <c r="F4326">
        <v>0.69641232607282699</v>
      </c>
      <c r="G4326">
        <v>0.41551768929656302</v>
      </c>
      <c r="H4326">
        <v>0.54357850687880804</v>
      </c>
      <c r="I4326">
        <v>0.62785883329434899</v>
      </c>
      <c r="J4326">
        <v>0.78498691984148705</v>
      </c>
      <c r="K4326">
        <v>1.18022809409149</v>
      </c>
      <c r="L4326">
        <v>1488.41881371926</v>
      </c>
      <c r="M4326">
        <v>36.374362417066997</v>
      </c>
      <c r="O4326">
        <v>40.796361635552202</v>
      </c>
      <c r="P4326">
        <v>-6.1266685695345699E-2</v>
      </c>
      <c r="Q4326">
        <v>0.72514155877055997</v>
      </c>
      <c r="R4326">
        <v>0.193630954668432</v>
      </c>
      <c r="S4326" t="s">
        <v>9877</v>
      </c>
      <c r="T4326" t="s">
        <v>11100</v>
      </c>
      <c r="U4326" t="s">
        <v>11100</v>
      </c>
      <c r="V4326" t="s">
        <v>11100</v>
      </c>
      <c r="W4326" t="s">
        <v>15375</v>
      </c>
      <c r="X4326">
        <v>2</v>
      </c>
      <c r="Y4326" t="s">
        <v>20806</v>
      </c>
      <c r="Z4326" t="s">
        <v>26331</v>
      </c>
      <c r="AA4326">
        <v>0.76216212466873656</v>
      </c>
      <c r="AB4326" t="str">
        <f>HYPERLINK("Melting_Curves/meltCurve_Q96HQ2_2_CDKN2AIPNL.pdf", "Melting_Curves/meltCurve_Q96HQ2_2_CDKN2AIPNL.pdf")</f>
        <v>Melting_Curves/meltCurve_Q96HQ2_2_CDKN2AIPNL.pdf</v>
      </c>
    </row>
    <row r="4327" spans="1:28" x14ac:dyDescent="0.25">
      <c r="A4327" t="s">
        <v>4331</v>
      </c>
      <c r="B4327">
        <v>0.99299721793515405</v>
      </c>
      <c r="C4327">
        <v>0.942641639338892</v>
      </c>
      <c r="D4327">
        <v>0.81210807561888698</v>
      </c>
      <c r="E4327">
        <v>0.76241167319195702</v>
      </c>
      <c r="F4327">
        <v>0.66600881276956503</v>
      </c>
      <c r="G4327">
        <v>0.74428476707994795</v>
      </c>
      <c r="H4327">
        <v>0.70550465801876405</v>
      </c>
      <c r="I4327">
        <v>0.31000123928308798</v>
      </c>
      <c r="J4327">
        <v>0.25549970643247499</v>
      </c>
      <c r="K4327">
        <v>0.30520980341864601</v>
      </c>
      <c r="L4327">
        <v>360.243954916272</v>
      </c>
      <c r="M4327">
        <v>6.2143372006003199</v>
      </c>
      <c r="N4327">
        <v>57.969811359369302</v>
      </c>
      <c r="O4327">
        <v>52.831734818655399</v>
      </c>
      <c r="P4327">
        <v>-2.94902679200349E-2</v>
      </c>
      <c r="Q4327">
        <v>0</v>
      </c>
      <c r="R4327">
        <v>0.86155251690770196</v>
      </c>
      <c r="S4327" t="s">
        <v>9878</v>
      </c>
      <c r="T4327" t="s">
        <v>11100</v>
      </c>
      <c r="U4327" t="s">
        <v>11100</v>
      </c>
      <c r="V4327" t="s">
        <v>11100</v>
      </c>
      <c r="W4327" t="s">
        <v>15376</v>
      </c>
      <c r="X4327">
        <v>3</v>
      </c>
      <c r="Y4327" t="s">
        <v>20807</v>
      </c>
      <c r="Z4327" t="s">
        <v>26332</v>
      </c>
      <c r="AA4327">
        <v>0.66044024510914723</v>
      </c>
      <c r="AB4327" t="str">
        <f>HYPERLINK("Melting_Curves/meltCurve_Q96HW7_2_INTS4.pdf", "Melting_Curves/meltCurve_Q96HW7_2_INTS4.pdf")</f>
        <v>Melting_Curves/meltCurve_Q96HW7_2_INTS4.pdf</v>
      </c>
    </row>
    <row r="4328" spans="1:28" x14ac:dyDescent="0.25">
      <c r="A4328" t="s">
        <v>4332</v>
      </c>
      <c r="B4328">
        <v>0.99299721793515405</v>
      </c>
      <c r="C4328">
        <v>0.93043097373222305</v>
      </c>
      <c r="D4328">
        <v>0.96296377241176201</v>
      </c>
      <c r="E4328">
        <v>0.79690716385155802</v>
      </c>
      <c r="F4328">
        <v>0.72731874637471805</v>
      </c>
      <c r="G4328">
        <v>0.48069791255503902</v>
      </c>
      <c r="H4328">
        <v>0.464906151130347</v>
      </c>
      <c r="I4328">
        <v>0.417058515130455</v>
      </c>
      <c r="J4328">
        <v>0.52412572612348896</v>
      </c>
      <c r="K4328">
        <v>0.41944040493191098</v>
      </c>
      <c r="L4328">
        <v>804.07288367849105</v>
      </c>
      <c r="M4328">
        <v>16.4134246215392</v>
      </c>
      <c r="N4328">
        <v>55.711170430280703</v>
      </c>
      <c r="O4328">
        <v>48.278861271552401</v>
      </c>
      <c r="P4328">
        <v>-4.8364121229390801E-2</v>
      </c>
      <c r="Q4328">
        <v>0.43100258632075</v>
      </c>
      <c r="R4328">
        <v>0.95900195681892697</v>
      </c>
      <c r="S4328" t="s">
        <v>9879</v>
      </c>
      <c r="T4328" t="s">
        <v>11100</v>
      </c>
      <c r="U4328" t="s">
        <v>11100</v>
      </c>
      <c r="V4328" t="s">
        <v>11100</v>
      </c>
      <c r="W4328" t="s">
        <v>15377</v>
      </c>
      <c r="X4328">
        <v>9</v>
      </c>
      <c r="Y4328" t="s">
        <v>20808</v>
      </c>
      <c r="Z4328" t="s">
        <v>26333</v>
      </c>
      <c r="AA4328">
        <v>0.66897391023469577</v>
      </c>
      <c r="AB4328" t="str">
        <f>HYPERLINK("Melting_Curves/meltCurve_Q96HY6_DDRGK1.pdf", "Melting_Curves/meltCurve_Q96HY6_DDRGK1.pdf")</f>
        <v>Melting_Curves/meltCurve_Q96HY6_DDRGK1.pdf</v>
      </c>
    </row>
    <row r="4329" spans="1:28" x14ac:dyDescent="0.25">
      <c r="A4329" t="s">
        <v>4333</v>
      </c>
      <c r="B4329">
        <v>0.99299721793515405</v>
      </c>
      <c r="C4329">
        <v>1.03519859488166</v>
      </c>
      <c r="D4329">
        <v>0.96667739171120604</v>
      </c>
      <c r="E4329">
        <v>0.91524034442582902</v>
      </c>
      <c r="F4329">
        <v>0.84635058901624005</v>
      </c>
      <c r="G4329">
        <v>0.65819007771621696</v>
      </c>
      <c r="H4329">
        <v>0.58860510943931899</v>
      </c>
      <c r="I4329">
        <v>0.57556550641221904</v>
      </c>
      <c r="J4329">
        <v>0.34103150143851202</v>
      </c>
      <c r="K4329">
        <v>0.23305642501548801</v>
      </c>
      <c r="L4329">
        <v>509.94471655433301</v>
      </c>
      <c r="M4329">
        <v>8.5162996233502106</v>
      </c>
      <c r="N4329">
        <v>59.878662888753297</v>
      </c>
      <c r="O4329">
        <v>56.850934357810701</v>
      </c>
      <c r="P4329">
        <v>-3.7483631899134499E-2</v>
      </c>
      <c r="Q4329">
        <v>0</v>
      </c>
      <c r="R4329">
        <v>0.967057108878002</v>
      </c>
      <c r="S4329" t="s">
        <v>9880</v>
      </c>
      <c r="T4329" t="s">
        <v>11100</v>
      </c>
      <c r="U4329" t="s">
        <v>11100</v>
      </c>
      <c r="V4329" t="s">
        <v>11100</v>
      </c>
      <c r="W4329" t="s">
        <v>15378</v>
      </c>
      <c r="X4329">
        <v>10</v>
      </c>
      <c r="Y4329" t="s">
        <v>20809</v>
      </c>
      <c r="Z4329" t="s">
        <v>26334</v>
      </c>
      <c r="AA4329">
        <v>0.72563094019519769</v>
      </c>
      <c r="AB4329" t="str">
        <f>HYPERLINK("Melting_Curves/meltCurve_Q96I15_SCLY.pdf", "Melting_Curves/meltCurve_Q96I15_SCLY.pdf")</f>
        <v>Melting_Curves/meltCurve_Q96I15_SCLY.pdf</v>
      </c>
    </row>
    <row r="4330" spans="1:28" x14ac:dyDescent="0.25">
      <c r="A4330" t="s">
        <v>4334</v>
      </c>
      <c r="B4330">
        <v>0.99299721793515405</v>
      </c>
      <c r="C4330">
        <v>1.0188874302384501</v>
      </c>
      <c r="D4330">
        <v>0.99183889161156602</v>
      </c>
      <c r="E4330">
        <v>0.85280766109927297</v>
      </c>
      <c r="F4330">
        <v>0.577296884201562</v>
      </c>
      <c r="G4330">
        <v>0.31057905038515299</v>
      </c>
      <c r="H4330">
        <v>0.19368093538383499</v>
      </c>
      <c r="I4330">
        <v>0.176738775167187</v>
      </c>
      <c r="J4330">
        <v>0.15755020415142701</v>
      </c>
      <c r="K4330">
        <v>0.146203205531171</v>
      </c>
      <c r="L4330">
        <v>1078.73735652546</v>
      </c>
      <c r="M4330">
        <v>21.495349069091802</v>
      </c>
      <c r="N4330">
        <v>51.017423296497199</v>
      </c>
      <c r="O4330">
        <v>49.756400418950001</v>
      </c>
      <c r="P4330">
        <v>-9.2024826402549706E-2</v>
      </c>
      <c r="Q4330">
        <v>0.14796228095712299</v>
      </c>
      <c r="R4330">
        <v>0.99919320281646695</v>
      </c>
      <c r="S4330" t="s">
        <v>9881</v>
      </c>
      <c r="T4330" t="s">
        <v>11100</v>
      </c>
      <c r="U4330" t="s">
        <v>11100</v>
      </c>
      <c r="V4330" t="s">
        <v>11100</v>
      </c>
      <c r="W4330" t="s">
        <v>15379</v>
      </c>
      <c r="X4330">
        <v>27</v>
      </c>
      <c r="Y4330" t="s">
        <v>20810</v>
      </c>
      <c r="Z4330" t="s">
        <v>26335</v>
      </c>
      <c r="AA4330">
        <v>0.532296422824592</v>
      </c>
      <c r="AB4330" t="str">
        <f>HYPERLINK("Melting_Curves/meltCurve_Q96I24_FUBP3.pdf", "Melting_Curves/meltCurve_Q96I24_FUBP3.pdf")</f>
        <v>Melting_Curves/meltCurve_Q96I24_FUBP3.pdf</v>
      </c>
    </row>
    <row r="4331" spans="1:28" x14ac:dyDescent="0.25">
      <c r="A4331" t="s">
        <v>4335</v>
      </c>
      <c r="B4331">
        <v>0.99299721793515405</v>
      </c>
      <c r="C4331">
        <v>1.0909627152438299</v>
      </c>
      <c r="D4331">
        <v>0.91681471948315996</v>
      </c>
      <c r="E4331">
        <v>0.90750757237314805</v>
      </c>
      <c r="F4331">
        <v>0.68517321777564799</v>
      </c>
      <c r="G4331">
        <v>0.35109799240002298</v>
      </c>
      <c r="H4331">
        <v>0.308366695292562</v>
      </c>
      <c r="I4331">
        <v>0.25255071699452902</v>
      </c>
      <c r="J4331">
        <v>0.19147426749568999</v>
      </c>
      <c r="K4331">
        <v>0.13478238864112799</v>
      </c>
      <c r="L4331">
        <v>995.68258793054997</v>
      </c>
      <c r="M4331">
        <v>19.459830255800998</v>
      </c>
      <c r="N4331">
        <v>52.3328856292081</v>
      </c>
      <c r="O4331">
        <v>50.634913474417502</v>
      </c>
      <c r="P4331">
        <v>-7.91714793324024E-2</v>
      </c>
      <c r="Q4331">
        <v>0.17600606450630499</v>
      </c>
      <c r="R4331">
        <v>0.98182529440817201</v>
      </c>
      <c r="S4331" t="s">
        <v>9882</v>
      </c>
      <c r="T4331" t="s">
        <v>11100</v>
      </c>
      <c r="U4331" t="s">
        <v>11100</v>
      </c>
      <c r="V4331" t="s">
        <v>11100</v>
      </c>
      <c r="W4331" t="s">
        <v>15380</v>
      </c>
      <c r="X4331">
        <v>6</v>
      </c>
      <c r="Y4331" t="s">
        <v>20811</v>
      </c>
      <c r="Z4331" t="s">
        <v>26336</v>
      </c>
      <c r="AA4331">
        <v>0.57636094450494013</v>
      </c>
      <c r="AB4331" t="str">
        <f>HYPERLINK("Melting_Curves/meltCurve_Q96I25_RBM17.pdf", "Melting_Curves/meltCurve_Q96I25_RBM17.pdf")</f>
        <v>Melting_Curves/meltCurve_Q96I25_RBM17.pdf</v>
      </c>
    </row>
    <row r="4332" spans="1:28" x14ac:dyDescent="0.25">
      <c r="A4332" t="s">
        <v>4336</v>
      </c>
      <c r="B4332">
        <v>0.99299721793515405</v>
      </c>
      <c r="C4332">
        <v>0.91039282700976398</v>
      </c>
      <c r="D4332">
        <v>0.95865788137602104</v>
      </c>
      <c r="E4332">
        <v>0.69773181260846895</v>
      </c>
      <c r="F4332">
        <v>0.71925872666595503</v>
      </c>
      <c r="G4332">
        <v>0.58638467380245596</v>
      </c>
      <c r="H4332">
        <v>0.53587346414147297</v>
      </c>
      <c r="I4332">
        <v>0.82914994208501902</v>
      </c>
      <c r="J4332">
        <v>0.89695068163966096</v>
      </c>
      <c r="K4332">
        <v>0.76713220327068998</v>
      </c>
      <c r="L4332">
        <v>10825.579316333</v>
      </c>
      <c r="M4332">
        <v>250</v>
      </c>
      <c r="O4332">
        <v>43.299538928864202</v>
      </c>
      <c r="P4332">
        <v>-0.40571165054702102</v>
      </c>
      <c r="Q4332">
        <v>0.71892591446978704</v>
      </c>
      <c r="R4332">
        <v>0.51302464699968597</v>
      </c>
      <c r="S4332" t="s">
        <v>9883</v>
      </c>
      <c r="T4332" t="s">
        <v>11100</v>
      </c>
      <c r="U4332" t="s">
        <v>11100</v>
      </c>
      <c r="V4332" t="s">
        <v>11100</v>
      </c>
      <c r="W4332" t="s">
        <v>15381</v>
      </c>
      <c r="X4332">
        <v>1</v>
      </c>
      <c r="Y4332" t="s">
        <v>20812</v>
      </c>
      <c r="Z4332" t="s">
        <v>26337</v>
      </c>
      <c r="AA4332">
        <v>0.77799454340062035</v>
      </c>
      <c r="AB4332" t="str">
        <f>HYPERLINK("Melting_Curves/meltCurve_Q96I36_COX14.pdf", "Melting_Curves/meltCurve_Q96I36_COX14.pdf")</f>
        <v>Melting_Curves/meltCurve_Q96I36_COX14.pdf</v>
      </c>
    </row>
    <row r="4333" spans="1:28" x14ac:dyDescent="0.25">
      <c r="A4333" t="s">
        <v>4337</v>
      </c>
      <c r="B4333">
        <v>0.99299721793515405</v>
      </c>
      <c r="C4333">
        <v>1.04073677503339</v>
      </c>
      <c r="D4333">
        <v>0.959619761673701</v>
      </c>
      <c r="E4333">
        <v>0.88375073609018295</v>
      </c>
      <c r="F4333">
        <v>0.74987375193287398</v>
      </c>
      <c r="G4333">
        <v>0.52983853738326303</v>
      </c>
      <c r="H4333">
        <v>0.58814775250638396</v>
      </c>
      <c r="I4333">
        <v>0.628435631015549</v>
      </c>
      <c r="J4333">
        <v>0.60619020175155702</v>
      </c>
      <c r="K4333">
        <v>0.35586433132713502</v>
      </c>
      <c r="L4333">
        <v>948.64422120659106</v>
      </c>
      <c r="M4333">
        <v>19.194469723385801</v>
      </c>
      <c r="O4333">
        <v>48.895719437141103</v>
      </c>
      <c r="P4333">
        <v>-4.7218519859892699E-2</v>
      </c>
      <c r="Q4333">
        <v>0.51888327655607203</v>
      </c>
      <c r="R4333">
        <v>0.88594340632589297</v>
      </c>
      <c r="S4333" t="s">
        <v>9884</v>
      </c>
      <c r="T4333" t="s">
        <v>11100</v>
      </c>
      <c r="U4333" t="s">
        <v>11100</v>
      </c>
      <c r="V4333" t="s">
        <v>11100</v>
      </c>
      <c r="W4333" t="s">
        <v>15382</v>
      </c>
      <c r="X4333">
        <v>8</v>
      </c>
      <c r="Y4333" t="s">
        <v>20813</v>
      </c>
      <c r="Z4333" t="s">
        <v>26338</v>
      </c>
      <c r="AA4333">
        <v>0.72493159081322034</v>
      </c>
      <c r="AB4333" t="str">
        <f>HYPERLINK("Melting_Curves/meltCurve_Q96I51_WBSCR16.pdf", "Melting_Curves/meltCurve_Q96I51_WBSCR16.pdf")</f>
        <v>Melting_Curves/meltCurve_Q96I51_WBSCR16.pdf</v>
      </c>
    </row>
    <row r="4334" spans="1:28" x14ac:dyDescent="0.25">
      <c r="A4334" t="s">
        <v>4338</v>
      </c>
      <c r="B4334">
        <v>0.99299721793515405</v>
      </c>
      <c r="C4334">
        <v>0.84680725785163802</v>
      </c>
      <c r="D4334">
        <v>1.1800693787618299</v>
      </c>
      <c r="E4334">
        <v>0.69010292513460103</v>
      </c>
      <c r="F4334">
        <v>0.95748646056557696</v>
      </c>
      <c r="G4334">
        <v>0.25477326877419698</v>
      </c>
      <c r="H4334">
        <v>0.105960988236057</v>
      </c>
      <c r="I4334">
        <v>0.162719116085108</v>
      </c>
      <c r="J4334">
        <v>5.9312060055737401E-2</v>
      </c>
      <c r="K4334">
        <v>0.18093173297058199</v>
      </c>
      <c r="L4334">
        <v>3512.62609699419</v>
      </c>
      <c r="M4334">
        <v>67.053538423026396</v>
      </c>
      <c r="N4334">
        <v>52.614640725419598</v>
      </c>
      <c r="O4334">
        <v>52.338859795602403</v>
      </c>
      <c r="P4334">
        <v>-0.279715476788573</v>
      </c>
      <c r="Q4334">
        <v>0.12666889420227401</v>
      </c>
      <c r="R4334">
        <v>0.90394327393623497</v>
      </c>
      <c r="S4334" t="s">
        <v>9885</v>
      </c>
      <c r="T4334" t="s">
        <v>11100</v>
      </c>
      <c r="U4334" t="s">
        <v>11100</v>
      </c>
      <c r="V4334" t="s">
        <v>11100</v>
      </c>
      <c r="W4334" t="s">
        <v>15383</v>
      </c>
      <c r="X4334">
        <v>2</v>
      </c>
      <c r="Y4334" t="s">
        <v>20814</v>
      </c>
      <c r="Z4334" t="s">
        <v>26339</v>
      </c>
      <c r="AA4334">
        <v>0.57567297418629593</v>
      </c>
      <c r="AB4334" t="str">
        <f>HYPERLINK("Melting_Curves/meltCurve_Q96I59_NARS2.pdf", "Melting_Curves/meltCurve_Q96I59_NARS2.pdf")</f>
        <v>Melting_Curves/meltCurve_Q96I59_NARS2.pdf</v>
      </c>
    </row>
    <row r="4335" spans="1:28" x14ac:dyDescent="0.25">
      <c r="A4335" t="s">
        <v>4339</v>
      </c>
      <c r="B4335">
        <v>0.99299721793515405</v>
      </c>
      <c r="C4335">
        <v>0.72750519477043496</v>
      </c>
      <c r="D4335">
        <v>0.84179906737437604</v>
      </c>
      <c r="E4335">
        <v>0.66352911700488004</v>
      </c>
      <c r="F4335">
        <v>0.55430772911201298</v>
      </c>
      <c r="G4335">
        <v>0.37583047255629098</v>
      </c>
      <c r="H4335">
        <v>0.34579187481312401</v>
      </c>
      <c r="I4335">
        <v>0.39924746876803402</v>
      </c>
      <c r="J4335">
        <v>0.65085426881372799</v>
      </c>
      <c r="K4335">
        <v>0.55871003108672801</v>
      </c>
      <c r="L4335">
        <v>567.80259507328196</v>
      </c>
      <c r="M4335">
        <v>13.086985064394201</v>
      </c>
      <c r="N4335">
        <v>54.1836588993433</v>
      </c>
      <c r="O4335">
        <v>42.411268587958197</v>
      </c>
      <c r="P4335">
        <v>-4.1421506386554299E-2</v>
      </c>
      <c r="Q4335">
        <v>0.46315021733968198</v>
      </c>
      <c r="R4335">
        <v>0.70769003207960202</v>
      </c>
      <c r="S4335" t="s">
        <v>9886</v>
      </c>
      <c r="T4335" t="s">
        <v>11100</v>
      </c>
      <c r="U4335" t="s">
        <v>11100</v>
      </c>
      <c r="V4335" t="s">
        <v>11100</v>
      </c>
      <c r="W4335" t="s">
        <v>15384</v>
      </c>
      <c r="X4335">
        <v>1</v>
      </c>
      <c r="Y4335" t="s">
        <v>20815</v>
      </c>
      <c r="Z4335" t="s">
        <v>26340</v>
      </c>
      <c r="AA4335">
        <v>0.59573398060177207</v>
      </c>
      <c r="AB4335" t="str">
        <f>HYPERLINK("Melting_Curves/meltCurve_Q96I82_2_KAZALD1.pdf", "Melting_Curves/meltCurve_Q96I82_2_KAZALD1.pdf")</f>
        <v>Melting_Curves/meltCurve_Q96I82_2_KAZALD1.pdf</v>
      </c>
    </row>
    <row r="4336" spans="1:28" x14ac:dyDescent="0.25">
      <c r="A4336" t="s">
        <v>4340</v>
      </c>
      <c r="B4336">
        <v>0.99299721793515405</v>
      </c>
      <c r="C4336">
        <v>1.0516668289889</v>
      </c>
      <c r="D4336">
        <v>1.0893220899371601</v>
      </c>
      <c r="E4336">
        <v>0.93391671733450998</v>
      </c>
      <c r="F4336">
        <v>0.769605956297995</v>
      </c>
      <c r="G4336">
        <v>0.60076013281600305</v>
      </c>
      <c r="H4336">
        <v>0.195076042062065</v>
      </c>
      <c r="I4336">
        <v>0.16145016595502301</v>
      </c>
      <c r="J4336">
        <v>0.14559842509675699</v>
      </c>
      <c r="K4336">
        <v>0.118350087067545</v>
      </c>
      <c r="L4336">
        <v>1131.3149479563599</v>
      </c>
      <c r="M4336">
        <v>21.145954332746399</v>
      </c>
      <c r="N4336">
        <v>54.0552283867531</v>
      </c>
      <c r="O4336">
        <v>53.028714359756599</v>
      </c>
      <c r="P4336">
        <v>-8.9967046228858594E-2</v>
      </c>
      <c r="Q4336">
        <v>9.7564763384204098E-2</v>
      </c>
      <c r="R4336">
        <v>0.98205336415295497</v>
      </c>
      <c r="S4336" t="s">
        <v>9887</v>
      </c>
      <c r="T4336" t="s">
        <v>11100</v>
      </c>
      <c r="U4336" t="s">
        <v>11100</v>
      </c>
      <c r="V4336" t="s">
        <v>11100</v>
      </c>
      <c r="W4336" t="s">
        <v>15385</v>
      </c>
      <c r="X4336">
        <v>21</v>
      </c>
      <c r="Y4336" t="s">
        <v>20816</v>
      </c>
      <c r="Z4336" t="s">
        <v>26341</v>
      </c>
      <c r="AA4336">
        <v>0.6042327516236996</v>
      </c>
      <c r="AB4336" t="str">
        <f>HYPERLINK("Melting_Curves/meltCurve_Q96I99_SUCLG2.pdf", "Melting_Curves/meltCurve_Q96I99_SUCLG2.pdf")</f>
        <v>Melting_Curves/meltCurve_Q96I99_SUCLG2.pdf</v>
      </c>
    </row>
    <row r="4337" spans="1:28" x14ac:dyDescent="0.25">
      <c r="A4337" t="s">
        <v>4341</v>
      </c>
      <c r="B4337">
        <v>0.99299721793515405</v>
      </c>
      <c r="C4337">
        <v>1.27400466367825</v>
      </c>
      <c r="D4337">
        <v>0.91577182864166595</v>
      </c>
      <c r="E4337">
        <v>0.78536214447303698</v>
      </c>
      <c r="F4337">
        <v>0.65173537948594296</v>
      </c>
      <c r="G4337">
        <v>0.71302282824621499</v>
      </c>
      <c r="H4337">
        <v>0.485341226389161</v>
      </c>
      <c r="I4337">
        <v>0.27034186998957599</v>
      </c>
      <c r="J4337">
        <v>0.25472046070105098</v>
      </c>
      <c r="K4337">
        <v>0</v>
      </c>
      <c r="L4337">
        <v>584.93855309771402</v>
      </c>
      <c r="M4337">
        <v>10.482910472478601</v>
      </c>
      <c r="N4337">
        <v>55.799274984339</v>
      </c>
      <c r="O4337">
        <v>53.883384960896002</v>
      </c>
      <c r="P4337">
        <v>-4.86567729528413E-2</v>
      </c>
      <c r="Q4337">
        <v>0</v>
      </c>
      <c r="R4337">
        <v>0.88869335273891004</v>
      </c>
      <c r="S4337" t="s">
        <v>9888</v>
      </c>
      <c r="T4337" t="s">
        <v>11100</v>
      </c>
      <c r="U4337" t="s">
        <v>11100</v>
      </c>
      <c r="V4337" t="s">
        <v>11100</v>
      </c>
      <c r="W4337" t="s">
        <v>15386</v>
      </c>
      <c r="X4337">
        <v>1</v>
      </c>
      <c r="Y4337" t="s">
        <v>20817</v>
      </c>
      <c r="Z4337" t="s">
        <v>26342</v>
      </c>
      <c r="AA4337">
        <v>0.63507950408912905</v>
      </c>
      <c r="AB4337" t="str">
        <f>HYPERLINK("Melting_Curves/meltCurve_Q96IF1_AJUBA.pdf", "Melting_Curves/meltCurve_Q96IF1_AJUBA.pdf")</f>
        <v>Melting_Curves/meltCurve_Q96IF1_AJUBA.pdf</v>
      </c>
    </row>
    <row r="4338" spans="1:28" x14ac:dyDescent="0.25">
      <c r="A4338" t="s">
        <v>4342</v>
      </c>
      <c r="B4338">
        <v>0.99299721793515405</v>
      </c>
      <c r="C4338">
        <v>0.90675158729868199</v>
      </c>
      <c r="D4338">
        <v>1.08055735082768</v>
      </c>
      <c r="E4338">
        <v>0.77320713644877603</v>
      </c>
      <c r="F4338">
        <v>0.75797642027582501</v>
      </c>
      <c r="G4338">
        <v>0.71152070758720498</v>
      </c>
      <c r="H4338">
        <v>0.50900711016545497</v>
      </c>
      <c r="I4338">
        <v>0.40240673357380302</v>
      </c>
      <c r="J4338">
        <v>0.34361522807798001</v>
      </c>
      <c r="K4338">
        <v>0.25775536978448299</v>
      </c>
      <c r="L4338">
        <v>448.84955331242901</v>
      </c>
      <c r="M4338">
        <v>7.7103667005913801</v>
      </c>
      <c r="N4338">
        <v>58.213774055777399</v>
      </c>
      <c r="O4338">
        <v>54.686271460364601</v>
      </c>
      <c r="P4338">
        <v>-3.5293911806080602E-2</v>
      </c>
      <c r="Q4338">
        <v>0</v>
      </c>
      <c r="R4338">
        <v>0.946616960712788</v>
      </c>
      <c r="S4338" t="s">
        <v>9889</v>
      </c>
      <c r="T4338" t="s">
        <v>11100</v>
      </c>
      <c r="U4338" t="s">
        <v>11100</v>
      </c>
      <c r="V4338" t="s">
        <v>11100</v>
      </c>
      <c r="W4338" t="s">
        <v>15387</v>
      </c>
      <c r="X4338">
        <v>10</v>
      </c>
      <c r="Y4338" t="s">
        <v>20818</v>
      </c>
      <c r="Z4338" t="s">
        <v>26343</v>
      </c>
      <c r="AA4338">
        <v>0.6815164829410405</v>
      </c>
      <c r="AB4338" t="str">
        <f>HYPERLINK("Melting_Curves/meltCurve_Q96IJ6_GMPPA.pdf", "Melting_Curves/meltCurve_Q96IJ6_GMPPA.pdf")</f>
        <v>Melting_Curves/meltCurve_Q96IJ6_GMPPA.pdf</v>
      </c>
    </row>
    <row r="4339" spans="1:28" x14ac:dyDescent="0.25">
      <c r="A4339" t="s">
        <v>4343</v>
      </c>
      <c r="B4339">
        <v>0.99299721793515405</v>
      </c>
      <c r="C4339">
        <v>0.93284899220530504</v>
      </c>
      <c r="D4339">
        <v>0.97210128898986603</v>
      </c>
      <c r="E4339">
        <v>1.04476145866835</v>
      </c>
      <c r="F4339">
        <v>0.78337350498105796</v>
      </c>
      <c r="G4339">
        <v>0.44804011792769999</v>
      </c>
      <c r="H4339">
        <v>0.49272176771328502</v>
      </c>
      <c r="I4339">
        <v>0.69978906915402395</v>
      </c>
      <c r="J4339">
        <v>0.86124464180717497</v>
      </c>
      <c r="K4339">
        <v>1.06861940955797</v>
      </c>
      <c r="L4339">
        <v>12492.7786642069</v>
      </c>
      <c r="M4339">
        <v>250</v>
      </c>
      <c r="O4339">
        <v>49.967894120132001</v>
      </c>
      <c r="P4339">
        <v>-0.35762571862412401</v>
      </c>
      <c r="Q4339">
        <v>0.71408300473948705</v>
      </c>
      <c r="R4339">
        <v>0.37595355497245497</v>
      </c>
      <c r="S4339" t="s">
        <v>9890</v>
      </c>
      <c r="T4339" t="s">
        <v>11100</v>
      </c>
      <c r="U4339" t="s">
        <v>11100</v>
      </c>
      <c r="V4339" t="s">
        <v>11100</v>
      </c>
      <c r="W4339" t="s">
        <v>15388</v>
      </c>
      <c r="X4339">
        <v>9</v>
      </c>
      <c r="Y4339" t="s">
        <v>20819</v>
      </c>
      <c r="Z4339" t="s">
        <v>26344</v>
      </c>
      <c r="AA4339">
        <v>0.8377301501679032</v>
      </c>
      <c r="AB4339" t="str">
        <f>HYPERLINK("Melting_Curves/meltCurve_Q96IK1_BOD1.pdf", "Melting_Curves/meltCurve_Q96IK1_BOD1.pdf")</f>
        <v>Melting_Curves/meltCurve_Q96IK1_BOD1.pdf</v>
      </c>
    </row>
    <row r="4340" spans="1:28" x14ac:dyDescent="0.25">
      <c r="A4340" t="s">
        <v>4344</v>
      </c>
      <c r="B4340">
        <v>0.99299721793515405</v>
      </c>
      <c r="C4340">
        <v>0.92586664357023296</v>
      </c>
      <c r="D4340">
        <v>1.0946962783530101</v>
      </c>
      <c r="E4340">
        <v>0.83906657626522396</v>
      </c>
      <c r="F4340">
        <v>0.82006734996655695</v>
      </c>
      <c r="G4340">
        <v>0.59799913617071099</v>
      </c>
      <c r="H4340">
        <v>0.235147708288128</v>
      </c>
      <c r="I4340">
        <v>0.21463868572807099</v>
      </c>
      <c r="J4340">
        <v>0.17425133439266999</v>
      </c>
      <c r="K4340">
        <v>0.16244722399686401</v>
      </c>
      <c r="L4340">
        <v>1045.65881503181</v>
      </c>
      <c r="M4340">
        <v>19.5574056934807</v>
      </c>
      <c r="N4340">
        <v>54.318384663408601</v>
      </c>
      <c r="O4340">
        <v>52.916541157875599</v>
      </c>
      <c r="P4340">
        <v>-8.0192438921754094E-2</v>
      </c>
      <c r="Q4340">
        <v>0.13212285752686001</v>
      </c>
      <c r="R4340">
        <v>0.96930384504471401</v>
      </c>
      <c r="S4340" t="s">
        <v>9891</v>
      </c>
      <c r="T4340" t="s">
        <v>11100</v>
      </c>
      <c r="U4340" t="s">
        <v>11100</v>
      </c>
      <c r="V4340" t="s">
        <v>11100</v>
      </c>
      <c r="W4340" t="s">
        <v>15389</v>
      </c>
      <c r="X4340">
        <v>3</v>
      </c>
      <c r="Y4340" t="s">
        <v>20820</v>
      </c>
      <c r="Z4340" t="s">
        <v>26345</v>
      </c>
      <c r="AA4340">
        <v>0.61955840305919252</v>
      </c>
      <c r="AB4340" t="str">
        <f>HYPERLINK("Melting_Curves/meltCurve_Q96IQ9_2_ZNF414.pdf", "Melting_Curves/meltCurve_Q96IQ9_2_ZNF414.pdf")</f>
        <v>Melting_Curves/meltCurve_Q96IQ9_2_ZNF414.pdf</v>
      </c>
    </row>
    <row r="4341" spans="1:28" x14ac:dyDescent="0.25">
      <c r="A4341" t="s">
        <v>4345</v>
      </c>
      <c r="B4341">
        <v>0.99299721793515405</v>
      </c>
      <c r="C4341">
        <v>1.0072647530846199</v>
      </c>
      <c r="D4341">
        <v>0.98152771592454602</v>
      </c>
      <c r="E4341">
        <v>0.81491451576235396</v>
      </c>
      <c r="F4341">
        <v>0.72601045910669904</v>
      </c>
      <c r="G4341">
        <v>0.66172843965064698</v>
      </c>
      <c r="H4341">
        <v>0.31121038099745602</v>
      </c>
      <c r="I4341">
        <v>0.27646423552028399</v>
      </c>
      <c r="J4341">
        <v>0.17579409119905801</v>
      </c>
      <c r="K4341">
        <v>0.23724518024965399</v>
      </c>
      <c r="L4341">
        <v>655.76974327701703</v>
      </c>
      <c r="M4341">
        <v>12.1893850277403</v>
      </c>
      <c r="N4341">
        <v>54.892896417061003</v>
      </c>
      <c r="O4341">
        <v>52.411891321104001</v>
      </c>
      <c r="P4341">
        <v>-5.18816773766093E-2</v>
      </c>
      <c r="Q4341">
        <v>0.10787929257925399</v>
      </c>
      <c r="R4341">
        <v>0.97236101272602304</v>
      </c>
      <c r="S4341" t="s">
        <v>9892</v>
      </c>
      <c r="T4341" t="s">
        <v>11100</v>
      </c>
      <c r="U4341" t="s">
        <v>11100</v>
      </c>
      <c r="V4341" t="s">
        <v>11100</v>
      </c>
      <c r="W4341" t="s">
        <v>15390</v>
      </c>
      <c r="X4341">
        <v>6</v>
      </c>
      <c r="Y4341" t="s">
        <v>20821</v>
      </c>
      <c r="Z4341" t="s">
        <v>26346</v>
      </c>
      <c r="AA4341">
        <v>0.62394065255647746</v>
      </c>
      <c r="AB4341" t="str">
        <f>HYPERLINK("Melting_Curves/meltCurve_Q96IU4_ABHD14B.pdf", "Melting_Curves/meltCurve_Q96IU4_ABHD14B.pdf")</f>
        <v>Melting_Curves/meltCurve_Q96IU4_ABHD14B.pdf</v>
      </c>
    </row>
    <row r="4342" spans="1:28" x14ac:dyDescent="0.25">
      <c r="A4342" t="s">
        <v>4346</v>
      </c>
      <c r="B4342">
        <v>0.99299721793515405</v>
      </c>
      <c r="C4342">
        <v>0.87481363930959999</v>
      </c>
      <c r="D4342">
        <v>0.86885381064342104</v>
      </c>
      <c r="E4342">
        <v>0.69643360387616504</v>
      </c>
      <c r="F4342">
        <v>0.53504754132926302</v>
      </c>
      <c r="G4342">
        <v>0.33118059100990599</v>
      </c>
      <c r="H4342">
        <v>0.19664798312097101</v>
      </c>
      <c r="I4342">
        <v>0.13310593207163501</v>
      </c>
      <c r="J4342">
        <v>0.11060164475906099</v>
      </c>
      <c r="K4342">
        <v>9.2293239153392007E-2</v>
      </c>
      <c r="L4342">
        <v>522.24704037998197</v>
      </c>
      <c r="M4342">
        <v>10.39068278723</v>
      </c>
      <c r="N4342">
        <v>50.332280160954397</v>
      </c>
      <c r="O4342">
        <v>48.506363956742597</v>
      </c>
      <c r="P4342">
        <v>-5.3184858209940199E-2</v>
      </c>
      <c r="Q4342">
        <v>7.2948504715692397E-3</v>
      </c>
      <c r="R4342">
        <v>0.99437125409585103</v>
      </c>
      <c r="S4342" t="s">
        <v>9893</v>
      </c>
      <c r="T4342" t="s">
        <v>11100</v>
      </c>
      <c r="U4342" t="s">
        <v>11100</v>
      </c>
      <c r="V4342" t="s">
        <v>11100</v>
      </c>
      <c r="W4342" t="s">
        <v>15391</v>
      </c>
      <c r="X4342">
        <v>2</v>
      </c>
      <c r="Y4342" t="s">
        <v>20822</v>
      </c>
      <c r="Z4342" t="s">
        <v>26347</v>
      </c>
      <c r="AA4342">
        <v>0.47779302416671421</v>
      </c>
      <c r="AB4342" t="str">
        <f>HYPERLINK("Melting_Curves/meltCurve_Q96IV0_3_NGLY1.pdf", "Melting_Curves/meltCurve_Q96IV0_3_NGLY1.pdf")</f>
        <v>Melting_Curves/meltCurve_Q96IV0_3_NGLY1.pdf</v>
      </c>
    </row>
    <row r="4343" spans="1:28" x14ac:dyDescent="0.25">
      <c r="A4343" t="s">
        <v>4347</v>
      </c>
      <c r="B4343">
        <v>0.99299721793515405</v>
      </c>
      <c r="C4343">
        <v>1.0510808378193399</v>
      </c>
      <c r="D4343">
        <v>0.940978158538329</v>
      </c>
      <c r="E4343">
        <v>0.84101207805969902</v>
      </c>
      <c r="F4343">
        <v>0.68508876415573805</v>
      </c>
      <c r="G4343">
        <v>0.48621604443523397</v>
      </c>
      <c r="H4343">
        <v>0.55343670778916498</v>
      </c>
      <c r="I4343">
        <v>0.57478617127716902</v>
      </c>
      <c r="J4343">
        <v>0.66652221092438002</v>
      </c>
      <c r="K4343">
        <v>0.55723941467350402</v>
      </c>
      <c r="L4343">
        <v>1315.85528395507</v>
      </c>
      <c r="M4343">
        <v>27.695673044659799</v>
      </c>
      <c r="O4343">
        <v>47.265594019847597</v>
      </c>
      <c r="P4343">
        <v>-6.3045960986209904E-2</v>
      </c>
      <c r="Q4343">
        <v>0.56962546400284797</v>
      </c>
      <c r="R4343">
        <v>0.93320960271493703</v>
      </c>
      <c r="S4343" t="s">
        <v>9894</v>
      </c>
      <c r="T4343" t="s">
        <v>11100</v>
      </c>
      <c r="U4343" t="s">
        <v>11100</v>
      </c>
      <c r="V4343" t="s">
        <v>11100</v>
      </c>
      <c r="W4343" t="s">
        <v>15392</v>
      </c>
      <c r="X4343">
        <v>2</v>
      </c>
      <c r="Y4343" t="s">
        <v>20823</v>
      </c>
      <c r="Z4343" t="s">
        <v>26348</v>
      </c>
      <c r="AA4343">
        <v>0.72338385542482997</v>
      </c>
      <c r="AB4343" t="str">
        <f>HYPERLINK("Melting_Curves/meltCurve_Q96IX5_USMG5.pdf", "Melting_Curves/meltCurve_Q96IX5_USMG5.pdf")</f>
        <v>Melting_Curves/meltCurve_Q96IX5_USMG5.pdf</v>
      </c>
    </row>
    <row r="4344" spans="1:28" x14ac:dyDescent="0.25">
      <c r="A4344" t="s">
        <v>4348</v>
      </c>
      <c r="B4344">
        <v>0.99299721793515405</v>
      </c>
      <c r="C4344">
        <v>1.1364162085546401</v>
      </c>
      <c r="D4344">
        <v>0.878991830505366</v>
      </c>
      <c r="E4344">
        <v>0.93019474190545803</v>
      </c>
      <c r="F4344">
        <v>0.79987045237632604</v>
      </c>
      <c r="G4344">
        <v>0.20593196856568699</v>
      </c>
      <c r="H4344">
        <v>0.107481823594248</v>
      </c>
      <c r="I4344">
        <v>0.10298411502362299</v>
      </c>
      <c r="J4344">
        <v>6.9405246612940993E-2</v>
      </c>
      <c r="K4344">
        <v>4.0333520984423103E-2</v>
      </c>
      <c r="L4344">
        <v>2205.9565084972</v>
      </c>
      <c r="M4344">
        <v>42.714213556197599</v>
      </c>
      <c r="N4344">
        <v>51.8407231133408</v>
      </c>
      <c r="O4344">
        <v>51.531756075624401</v>
      </c>
      <c r="P4344">
        <v>-0.191759633069504</v>
      </c>
      <c r="Q4344">
        <v>7.4622585573446004E-2</v>
      </c>
      <c r="R4344">
        <v>0.97870045806886696</v>
      </c>
      <c r="S4344" t="s">
        <v>9895</v>
      </c>
      <c r="T4344" t="s">
        <v>11100</v>
      </c>
      <c r="U4344" t="s">
        <v>11100</v>
      </c>
      <c r="V4344" t="s">
        <v>11100</v>
      </c>
      <c r="W4344" t="s">
        <v>15393</v>
      </c>
      <c r="X4344">
        <v>3</v>
      </c>
      <c r="Y4344" t="s">
        <v>20824</v>
      </c>
      <c r="Z4344" t="s">
        <v>26349</v>
      </c>
      <c r="AA4344">
        <v>0.52923809418324952</v>
      </c>
      <c r="AB4344" t="str">
        <f>HYPERLINK("Melting_Curves/meltCurve_Q96IY1_NSL1.pdf", "Melting_Curves/meltCurve_Q96IY1_NSL1.pdf")</f>
        <v>Melting_Curves/meltCurve_Q96IY1_NSL1.pdf</v>
      </c>
    </row>
    <row r="4345" spans="1:28" x14ac:dyDescent="0.25">
      <c r="A4345" t="s">
        <v>4349</v>
      </c>
      <c r="B4345">
        <v>0.99299721793515405</v>
      </c>
      <c r="C4345">
        <v>0.90736403655919595</v>
      </c>
      <c r="D4345">
        <v>0.87205367052990501</v>
      </c>
      <c r="E4345">
        <v>0.87740912817425198</v>
      </c>
      <c r="F4345">
        <v>0.75674125733837105</v>
      </c>
      <c r="G4345">
        <v>0.56488036207393799</v>
      </c>
      <c r="H4345">
        <v>0.59570919163430003</v>
      </c>
      <c r="I4345">
        <v>0.68670644552940696</v>
      </c>
      <c r="J4345">
        <v>0.77403431994502003</v>
      </c>
      <c r="K4345">
        <v>0.59338044645035004</v>
      </c>
      <c r="L4345">
        <v>612.99601049508703</v>
      </c>
      <c r="M4345">
        <v>13.3143964859542</v>
      </c>
      <c r="O4345">
        <v>45.038670367869898</v>
      </c>
      <c r="P4345">
        <v>-2.6879518421750601E-2</v>
      </c>
      <c r="Q4345">
        <v>0.636356500187094</v>
      </c>
      <c r="R4345">
        <v>0.75965478872141001</v>
      </c>
      <c r="S4345" t="s">
        <v>9896</v>
      </c>
      <c r="T4345" t="s">
        <v>11100</v>
      </c>
      <c r="U4345" t="s">
        <v>11100</v>
      </c>
      <c r="V4345" t="s">
        <v>11100</v>
      </c>
      <c r="W4345" t="s">
        <v>15394</v>
      </c>
      <c r="X4345">
        <v>12</v>
      </c>
      <c r="Y4345" t="s">
        <v>20825</v>
      </c>
      <c r="Z4345" t="s">
        <v>26350</v>
      </c>
      <c r="AA4345">
        <v>0.75637432090124368</v>
      </c>
      <c r="AB4345" t="str">
        <f>HYPERLINK("Melting_Curves/meltCurve_Q96IZ0_PAWR.pdf", "Melting_Curves/meltCurve_Q96IZ0_PAWR.pdf")</f>
        <v>Melting_Curves/meltCurve_Q96IZ0_PAWR.pdf</v>
      </c>
    </row>
    <row r="4346" spans="1:28" x14ac:dyDescent="0.25">
      <c r="A4346" t="s">
        <v>4350</v>
      </c>
      <c r="B4346">
        <v>0.99299721793515405</v>
      </c>
      <c r="C4346">
        <v>0.95738103050685097</v>
      </c>
      <c r="D4346">
        <v>0.86690915517830902</v>
      </c>
      <c r="E4346">
        <v>0.96503133438416799</v>
      </c>
      <c r="F4346">
        <v>0.80104606729927097</v>
      </c>
      <c r="G4346">
        <v>1.0784487150037201</v>
      </c>
      <c r="H4346">
        <v>0.56180486587844203</v>
      </c>
      <c r="I4346">
        <v>0.353474166188607</v>
      </c>
      <c r="J4346">
        <v>0.40662517896460099</v>
      </c>
      <c r="K4346">
        <v>0.35621995787164601</v>
      </c>
      <c r="L4346">
        <v>14301.943100893301</v>
      </c>
      <c r="M4346">
        <v>250</v>
      </c>
      <c r="N4346">
        <v>57.5214880243077</v>
      </c>
      <c r="O4346">
        <v>57.204111533634503</v>
      </c>
      <c r="P4346">
        <v>-0.68602325070868997</v>
      </c>
      <c r="Q4346">
        <v>0.37210639249202199</v>
      </c>
      <c r="R4346">
        <v>0.90709834712167003</v>
      </c>
      <c r="S4346" t="s">
        <v>9897</v>
      </c>
      <c r="T4346" t="s">
        <v>11100</v>
      </c>
      <c r="U4346" t="s">
        <v>11100</v>
      </c>
      <c r="V4346" t="s">
        <v>11100</v>
      </c>
      <c r="W4346" t="s">
        <v>15395</v>
      </c>
      <c r="X4346">
        <v>2</v>
      </c>
      <c r="Y4346" t="s">
        <v>20826</v>
      </c>
      <c r="Z4346" t="s">
        <v>26351</v>
      </c>
      <c r="AA4346">
        <v>0.79511380269814558</v>
      </c>
      <c r="AB4346" t="str">
        <f>HYPERLINK("Melting_Curves/meltCurve_Q96IZ7_2_RSRC1.pdf", "Melting_Curves/meltCurve_Q96IZ7_2_RSRC1.pdf")</f>
        <v>Melting_Curves/meltCurve_Q96IZ7_2_RSRC1.pdf</v>
      </c>
    </row>
    <row r="4347" spans="1:28" x14ac:dyDescent="0.25">
      <c r="A4347" t="s">
        <v>4351</v>
      </c>
      <c r="B4347">
        <v>0.99299721793515405</v>
      </c>
      <c r="C4347">
        <v>0.95859830297729498</v>
      </c>
      <c r="D4347">
        <v>1.0088887950816301</v>
      </c>
      <c r="E4347">
        <v>0.91446021247915199</v>
      </c>
      <c r="F4347">
        <v>0.73862650913839001</v>
      </c>
      <c r="G4347">
        <v>0.56602901883638601</v>
      </c>
      <c r="H4347">
        <v>0.28460975609835099</v>
      </c>
      <c r="I4347">
        <v>0.17218535194665199</v>
      </c>
      <c r="J4347">
        <v>0.12959961484569901</v>
      </c>
      <c r="K4347">
        <v>0.104984231032551</v>
      </c>
      <c r="L4347">
        <v>836.37228839260297</v>
      </c>
      <c r="M4347">
        <v>15.5584718442291</v>
      </c>
      <c r="N4347">
        <v>54.153168351614902</v>
      </c>
      <c r="O4347">
        <v>52.8921272478172</v>
      </c>
      <c r="P4347">
        <v>-6.9586333579394699E-2</v>
      </c>
      <c r="Q4347">
        <v>5.3828144432979598E-2</v>
      </c>
      <c r="R4347">
        <v>0.99578756049429595</v>
      </c>
      <c r="S4347" t="s">
        <v>9898</v>
      </c>
      <c r="T4347" t="s">
        <v>11100</v>
      </c>
      <c r="U4347" t="s">
        <v>11100</v>
      </c>
      <c r="V4347" t="s">
        <v>11100</v>
      </c>
      <c r="W4347" t="s">
        <v>15396</v>
      </c>
      <c r="X4347">
        <v>9</v>
      </c>
      <c r="Y4347" t="s">
        <v>20827</v>
      </c>
      <c r="Z4347" t="s">
        <v>26352</v>
      </c>
      <c r="AA4347">
        <v>0.5975938487395277</v>
      </c>
      <c r="AB4347" t="str">
        <f>HYPERLINK("Melting_Curves/meltCurve_Q96J01_THOC3.pdf", "Melting_Curves/meltCurve_Q96J01_THOC3.pdf")</f>
        <v>Melting_Curves/meltCurve_Q96J01_THOC3.pdf</v>
      </c>
    </row>
    <row r="4348" spans="1:28" x14ac:dyDescent="0.25">
      <c r="A4348" t="s">
        <v>4352</v>
      </c>
      <c r="B4348">
        <v>0.99299721793515405</v>
      </c>
      <c r="C4348">
        <v>1.02356785160945</v>
      </c>
      <c r="D4348">
        <v>1.08337217876181</v>
      </c>
      <c r="E4348">
        <v>0.89501205617471602</v>
      </c>
      <c r="F4348">
        <v>0.76403053989754999</v>
      </c>
      <c r="G4348">
        <v>0.411332728253263</v>
      </c>
      <c r="H4348">
        <v>0.254388118314339</v>
      </c>
      <c r="I4348">
        <v>0.21279760995186001</v>
      </c>
      <c r="J4348">
        <v>0.22779990067318501</v>
      </c>
      <c r="K4348">
        <v>0.19998976628485701</v>
      </c>
      <c r="L4348">
        <v>1301.6470766362299</v>
      </c>
      <c r="M4348">
        <v>25.185177288154801</v>
      </c>
      <c r="N4348">
        <v>52.7694550077115</v>
      </c>
      <c r="O4348">
        <v>51.3605225276238</v>
      </c>
      <c r="P4348">
        <v>-9.7792546085662693E-2</v>
      </c>
      <c r="Q4348">
        <v>0.20229101627729601</v>
      </c>
      <c r="R4348">
        <v>0.99015040389348896</v>
      </c>
      <c r="S4348" t="s">
        <v>9899</v>
      </c>
      <c r="T4348" t="s">
        <v>11100</v>
      </c>
      <c r="U4348" t="s">
        <v>11100</v>
      </c>
      <c r="V4348" t="s">
        <v>11100</v>
      </c>
      <c r="W4348" t="s">
        <v>15397</v>
      </c>
      <c r="X4348">
        <v>4</v>
      </c>
      <c r="Y4348" t="s">
        <v>20828</v>
      </c>
      <c r="Z4348" t="s">
        <v>26353</v>
      </c>
      <c r="AA4348">
        <v>0.59968592193912074</v>
      </c>
      <c r="AB4348" t="str">
        <f>HYPERLINK("Melting_Curves/meltCurve_Q96J02_2_ITCH.pdf", "Melting_Curves/meltCurve_Q96J02_2_ITCH.pdf")</f>
        <v>Melting_Curves/meltCurve_Q96J02_2_ITCH.pdf</v>
      </c>
    </row>
    <row r="4349" spans="1:28" x14ac:dyDescent="0.25">
      <c r="A4349" t="s">
        <v>4353</v>
      </c>
      <c r="B4349">
        <v>0.99299721793515405</v>
      </c>
      <c r="C4349">
        <v>1.1005217342198099</v>
      </c>
      <c r="D4349">
        <v>0.86387878940026197</v>
      </c>
      <c r="E4349">
        <v>0.85829961212612704</v>
      </c>
      <c r="F4349">
        <v>0.808122308448743</v>
      </c>
      <c r="G4349">
        <v>0.50720439690663099</v>
      </c>
      <c r="H4349">
        <v>0.47428122866749201</v>
      </c>
      <c r="I4349">
        <v>0.53301132552735797</v>
      </c>
      <c r="J4349">
        <v>0.44061358857419802</v>
      </c>
      <c r="K4349">
        <v>0.33100502429931</v>
      </c>
      <c r="L4349">
        <v>667.11209906533099</v>
      </c>
      <c r="M4349">
        <v>13.0090948285359</v>
      </c>
      <c r="N4349">
        <v>57.199250016642999</v>
      </c>
      <c r="O4349">
        <v>50.114065914076697</v>
      </c>
      <c r="P4349">
        <v>-4.0900430162356803E-2</v>
      </c>
      <c r="Q4349">
        <v>0.36987891908447201</v>
      </c>
      <c r="R4349">
        <v>0.92195474300947</v>
      </c>
      <c r="S4349" t="s">
        <v>9900</v>
      </c>
      <c r="T4349" t="s">
        <v>11100</v>
      </c>
      <c r="U4349" t="s">
        <v>11100</v>
      </c>
      <c r="V4349" t="s">
        <v>11100</v>
      </c>
      <c r="W4349" t="s">
        <v>15398</v>
      </c>
      <c r="X4349">
        <v>5</v>
      </c>
      <c r="Y4349" t="s">
        <v>20829</v>
      </c>
      <c r="Z4349" t="s">
        <v>26354</v>
      </c>
      <c r="AA4349">
        <v>0.68460879687403786</v>
      </c>
      <c r="AB4349" t="str">
        <f>HYPERLINK("Melting_Curves/meltCurve_Q96J84_KIRREL.pdf", "Melting_Curves/meltCurve_Q96J84_KIRREL.pdf")</f>
        <v>Melting_Curves/meltCurve_Q96J84_KIRREL.pdf</v>
      </c>
    </row>
    <row r="4350" spans="1:28" x14ac:dyDescent="0.25">
      <c r="A4350" t="s">
        <v>4354</v>
      </c>
      <c r="B4350">
        <v>0.99299721793515405</v>
      </c>
      <c r="C4350">
        <v>0.99480563568246305</v>
      </c>
      <c r="D4350">
        <v>0.81025268773294901</v>
      </c>
      <c r="E4350">
        <v>0.98096588941234897</v>
      </c>
      <c r="F4350">
        <v>0.84409483104467797</v>
      </c>
      <c r="G4350">
        <v>0.73623090866659602</v>
      </c>
      <c r="H4350">
        <v>0.338555617447999</v>
      </c>
      <c r="I4350">
        <v>0.302432025511498</v>
      </c>
      <c r="J4350">
        <v>0.65508059355054604</v>
      </c>
      <c r="K4350">
        <v>0</v>
      </c>
      <c r="L4350">
        <v>542.63987471964697</v>
      </c>
      <c r="M4350">
        <v>9.3931325548124107</v>
      </c>
      <c r="N4350">
        <v>57.769827150896297</v>
      </c>
      <c r="O4350">
        <v>55.332950962171701</v>
      </c>
      <c r="P4350">
        <v>-4.2465351197539497E-2</v>
      </c>
      <c r="Q4350">
        <v>0</v>
      </c>
      <c r="R4350">
        <v>0.75672182424678702</v>
      </c>
      <c r="S4350" t="s">
        <v>9901</v>
      </c>
      <c r="T4350" t="s">
        <v>11100</v>
      </c>
      <c r="U4350" t="s">
        <v>11100</v>
      </c>
      <c r="V4350" t="s">
        <v>11100</v>
      </c>
      <c r="W4350" t="s">
        <v>15399</v>
      </c>
      <c r="X4350">
        <v>4</v>
      </c>
      <c r="Y4350" t="s">
        <v>20830</v>
      </c>
      <c r="Z4350" t="s">
        <v>26355</v>
      </c>
      <c r="AA4350">
        <v>0.68267469061361197</v>
      </c>
      <c r="AB4350" t="str">
        <f>HYPERLINK("Melting_Curves/meltCurve_Q96JA1_LRIG1.pdf", "Melting_Curves/meltCurve_Q96JA1_LRIG1.pdf")</f>
        <v>Melting_Curves/meltCurve_Q96JA1_LRIG1.pdf</v>
      </c>
    </row>
    <row r="4351" spans="1:28" x14ac:dyDescent="0.25">
      <c r="A4351" t="s">
        <v>4355</v>
      </c>
      <c r="B4351">
        <v>0.99299721793515405</v>
      </c>
      <c r="C4351">
        <v>1.03667217749229</v>
      </c>
      <c r="D4351">
        <v>1.05782302210812</v>
      </c>
      <c r="E4351">
        <v>0.86027800903652996</v>
      </c>
      <c r="F4351">
        <v>0.68200420630188596</v>
      </c>
      <c r="G4351">
        <v>0.40098469290574501</v>
      </c>
      <c r="H4351">
        <v>0.62596300932147697</v>
      </c>
      <c r="I4351">
        <v>0.59672042573337203</v>
      </c>
      <c r="J4351">
        <v>0.54538056325173301</v>
      </c>
      <c r="K4351">
        <v>0.464326756989352</v>
      </c>
      <c r="L4351">
        <v>1599.9810612820399</v>
      </c>
      <c r="M4351">
        <v>33.138537473683101</v>
      </c>
      <c r="O4351">
        <v>48.106767012952197</v>
      </c>
      <c r="P4351">
        <v>-8.0902578824330995E-2</v>
      </c>
      <c r="Q4351">
        <v>0.530221206585345</v>
      </c>
      <c r="R4351">
        <v>0.91053667728944998</v>
      </c>
      <c r="S4351" t="s">
        <v>9902</v>
      </c>
      <c r="T4351" t="s">
        <v>11100</v>
      </c>
      <c r="U4351" t="s">
        <v>11100</v>
      </c>
      <c r="V4351" t="s">
        <v>11100</v>
      </c>
      <c r="W4351" t="s">
        <v>15400</v>
      </c>
      <c r="X4351">
        <v>12</v>
      </c>
      <c r="Y4351" t="s">
        <v>20831</v>
      </c>
      <c r="Z4351" t="s">
        <v>26356</v>
      </c>
      <c r="AA4351">
        <v>0.70917310072780471</v>
      </c>
      <c r="AB4351" t="str">
        <f>HYPERLINK("Melting_Curves/meltCurve_Q96JB5_2_CDK5RAP3.pdf", "Melting_Curves/meltCurve_Q96JB5_2_CDK5RAP3.pdf")</f>
        <v>Melting_Curves/meltCurve_Q96JB5_2_CDK5RAP3.pdf</v>
      </c>
    </row>
    <row r="4352" spans="1:28" x14ac:dyDescent="0.25">
      <c r="A4352" t="s">
        <v>4356</v>
      </c>
      <c r="B4352">
        <v>0.99299721793515405</v>
      </c>
      <c r="C4352">
        <v>0.87080084597184004</v>
      </c>
      <c r="D4352">
        <v>0.93231558368051903</v>
      </c>
      <c r="E4352">
        <v>0.77321511805515697</v>
      </c>
      <c r="F4352">
        <v>0.691255111386747</v>
      </c>
      <c r="G4352">
        <v>0.49237140147576403</v>
      </c>
      <c r="H4352">
        <v>0.22837080133808799</v>
      </c>
      <c r="I4352">
        <v>0.22416387634228599</v>
      </c>
      <c r="J4352">
        <v>0.17561962004272</v>
      </c>
      <c r="K4352">
        <v>9.5409197196497195E-2</v>
      </c>
      <c r="L4352">
        <v>538.16382861069303</v>
      </c>
      <c r="M4352">
        <v>10.153728297691799</v>
      </c>
      <c r="N4352">
        <v>53.001580989538198</v>
      </c>
      <c r="O4352">
        <v>51.069038184420698</v>
      </c>
      <c r="P4352">
        <v>-4.9728697023357103E-2</v>
      </c>
      <c r="Q4352">
        <v>0</v>
      </c>
      <c r="R4352">
        <v>0.97904516109106099</v>
      </c>
      <c r="S4352" t="s">
        <v>9903</v>
      </c>
      <c r="T4352" t="s">
        <v>11100</v>
      </c>
      <c r="U4352" t="s">
        <v>11100</v>
      </c>
      <c r="V4352" t="s">
        <v>11100</v>
      </c>
      <c r="W4352" t="s">
        <v>15401</v>
      </c>
      <c r="X4352">
        <v>3</v>
      </c>
      <c r="Y4352" t="s">
        <v>20832</v>
      </c>
      <c r="Z4352" t="s">
        <v>26357</v>
      </c>
      <c r="AA4352">
        <v>0.55572002195565395</v>
      </c>
      <c r="AB4352" t="str">
        <f>HYPERLINK("Melting_Curves/meltCurve_Q96JC1_2_VPS39.pdf", "Melting_Curves/meltCurve_Q96JC1_2_VPS39.pdf")</f>
        <v>Melting_Curves/meltCurve_Q96JC1_2_VPS39.pdf</v>
      </c>
    </row>
    <row r="4353" spans="1:28" x14ac:dyDescent="0.25">
      <c r="A4353" t="s">
        <v>4357</v>
      </c>
      <c r="B4353">
        <v>0.99299721793515405</v>
      </c>
      <c r="C4353">
        <v>0.77582631101372601</v>
      </c>
      <c r="D4353">
        <v>0.94994940320781796</v>
      </c>
      <c r="E4353">
        <v>0.84313740357698097</v>
      </c>
      <c r="F4353">
        <v>0.68250362667213205</v>
      </c>
      <c r="G4353">
        <v>0.249867186313776</v>
      </c>
      <c r="H4353">
        <v>0.48796103956890902</v>
      </c>
      <c r="I4353">
        <v>0.74734113116373202</v>
      </c>
      <c r="J4353">
        <v>1.3465469330615301</v>
      </c>
      <c r="K4353">
        <v>1.3203950009012899</v>
      </c>
      <c r="L4353">
        <v>15000</v>
      </c>
      <c r="M4353">
        <v>238.53397912379401</v>
      </c>
      <c r="O4353">
        <v>62.879702857583403</v>
      </c>
      <c r="P4353">
        <v>0.31780714398309501</v>
      </c>
      <c r="Q4353">
        <v>1.33510728604045</v>
      </c>
      <c r="R4353">
        <v>-3.3813344953843097E-2</v>
      </c>
      <c r="S4353" t="s">
        <v>9904</v>
      </c>
      <c r="T4353" t="s">
        <v>11100</v>
      </c>
      <c r="U4353" t="s">
        <v>11100</v>
      </c>
      <c r="V4353" t="s">
        <v>11100</v>
      </c>
      <c r="W4353" t="s">
        <v>15402</v>
      </c>
      <c r="X4353">
        <v>1</v>
      </c>
      <c r="Y4353" t="s">
        <v>20833</v>
      </c>
      <c r="Z4353" t="s">
        <v>26358</v>
      </c>
      <c r="AA4353">
        <v>1.0459347266315471</v>
      </c>
      <c r="AB4353" t="str">
        <f>HYPERLINK("Melting_Curves/meltCurve_Q96JC9_EAF1.pdf", "Melting_Curves/meltCurve_Q96JC9_EAF1.pdf")</f>
        <v>Melting_Curves/meltCurve_Q96JC9_EAF1.pdf</v>
      </c>
    </row>
    <row r="4354" spans="1:28" x14ac:dyDescent="0.25">
      <c r="A4354" t="s">
        <v>4358</v>
      </c>
      <c r="B4354">
        <v>0.99299721793515405</v>
      </c>
      <c r="C4354">
        <v>1.16764350461857</v>
      </c>
      <c r="D4354">
        <v>0.97390434706745399</v>
      </c>
      <c r="E4354">
        <v>1.17894466054143</v>
      </c>
      <c r="F4354">
        <v>0.83966279357748497</v>
      </c>
      <c r="G4354">
        <v>0.25539401240434101</v>
      </c>
      <c r="H4354">
        <v>0.231559332931488</v>
      </c>
      <c r="I4354">
        <v>0.180942415256477</v>
      </c>
      <c r="J4354">
        <v>0.133368724619574</v>
      </c>
      <c r="K4354">
        <v>5.2770017017945398E-2</v>
      </c>
      <c r="L4354">
        <v>2571.9454135275</v>
      </c>
      <c r="M4354">
        <v>49.712460706107798</v>
      </c>
      <c r="N4354">
        <v>52.101927264452897</v>
      </c>
      <c r="O4354">
        <v>51.652897372089797</v>
      </c>
      <c r="P4354">
        <v>-0.205188779660678</v>
      </c>
      <c r="Q4354">
        <v>0.14720854732306701</v>
      </c>
      <c r="R4354">
        <v>0.95986873691296204</v>
      </c>
      <c r="S4354" t="s">
        <v>9905</v>
      </c>
      <c r="T4354" t="s">
        <v>11100</v>
      </c>
      <c r="U4354" t="s">
        <v>11100</v>
      </c>
      <c r="V4354" t="s">
        <v>11100</v>
      </c>
      <c r="W4354" t="s">
        <v>15403</v>
      </c>
      <c r="X4354">
        <v>2</v>
      </c>
      <c r="Y4354" t="s">
        <v>20834</v>
      </c>
      <c r="Z4354" t="s">
        <v>26359</v>
      </c>
      <c r="AA4354">
        <v>0.5680802744787673</v>
      </c>
      <c r="AB4354" t="str">
        <f>HYPERLINK("Melting_Curves/meltCurve_Q96JG6_3_CCDC132.pdf", "Melting_Curves/meltCurve_Q96JG6_3_CCDC132.pdf")</f>
        <v>Melting_Curves/meltCurve_Q96JG6_3_CCDC132.pdf</v>
      </c>
    </row>
    <row r="4355" spans="1:28" x14ac:dyDescent="0.25">
      <c r="A4355" t="s">
        <v>4359</v>
      </c>
      <c r="B4355">
        <v>0.99299721793515405</v>
      </c>
      <c r="C4355">
        <v>1.00427242981708</v>
      </c>
      <c r="D4355">
        <v>0.91863245764151202</v>
      </c>
      <c r="E4355">
        <v>0.74570587919276499</v>
      </c>
      <c r="F4355">
        <v>0.29055897941182901</v>
      </c>
      <c r="G4355">
        <v>0.20506059123491299</v>
      </c>
      <c r="H4355">
        <v>0.145010190694708</v>
      </c>
      <c r="I4355">
        <v>0.13870123282644201</v>
      </c>
      <c r="J4355">
        <v>0.115736458142725</v>
      </c>
      <c r="K4355">
        <v>7.6642076527890499E-2</v>
      </c>
      <c r="L4355">
        <v>1263.4183302689</v>
      </c>
      <c r="M4355">
        <v>26.353500227059801</v>
      </c>
      <c r="N4355">
        <v>48.441440740435603</v>
      </c>
      <c r="O4355">
        <v>47.667703366826998</v>
      </c>
      <c r="P4355">
        <v>-0.121751049342783</v>
      </c>
      <c r="Q4355">
        <v>0.11912583446932801</v>
      </c>
      <c r="R4355">
        <v>0.99474359494842501</v>
      </c>
      <c r="S4355" t="s">
        <v>9906</v>
      </c>
      <c r="T4355" t="s">
        <v>11100</v>
      </c>
      <c r="U4355" t="s">
        <v>11100</v>
      </c>
      <c r="V4355" t="s">
        <v>11100</v>
      </c>
      <c r="W4355" t="s">
        <v>15404</v>
      </c>
      <c r="X4355">
        <v>8</v>
      </c>
      <c r="Y4355" t="s">
        <v>20835</v>
      </c>
      <c r="Z4355" t="s">
        <v>26360</v>
      </c>
      <c r="AA4355">
        <v>0.44714084447539798</v>
      </c>
      <c r="AB4355" t="str">
        <f>HYPERLINK("Melting_Curves/meltCurve_Q96JH7_VCPIP1.pdf", "Melting_Curves/meltCurve_Q96JH7_VCPIP1.pdf")</f>
        <v>Melting_Curves/meltCurve_Q96JH7_VCPIP1.pdf</v>
      </c>
    </row>
    <row r="4356" spans="1:28" x14ac:dyDescent="0.25">
      <c r="A4356" t="s">
        <v>4360</v>
      </c>
      <c r="B4356">
        <v>0.99299721793515405</v>
      </c>
      <c r="C4356">
        <v>0.89860170536139405</v>
      </c>
      <c r="D4356">
        <v>0.84268980701761897</v>
      </c>
      <c r="E4356">
        <v>0.76079331509100601</v>
      </c>
      <c r="F4356">
        <v>0.71469148700540797</v>
      </c>
      <c r="G4356">
        <v>0.61632759415466798</v>
      </c>
      <c r="H4356">
        <v>0.41580997013097798</v>
      </c>
      <c r="I4356">
        <v>0.25150438468893499</v>
      </c>
      <c r="J4356">
        <v>0.151067848212492</v>
      </c>
      <c r="K4356">
        <v>0.157796936925478</v>
      </c>
      <c r="L4356">
        <v>465.83446050821198</v>
      </c>
      <c r="M4356">
        <v>8.5450225162200493</v>
      </c>
      <c r="N4356">
        <v>54.515300948241702</v>
      </c>
      <c r="O4356">
        <v>51.775757267098598</v>
      </c>
      <c r="P4356">
        <v>-4.1296218319328802E-2</v>
      </c>
      <c r="Q4356">
        <v>0</v>
      </c>
      <c r="R4356">
        <v>0.970868231473344</v>
      </c>
      <c r="S4356" t="s">
        <v>9907</v>
      </c>
      <c r="T4356" t="s">
        <v>11100</v>
      </c>
      <c r="U4356" t="s">
        <v>11100</v>
      </c>
      <c r="V4356" t="s">
        <v>11100</v>
      </c>
      <c r="W4356" t="s">
        <v>15405</v>
      </c>
      <c r="X4356">
        <v>6</v>
      </c>
      <c r="Y4356" t="s">
        <v>20836</v>
      </c>
      <c r="Z4356" t="s">
        <v>26361</v>
      </c>
      <c r="AA4356">
        <v>0.59605974324397237</v>
      </c>
      <c r="AB4356" t="str">
        <f>HYPERLINK("Melting_Curves/meltCurve_Q96JJ7_TMX3.pdf", "Melting_Curves/meltCurve_Q96JJ7_TMX3.pdf")</f>
        <v>Melting_Curves/meltCurve_Q96JJ7_TMX3.pdf</v>
      </c>
    </row>
    <row r="4357" spans="1:28" x14ac:dyDescent="0.25">
      <c r="A4357" t="s">
        <v>4361</v>
      </c>
      <c r="B4357">
        <v>0.99299721793515405</v>
      </c>
      <c r="C4357">
        <v>0.92689953325890395</v>
      </c>
      <c r="D4357">
        <v>0.96362686284600396</v>
      </c>
      <c r="E4357">
        <v>0.99255966707596899</v>
      </c>
      <c r="F4357">
        <v>0.99361761456098496</v>
      </c>
      <c r="G4357">
        <v>0.56638654820633405</v>
      </c>
      <c r="H4357">
        <v>0.419201741092326</v>
      </c>
      <c r="I4357">
        <v>0.32735823814453302</v>
      </c>
      <c r="J4357">
        <v>0.204619224684641</v>
      </c>
      <c r="K4357">
        <v>0.15264141862391201</v>
      </c>
      <c r="L4357">
        <v>1233.2945161887301</v>
      </c>
      <c r="M4357">
        <v>22.646694246446199</v>
      </c>
      <c r="N4357">
        <v>55.656037822513703</v>
      </c>
      <c r="O4357">
        <v>54.0387472552585</v>
      </c>
      <c r="P4357">
        <v>-8.4560785248771794E-2</v>
      </c>
      <c r="Q4357">
        <v>0.19291214744380999</v>
      </c>
      <c r="R4357">
        <v>0.971775161911274</v>
      </c>
      <c r="S4357" t="s">
        <v>9908</v>
      </c>
      <c r="T4357" t="s">
        <v>11100</v>
      </c>
      <c r="U4357" t="s">
        <v>11100</v>
      </c>
      <c r="V4357" t="s">
        <v>11100</v>
      </c>
      <c r="W4357" t="s">
        <v>15406</v>
      </c>
      <c r="X4357">
        <v>3</v>
      </c>
      <c r="Y4357" t="s">
        <v>20837</v>
      </c>
      <c r="Z4357" t="s">
        <v>26362</v>
      </c>
      <c r="AA4357">
        <v>0.67066648116085059</v>
      </c>
      <c r="AB4357" t="str">
        <f>HYPERLINK("Melting_Curves/meltCurve_Q96JM3_CHAMP1.pdf", "Melting_Curves/meltCurve_Q96JM3_CHAMP1.pdf")</f>
        <v>Melting_Curves/meltCurve_Q96JM3_CHAMP1.pdf</v>
      </c>
    </row>
    <row r="4358" spans="1:28" x14ac:dyDescent="0.25">
      <c r="A4358" t="s">
        <v>4362</v>
      </c>
      <c r="B4358">
        <v>0.99299721793515405</v>
      </c>
      <c r="C4358">
        <v>0.88779253695604399</v>
      </c>
      <c r="D4358">
        <v>0.83440965603983797</v>
      </c>
      <c r="E4358">
        <v>0.79776690444592901</v>
      </c>
      <c r="F4358">
        <v>0.660798145240584</v>
      </c>
      <c r="G4358">
        <v>0.544502615024408</v>
      </c>
      <c r="H4358">
        <v>0.43120531161110498</v>
      </c>
      <c r="I4358">
        <v>0.37552616622468699</v>
      </c>
      <c r="J4358">
        <v>0.41867480707929899</v>
      </c>
      <c r="K4358">
        <v>0.33690990642500601</v>
      </c>
      <c r="L4358">
        <v>410.89388445859402</v>
      </c>
      <c r="M4358">
        <v>8.0703345897143404</v>
      </c>
      <c r="N4358">
        <v>55.673892413466497</v>
      </c>
      <c r="O4358">
        <v>48.0737333092531</v>
      </c>
      <c r="P4358">
        <v>-3.1544330441835501E-2</v>
      </c>
      <c r="Q4358">
        <v>0.249203034269912</v>
      </c>
      <c r="R4358">
        <v>0.981864102347908</v>
      </c>
      <c r="S4358" t="s">
        <v>9909</v>
      </c>
      <c r="T4358" t="s">
        <v>11100</v>
      </c>
      <c r="U4358" t="s">
        <v>11100</v>
      </c>
      <c r="V4358" t="s">
        <v>11100</v>
      </c>
      <c r="W4358" t="s">
        <v>15407</v>
      </c>
      <c r="X4358">
        <v>5</v>
      </c>
      <c r="Y4358" t="s">
        <v>20838</v>
      </c>
      <c r="Z4358" t="s">
        <v>26363</v>
      </c>
      <c r="AA4358">
        <v>0.62385108161152636</v>
      </c>
      <c r="AB4358" t="str">
        <f>HYPERLINK("Melting_Curves/meltCurve_Q96JP5_ZFP91.pdf", "Melting_Curves/meltCurve_Q96JP5_ZFP91.pdf")</f>
        <v>Melting_Curves/meltCurve_Q96JP5_ZFP91.pdf</v>
      </c>
    </row>
    <row r="4359" spans="1:28" x14ac:dyDescent="0.25">
      <c r="A4359" t="s">
        <v>4363</v>
      </c>
      <c r="B4359">
        <v>0.99299721793515405</v>
      </c>
      <c r="C4359">
        <v>0.98658836784260395</v>
      </c>
      <c r="D4359">
        <v>0.992258721132253</v>
      </c>
      <c r="E4359">
        <v>0.82307098878795704</v>
      </c>
      <c r="F4359">
        <v>0.77798984727078502</v>
      </c>
      <c r="G4359">
        <v>0.800613911909548</v>
      </c>
      <c r="H4359">
        <v>0.43554261012843798</v>
      </c>
      <c r="I4359">
        <v>0.16225237013941299</v>
      </c>
      <c r="J4359">
        <v>0.121609571980773</v>
      </c>
      <c r="K4359">
        <v>4.34275050730768E-2</v>
      </c>
      <c r="L4359">
        <v>915.40203308644698</v>
      </c>
      <c r="M4359">
        <v>16.247907863443299</v>
      </c>
      <c r="N4359">
        <v>56.339686883379301</v>
      </c>
      <c r="O4359">
        <v>55.506985466982499</v>
      </c>
      <c r="P4359">
        <v>-7.3184965991642897E-2</v>
      </c>
      <c r="Q4359">
        <v>0</v>
      </c>
      <c r="R4359">
        <v>0.96262930788549705</v>
      </c>
      <c r="S4359" t="s">
        <v>9910</v>
      </c>
      <c r="T4359" t="s">
        <v>11100</v>
      </c>
      <c r="U4359" t="s">
        <v>11100</v>
      </c>
      <c r="V4359" t="s">
        <v>11100</v>
      </c>
      <c r="W4359" t="s">
        <v>15408</v>
      </c>
      <c r="X4359">
        <v>1</v>
      </c>
      <c r="Y4359" t="s">
        <v>20839</v>
      </c>
      <c r="Z4359" t="s">
        <v>26364</v>
      </c>
      <c r="AA4359">
        <v>0.65524460122398909</v>
      </c>
      <c r="AB4359" t="str">
        <f>HYPERLINK("Melting_Curves/meltCurve_Q96JQ2_CLMN.pdf", "Melting_Curves/meltCurve_Q96JQ2_CLMN.pdf")</f>
        <v>Melting_Curves/meltCurve_Q96JQ2_CLMN.pdf</v>
      </c>
    </row>
    <row r="4360" spans="1:28" x14ac:dyDescent="0.25">
      <c r="A4360" t="s">
        <v>4364</v>
      </c>
      <c r="B4360">
        <v>0.99299721793515405</v>
      </c>
      <c r="C4360">
        <v>0.78271330706646203</v>
      </c>
      <c r="D4360">
        <v>0.54227401025842803</v>
      </c>
      <c r="E4360">
        <v>0.71745542216991898</v>
      </c>
      <c r="F4360">
        <v>0.64111974336434197</v>
      </c>
      <c r="G4360">
        <v>0.21509558736655701</v>
      </c>
      <c r="H4360">
        <v>0.39531208804366802</v>
      </c>
      <c r="I4360">
        <v>0.50337559974185697</v>
      </c>
      <c r="J4360">
        <v>0.40711912986829701</v>
      </c>
      <c r="K4360">
        <v>0.233963490246516</v>
      </c>
      <c r="L4360">
        <v>358.60209180412198</v>
      </c>
      <c r="M4360">
        <v>7.9905084521967504</v>
      </c>
      <c r="N4360">
        <v>50.413761450122799</v>
      </c>
      <c r="O4360">
        <v>42.329220006815603</v>
      </c>
      <c r="P4360">
        <v>-3.3447822195060199E-2</v>
      </c>
      <c r="Q4360">
        <v>0.29205361263298102</v>
      </c>
      <c r="R4360">
        <v>0.71453485629967395</v>
      </c>
      <c r="S4360" t="s">
        <v>9911</v>
      </c>
      <c r="T4360" t="s">
        <v>11100</v>
      </c>
      <c r="U4360" t="s">
        <v>11100</v>
      </c>
      <c r="V4360" t="s">
        <v>11100</v>
      </c>
      <c r="W4360" t="s">
        <v>15409</v>
      </c>
      <c r="X4360">
        <v>3</v>
      </c>
      <c r="Y4360" t="s">
        <v>20840</v>
      </c>
      <c r="Z4360" t="s">
        <v>26365</v>
      </c>
      <c r="AA4360">
        <v>0.52719737392550237</v>
      </c>
      <c r="AB4360" t="str">
        <f>HYPERLINK("Melting_Curves/meltCurve_Q96JY6_PDLIM2.pdf", "Melting_Curves/meltCurve_Q96JY6_PDLIM2.pdf")</f>
        <v>Melting_Curves/meltCurve_Q96JY6_PDLIM2.pdf</v>
      </c>
    </row>
    <row r="4361" spans="1:28" x14ac:dyDescent="0.25">
      <c r="A4361" t="s">
        <v>4365</v>
      </c>
      <c r="B4361">
        <v>0.99299721793515405</v>
      </c>
      <c r="C4361">
        <v>1.0162504380455999</v>
      </c>
      <c r="D4361">
        <v>0.93830452565790701</v>
      </c>
      <c r="E4361">
        <v>1.04269946126025</v>
      </c>
      <c r="F4361">
        <v>0.76080259411631701</v>
      </c>
      <c r="G4361">
        <v>0.563790410738644</v>
      </c>
      <c r="H4361">
        <v>0.73404351642898102</v>
      </c>
      <c r="I4361">
        <v>0.64172737127060997</v>
      </c>
      <c r="J4361">
        <v>0.48155370186495999</v>
      </c>
      <c r="K4361">
        <v>0.37970060413381002</v>
      </c>
      <c r="L4361">
        <v>420.66087302144501</v>
      </c>
      <c r="M4361">
        <v>7.02119132639291</v>
      </c>
      <c r="N4361">
        <v>63.338081670844197</v>
      </c>
      <c r="O4361">
        <v>55.621190242473602</v>
      </c>
      <c r="P4361">
        <v>-2.6621917776748601E-2</v>
      </c>
      <c r="Q4361">
        <v>0.15795874844112301</v>
      </c>
      <c r="R4361">
        <v>0.85041423504311298</v>
      </c>
      <c r="S4361" t="s">
        <v>9912</v>
      </c>
      <c r="T4361" t="s">
        <v>11100</v>
      </c>
      <c r="U4361" t="s">
        <v>11100</v>
      </c>
      <c r="V4361" t="s">
        <v>11100</v>
      </c>
      <c r="W4361" t="s">
        <v>15410</v>
      </c>
      <c r="X4361">
        <v>2</v>
      </c>
      <c r="Y4361" t="s">
        <v>20841</v>
      </c>
      <c r="Z4361" t="s">
        <v>26366</v>
      </c>
      <c r="AA4361">
        <v>0.75601592242612725</v>
      </c>
      <c r="AB4361" t="str">
        <f>HYPERLINK("Melting_Curves/meltCurve_Q96K31_C8orf76.pdf", "Melting_Curves/meltCurve_Q96K31_C8orf76.pdf")</f>
        <v>Melting_Curves/meltCurve_Q96K31_C8orf76.pdf</v>
      </c>
    </row>
    <row r="4362" spans="1:28" x14ac:dyDescent="0.25">
      <c r="A4362" t="s">
        <v>4366</v>
      </c>
      <c r="B4362">
        <v>0.99299721793515405</v>
      </c>
      <c r="C4362">
        <v>1.0247934222846999</v>
      </c>
      <c r="D4362">
        <v>0.94952721992445199</v>
      </c>
      <c r="E4362">
        <v>0.90019183831875405</v>
      </c>
      <c r="F4362">
        <v>0.73562932864355501</v>
      </c>
      <c r="G4362">
        <v>0.56649548145180195</v>
      </c>
      <c r="H4362">
        <v>0.33743449792284602</v>
      </c>
      <c r="I4362">
        <v>0.25876297778211999</v>
      </c>
      <c r="J4362">
        <v>0.261072965305362</v>
      </c>
      <c r="K4362">
        <v>0.20605282383131701</v>
      </c>
      <c r="L4362">
        <v>797.098265256275</v>
      </c>
      <c r="M4362">
        <v>15.088339807877601</v>
      </c>
      <c r="N4362">
        <v>54.419513664540503</v>
      </c>
      <c r="O4362">
        <v>51.926843346499702</v>
      </c>
      <c r="P4362">
        <v>-5.9694698282125598E-2</v>
      </c>
      <c r="Q4362">
        <v>0.17831882618052899</v>
      </c>
      <c r="R4362">
        <v>0.99525499685640095</v>
      </c>
      <c r="S4362" t="s">
        <v>9913</v>
      </c>
      <c r="T4362" t="s">
        <v>11100</v>
      </c>
      <c r="U4362" t="s">
        <v>11100</v>
      </c>
      <c r="V4362" t="s">
        <v>11100</v>
      </c>
      <c r="W4362" t="s">
        <v>15411</v>
      </c>
      <c r="X4362">
        <v>9</v>
      </c>
      <c r="Y4362" t="s">
        <v>20842</v>
      </c>
      <c r="Z4362" t="s">
        <v>26367</v>
      </c>
      <c r="AA4362">
        <v>0.62663747787224</v>
      </c>
      <c r="AB4362" t="str">
        <f>HYPERLINK("Melting_Curves/meltCurve_Q96KA5_2_CLPTM1L.pdf", "Melting_Curves/meltCurve_Q96KA5_2_CLPTM1L.pdf")</f>
        <v>Melting_Curves/meltCurve_Q96KA5_2_CLPTM1L.pdf</v>
      </c>
    </row>
    <row r="4363" spans="1:28" x14ac:dyDescent="0.25">
      <c r="A4363" t="s">
        <v>4367</v>
      </c>
      <c r="B4363">
        <v>0.99299721793515405</v>
      </c>
      <c r="C4363">
        <v>1.0927748649889</v>
      </c>
      <c r="D4363">
        <v>1.2038296492404399</v>
      </c>
      <c r="E4363">
        <v>1.004424810145</v>
      </c>
      <c r="F4363">
        <v>0.64216123792656599</v>
      </c>
      <c r="G4363">
        <v>0.20090510573845399</v>
      </c>
      <c r="H4363">
        <v>0.138922053326101</v>
      </c>
      <c r="I4363">
        <v>0.125710868032719</v>
      </c>
      <c r="J4363">
        <v>0.112030972086357</v>
      </c>
      <c r="K4363">
        <v>9.9638622203671104E-2</v>
      </c>
      <c r="L4363">
        <v>2134.9107553996801</v>
      </c>
      <c r="M4363">
        <v>42.116983044788398</v>
      </c>
      <c r="N4363">
        <v>51.0199661635761</v>
      </c>
      <c r="O4363">
        <v>50.576143115499498</v>
      </c>
      <c r="P4363">
        <v>-0.18336645350102901</v>
      </c>
      <c r="Q4363">
        <v>0.11921968996262799</v>
      </c>
      <c r="R4363">
        <v>0.97403362420331396</v>
      </c>
      <c r="S4363" t="s">
        <v>9914</v>
      </c>
      <c r="T4363" t="s">
        <v>11100</v>
      </c>
      <c r="U4363" t="s">
        <v>11100</v>
      </c>
      <c r="V4363" t="s">
        <v>11100</v>
      </c>
      <c r="W4363" t="s">
        <v>15412</v>
      </c>
      <c r="X4363">
        <v>15</v>
      </c>
      <c r="Y4363" t="s">
        <v>20843</v>
      </c>
      <c r="Z4363" t="s">
        <v>26368</v>
      </c>
      <c r="AA4363">
        <v>0.5239294386064226</v>
      </c>
      <c r="AB4363" t="str">
        <f>HYPERLINK("Melting_Curves/meltCurve_Q96KB5_PBK.pdf", "Melting_Curves/meltCurve_Q96KB5_PBK.pdf")</f>
        <v>Melting_Curves/meltCurve_Q96KB5_PBK.pdf</v>
      </c>
    </row>
    <row r="4364" spans="1:28" x14ac:dyDescent="0.25">
      <c r="A4364" t="s">
        <v>4368</v>
      </c>
      <c r="B4364">
        <v>0.99299721793515405</v>
      </c>
      <c r="C4364">
        <v>0.99478499079044502</v>
      </c>
      <c r="D4364">
        <v>0.99299565496854203</v>
      </c>
      <c r="E4364">
        <v>0.72914571176781395</v>
      </c>
      <c r="F4364">
        <v>0.62831370314385104</v>
      </c>
      <c r="G4364">
        <v>0.28738828079324602</v>
      </c>
      <c r="H4364">
        <v>0.22389356045064299</v>
      </c>
      <c r="I4364">
        <v>0.13195638131184501</v>
      </c>
      <c r="J4364">
        <v>0.13781660153056199</v>
      </c>
      <c r="K4364">
        <v>0.110756605860911</v>
      </c>
      <c r="L4364">
        <v>797.59293579075597</v>
      </c>
      <c r="M4364">
        <v>15.837056948351499</v>
      </c>
      <c r="N4364">
        <v>51.030521254295003</v>
      </c>
      <c r="O4364">
        <v>49.579972393467003</v>
      </c>
      <c r="P4364">
        <v>-7.2385442943799796E-2</v>
      </c>
      <c r="Q4364">
        <v>9.3625704263822898E-2</v>
      </c>
      <c r="R4364">
        <v>0.98812167637140802</v>
      </c>
      <c r="S4364" t="s">
        <v>9915</v>
      </c>
      <c r="T4364" t="s">
        <v>11100</v>
      </c>
      <c r="U4364" t="s">
        <v>11100</v>
      </c>
      <c r="V4364" t="s">
        <v>11100</v>
      </c>
      <c r="W4364" t="s">
        <v>15413</v>
      </c>
      <c r="X4364">
        <v>2</v>
      </c>
      <c r="Y4364" t="s">
        <v>20844</v>
      </c>
      <c r="Z4364" t="s">
        <v>26369</v>
      </c>
      <c r="AA4364">
        <v>0.51465033471149002</v>
      </c>
      <c r="AB4364" t="str">
        <f>HYPERLINK("Melting_Curves/meltCurve_Q96KC2_ARL5B.pdf", "Melting_Curves/meltCurve_Q96KC2_ARL5B.pdf")</f>
        <v>Melting_Curves/meltCurve_Q96KC2_ARL5B.pdf</v>
      </c>
    </row>
    <row r="4365" spans="1:28" x14ac:dyDescent="0.25">
      <c r="A4365" t="s">
        <v>4369</v>
      </c>
      <c r="B4365">
        <v>0.99299721793515405</v>
      </c>
      <c r="C4365">
        <v>0.90737292957291205</v>
      </c>
      <c r="D4365">
        <v>0.98330954473787202</v>
      </c>
      <c r="E4365">
        <v>0.75125543314267695</v>
      </c>
      <c r="F4365">
        <v>0.65928005664692602</v>
      </c>
      <c r="G4365">
        <v>0.459325022283113</v>
      </c>
      <c r="H4365">
        <v>0.183291824500944</v>
      </c>
      <c r="I4365">
        <v>0.108739333688193</v>
      </c>
      <c r="J4365">
        <v>6.8947586825581206E-2</v>
      </c>
      <c r="K4365">
        <v>0.100423036437438</v>
      </c>
      <c r="L4365">
        <v>663.32957561163596</v>
      </c>
      <c r="M4365">
        <v>12.7124838287502</v>
      </c>
      <c r="N4365">
        <v>52.179384023190998</v>
      </c>
      <c r="O4365">
        <v>50.938740846057001</v>
      </c>
      <c r="P4365">
        <v>-6.2403062691268101E-2</v>
      </c>
      <c r="Q4365">
        <v>0</v>
      </c>
      <c r="R4365">
        <v>0.98293513722675396</v>
      </c>
      <c r="S4365" t="s">
        <v>9916</v>
      </c>
      <c r="T4365" t="s">
        <v>11100</v>
      </c>
      <c r="U4365" t="s">
        <v>11100</v>
      </c>
      <c r="V4365" t="s">
        <v>11100</v>
      </c>
      <c r="W4365" t="s">
        <v>15414</v>
      </c>
      <c r="X4365">
        <v>5</v>
      </c>
      <c r="Y4365" t="s">
        <v>20845</v>
      </c>
      <c r="Z4365" t="s">
        <v>26370</v>
      </c>
      <c r="AA4365">
        <v>0.52824660441643656</v>
      </c>
      <c r="AB4365" t="str">
        <f>HYPERLINK("Melting_Curves/meltCurve_Q96KC8_DNAJC1.pdf", "Melting_Curves/meltCurve_Q96KC8_DNAJC1.pdf")</f>
        <v>Melting_Curves/meltCurve_Q96KC8_DNAJC1.pdf</v>
      </c>
    </row>
    <row r="4366" spans="1:28" x14ac:dyDescent="0.25">
      <c r="A4366" t="s">
        <v>4370</v>
      </c>
      <c r="B4366">
        <v>0.99299721793515405</v>
      </c>
      <c r="C4366">
        <v>0.99737423975774897</v>
      </c>
      <c r="D4366">
        <v>1.06819698094863</v>
      </c>
      <c r="E4366">
        <v>0.96048281680236502</v>
      </c>
      <c r="F4366">
        <v>0.75622385155963401</v>
      </c>
      <c r="G4366">
        <v>0.45033379195090001</v>
      </c>
      <c r="H4366">
        <v>0.23144521523518799</v>
      </c>
      <c r="I4366">
        <v>0.18944518350873599</v>
      </c>
      <c r="J4366">
        <v>0.16079428033311099</v>
      </c>
      <c r="K4366">
        <v>0.12012935817827</v>
      </c>
      <c r="L4366">
        <v>1200.9400064853101</v>
      </c>
      <c r="M4366">
        <v>22.923394814189699</v>
      </c>
      <c r="N4366">
        <v>53.135684325975198</v>
      </c>
      <c r="O4366">
        <v>51.995471209180799</v>
      </c>
      <c r="P4366">
        <v>-9.5047722829368797E-2</v>
      </c>
      <c r="Q4366">
        <v>0.137656994925165</v>
      </c>
      <c r="R4366">
        <v>0.99521641463502797</v>
      </c>
      <c r="S4366" t="s">
        <v>9917</v>
      </c>
      <c r="T4366" t="s">
        <v>11100</v>
      </c>
      <c r="U4366" t="s">
        <v>11100</v>
      </c>
      <c r="V4366" t="s">
        <v>11100</v>
      </c>
      <c r="W4366" t="s">
        <v>15415</v>
      </c>
      <c r="X4366">
        <v>15</v>
      </c>
      <c r="Y4366" t="s">
        <v>20846</v>
      </c>
      <c r="Z4366" t="s">
        <v>26371</v>
      </c>
      <c r="AA4366">
        <v>0.58889204371043224</v>
      </c>
      <c r="AB4366" t="str">
        <f>HYPERLINK("Melting_Curves/meltCurve_Q96KN1_FAM84B.pdf", "Melting_Curves/meltCurve_Q96KN1_FAM84B.pdf")</f>
        <v>Melting_Curves/meltCurve_Q96KN1_FAM84B.pdf</v>
      </c>
    </row>
    <row r="4367" spans="1:28" x14ac:dyDescent="0.25">
      <c r="A4367" t="s">
        <v>4371</v>
      </c>
      <c r="B4367">
        <v>0.99299721793515405</v>
      </c>
      <c r="C4367">
        <v>0.95447043317465097</v>
      </c>
      <c r="D4367">
        <v>0.95488496045465399</v>
      </c>
      <c r="E4367">
        <v>0.97589254745113496</v>
      </c>
      <c r="F4367">
        <v>0.78122426073199702</v>
      </c>
      <c r="G4367">
        <v>0.36723867443348801</v>
      </c>
      <c r="H4367">
        <v>0.105555987397942</v>
      </c>
      <c r="I4367">
        <v>6.0139335994894003E-2</v>
      </c>
      <c r="J4367">
        <v>5.7830411361146597E-2</v>
      </c>
      <c r="K4367">
        <v>0</v>
      </c>
      <c r="L4367">
        <v>1406.5331383032601</v>
      </c>
      <c r="M4367">
        <v>26.771718819144901</v>
      </c>
      <c r="N4367">
        <v>52.639386895957699</v>
      </c>
      <c r="O4367">
        <v>52.247523428576002</v>
      </c>
      <c r="P4367">
        <v>-0.12488390285202899</v>
      </c>
      <c r="Q4367">
        <v>2.5119612823120599E-2</v>
      </c>
      <c r="R4367">
        <v>0.996804526539814</v>
      </c>
      <c r="S4367" t="s">
        <v>9918</v>
      </c>
      <c r="T4367" t="s">
        <v>11100</v>
      </c>
      <c r="U4367" t="s">
        <v>11100</v>
      </c>
      <c r="V4367" t="s">
        <v>11100</v>
      </c>
      <c r="W4367" t="s">
        <v>15416</v>
      </c>
      <c r="X4367">
        <v>2</v>
      </c>
      <c r="Y4367" t="s">
        <v>20847</v>
      </c>
      <c r="Z4367" t="s">
        <v>26372</v>
      </c>
      <c r="AA4367">
        <v>0.53768237083841308</v>
      </c>
      <c r="AB4367" t="str">
        <f>HYPERLINK("Melting_Curves/meltCurve_Q96KP1_EXOC2.pdf", "Melting_Curves/meltCurve_Q96KP1_EXOC2.pdf")</f>
        <v>Melting_Curves/meltCurve_Q96KP1_EXOC2.pdf</v>
      </c>
    </row>
    <row r="4368" spans="1:28" x14ac:dyDescent="0.25">
      <c r="A4368" t="s">
        <v>4372</v>
      </c>
      <c r="B4368">
        <v>0.99299721793515405</v>
      </c>
      <c r="C4368">
        <v>1.00429386220825</v>
      </c>
      <c r="D4368">
        <v>0.90089569686349202</v>
      </c>
      <c r="E4368">
        <v>0.85540560568623902</v>
      </c>
      <c r="F4368">
        <v>0.73689121915455302</v>
      </c>
      <c r="G4368">
        <v>0.56242751297542903</v>
      </c>
      <c r="H4368">
        <v>0.53565329511702398</v>
      </c>
      <c r="I4368">
        <v>0.55551094619224495</v>
      </c>
      <c r="J4368">
        <v>0.48612028133902102</v>
      </c>
      <c r="K4368">
        <v>0.36043933200138001</v>
      </c>
      <c r="L4368">
        <v>527.77440560157902</v>
      </c>
      <c r="M4368">
        <v>10.284716297194899</v>
      </c>
      <c r="N4368">
        <v>59.627269536493003</v>
      </c>
      <c r="O4368">
        <v>49.489866304447702</v>
      </c>
      <c r="P4368">
        <v>-3.2185700377574497E-2</v>
      </c>
      <c r="Q4368">
        <v>0.38076250225358899</v>
      </c>
      <c r="R4368">
        <v>0.96372811011220205</v>
      </c>
      <c r="S4368" t="s">
        <v>9919</v>
      </c>
      <c r="T4368" t="s">
        <v>11100</v>
      </c>
      <c r="U4368" t="s">
        <v>11100</v>
      </c>
      <c r="V4368" t="s">
        <v>11100</v>
      </c>
      <c r="W4368" t="s">
        <v>15417</v>
      </c>
      <c r="X4368">
        <v>22</v>
      </c>
      <c r="Y4368" t="s">
        <v>20848</v>
      </c>
      <c r="Z4368" t="s">
        <v>26373</v>
      </c>
      <c r="AA4368">
        <v>0.69407736385086527</v>
      </c>
      <c r="AB4368" t="str">
        <f>HYPERLINK("Melting_Curves/meltCurve_Q96KP4_CNDP2.pdf", "Melting_Curves/meltCurve_Q96KP4_CNDP2.pdf")</f>
        <v>Melting_Curves/meltCurve_Q96KP4_CNDP2.pdf</v>
      </c>
    </row>
    <row r="4369" spans="1:28" x14ac:dyDescent="0.25">
      <c r="A4369" t="s">
        <v>4373</v>
      </c>
      <c r="B4369">
        <v>0.99299721793515405</v>
      </c>
      <c r="C4369">
        <v>0.93576685679882599</v>
      </c>
      <c r="D4369">
        <v>1.17927598230178</v>
      </c>
      <c r="E4369">
        <v>0.72639175183974902</v>
      </c>
      <c r="F4369">
        <v>0.61937183761300096</v>
      </c>
      <c r="G4369">
        <v>0.435936720959057</v>
      </c>
      <c r="H4369">
        <v>0.40600271955050998</v>
      </c>
      <c r="I4369">
        <v>0.406338204396961</v>
      </c>
      <c r="J4369">
        <v>0.37252727199837299</v>
      </c>
      <c r="K4369">
        <v>0.35072326032102602</v>
      </c>
      <c r="L4369">
        <v>1125.0989510364</v>
      </c>
      <c r="M4369">
        <v>23.220553899061599</v>
      </c>
      <c r="N4369">
        <v>51.649509292485597</v>
      </c>
      <c r="O4369">
        <v>48.097654797238199</v>
      </c>
      <c r="P4369">
        <v>-7.4686657452163505E-2</v>
      </c>
      <c r="Q4369">
        <v>0.381205406765598</v>
      </c>
      <c r="R4369">
        <v>0.92508199600095598</v>
      </c>
      <c r="S4369" t="s">
        <v>9920</v>
      </c>
      <c r="T4369" t="s">
        <v>11100</v>
      </c>
      <c r="U4369" t="s">
        <v>11100</v>
      </c>
      <c r="V4369" t="s">
        <v>11100</v>
      </c>
      <c r="W4369" t="s">
        <v>15418</v>
      </c>
      <c r="X4369">
        <v>3</v>
      </c>
      <c r="Y4369" t="s">
        <v>20849</v>
      </c>
      <c r="Z4369" t="s">
        <v>26374</v>
      </c>
      <c r="AA4369">
        <v>0.62356437945794918</v>
      </c>
      <c r="AB4369" t="str">
        <f>HYPERLINK("Melting_Curves/meltCurve_Q96KR1_ZFR.pdf", "Melting_Curves/meltCurve_Q96KR1_ZFR.pdf")</f>
        <v>Melting_Curves/meltCurve_Q96KR1_ZFR.pdf</v>
      </c>
    </row>
    <row r="4370" spans="1:28" x14ac:dyDescent="0.25">
      <c r="A4370" t="s">
        <v>4374</v>
      </c>
      <c r="B4370">
        <v>0.99299721793515405</v>
      </c>
      <c r="C4370">
        <v>1.2267710177905899</v>
      </c>
      <c r="D4370">
        <v>1.0747537995966501</v>
      </c>
      <c r="E4370">
        <v>1.0921421638086199</v>
      </c>
      <c r="F4370">
        <v>0.50582457490399702</v>
      </c>
      <c r="G4370">
        <v>0.236386317646153</v>
      </c>
      <c r="H4370">
        <v>0.20336939543306101</v>
      </c>
      <c r="I4370">
        <v>0.19234268562866499</v>
      </c>
      <c r="J4370">
        <v>0.114836662843051</v>
      </c>
      <c r="K4370">
        <v>8.1527636245541102E-2</v>
      </c>
      <c r="L4370">
        <v>5620.8013619156</v>
      </c>
      <c r="M4370">
        <v>112.34040922214599</v>
      </c>
      <c r="N4370">
        <v>50.213459134774403</v>
      </c>
      <c r="O4370">
        <v>50.017806487520097</v>
      </c>
      <c r="P4370">
        <v>-0.46851575233037801</v>
      </c>
      <c r="Q4370">
        <v>0.165602852522096</v>
      </c>
      <c r="R4370">
        <v>0.95832547519734101</v>
      </c>
      <c r="S4370" t="s">
        <v>9921</v>
      </c>
      <c r="T4370" t="s">
        <v>11100</v>
      </c>
      <c r="U4370" t="s">
        <v>11100</v>
      </c>
      <c r="V4370" t="s">
        <v>11100</v>
      </c>
      <c r="W4370" t="s">
        <v>15419</v>
      </c>
      <c r="X4370">
        <v>6</v>
      </c>
      <c r="Y4370" t="s">
        <v>20850</v>
      </c>
      <c r="Z4370" t="s">
        <v>26375</v>
      </c>
      <c r="AA4370">
        <v>0.52847418407274804</v>
      </c>
      <c r="AB4370" t="str">
        <f>HYPERLINK("Melting_Curves/meltCurve_Q96L35_EPHB4.pdf", "Melting_Curves/meltCurve_Q96L35_EPHB4.pdf")</f>
        <v>Melting_Curves/meltCurve_Q96L35_EPHB4.pdf</v>
      </c>
    </row>
    <row r="4371" spans="1:28" x14ac:dyDescent="0.25">
      <c r="A4371" t="s">
        <v>4375</v>
      </c>
      <c r="B4371">
        <v>0.99299721793515405</v>
      </c>
      <c r="C4371">
        <v>0.98563393293532597</v>
      </c>
      <c r="D4371">
        <v>1.0263324410285</v>
      </c>
      <c r="E4371">
        <v>0.89972666617592101</v>
      </c>
      <c r="F4371">
        <v>0.72945009398135796</v>
      </c>
      <c r="G4371">
        <v>0.48765275372073102</v>
      </c>
      <c r="H4371">
        <v>0.29364396083904998</v>
      </c>
      <c r="I4371">
        <v>0.38920202473396598</v>
      </c>
      <c r="J4371">
        <v>0.43951806917199998</v>
      </c>
      <c r="K4371">
        <v>0.32988153140910997</v>
      </c>
      <c r="L4371">
        <v>1326.6996630024501</v>
      </c>
      <c r="M4371">
        <v>26.214292115189899</v>
      </c>
      <c r="N4371">
        <v>53.1735820471892</v>
      </c>
      <c r="O4371">
        <v>50.318020308979499</v>
      </c>
      <c r="P4371">
        <v>-8.3521631726779094E-2</v>
      </c>
      <c r="Q4371">
        <v>0.35873204884654097</v>
      </c>
      <c r="R4371">
        <v>0.97582704339438198</v>
      </c>
      <c r="S4371" t="s">
        <v>9922</v>
      </c>
      <c r="T4371" t="s">
        <v>11100</v>
      </c>
      <c r="U4371" t="s">
        <v>11100</v>
      </c>
      <c r="V4371" t="s">
        <v>11100</v>
      </c>
      <c r="W4371" t="s">
        <v>15420</v>
      </c>
      <c r="X4371">
        <v>2</v>
      </c>
      <c r="Y4371" t="s">
        <v>20851</v>
      </c>
      <c r="Z4371" t="s">
        <v>26376</v>
      </c>
      <c r="AA4371">
        <v>0.65480626935062736</v>
      </c>
      <c r="AB4371" t="str">
        <f>HYPERLINK("Melting_Curves/meltCurve_Q96L91_4_EP400.pdf", "Melting_Curves/meltCurve_Q96L91_4_EP400.pdf")</f>
        <v>Melting_Curves/meltCurve_Q96L91_4_EP400.pdf</v>
      </c>
    </row>
    <row r="4372" spans="1:28" x14ac:dyDescent="0.25">
      <c r="A4372" t="s">
        <v>4376</v>
      </c>
      <c r="B4372">
        <v>0.99299721793515405</v>
      </c>
      <c r="C4372">
        <v>1.14220529001794</v>
      </c>
      <c r="D4372">
        <v>1.02515321501891</v>
      </c>
      <c r="E4372">
        <v>0.92996040814053404</v>
      </c>
      <c r="F4372">
        <v>0.59261321411901402</v>
      </c>
      <c r="G4372">
        <v>0.16293260840023299</v>
      </c>
      <c r="H4372">
        <v>0.124469303337299</v>
      </c>
      <c r="I4372">
        <v>0.104602088755791</v>
      </c>
      <c r="J4372">
        <v>9.9838846609658999E-2</v>
      </c>
      <c r="K4372">
        <v>8.2576765529766394E-2</v>
      </c>
      <c r="L4372">
        <v>1808.77218961773</v>
      </c>
      <c r="M4372">
        <v>35.877894222744601</v>
      </c>
      <c r="N4372">
        <v>50.716123413649498</v>
      </c>
      <c r="O4372">
        <v>50.2588345297128</v>
      </c>
      <c r="P4372">
        <v>-0.16132869480208401</v>
      </c>
      <c r="Q4372">
        <v>9.6026873655460102E-2</v>
      </c>
      <c r="R4372">
        <v>0.98786852895409505</v>
      </c>
      <c r="S4372" t="s">
        <v>9923</v>
      </c>
      <c r="T4372" t="s">
        <v>11100</v>
      </c>
      <c r="U4372" t="s">
        <v>11100</v>
      </c>
      <c r="V4372" t="s">
        <v>11100</v>
      </c>
      <c r="W4372" t="s">
        <v>15421</v>
      </c>
      <c r="X4372">
        <v>16</v>
      </c>
      <c r="Y4372" t="s">
        <v>20852</v>
      </c>
      <c r="Z4372" t="s">
        <v>26377</v>
      </c>
      <c r="AA4372">
        <v>0.50415763342317432</v>
      </c>
      <c r="AB4372" t="str">
        <f>HYPERLINK("Melting_Curves/meltCurve_Q96L92_3_SNX27.pdf", "Melting_Curves/meltCurve_Q96L92_3_SNX27.pdf")</f>
        <v>Melting_Curves/meltCurve_Q96L92_3_SNX27.pdf</v>
      </c>
    </row>
    <row r="4373" spans="1:28" x14ac:dyDescent="0.25">
      <c r="A4373" t="s">
        <v>4377</v>
      </c>
      <c r="B4373">
        <v>0.99299721793515405</v>
      </c>
      <c r="C4373">
        <v>0.90801400963559198</v>
      </c>
      <c r="D4373">
        <v>1.1761550202948601</v>
      </c>
      <c r="E4373">
        <v>1.0443509074379</v>
      </c>
      <c r="F4373">
        <v>0.94825430541619204</v>
      </c>
      <c r="G4373">
        <v>0.633957760642197</v>
      </c>
      <c r="H4373">
        <v>0.39634850561602603</v>
      </c>
      <c r="I4373">
        <v>0.43008156949412601</v>
      </c>
      <c r="J4373">
        <v>0.42111416564383902</v>
      </c>
      <c r="K4373">
        <v>0.25101436400893001</v>
      </c>
      <c r="L4373">
        <v>2020.2298075926101</v>
      </c>
      <c r="M4373">
        <v>37.838333870064297</v>
      </c>
      <c r="N4373">
        <v>55.272817795091001</v>
      </c>
      <c r="O4373">
        <v>53.2426178189205</v>
      </c>
      <c r="P4373">
        <v>-0.113333449748171</v>
      </c>
      <c r="Q4373">
        <v>0.36211212734452503</v>
      </c>
      <c r="R4373">
        <v>0.93731711388761196</v>
      </c>
      <c r="S4373" t="s">
        <v>9924</v>
      </c>
      <c r="T4373" t="s">
        <v>11100</v>
      </c>
      <c r="U4373" t="s">
        <v>11100</v>
      </c>
      <c r="V4373" t="s">
        <v>11100</v>
      </c>
      <c r="W4373" t="s">
        <v>15422</v>
      </c>
      <c r="X4373">
        <v>2</v>
      </c>
      <c r="Y4373" t="s">
        <v>20853</v>
      </c>
      <c r="Z4373" t="s">
        <v>26378</v>
      </c>
      <c r="AA4373">
        <v>0.71324570245621066</v>
      </c>
      <c r="AB4373" t="str">
        <f>HYPERLINK("Melting_Curves/meltCurve_Q96L93_6_KIF16B.pdf", "Melting_Curves/meltCurve_Q96L93_6_KIF16B.pdf")</f>
        <v>Melting_Curves/meltCurve_Q96L93_6_KIF16B.pdf</v>
      </c>
    </row>
    <row r="4374" spans="1:28" x14ac:dyDescent="0.25">
      <c r="A4374" t="s">
        <v>4378</v>
      </c>
      <c r="B4374">
        <v>0.99299721793515405</v>
      </c>
      <c r="C4374">
        <v>1.0381211150165599</v>
      </c>
      <c r="D4374">
        <v>1.0842556778564001</v>
      </c>
      <c r="E4374">
        <v>0.96716072809805198</v>
      </c>
      <c r="F4374">
        <v>0.90491746445530896</v>
      </c>
      <c r="G4374">
        <v>0.57191870165772996</v>
      </c>
      <c r="H4374">
        <v>0.32881259097724302</v>
      </c>
      <c r="I4374">
        <v>0.27560680344213501</v>
      </c>
      <c r="J4374">
        <v>0.238425046486927</v>
      </c>
      <c r="K4374">
        <v>0.142471030702918</v>
      </c>
      <c r="L4374">
        <v>1350.1564037937901</v>
      </c>
      <c r="M4374">
        <v>25.138942558734101</v>
      </c>
      <c r="N4374">
        <v>54.799372208433702</v>
      </c>
      <c r="O4374">
        <v>53.371366868601598</v>
      </c>
      <c r="P4374">
        <v>-9.4562084078022302E-2</v>
      </c>
      <c r="Q4374">
        <v>0.19696840425933801</v>
      </c>
      <c r="R4374">
        <v>0.98766400728111803</v>
      </c>
      <c r="S4374" t="s">
        <v>9925</v>
      </c>
      <c r="T4374" t="s">
        <v>11100</v>
      </c>
      <c r="U4374" t="s">
        <v>11100</v>
      </c>
      <c r="V4374" t="s">
        <v>11100</v>
      </c>
      <c r="W4374" t="s">
        <v>15423</v>
      </c>
      <c r="X4374">
        <v>2</v>
      </c>
      <c r="Y4374" t="s">
        <v>20854</v>
      </c>
      <c r="Z4374" t="s">
        <v>26379</v>
      </c>
      <c r="AA4374">
        <v>0.65117722546243351</v>
      </c>
      <c r="AB4374" t="str">
        <f>HYPERLINK("Melting_Curves/meltCurve_Q96LA8_2_PRMT6.pdf", "Melting_Curves/meltCurve_Q96LA8_2_PRMT6.pdf")</f>
        <v>Melting_Curves/meltCurve_Q96LA8_2_PRMT6.pdf</v>
      </c>
    </row>
    <row r="4375" spans="1:28" x14ac:dyDescent="0.25">
      <c r="A4375" t="s">
        <v>4379</v>
      </c>
      <c r="B4375">
        <v>0.99299721793515405</v>
      </c>
      <c r="C4375">
        <v>0.91311024298437105</v>
      </c>
      <c r="D4375">
        <v>0.81861218513313905</v>
      </c>
      <c r="E4375">
        <v>0.70249360616596901</v>
      </c>
      <c r="F4375">
        <v>0.56745073300377402</v>
      </c>
      <c r="G4375">
        <v>0.56781995862535195</v>
      </c>
      <c r="H4375">
        <v>0.41923573905315797</v>
      </c>
      <c r="I4375">
        <v>0.16398047225609999</v>
      </c>
      <c r="J4375">
        <v>0.101970593394307</v>
      </c>
      <c r="K4375">
        <v>9.4426507567864901E-2</v>
      </c>
      <c r="L4375">
        <v>440.68624706313398</v>
      </c>
      <c r="M4375">
        <v>8.3981307803953396</v>
      </c>
      <c r="N4375">
        <v>52.474325356990498</v>
      </c>
      <c r="O4375">
        <v>49.752125549378299</v>
      </c>
      <c r="P4375">
        <v>-4.2239646889453898E-2</v>
      </c>
      <c r="Q4375">
        <v>0</v>
      </c>
      <c r="R4375">
        <v>0.95867517356153098</v>
      </c>
      <c r="S4375" t="s">
        <v>9926</v>
      </c>
      <c r="T4375" t="s">
        <v>11100</v>
      </c>
      <c r="U4375" t="s">
        <v>11100</v>
      </c>
      <c r="V4375" t="s">
        <v>11100</v>
      </c>
      <c r="W4375" t="s">
        <v>15424</v>
      </c>
      <c r="X4375">
        <v>2</v>
      </c>
      <c r="Y4375" t="s">
        <v>20855</v>
      </c>
      <c r="Z4375" t="s">
        <v>26380</v>
      </c>
      <c r="AA4375">
        <v>0.54127248710828901</v>
      </c>
      <c r="AB4375" t="str">
        <f>HYPERLINK("Melting_Curves/meltCurve_Q96LB3_IFT74.pdf", "Melting_Curves/meltCurve_Q96LB3_IFT74.pdf")</f>
        <v>Melting_Curves/meltCurve_Q96LB3_IFT74.pdf</v>
      </c>
    </row>
    <row r="4376" spans="1:28" x14ac:dyDescent="0.25">
      <c r="A4376" t="s">
        <v>4380</v>
      </c>
      <c r="B4376">
        <v>0.99299721793515405</v>
      </c>
      <c r="C4376">
        <v>1.0420267400987699</v>
      </c>
      <c r="D4376">
        <v>0.92449991360263895</v>
      </c>
      <c r="E4376">
        <v>0.95433902591436404</v>
      </c>
      <c r="F4376">
        <v>0.77046622898900696</v>
      </c>
      <c r="G4376">
        <v>0.433942446702482</v>
      </c>
      <c r="H4376">
        <v>0.309790286457506</v>
      </c>
      <c r="I4376">
        <v>0.17910998819999399</v>
      </c>
      <c r="J4376">
        <v>0.21384255966663401</v>
      </c>
      <c r="K4376">
        <v>0.15552256763764</v>
      </c>
      <c r="L4376">
        <v>1126.70648214178</v>
      </c>
      <c r="M4376">
        <v>21.56089554695</v>
      </c>
      <c r="N4376">
        <v>53.279936504389703</v>
      </c>
      <c r="O4376">
        <v>51.813633112938099</v>
      </c>
      <c r="P4376">
        <v>-8.6400662427643493E-2</v>
      </c>
      <c r="Q4376">
        <v>0.16949189401876699</v>
      </c>
      <c r="R4376">
        <v>0.99140937734740597</v>
      </c>
      <c r="S4376" t="s">
        <v>9927</v>
      </c>
      <c r="T4376" t="s">
        <v>11100</v>
      </c>
      <c r="U4376" t="s">
        <v>11100</v>
      </c>
      <c r="V4376" t="s">
        <v>11100</v>
      </c>
      <c r="W4376" t="s">
        <v>15425</v>
      </c>
      <c r="X4376">
        <v>4</v>
      </c>
      <c r="Y4376" t="s">
        <v>20856</v>
      </c>
      <c r="Z4376" t="s">
        <v>26381</v>
      </c>
      <c r="AA4376">
        <v>0.60133231035097212</v>
      </c>
      <c r="AB4376" t="str">
        <f>HYPERLINK("Melting_Curves/meltCurve_Q96LR5_UBE2E2.pdf", "Melting_Curves/meltCurve_Q96LR5_UBE2E2.pdf")</f>
        <v>Melting_Curves/meltCurve_Q96LR5_UBE2E2.pdf</v>
      </c>
    </row>
    <row r="4377" spans="1:28" x14ac:dyDescent="0.25">
      <c r="A4377" t="s">
        <v>4381</v>
      </c>
      <c r="B4377">
        <v>0.99299721793515405</v>
      </c>
      <c r="C4377">
        <v>0.95189884263958402</v>
      </c>
      <c r="D4377">
        <v>0.96597655012634098</v>
      </c>
      <c r="E4377">
        <v>0.89278797628461004</v>
      </c>
      <c r="F4377">
        <v>0.75160329249564195</v>
      </c>
      <c r="G4377">
        <v>0.62015602656519098</v>
      </c>
      <c r="H4377">
        <v>0.59059263490432501</v>
      </c>
      <c r="I4377">
        <v>0.70137904382086003</v>
      </c>
      <c r="J4377">
        <v>0.77511023150455305</v>
      </c>
      <c r="K4377">
        <v>0.66292777741091802</v>
      </c>
      <c r="L4377">
        <v>1462.3608329584499</v>
      </c>
      <c r="M4377">
        <v>30.649550768624099</v>
      </c>
      <c r="O4377">
        <v>47.510588855240499</v>
      </c>
      <c r="P4377">
        <v>-5.3014286325351198E-2</v>
      </c>
      <c r="Q4377">
        <v>0.67128728391450698</v>
      </c>
      <c r="R4377">
        <v>0.874481787875665</v>
      </c>
      <c r="S4377" t="s">
        <v>9928</v>
      </c>
      <c r="T4377" t="s">
        <v>11100</v>
      </c>
      <c r="U4377" t="s">
        <v>11100</v>
      </c>
      <c r="V4377" t="s">
        <v>11100</v>
      </c>
      <c r="W4377" t="s">
        <v>15426</v>
      </c>
      <c r="X4377">
        <v>6</v>
      </c>
      <c r="Y4377" t="s">
        <v>20857</v>
      </c>
      <c r="Z4377" t="s">
        <v>26382</v>
      </c>
      <c r="AA4377">
        <v>0.79051765463953916</v>
      </c>
      <c r="AB4377" t="str">
        <f>HYPERLINK("Melting_Curves/meltCurve_Q96M27_PRRC1.pdf", "Melting_Curves/meltCurve_Q96M27_PRRC1.pdf")</f>
        <v>Melting_Curves/meltCurve_Q96M27_PRRC1.pdf</v>
      </c>
    </row>
    <row r="4378" spans="1:28" x14ac:dyDescent="0.25">
      <c r="A4378" t="s">
        <v>4382</v>
      </c>
      <c r="B4378">
        <v>0.99299721793515405</v>
      </c>
      <c r="C4378">
        <v>0.94414610616289996</v>
      </c>
      <c r="D4378">
        <v>0.97497384166986301</v>
      </c>
      <c r="E4378">
        <v>0.91609100767177398</v>
      </c>
      <c r="F4378">
        <v>0.77946735015630497</v>
      </c>
      <c r="G4378">
        <v>0.66272938012850202</v>
      </c>
      <c r="H4378">
        <v>0.45979343660361299</v>
      </c>
      <c r="I4378">
        <v>0.22190468706021399</v>
      </c>
      <c r="J4378">
        <v>0.17062987490280501</v>
      </c>
      <c r="K4378">
        <v>0.116043749410164</v>
      </c>
      <c r="L4378">
        <v>701.79801024586197</v>
      </c>
      <c r="M4378">
        <v>12.5134870881956</v>
      </c>
      <c r="N4378">
        <v>56.083328882406597</v>
      </c>
      <c r="O4378">
        <v>54.708840321961297</v>
      </c>
      <c r="P4378">
        <v>-5.7193915655499798E-2</v>
      </c>
      <c r="Q4378">
        <v>0</v>
      </c>
      <c r="R4378">
        <v>0.993030399814126</v>
      </c>
      <c r="S4378" t="s">
        <v>9929</v>
      </c>
      <c r="T4378" t="s">
        <v>11100</v>
      </c>
      <c r="U4378" t="s">
        <v>11100</v>
      </c>
      <c r="V4378" t="s">
        <v>11100</v>
      </c>
      <c r="W4378" t="s">
        <v>15427</v>
      </c>
      <c r="X4378">
        <v>8</v>
      </c>
      <c r="Y4378" t="s">
        <v>20858</v>
      </c>
      <c r="Z4378" t="s">
        <v>26383</v>
      </c>
      <c r="AA4378">
        <v>0.64607669411263802</v>
      </c>
      <c r="AB4378" t="str">
        <f>HYPERLINK("Melting_Curves/meltCurve_Q96ME1_4_FBXL18.pdf", "Melting_Curves/meltCurve_Q96ME1_4_FBXL18.pdf")</f>
        <v>Melting_Curves/meltCurve_Q96ME1_4_FBXL18.pdf</v>
      </c>
    </row>
    <row r="4379" spans="1:28" x14ac:dyDescent="0.25">
      <c r="A4379" t="s">
        <v>4383</v>
      </c>
      <c r="B4379">
        <v>0.99299721793515405</v>
      </c>
      <c r="C4379">
        <v>1.06411219619693</v>
      </c>
      <c r="D4379">
        <v>0.86830923319622999</v>
      </c>
      <c r="E4379">
        <v>0.83923009453597097</v>
      </c>
      <c r="F4379">
        <v>0.51897513520472105</v>
      </c>
      <c r="G4379">
        <v>0.31144327098791702</v>
      </c>
      <c r="H4379">
        <v>0.27752568625684298</v>
      </c>
      <c r="I4379">
        <v>0.192779724246467</v>
      </c>
      <c r="J4379">
        <v>0.121691746871815</v>
      </c>
      <c r="K4379">
        <v>0.104554903043224</v>
      </c>
      <c r="L4379">
        <v>772.93955670023604</v>
      </c>
      <c r="M4379">
        <v>15.436082765680601</v>
      </c>
      <c r="N4379">
        <v>50.924159162867298</v>
      </c>
      <c r="O4379">
        <v>49.255733442761198</v>
      </c>
      <c r="P4379">
        <v>-6.9449736041487506E-2</v>
      </c>
      <c r="Q4379">
        <v>0.11363811958539</v>
      </c>
      <c r="R4379">
        <v>0.98408865043066795</v>
      </c>
      <c r="S4379" t="s">
        <v>9930</v>
      </c>
      <c r="T4379" t="s">
        <v>11100</v>
      </c>
      <c r="U4379" t="s">
        <v>11100</v>
      </c>
      <c r="V4379" t="s">
        <v>11100</v>
      </c>
      <c r="W4379" t="s">
        <v>15428</v>
      </c>
      <c r="X4379">
        <v>2</v>
      </c>
      <c r="Y4379" t="s">
        <v>20859</v>
      </c>
      <c r="Z4379" t="s">
        <v>26384</v>
      </c>
      <c r="AA4379">
        <v>0.51763005154598751</v>
      </c>
      <c r="AB4379" t="str">
        <f>HYPERLINK("Melting_Curves/meltCurve_Q96MG7_NDNL2.pdf", "Melting_Curves/meltCurve_Q96MG7_NDNL2.pdf")</f>
        <v>Melting_Curves/meltCurve_Q96MG7_NDNL2.pdf</v>
      </c>
    </row>
    <row r="4380" spans="1:28" x14ac:dyDescent="0.25">
      <c r="A4380" t="s">
        <v>4384</v>
      </c>
      <c r="B4380">
        <v>0.99299721793515405</v>
      </c>
      <c r="C4380">
        <v>0.96068982915599399</v>
      </c>
      <c r="D4380">
        <v>0.89751461979773095</v>
      </c>
      <c r="E4380">
        <v>0.88094105096266795</v>
      </c>
      <c r="F4380">
        <v>0.75935874994835595</v>
      </c>
      <c r="G4380">
        <v>0.59115982002932399</v>
      </c>
      <c r="H4380">
        <v>0.75246236936095601</v>
      </c>
      <c r="I4380">
        <v>0.87841255937207696</v>
      </c>
      <c r="J4380">
        <v>0.87914219336420896</v>
      </c>
      <c r="K4380">
        <v>0.847399240034301</v>
      </c>
      <c r="L4380">
        <v>976.50745333792304</v>
      </c>
      <c r="M4380">
        <v>22.4928061015883</v>
      </c>
      <c r="O4380">
        <v>43.075412031183198</v>
      </c>
      <c r="P4380">
        <v>-2.74682788955526E-2</v>
      </c>
      <c r="Q4380">
        <v>0.78958898953321899</v>
      </c>
      <c r="R4380">
        <v>0.460033393481804</v>
      </c>
      <c r="S4380" t="s">
        <v>9931</v>
      </c>
      <c r="T4380" t="s">
        <v>11100</v>
      </c>
      <c r="U4380" t="s">
        <v>11100</v>
      </c>
      <c r="V4380" t="s">
        <v>11100</v>
      </c>
      <c r="W4380" t="s">
        <v>15429</v>
      </c>
      <c r="X4380">
        <v>3</v>
      </c>
      <c r="Y4380" t="s">
        <v>20860</v>
      </c>
      <c r="Z4380" t="s">
        <v>26385</v>
      </c>
      <c r="AA4380">
        <v>0.83678408669465787</v>
      </c>
      <c r="AB4380" t="str">
        <f>HYPERLINK("Melting_Curves/meltCurve_Q96MH2_HEXIM2.pdf", "Melting_Curves/meltCurve_Q96MH2_HEXIM2.pdf")</f>
        <v>Melting_Curves/meltCurve_Q96MH2_HEXIM2.pdf</v>
      </c>
    </row>
    <row r="4381" spans="1:28" x14ac:dyDescent="0.25">
      <c r="A4381" t="s">
        <v>4385</v>
      </c>
      <c r="B4381">
        <v>0.99299721793515405</v>
      </c>
      <c r="C4381">
        <v>0.77474460927855504</v>
      </c>
      <c r="D4381">
        <v>0.84215234056071697</v>
      </c>
      <c r="E4381">
        <v>0.73591235067899197</v>
      </c>
      <c r="F4381">
        <v>0.57497863932301696</v>
      </c>
      <c r="G4381">
        <v>0.159902615163029</v>
      </c>
      <c r="H4381">
        <v>0.12508658829712499</v>
      </c>
      <c r="I4381">
        <v>0.20808239660892</v>
      </c>
      <c r="J4381">
        <v>0.228880237231879</v>
      </c>
      <c r="K4381">
        <v>0.19868132889256301</v>
      </c>
      <c r="L4381">
        <v>678.11234125543899</v>
      </c>
      <c r="M4381">
        <v>14.026472182626801</v>
      </c>
      <c r="N4381">
        <v>49.492029928212602</v>
      </c>
      <c r="O4381">
        <v>47.394324458041098</v>
      </c>
      <c r="P4381">
        <v>-6.3730796943441803E-2</v>
      </c>
      <c r="Q4381">
        <v>0.138748137921442</v>
      </c>
      <c r="R4381">
        <v>0.91165384514445902</v>
      </c>
      <c r="S4381" t="s">
        <v>9932</v>
      </c>
      <c r="T4381" t="s">
        <v>11100</v>
      </c>
      <c r="U4381" t="s">
        <v>11100</v>
      </c>
      <c r="V4381" t="s">
        <v>11100</v>
      </c>
      <c r="W4381" t="s">
        <v>15430</v>
      </c>
      <c r="X4381">
        <v>4</v>
      </c>
      <c r="Y4381" t="s">
        <v>20861</v>
      </c>
      <c r="Z4381" t="s">
        <v>26386</v>
      </c>
      <c r="AA4381">
        <v>0.48542277762107311</v>
      </c>
      <c r="AB4381" t="str">
        <f>HYPERLINK("Melting_Curves/meltCurve_Q96N21_2_ENTHD2.pdf", "Melting_Curves/meltCurve_Q96N21_2_ENTHD2.pdf")</f>
        <v>Melting_Curves/meltCurve_Q96N21_2_ENTHD2.pdf</v>
      </c>
    </row>
    <row r="4382" spans="1:28" x14ac:dyDescent="0.25">
      <c r="A4382" t="s">
        <v>4386</v>
      </c>
      <c r="B4382">
        <v>0.99299721793515405</v>
      </c>
      <c r="C4382">
        <v>0.95418775922960497</v>
      </c>
      <c r="D4382">
        <v>0.94194915797650103</v>
      </c>
      <c r="E4382">
        <v>0.80504366567329799</v>
      </c>
      <c r="F4382">
        <v>0.76239501199117998</v>
      </c>
      <c r="G4382">
        <v>0.52456647234491405</v>
      </c>
      <c r="H4382">
        <v>0.80808306636738203</v>
      </c>
      <c r="I4382">
        <v>1.1676376730339399</v>
      </c>
      <c r="J4382">
        <v>1.0117265143354199</v>
      </c>
      <c r="K4382">
        <v>0.461527977499194</v>
      </c>
      <c r="L4382">
        <v>1830.81027266254</v>
      </c>
      <c r="M4382">
        <v>41.7186363431451</v>
      </c>
      <c r="O4382">
        <v>43.784260309960899</v>
      </c>
      <c r="P4382">
        <v>-5.0233464383250201E-2</v>
      </c>
      <c r="Q4382">
        <v>0.78911774491401998</v>
      </c>
      <c r="R4382">
        <v>0.14125048540715901</v>
      </c>
      <c r="S4382" t="s">
        <v>9933</v>
      </c>
      <c r="T4382" t="s">
        <v>11100</v>
      </c>
      <c r="U4382" t="s">
        <v>11100</v>
      </c>
      <c r="V4382" t="s">
        <v>11100</v>
      </c>
      <c r="W4382" t="s">
        <v>15431</v>
      </c>
      <c r="X4382">
        <v>5</v>
      </c>
      <c r="Y4382" t="s">
        <v>20862</v>
      </c>
      <c r="Z4382" t="s">
        <v>26387</v>
      </c>
      <c r="AA4382">
        <v>0.83810315071119235</v>
      </c>
      <c r="AB4382" t="str">
        <f>HYPERLINK("Melting_Curves/meltCurve_Q96N66_2_MBOAT7.pdf", "Melting_Curves/meltCurve_Q96N66_2_MBOAT7.pdf")</f>
        <v>Melting_Curves/meltCurve_Q96N66_2_MBOAT7.pdf</v>
      </c>
    </row>
    <row r="4383" spans="1:28" x14ac:dyDescent="0.25">
      <c r="A4383" t="s">
        <v>4387</v>
      </c>
      <c r="B4383">
        <v>0.99299721793515405</v>
      </c>
      <c r="C4383">
        <v>0.99065257989886302</v>
      </c>
      <c r="D4383">
        <v>0.95343036524212699</v>
      </c>
      <c r="E4383">
        <v>0.83908218431553006</v>
      </c>
      <c r="F4383">
        <v>0.84455598535196996</v>
      </c>
      <c r="G4383">
        <v>0.39829719301052002</v>
      </c>
      <c r="H4383">
        <v>0.27341811057944099</v>
      </c>
      <c r="I4383">
        <v>0.20408395270388499</v>
      </c>
      <c r="J4383">
        <v>0.13277285765688501</v>
      </c>
      <c r="K4383">
        <v>0.10770138994449199</v>
      </c>
      <c r="L4383">
        <v>998.023066762648</v>
      </c>
      <c r="M4383">
        <v>18.9548353442669</v>
      </c>
      <c r="N4383">
        <v>53.340708130859802</v>
      </c>
      <c r="O4383">
        <v>52.077146689121598</v>
      </c>
      <c r="P4383">
        <v>-8.1129159794725597E-2</v>
      </c>
      <c r="Q4383">
        <v>0.108448039515547</v>
      </c>
      <c r="R4383">
        <v>0.98083036322764805</v>
      </c>
      <c r="S4383" t="s">
        <v>9934</v>
      </c>
      <c r="T4383" t="s">
        <v>11100</v>
      </c>
      <c r="U4383" t="s">
        <v>11100</v>
      </c>
      <c r="V4383" t="s">
        <v>11100</v>
      </c>
      <c r="W4383" t="s">
        <v>15432</v>
      </c>
      <c r="X4383">
        <v>3</v>
      </c>
      <c r="Y4383" t="s">
        <v>20863</v>
      </c>
      <c r="Z4383" t="s">
        <v>26388</v>
      </c>
      <c r="AA4383">
        <v>0.58588460777911655</v>
      </c>
      <c r="AB4383" t="str">
        <f>HYPERLINK("Melting_Curves/meltCurve_Q96NB1_FOPNL.pdf", "Melting_Curves/meltCurve_Q96NB1_FOPNL.pdf")</f>
        <v>Melting_Curves/meltCurve_Q96NB1_FOPNL.pdf</v>
      </c>
    </row>
    <row r="4384" spans="1:28" x14ac:dyDescent="0.25">
      <c r="A4384" t="s">
        <v>4388</v>
      </c>
      <c r="B4384">
        <v>0.99299721793515405</v>
      </c>
      <c r="C4384">
        <v>1.0495320508691099</v>
      </c>
      <c r="D4384">
        <v>0.941038354932206</v>
      </c>
      <c r="E4384">
        <v>0.95504861778962702</v>
      </c>
      <c r="F4384">
        <v>0.83218915417439898</v>
      </c>
      <c r="G4384">
        <v>0.70094175857422603</v>
      </c>
      <c r="H4384">
        <v>0.54577860661532795</v>
      </c>
      <c r="I4384">
        <v>0.17677033015819399</v>
      </c>
      <c r="J4384">
        <v>0.103247151683748</v>
      </c>
      <c r="K4384">
        <v>9.5810411763992506E-2</v>
      </c>
      <c r="L4384">
        <v>904.55260726933705</v>
      </c>
      <c r="M4384">
        <v>15.945354070084599</v>
      </c>
      <c r="N4384">
        <v>56.728286334180403</v>
      </c>
      <c r="O4384">
        <v>55.858534031318598</v>
      </c>
      <c r="P4384">
        <v>-7.1370566186129997E-2</v>
      </c>
      <c r="Q4384">
        <v>0</v>
      </c>
      <c r="R4384">
        <v>0.98223585636242505</v>
      </c>
      <c r="S4384" t="s">
        <v>9935</v>
      </c>
      <c r="T4384" t="s">
        <v>11100</v>
      </c>
      <c r="U4384" t="s">
        <v>11100</v>
      </c>
      <c r="V4384" t="s">
        <v>11100</v>
      </c>
      <c r="W4384" t="s">
        <v>15433</v>
      </c>
      <c r="X4384">
        <v>5</v>
      </c>
      <c r="Y4384" t="s">
        <v>20864</v>
      </c>
      <c r="Z4384" t="s">
        <v>26389</v>
      </c>
      <c r="AA4384">
        <v>0.66708041975724763</v>
      </c>
      <c r="AB4384" t="str">
        <f>HYPERLINK("Melting_Curves/meltCurve_Q96NB2_SFXN2.pdf", "Melting_Curves/meltCurve_Q96NB2_SFXN2.pdf")</f>
        <v>Melting_Curves/meltCurve_Q96NB2_SFXN2.pdf</v>
      </c>
    </row>
    <row r="4385" spans="1:28" x14ac:dyDescent="0.25">
      <c r="A4385" t="s">
        <v>4389</v>
      </c>
      <c r="B4385">
        <v>0.99299721793515405</v>
      </c>
      <c r="C4385">
        <v>0.85456288849973405</v>
      </c>
      <c r="D4385">
        <v>1.0072670925037299</v>
      </c>
      <c r="E4385">
        <v>0.94095625466217603</v>
      </c>
      <c r="F4385">
        <v>1.0396210699173201</v>
      </c>
      <c r="G4385">
        <v>0.91662864760217899</v>
      </c>
      <c r="H4385">
        <v>0.95810336645959204</v>
      </c>
      <c r="I4385">
        <v>1.18485048860889</v>
      </c>
      <c r="J4385">
        <v>1.28507976992594</v>
      </c>
      <c r="K4385">
        <v>1.1440955587064401</v>
      </c>
      <c r="L4385">
        <v>15000</v>
      </c>
      <c r="M4385">
        <v>247.72879829550999</v>
      </c>
      <c r="O4385">
        <v>60.546139755005399</v>
      </c>
      <c r="P4385">
        <v>0.21950009951330399</v>
      </c>
      <c r="Q4385">
        <v>1.2145876257602699</v>
      </c>
      <c r="R4385">
        <v>0.72027989076464305</v>
      </c>
      <c r="S4385" t="s">
        <v>9936</v>
      </c>
      <c r="T4385" t="s">
        <v>11100</v>
      </c>
      <c r="U4385" t="s">
        <v>11100</v>
      </c>
      <c r="V4385" t="s">
        <v>11100</v>
      </c>
      <c r="W4385" t="s">
        <v>15434</v>
      </c>
      <c r="X4385">
        <v>10</v>
      </c>
      <c r="Y4385" t="s">
        <v>20865</v>
      </c>
      <c r="Z4385" t="s">
        <v>26390</v>
      </c>
      <c r="AA4385">
        <v>1.046112502414688</v>
      </c>
      <c r="AB4385" t="str">
        <f>HYPERLINK("Melting_Curves/meltCurve_Q96NB3_ZNF830.pdf", "Melting_Curves/meltCurve_Q96NB3_ZNF830.pdf")</f>
        <v>Melting_Curves/meltCurve_Q96NB3_ZNF830.pdf</v>
      </c>
    </row>
    <row r="4386" spans="1:28" x14ac:dyDescent="0.25">
      <c r="A4386" t="s">
        <v>4390</v>
      </c>
      <c r="B4386">
        <v>0.99299721793515405</v>
      </c>
      <c r="C4386">
        <v>0.93035695562687204</v>
      </c>
      <c r="D4386">
        <v>0.97560245416026004</v>
      </c>
      <c r="E4386">
        <v>0.90341445644632001</v>
      </c>
      <c r="F4386">
        <v>0.700026721699327</v>
      </c>
      <c r="G4386">
        <v>0.51538953070273297</v>
      </c>
      <c r="H4386">
        <v>0.53318230053562399</v>
      </c>
      <c r="I4386">
        <v>0.54435003115672798</v>
      </c>
      <c r="J4386">
        <v>0.60916639267226702</v>
      </c>
      <c r="K4386">
        <v>0.52122999162460704</v>
      </c>
      <c r="L4386">
        <v>1505.0287736221501</v>
      </c>
      <c r="M4386">
        <v>30.838782760605898</v>
      </c>
      <c r="O4386">
        <v>48.599281869039402</v>
      </c>
      <c r="P4386">
        <v>-7.2697684969425802E-2</v>
      </c>
      <c r="Q4386">
        <v>0.54174136064858003</v>
      </c>
      <c r="R4386">
        <v>0.96443069340733001</v>
      </c>
      <c r="S4386" t="s">
        <v>9937</v>
      </c>
      <c r="T4386" t="s">
        <v>11100</v>
      </c>
      <c r="U4386" t="s">
        <v>11100</v>
      </c>
      <c r="V4386" t="s">
        <v>11100</v>
      </c>
      <c r="W4386" t="s">
        <v>15435</v>
      </c>
      <c r="X4386">
        <v>8</v>
      </c>
      <c r="Y4386" t="s">
        <v>20866</v>
      </c>
      <c r="Z4386" t="s">
        <v>26391</v>
      </c>
      <c r="AA4386">
        <v>0.72464411859885558</v>
      </c>
      <c r="AB4386" t="str">
        <f>HYPERLINK("Melting_Curves/meltCurve_Q96NC0_ZMAT2.pdf", "Melting_Curves/meltCurve_Q96NC0_ZMAT2.pdf")</f>
        <v>Melting_Curves/meltCurve_Q96NC0_ZMAT2.pdf</v>
      </c>
    </row>
    <row r="4387" spans="1:28" x14ac:dyDescent="0.25">
      <c r="A4387" t="s">
        <v>4391</v>
      </c>
      <c r="B4387">
        <v>0.99299721793515405</v>
      </c>
      <c r="C4387">
        <v>0.71587298645101505</v>
      </c>
      <c r="D4387">
        <v>1.0160002133819199</v>
      </c>
      <c r="E4387">
        <v>0.64222551703745101</v>
      </c>
      <c r="F4387">
        <v>0.60405562708551996</v>
      </c>
      <c r="G4387">
        <v>0.39231164737773899</v>
      </c>
      <c r="H4387">
        <v>0.44214254777921203</v>
      </c>
      <c r="I4387">
        <v>0.37600243513238801</v>
      </c>
      <c r="J4387">
        <v>0.73442876874367902</v>
      </c>
      <c r="K4387">
        <v>0.53554108661327304</v>
      </c>
      <c r="L4387">
        <v>2743.0772556367201</v>
      </c>
      <c r="M4387">
        <v>59.836504713199602</v>
      </c>
      <c r="O4387">
        <v>45.7917559137585</v>
      </c>
      <c r="P4387">
        <v>-0.15906832941516599</v>
      </c>
      <c r="Q4387">
        <v>0.51307219126319104</v>
      </c>
      <c r="R4387">
        <v>0.61729735342343495</v>
      </c>
      <c r="S4387" t="s">
        <v>9938</v>
      </c>
      <c r="T4387" t="s">
        <v>11100</v>
      </c>
      <c r="U4387" t="s">
        <v>11100</v>
      </c>
      <c r="V4387" t="s">
        <v>11100</v>
      </c>
      <c r="W4387" t="s">
        <v>15436</v>
      </c>
      <c r="X4387">
        <v>1</v>
      </c>
      <c r="Y4387" t="s">
        <v>20867</v>
      </c>
      <c r="Z4387" t="s">
        <v>26392</v>
      </c>
      <c r="AA4387">
        <v>0.65728656836761012</v>
      </c>
      <c r="AB4387" t="str">
        <f>HYPERLINK("Melting_Curves/meltCurve_Q96NL1_TMEM74.pdf", "Melting_Curves/meltCurve_Q96NL1_TMEM74.pdf")</f>
        <v>Melting_Curves/meltCurve_Q96NL1_TMEM74.pdf</v>
      </c>
    </row>
    <row r="4388" spans="1:28" x14ac:dyDescent="0.25">
      <c r="A4388" t="s">
        <v>4392</v>
      </c>
      <c r="B4388">
        <v>0.99299721793515405</v>
      </c>
      <c r="C4388">
        <v>0.85938542280510699</v>
      </c>
      <c r="D4388">
        <v>0.96924044768316897</v>
      </c>
      <c r="E4388">
        <v>0.716988256331614</v>
      </c>
      <c r="F4388">
        <v>0.70855893601612596</v>
      </c>
      <c r="G4388">
        <v>0.32572289826864098</v>
      </c>
      <c r="H4388">
        <v>0.22950271932334099</v>
      </c>
      <c r="I4388">
        <v>0.213616668073106</v>
      </c>
      <c r="J4388">
        <v>0.202809975475259</v>
      </c>
      <c r="K4388">
        <v>0.16784655154889899</v>
      </c>
      <c r="L4388">
        <v>685.00168160380701</v>
      </c>
      <c r="M4388">
        <v>13.556516815120199</v>
      </c>
      <c r="N4388">
        <v>51.665427766553996</v>
      </c>
      <c r="O4388">
        <v>49.467862442127803</v>
      </c>
      <c r="P4388">
        <v>-5.9690439963614998E-2</v>
      </c>
      <c r="Q4388">
        <v>0.128887050383475</v>
      </c>
      <c r="R4388">
        <v>0.95818583439704097</v>
      </c>
      <c r="S4388" t="s">
        <v>9939</v>
      </c>
      <c r="T4388" t="s">
        <v>11100</v>
      </c>
      <c r="U4388" t="s">
        <v>11100</v>
      </c>
      <c r="V4388" t="s">
        <v>11100</v>
      </c>
      <c r="W4388" t="s">
        <v>15437</v>
      </c>
      <c r="X4388">
        <v>2</v>
      </c>
      <c r="Y4388" t="s">
        <v>20868</v>
      </c>
      <c r="Z4388" t="s">
        <v>26393</v>
      </c>
      <c r="AA4388">
        <v>0.54214654389702022</v>
      </c>
      <c r="AB4388" t="str">
        <f>HYPERLINK("Melting_Curves/meltCurve_Q96NL8_C8orf37.pdf", "Melting_Curves/meltCurve_Q96NL8_C8orf37.pdf")</f>
        <v>Melting_Curves/meltCurve_Q96NL8_C8orf37.pdf</v>
      </c>
    </row>
    <row r="4389" spans="1:28" x14ac:dyDescent="0.25">
      <c r="A4389" t="s">
        <v>4393</v>
      </c>
      <c r="B4389">
        <v>0.99299721793515405</v>
      </c>
      <c r="C4389">
        <v>0.93732504610397405</v>
      </c>
      <c r="D4389">
        <v>1.1125898200694</v>
      </c>
      <c r="E4389">
        <v>0.90541905064055095</v>
      </c>
      <c r="F4389">
        <v>0.633485575816782</v>
      </c>
      <c r="G4389">
        <v>0.29126904191649899</v>
      </c>
      <c r="H4389">
        <v>0.339601819921936</v>
      </c>
      <c r="I4389">
        <v>0.33324382523409701</v>
      </c>
      <c r="J4389">
        <v>0.24573506764401001</v>
      </c>
      <c r="K4389">
        <v>7.51006106211521E-2</v>
      </c>
      <c r="L4389">
        <v>1402.81056957483</v>
      </c>
      <c r="M4389">
        <v>27.911525450046199</v>
      </c>
      <c r="N4389">
        <v>51.402257017772797</v>
      </c>
      <c r="O4389">
        <v>50.003320828369702</v>
      </c>
      <c r="P4389">
        <v>-0.107283891934578</v>
      </c>
      <c r="Q4389">
        <v>0.23121302566619001</v>
      </c>
      <c r="R4389">
        <v>0.95074629468017402</v>
      </c>
      <c r="S4389" t="s">
        <v>9940</v>
      </c>
      <c r="T4389" t="s">
        <v>11100</v>
      </c>
      <c r="U4389" t="s">
        <v>11100</v>
      </c>
      <c r="V4389" t="s">
        <v>11100</v>
      </c>
      <c r="W4389" t="s">
        <v>15438</v>
      </c>
      <c r="X4389">
        <v>2</v>
      </c>
      <c r="Y4389" t="s">
        <v>20869</v>
      </c>
      <c r="Z4389" t="s">
        <v>26394</v>
      </c>
      <c r="AA4389">
        <v>0.57645130583899962</v>
      </c>
      <c r="AB4389" t="str">
        <f>HYPERLINK("Melting_Curves/meltCurve_Q96P11_2_NSUN5.pdf", "Melting_Curves/meltCurve_Q96P11_2_NSUN5.pdf")</f>
        <v>Melting_Curves/meltCurve_Q96P11_2_NSUN5.pdf</v>
      </c>
    </row>
    <row r="4390" spans="1:28" x14ac:dyDescent="0.25">
      <c r="A4390" t="s">
        <v>4394</v>
      </c>
      <c r="B4390">
        <v>0.99299721793515405</v>
      </c>
      <c r="C4390">
        <v>0.87958429708855701</v>
      </c>
      <c r="D4390">
        <v>0.92546797236937495</v>
      </c>
      <c r="E4390">
        <v>0.832711799604688</v>
      </c>
      <c r="F4390">
        <v>0.51635229193877796</v>
      </c>
      <c r="G4390">
        <v>0.141529674359436</v>
      </c>
      <c r="H4390">
        <v>0.10414360076029699</v>
      </c>
      <c r="I4390">
        <v>9.5879016733144903E-2</v>
      </c>
      <c r="J4390">
        <v>7.8210103108309503E-2</v>
      </c>
      <c r="K4390">
        <v>5.6862936419459997E-2</v>
      </c>
      <c r="L4390">
        <v>1172.3698669630201</v>
      </c>
      <c r="M4390">
        <v>23.572889097008101</v>
      </c>
      <c r="N4390">
        <v>50.013641904850097</v>
      </c>
      <c r="O4390">
        <v>49.380055794424798</v>
      </c>
      <c r="P4390">
        <v>-0.111973261012162</v>
      </c>
      <c r="Q4390">
        <v>6.1777794432834203E-2</v>
      </c>
      <c r="R4390">
        <v>0.98540161743382804</v>
      </c>
      <c r="S4390" t="s">
        <v>9941</v>
      </c>
      <c r="T4390" t="s">
        <v>11100</v>
      </c>
      <c r="U4390" t="s">
        <v>11100</v>
      </c>
      <c r="V4390" t="s">
        <v>11100</v>
      </c>
      <c r="W4390" t="s">
        <v>15439</v>
      </c>
      <c r="X4390">
        <v>4</v>
      </c>
      <c r="Y4390" t="s">
        <v>20870</v>
      </c>
      <c r="Z4390" t="s">
        <v>26395</v>
      </c>
      <c r="AA4390">
        <v>0.46916476248369998</v>
      </c>
      <c r="AB4390" t="str">
        <f>HYPERLINK("Melting_Curves/meltCurve_Q96P16_3_RPRD1A.pdf", "Melting_Curves/meltCurve_Q96P16_3_RPRD1A.pdf")</f>
        <v>Melting_Curves/meltCurve_Q96P16_3_RPRD1A.pdf</v>
      </c>
    </row>
    <row r="4391" spans="1:28" x14ac:dyDescent="0.25">
      <c r="A4391" t="s">
        <v>4395</v>
      </c>
      <c r="B4391">
        <v>0.99299721793515405</v>
      </c>
      <c r="C4391">
        <v>0.94405549088506402</v>
      </c>
      <c r="D4391">
        <v>1.02920711454188</v>
      </c>
      <c r="E4391">
        <v>0.80464696278364101</v>
      </c>
      <c r="F4391">
        <v>0.49928183633207901</v>
      </c>
      <c r="G4391">
        <v>0.231211704562167</v>
      </c>
      <c r="H4391">
        <v>0.159973028636656</v>
      </c>
      <c r="I4391">
        <v>0.16971314609619401</v>
      </c>
      <c r="J4391">
        <v>0.14337963299664999</v>
      </c>
      <c r="K4391">
        <v>0.133632247440782</v>
      </c>
      <c r="L4391">
        <v>1174.8272686488001</v>
      </c>
      <c r="M4391">
        <v>23.815178079719001</v>
      </c>
      <c r="N4391">
        <v>50.019112286059098</v>
      </c>
      <c r="O4391">
        <v>48.987149883595897</v>
      </c>
      <c r="P4391">
        <v>-0.10456338666741399</v>
      </c>
      <c r="Q4391">
        <v>0.13967825952714599</v>
      </c>
      <c r="R4391">
        <v>0.99458087005814</v>
      </c>
      <c r="S4391" t="s">
        <v>9942</v>
      </c>
      <c r="T4391" t="s">
        <v>11100</v>
      </c>
      <c r="U4391" t="s">
        <v>11100</v>
      </c>
      <c r="V4391" t="s">
        <v>11100</v>
      </c>
      <c r="W4391" t="s">
        <v>15440</v>
      </c>
      <c r="X4391">
        <v>7</v>
      </c>
      <c r="Y4391" t="s">
        <v>20871</v>
      </c>
      <c r="Z4391" t="s">
        <v>26396</v>
      </c>
      <c r="AA4391">
        <v>0.50149580163468921</v>
      </c>
      <c r="AB4391" t="str">
        <f>HYPERLINK("Melting_Curves/meltCurve_Q96P47_AGAP3.pdf", "Melting_Curves/meltCurve_Q96P47_AGAP3.pdf")</f>
        <v>Melting_Curves/meltCurve_Q96P47_AGAP3.pdf</v>
      </c>
    </row>
    <row r="4392" spans="1:28" x14ac:dyDescent="0.25">
      <c r="A4392" t="s">
        <v>4396</v>
      </c>
      <c r="B4392">
        <v>0.99299721793515405</v>
      </c>
      <c r="C4392">
        <v>0.92220483399825603</v>
      </c>
      <c r="D4392">
        <v>0.84027109012290502</v>
      </c>
      <c r="E4392">
        <v>0.83077327774967902</v>
      </c>
      <c r="F4392">
        <v>0.53994109918300004</v>
      </c>
      <c r="G4392">
        <v>0.31673164173922003</v>
      </c>
      <c r="H4392">
        <v>0.207255613992119</v>
      </c>
      <c r="I4392">
        <v>0.175694788782322</v>
      </c>
      <c r="J4392">
        <v>0.16766910531905399</v>
      </c>
      <c r="K4392">
        <v>0.123169014764312</v>
      </c>
      <c r="L4392">
        <v>700.78453652756798</v>
      </c>
      <c r="M4392">
        <v>14.0253939811754</v>
      </c>
      <c r="N4392">
        <v>50.800772645021901</v>
      </c>
      <c r="O4392">
        <v>48.982538035447803</v>
      </c>
      <c r="P4392">
        <v>-6.4220084313387396E-2</v>
      </c>
      <c r="Q4392">
        <v>0.102984361399991</v>
      </c>
      <c r="R4392">
        <v>0.98636249501218498</v>
      </c>
      <c r="S4392" t="s">
        <v>9943</v>
      </c>
      <c r="T4392" t="s">
        <v>11100</v>
      </c>
      <c r="U4392" t="s">
        <v>11100</v>
      </c>
      <c r="V4392" t="s">
        <v>11100</v>
      </c>
      <c r="W4392" t="s">
        <v>15441</v>
      </c>
      <c r="X4392">
        <v>9</v>
      </c>
      <c r="Y4392" t="s">
        <v>20872</v>
      </c>
      <c r="Z4392" t="s">
        <v>26397</v>
      </c>
      <c r="AA4392">
        <v>0.51129335421397248</v>
      </c>
      <c r="AB4392" t="str">
        <f>HYPERLINK("Melting_Curves/meltCurve_Q96P48_3_ARAP1.pdf", "Melting_Curves/meltCurve_Q96P48_3_ARAP1.pdf")</f>
        <v>Melting_Curves/meltCurve_Q96P48_3_ARAP1.pdf</v>
      </c>
    </row>
    <row r="4393" spans="1:28" x14ac:dyDescent="0.25">
      <c r="A4393" t="s">
        <v>4397</v>
      </c>
      <c r="B4393">
        <v>0.99299721793515405</v>
      </c>
      <c r="C4393">
        <v>0.88474229447016495</v>
      </c>
      <c r="D4393">
        <v>0.91636085878585605</v>
      </c>
      <c r="E4393">
        <v>0.92631370840822203</v>
      </c>
      <c r="F4393">
        <v>0.72896998377732003</v>
      </c>
      <c r="G4393">
        <v>0.346511720964575</v>
      </c>
      <c r="H4393">
        <v>0.18738103518781299</v>
      </c>
      <c r="I4393">
        <v>0.17462286034639701</v>
      </c>
      <c r="J4393">
        <v>0.20130939636680401</v>
      </c>
      <c r="K4393">
        <v>0.16598840589326699</v>
      </c>
      <c r="L4393">
        <v>1426.8573272490401</v>
      </c>
      <c r="M4393">
        <v>27.785978694313201</v>
      </c>
      <c r="N4393">
        <v>52.1217846481224</v>
      </c>
      <c r="O4393">
        <v>51.087928925242601</v>
      </c>
      <c r="P4393">
        <v>-0.11308155679525</v>
      </c>
      <c r="Q4393">
        <v>0.16835013772089399</v>
      </c>
      <c r="R4393">
        <v>0.98152495313772403</v>
      </c>
      <c r="S4393" t="s">
        <v>9944</v>
      </c>
      <c r="T4393" t="s">
        <v>11100</v>
      </c>
      <c r="U4393" t="s">
        <v>11100</v>
      </c>
      <c r="V4393" t="s">
        <v>11100</v>
      </c>
      <c r="W4393" t="s">
        <v>15442</v>
      </c>
      <c r="X4393">
        <v>1</v>
      </c>
      <c r="Y4393" t="s">
        <v>20873</v>
      </c>
      <c r="Z4393" t="s">
        <v>26398</v>
      </c>
      <c r="AA4393">
        <v>0.57223600915965966</v>
      </c>
      <c r="AB4393" t="str">
        <f>HYPERLINK("Melting_Curves/meltCurve_Q96P50_ACAP3.pdf", "Melting_Curves/meltCurve_Q96P50_ACAP3.pdf")</f>
        <v>Melting_Curves/meltCurve_Q96P50_ACAP3.pdf</v>
      </c>
    </row>
    <row r="4394" spans="1:28" x14ac:dyDescent="0.25">
      <c r="A4394" t="s">
        <v>4398</v>
      </c>
      <c r="B4394">
        <v>0.99299721793515405</v>
      </c>
      <c r="C4394">
        <v>1.0150442588037001</v>
      </c>
      <c r="D4394">
        <v>0.98873372793340797</v>
      </c>
      <c r="E4394">
        <v>0.85972485309797497</v>
      </c>
      <c r="F4394">
        <v>0.83698651336858398</v>
      </c>
      <c r="G4394">
        <v>0.78736998648996204</v>
      </c>
      <c r="H4394">
        <v>0.63454282871943601</v>
      </c>
      <c r="I4394">
        <v>0.22836066657821599</v>
      </c>
      <c r="J4394">
        <v>0.16495859172146499</v>
      </c>
      <c r="K4394">
        <v>0.10203525385819499</v>
      </c>
      <c r="L4394">
        <v>917.44614289342405</v>
      </c>
      <c r="M4394">
        <v>15.8442777447605</v>
      </c>
      <c r="N4394">
        <v>57.903942261102003</v>
      </c>
      <c r="O4394">
        <v>57.005074782566403</v>
      </c>
      <c r="P4394">
        <v>-6.9491896356460497E-2</v>
      </c>
      <c r="Q4394">
        <v>0</v>
      </c>
      <c r="R4394">
        <v>0.967426791259686</v>
      </c>
      <c r="S4394" t="s">
        <v>9945</v>
      </c>
      <c r="T4394" t="s">
        <v>11100</v>
      </c>
      <c r="U4394" t="s">
        <v>11100</v>
      </c>
      <c r="V4394" t="s">
        <v>11100</v>
      </c>
      <c r="W4394" t="s">
        <v>15443</v>
      </c>
      <c r="X4394">
        <v>14</v>
      </c>
      <c r="Y4394" t="s">
        <v>20874</v>
      </c>
      <c r="Z4394" t="s">
        <v>26399</v>
      </c>
      <c r="AA4394">
        <v>0.70217374550267642</v>
      </c>
      <c r="AB4394" t="str">
        <f>HYPERLINK("Melting_Curves/meltCurve_Q96P70_IPO9.pdf", "Melting_Curves/meltCurve_Q96P70_IPO9.pdf")</f>
        <v>Melting_Curves/meltCurve_Q96P70_IPO9.pdf</v>
      </c>
    </row>
    <row r="4395" spans="1:28" x14ac:dyDescent="0.25">
      <c r="A4395" t="s">
        <v>4399</v>
      </c>
      <c r="B4395">
        <v>0.99299721793515405</v>
      </c>
      <c r="C4395">
        <v>0.91611484904170704</v>
      </c>
      <c r="D4395">
        <v>0.85681880016132195</v>
      </c>
      <c r="E4395">
        <v>0.78780218620720399</v>
      </c>
      <c r="F4395">
        <v>0.70009556494474601</v>
      </c>
      <c r="G4395">
        <v>0.51404854748873596</v>
      </c>
      <c r="H4395">
        <v>0.47244792013259002</v>
      </c>
      <c r="I4395">
        <v>0.53779934702546395</v>
      </c>
      <c r="J4395">
        <v>0.54200246763864202</v>
      </c>
      <c r="K4395">
        <v>0.35928294156085999</v>
      </c>
      <c r="L4395">
        <v>471.34960161135098</v>
      </c>
      <c r="M4395">
        <v>9.6622705287815798</v>
      </c>
      <c r="N4395">
        <v>58.7006221735789</v>
      </c>
      <c r="O4395">
        <v>46.830358556521297</v>
      </c>
      <c r="P4395">
        <v>-3.0847990335196099E-2</v>
      </c>
      <c r="Q4395">
        <v>0.40228468198036899</v>
      </c>
      <c r="R4395">
        <v>0.93507287587617904</v>
      </c>
      <c r="S4395" t="s">
        <v>9946</v>
      </c>
      <c r="T4395" t="s">
        <v>11100</v>
      </c>
      <c r="U4395" t="s">
        <v>11100</v>
      </c>
      <c r="V4395" t="s">
        <v>11100</v>
      </c>
      <c r="W4395" t="s">
        <v>15444</v>
      </c>
      <c r="X4395">
        <v>4</v>
      </c>
      <c r="Y4395" t="s">
        <v>20875</v>
      </c>
      <c r="Z4395" t="s">
        <v>26400</v>
      </c>
      <c r="AA4395">
        <v>0.66052745168443627</v>
      </c>
      <c r="AB4395" t="str">
        <f>HYPERLINK("Melting_Curves/meltCurve_Q96PE7_MCEE.pdf", "Melting_Curves/meltCurve_Q96PE7_MCEE.pdf")</f>
        <v>Melting_Curves/meltCurve_Q96PE7_MCEE.pdf</v>
      </c>
    </row>
    <row r="4396" spans="1:28" x14ac:dyDescent="0.25">
      <c r="A4396" t="s">
        <v>4400</v>
      </c>
      <c r="B4396">
        <v>0.99299721793515405</v>
      </c>
      <c r="C4396">
        <v>1.16320231282328</v>
      </c>
      <c r="D4396">
        <v>2.2418797717413002</v>
      </c>
      <c r="E4396">
        <v>1.34576624002233</v>
      </c>
      <c r="F4396">
        <v>0.89907691396965395</v>
      </c>
      <c r="G4396">
        <v>0.84674491379030103</v>
      </c>
      <c r="H4396">
        <v>0.28227802981410099</v>
      </c>
      <c r="I4396">
        <v>0.55123028991387801</v>
      </c>
      <c r="J4396">
        <v>0.71744097017818198</v>
      </c>
      <c r="K4396">
        <v>0.34593585171975799</v>
      </c>
      <c r="L4396">
        <v>13497.7848282054</v>
      </c>
      <c r="M4396">
        <v>250</v>
      </c>
      <c r="N4396">
        <v>54.639168024663</v>
      </c>
      <c r="O4396">
        <v>53.987683749571097</v>
      </c>
      <c r="P4396">
        <v>-0.60867900899055805</v>
      </c>
      <c r="Q4396">
        <v>0.474221278380482</v>
      </c>
      <c r="R4396">
        <v>0.37529725738723002</v>
      </c>
      <c r="S4396" t="s">
        <v>9947</v>
      </c>
      <c r="T4396" t="s">
        <v>11100</v>
      </c>
      <c r="U4396" t="s">
        <v>11100</v>
      </c>
      <c r="V4396" t="s">
        <v>11100</v>
      </c>
      <c r="W4396" t="s">
        <v>15445</v>
      </c>
      <c r="X4396">
        <v>1</v>
      </c>
      <c r="Y4396" t="s">
        <v>20876</v>
      </c>
      <c r="Z4396" t="s">
        <v>26401</v>
      </c>
      <c r="AA4396">
        <v>0.77205708137048201</v>
      </c>
      <c r="AB4396" t="str">
        <f>HYPERLINK("Melting_Curves/meltCurve_Q96PG8_BBC3.pdf", "Melting_Curves/meltCurve_Q96PG8_BBC3.pdf")</f>
        <v>Melting_Curves/meltCurve_Q96PG8_BBC3.pdf</v>
      </c>
    </row>
    <row r="4397" spans="1:28" x14ac:dyDescent="0.25">
      <c r="A4397" t="s">
        <v>4401</v>
      </c>
      <c r="B4397">
        <v>0.99299721793515405</v>
      </c>
      <c r="C4397">
        <v>0.97053100295894501</v>
      </c>
      <c r="D4397">
        <v>1.0348277215353301</v>
      </c>
      <c r="E4397">
        <v>0.87344147455885901</v>
      </c>
      <c r="F4397">
        <v>0.49484538161629599</v>
      </c>
      <c r="G4397">
        <v>0.35811668320126699</v>
      </c>
      <c r="H4397">
        <v>0.31523606399183202</v>
      </c>
      <c r="I4397">
        <v>0.36765091689893797</v>
      </c>
      <c r="J4397">
        <v>0.38423083809520497</v>
      </c>
      <c r="K4397">
        <v>0.42569592182854099</v>
      </c>
      <c r="L4397">
        <v>1906.7535631179101</v>
      </c>
      <c r="M4397">
        <v>39.461143184209803</v>
      </c>
      <c r="N4397">
        <v>50.017147413981498</v>
      </c>
      <c r="O4397">
        <v>48.196174698830802</v>
      </c>
      <c r="P4397">
        <v>-0.129166897986014</v>
      </c>
      <c r="Q4397">
        <v>0.36896528447730897</v>
      </c>
      <c r="R4397">
        <v>0.98851873024180303</v>
      </c>
      <c r="S4397" t="s">
        <v>9948</v>
      </c>
      <c r="T4397" t="s">
        <v>11100</v>
      </c>
      <c r="U4397" t="s">
        <v>11100</v>
      </c>
      <c r="V4397" t="s">
        <v>11100</v>
      </c>
      <c r="W4397" t="s">
        <v>15446</v>
      </c>
      <c r="X4397">
        <v>4</v>
      </c>
      <c r="Y4397" t="s">
        <v>20877</v>
      </c>
      <c r="Z4397" t="s">
        <v>26402</v>
      </c>
      <c r="AA4397">
        <v>0.60923694596521194</v>
      </c>
      <c r="AB4397" t="str">
        <f>HYPERLINK("Melting_Curves/meltCurve_Q96PK6_RBM14.pdf", "Melting_Curves/meltCurve_Q96PK6_RBM14.pdf")</f>
        <v>Melting_Curves/meltCurve_Q96PK6_RBM14.pdf</v>
      </c>
    </row>
    <row r="4398" spans="1:28" x14ac:dyDescent="0.25">
      <c r="A4398" t="s">
        <v>4402</v>
      </c>
      <c r="B4398">
        <v>0.99299721793515405</v>
      </c>
      <c r="C4398">
        <v>0.90433380556454901</v>
      </c>
      <c r="D4398">
        <v>1.0217452110881</v>
      </c>
      <c r="E4398">
        <v>0.91768315535741096</v>
      </c>
      <c r="F4398">
        <v>0.74958932763698305</v>
      </c>
      <c r="G4398">
        <v>0.645248048987075</v>
      </c>
      <c r="H4398">
        <v>0.51893356358295395</v>
      </c>
      <c r="I4398">
        <v>0.50165565938054502</v>
      </c>
      <c r="J4398">
        <v>0.47985622540940698</v>
      </c>
      <c r="K4398">
        <v>0.38329273036105999</v>
      </c>
      <c r="L4398">
        <v>705.22796404372298</v>
      </c>
      <c r="M4398">
        <v>13.5302884129357</v>
      </c>
      <c r="N4398">
        <v>59.188074908701701</v>
      </c>
      <c r="O4398">
        <v>51.023120889300699</v>
      </c>
      <c r="P4398">
        <v>-3.9744505996079198E-2</v>
      </c>
      <c r="Q4398">
        <v>0.40057976012969598</v>
      </c>
      <c r="R4398">
        <v>0.96865641634399402</v>
      </c>
      <c r="S4398" t="s">
        <v>9949</v>
      </c>
      <c r="T4398" t="s">
        <v>11100</v>
      </c>
      <c r="U4398" t="s">
        <v>11100</v>
      </c>
      <c r="V4398" t="s">
        <v>11100</v>
      </c>
      <c r="W4398" t="s">
        <v>15447</v>
      </c>
      <c r="X4398">
        <v>8</v>
      </c>
      <c r="Y4398" t="s">
        <v>20878</v>
      </c>
      <c r="Z4398" t="s">
        <v>26403</v>
      </c>
      <c r="AA4398">
        <v>0.71541304770234393</v>
      </c>
      <c r="AB4398" t="str">
        <f>HYPERLINK("Melting_Curves/meltCurve_Q96PM5_RCHY1.pdf", "Melting_Curves/meltCurve_Q96PM5_RCHY1.pdf")</f>
        <v>Melting_Curves/meltCurve_Q96PM5_RCHY1.pdf</v>
      </c>
    </row>
    <row r="4399" spans="1:28" x14ac:dyDescent="0.25">
      <c r="A4399" t="s">
        <v>4403</v>
      </c>
      <c r="B4399">
        <v>0.99299721793515405</v>
      </c>
      <c r="C4399">
        <v>0.91563924452144996</v>
      </c>
      <c r="D4399">
        <v>0.85295235199012098</v>
      </c>
      <c r="E4399">
        <v>0.84709657316046105</v>
      </c>
      <c r="F4399">
        <v>0.59278713447065701</v>
      </c>
      <c r="G4399">
        <v>0.29902375045142598</v>
      </c>
      <c r="H4399">
        <v>0.20623746620401301</v>
      </c>
      <c r="I4399">
        <v>0.17951463377401899</v>
      </c>
      <c r="J4399">
        <v>0.18324692128430101</v>
      </c>
      <c r="K4399">
        <v>0.114927247124476</v>
      </c>
      <c r="L4399">
        <v>787.73902164475203</v>
      </c>
      <c r="M4399">
        <v>15.6774665704702</v>
      </c>
      <c r="N4399">
        <v>51.099373274742398</v>
      </c>
      <c r="O4399">
        <v>49.450367919884798</v>
      </c>
      <c r="P4399">
        <v>-7.0141420871497495E-2</v>
      </c>
      <c r="Q4399">
        <v>0.115106273395023</v>
      </c>
      <c r="R4399">
        <v>0.98203321189984505</v>
      </c>
      <c r="S4399" t="s">
        <v>9950</v>
      </c>
      <c r="T4399" t="s">
        <v>11100</v>
      </c>
      <c r="U4399" t="s">
        <v>11100</v>
      </c>
      <c r="V4399" t="s">
        <v>11100</v>
      </c>
      <c r="W4399" t="s">
        <v>15448</v>
      </c>
      <c r="X4399">
        <v>4</v>
      </c>
      <c r="Y4399" t="s">
        <v>20879</v>
      </c>
      <c r="Z4399" t="s">
        <v>26404</v>
      </c>
      <c r="AA4399">
        <v>0.52304592714454312</v>
      </c>
      <c r="AB4399" t="str">
        <f>HYPERLINK("Melting_Curves/meltCurve_Q96PU5_2_NEDD4L.pdf", "Melting_Curves/meltCurve_Q96PU5_2_NEDD4L.pdf")</f>
        <v>Melting_Curves/meltCurve_Q96PU5_2_NEDD4L.pdf</v>
      </c>
    </row>
    <row r="4400" spans="1:28" x14ac:dyDescent="0.25">
      <c r="A4400" t="s">
        <v>4404</v>
      </c>
      <c r="B4400">
        <v>0.99299721793515405</v>
      </c>
      <c r="C4400">
        <v>0.940869263564035</v>
      </c>
      <c r="D4400">
        <v>0.99950986196695701</v>
      </c>
      <c r="E4400">
        <v>0.878700124318056</v>
      </c>
      <c r="F4400">
        <v>0.66154535836082595</v>
      </c>
      <c r="G4400">
        <v>0.31092875652592999</v>
      </c>
      <c r="H4400">
        <v>0.18699839923807099</v>
      </c>
      <c r="I4400">
        <v>0.17959776847661399</v>
      </c>
      <c r="J4400">
        <v>0.15398894493256299</v>
      </c>
      <c r="K4400">
        <v>0.11619532978102599</v>
      </c>
      <c r="L4400">
        <v>1160.31261008604</v>
      </c>
      <c r="M4400">
        <v>22.789991737681301</v>
      </c>
      <c r="N4400">
        <v>51.620673691625399</v>
      </c>
      <c r="O4400">
        <v>50.526114015930098</v>
      </c>
      <c r="P4400">
        <v>-9.7641106274345094E-2</v>
      </c>
      <c r="Q4400">
        <v>0.134123555394705</v>
      </c>
      <c r="R4400">
        <v>0.99504276237090905</v>
      </c>
      <c r="S4400" t="s">
        <v>9951</v>
      </c>
      <c r="T4400" t="s">
        <v>11100</v>
      </c>
      <c r="U4400" t="s">
        <v>11100</v>
      </c>
      <c r="V4400" t="s">
        <v>11100</v>
      </c>
      <c r="W4400" t="s">
        <v>15449</v>
      </c>
      <c r="X4400">
        <v>12</v>
      </c>
      <c r="Y4400" t="s">
        <v>20880</v>
      </c>
      <c r="Z4400" t="s">
        <v>26405</v>
      </c>
      <c r="AA4400">
        <v>0.54473899403675208</v>
      </c>
      <c r="AB4400" t="str">
        <f>HYPERLINK("Melting_Curves/meltCurve_Q96PU8_QKI.pdf", "Melting_Curves/meltCurve_Q96PU8_QKI.pdf")</f>
        <v>Melting_Curves/meltCurve_Q96PU8_QKI.pdf</v>
      </c>
    </row>
    <row r="4401" spans="1:28" x14ac:dyDescent="0.25">
      <c r="A4401" t="s">
        <v>4405</v>
      </c>
      <c r="B4401">
        <v>0.99299721793515405</v>
      </c>
      <c r="C4401">
        <v>0.977682862261957</v>
      </c>
      <c r="D4401">
        <v>1.08148419165223</v>
      </c>
      <c r="E4401">
        <v>0.90111588188848901</v>
      </c>
      <c r="F4401">
        <v>0.73682399446454905</v>
      </c>
      <c r="G4401">
        <v>0.62753110089827002</v>
      </c>
      <c r="H4401">
        <v>0.49429487039172498</v>
      </c>
      <c r="I4401">
        <v>0.33300337726417401</v>
      </c>
      <c r="J4401">
        <v>0.25123610613838498</v>
      </c>
      <c r="K4401">
        <v>0.20730007950100801</v>
      </c>
      <c r="L4401">
        <v>631.17678363984805</v>
      </c>
      <c r="M4401">
        <v>11.390269428246</v>
      </c>
      <c r="N4401">
        <v>56.526947868462699</v>
      </c>
      <c r="O4401">
        <v>53.788109575554202</v>
      </c>
      <c r="P4401">
        <v>-4.7635450997128001E-2</v>
      </c>
      <c r="Q4401">
        <v>0.10047241824455901</v>
      </c>
      <c r="R4401">
        <v>0.98237286901647702</v>
      </c>
      <c r="S4401" t="s">
        <v>9952</v>
      </c>
      <c r="T4401" t="s">
        <v>11100</v>
      </c>
      <c r="U4401" t="s">
        <v>11100</v>
      </c>
      <c r="V4401" t="s">
        <v>11100</v>
      </c>
      <c r="W4401" t="s">
        <v>15450</v>
      </c>
      <c r="X4401">
        <v>21</v>
      </c>
      <c r="Y4401" t="s">
        <v>20881</v>
      </c>
      <c r="Z4401" t="s">
        <v>26406</v>
      </c>
      <c r="AA4401">
        <v>0.66329307368622359</v>
      </c>
      <c r="AB4401" t="str">
        <f>HYPERLINK("Melting_Curves/meltCurve_Q96PZ0_PUS7.pdf", "Melting_Curves/meltCurve_Q96PZ0_PUS7.pdf")</f>
        <v>Melting_Curves/meltCurve_Q96PZ0_PUS7.pdf</v>
      </c>
    </row>
    <row r="4402" spans="1:28" x14ac:dyDescent="0.25">
      <c r="A4402" t="s">
        <v>4406</v>
      </c>
      <c r="B4402">
        <v>0.99299721793515405</v>
      </c>
      <c r="C4402">
        <v>1.05810361724395</v>
      </c>
      <c r="D4402">
        <v>0.87010251434003205</v>
      </c>
      <c r="E4402">
        <v>0.88737991819852502</v>
      </c>
      <c r="F4402">
        <v>0.80193586276373197</v>
      </c>
      <c r="G4402">
        <v>0.42395945277396502</v>
      </c>
      <c r="H4402">
        <v>0.215205328431537</v>
      </c>
      <c r="I4402">
        <v>0.190994344111451</v>
      </c>
      <c r="J4402">
        <v>0.14844556490107999</v>
      </c>
      <c r="K4402">
        <v>0.11993030157830301</v>
      </c>
      <c r="L4402">
        <v>1109.5780767741501</v>
      </c>
      <c r="M4402">
        <v>21.178061017268501</v>
      </c>
      <c r="N4402">
        <v>53.091898319393501</v>
      </c>
      <c r="O4402">
        <v>51.932373002950698</v>
      </c>
      <c r="P4402">
        <v>-8.9547544941109003E-2</v>
      </c>
      <c r="Q4402">
        <v>0.121676716462028</v>
      </c>
      <c r="R4402">
        <v>0.98068299571689499</v>
      </c>
      <c r="S4402" t="s">
        <v>9953</v>
      </c>
      <c r="T4402" t="s">
        <v>11100</v>
      </c>
      <c r="U4402" t="s">
        <v>11100</v>
      </c>
      <c r="V4402" t="s">
        <v>11100</v>
      </c>
      <c r="W4402" t="s">
        <v>15451</v>
      </c>
      <c r="X4402">
        <v>9</v>
      </c>
      <c r="Y4402" t="s">
        <v>20882</v>
      </c>
      <c r="Z4402" t="s">
        <v>26407</v>
      </c>
      <c r="AA4402">
        <v>0.58262958815598298</v>
      </c>
      <c r="AB4402" t="str">
        <f>HYPERLINK("Melting_Curves/meltCurve_Q96Q11_2_TRNT1.pdf", "Melting_Curves/meltCurve_Q96Q11_2_TRNT1.pdf")</f>
        <v>Melting_Curves/meltCurve_Q96Q11_2_TRNT1.pdf</v>
      </c>
    </row>
    <row r="4403" spans="1:28" x14ac:dyDescent="0.25">
      <c r="A4403" t="s">
        <v>4407</v>
      </c>
      <c r="B4403">
        <v>0.99299721793515405</v>
      </c>
      <c r="C4403">
        <v>0.81555391122085197</v>
      </c>
      <c r="D4403">
        <v>0.97100653752752597</v>
      </c>
      <c r="E4403">
        <v>0.78341714155757503</v>
      </c>
      <c r="F4403">
        <v>0.90043883001137204</v>
      </c>
      <c r="G4403">
        <v>0.52465232944608697</v>
      </c>
      <c r="H4403">
        <v>0.46742288963546502</v>
      </c>
      <c r="I4403">
        <v>0.481313745832956</v>
      </c>
      <c r="J4403">
        <v>0.56665366417641205</v>
      </c>
      <c r="K4403">
        <v>0.49437421366769302</v>
      </c>
      <c r="L4403">
        <v>617.23131012453598</v>
      </c>
      <c r="M4403">
        <v>12.315569589486801</v>
      </c>
      <c r="N4403">
        <v>62.179330994969398</v>
      </c>
      <c r="O4403">
        <v>48.851536828719702</v>
      </c>
      <c r="P4403">
        <v>-3.4410824236293602E-2</v>
      </c>
      <c r="Q4403">
        <v>0.454136403003148</v>
      </c>
      <c r="R4403">
        <v>0.79449380085254595</v>
      </c>
      <c r="S4403" t="s">
        <v>9954</v>
      </c>
      <c r="T4403" t="s">
        <v>11100</v>
      </c>
      <c r="U4403" t="s">
        <v>11100</v>
      </c>
      <c r="V4403" t="s">
        <v>11100</v>
      </c>
      <c r="W4403" t="s">
        <v>15452</v>
      </c>
      <c r="X4403">
        <v>6</v>
      </c>
      <c r="Y4403" t="s">
        <v>20883</v>
      </c>
      <c r="Z4403" t="s">
        <v>26408</v>
      </c>
      <c r="AA4403">
        <v>0.70753299024033678</v>
      </c>
      <c r="AB4403" t="str">
        <f>HYPERLINK("Melting_Curves/meltCurve_Q96Q83_ALKBH3.pdf", "Melting_Curves/meltCurve_Q96Q83_ALKBH3.pdf")</f>
        <v>Melting_Curves/meltCurve_Q96Q83_ALKBH3.pdf</v>
      </c>
    </row>
    <row r="4404" spans="1:28" x14ac:dyDescent="0.25">
      <c r="A4404" t="s">
        <v>4408</v>
      </c>
      <c r="B4404">
        <v>0.99299721793515405</v>
      </c>
      <c r="C4404">
        <v>0.765808161136453</v>
      </c>
      <c r="D4404">
        <v>0.80320675900053096</v>
      </c>
      <c r="E4404">
        <v>0.58482580528934902</v>
      </c>
      <c r="F4404">
        <v>0.63816418476415704</v>
      </c>
      <c r="G4404">
        <v>0.49589388811875801</v>
      </c>
      <c r="H4404">
        <v>0.26822057856269799</v>
      </c>
      <c r="I4404">
        <v>0.26098091043235699</v>
      </c>
      <c r="J4404">
        <v>0.14155652369126301</v>
      </c>
      <c r="K4404">
        <v>7.2192013018712906E-2</v>
      </c>
      <c r="L4404">
        <v>367.08888428663101</v>
      </c>
      <c r="M4404">
        <v>7.1899034203204399</v>
      </c>
      <c r="N4404">
        <v>51.056163267236499</v>
      </c>
      <c r="O4404">
        <v>47.549683668055202</v>
      </c>
      <c r="P4404">
        <v>-3.7865578476963299E-2</v>
      </c>
      <c r="Q4404">
        <v>0</v>
      </c>
      <c r="R4404">
        <v>0.937738769050529</v>
      </c>
      <c r="S4404" t="s">
        <v>9955</v>
      </c>
      <c r="T4404" t="s">
        <v>11100</v>
      </c>
      <c r="U4404" t="s">
        <v>11100</v>
      </c>
      <c r="V4404" t="s">
        <v>11100</v>
      </c>
      <c r="W4404" t="s">
        <v>15453</v>
      </c>
      <c r="X4404">
        <v>1</v>
      </c>
      <c r="Y4404" t="s">
        <v>20884</v>
      </c>
      <c r="Z4404" t="s">
        <v>26409</v>
      </c>
      <c r="AA4404">
        <v>0.5044948766096391</v>
      </c>
      <c r="AB4404" t="str">
        <f>HYPERLINK("Melting_Curves/meltCurve_Q96QC0_PPP1R10.pdf", "Melting_Curves/meltCurve_Q96QC0_PPP1R10.pdf")</f>
        <v>Melting_Curves/meltCurve_Q96QC0_PPP1R10.pdf</v>
      </c>
    </row>
    <row r="4405" spans="1:28" x14ac:dyDescent="0.25">
      <c r="A4405" t="s">
        <v>4409</v>
      </c>
      <c r="B4405">
        <v>0.99299721793515405</v>
      </c>
      <c r="C4405">
        <v>1.03745431841841</v>
      </c>
      <c r="D4405">
        <v>0.88082268929412</v>
      </c>
      <c r="E4405">
        <v>0.62147243312449496</v>
      </c>
      <c r="F4405">
        <v>0.25424240581136198</v>
      </c>
      <c r="G4405">
        <v>0.182996019506071</v>
      </c>
      <c r="H4405">
        <v>0.142290743948944</v>
      </c>
      <c r="I4405">
        <v>0.13921746498492099</v>
      </c>
      <c r="J4405">
        <v>0.121258421109881</v>
      </c>
      <c r="K4405">
        <v>0.128311736768394</v>
      </c>
      <c r="L4405">
        <v>1140.46100826262</v>
      </c>
      <c r="M4405">
        <v>24.3037158679623</v>
      </c>
      <c r="N4405">
        <v>47.511716431666798</v>
      </c>
      <c r="O4405">
        <v>46.6111503568751</v>
      </c>
      <c r="P4405">
        <v>-0.11346597124298</v>
      </c>
      <c r="Q4405">
        <v>0.12956541704333499</v>
      </c>
      <c r="R4405">
        <v>0.99637877089332405</v>
      </c>
      <c r="S4405" t="s">
        <v>9956</v>
      </c>
      <c r="T4405" t="s">
        <v>11100</v>
      </c>
      <c r="U4405" t="s">
        <v>11100</v>
      </c>
      <c r="V4405" t="s">
        <v>11100</v>
      </c>
      <c r="W4405" t="s">
        <v>15454</v>
      </c>
      <c r="X4405">
        <v>3</v>
      </c>
      <c r="Y4405" t="s">
        <v>20885</v>
      </c>
      <c r="Z4405" t="s">
        <v>26410</v>
      </c>
      <c r="AA4405">
        <v>0.42527452828313561</v>
      </c>
      <c r="AB4405" t="str">
        <f>HYPERLINK("Melting_Curves/meltCurve_Q96QD5_2_DEPDC7.pdf", "Melting_Curves/meltCurve_Q96QD5_2_DEPDC7.pdf")</f>
        <v>Melting_Curves/meltCurve_Q96QD5_2_DEPDC7.pdf</v>
      </c>
    </row>
    <row r="4406" spans="1:28" x14ac:dyDescent="0.25">
      <c r="A4406" t="s">
        <v>4410</v>
      </c>
      <c r="B4406">
        <v>0.99299721793515405</v>
      </c>
      <c r="C4406">
        <v>1.0575644585806001</v>
      </c>
      <c r="D4406">
        <v>0.98041547248390504</v>
      </c>
      <c r="E4406">
        <v>0.93709050994435605</v>
      </c>
      <c r="F4406">
        <v>0.79964837975382397</v>
      </c>
      <c r="G4406">
        <v>0.73617802156412804</v>
      </c>
      <c r="H4406">
        <v>0.45856678254231698</v>
      </c>
      <c r="I4406">
        <v>0.22266725054855399</v>
      </c>
      <c r="J4406">
        <v>0.185033976715893</v>
      </c>
      <c r="K4406">
        <v>0.16170122008632001</v>
      </c>
      <c r="L4406">
        <v>824.31572388264601</v>
      </c>
      <c r="M4406">
        <v>14.682415276974099</v>
      </c>
      <c r="N4406">
        <v>56.578304433657799</v>
      </c>
      <c r="O4406">
        <v>55.1324269178591</v>
      </c>
      <c r="P4406">
        <v>-6.3029506108127395E-2</v>
      </c>
      <c r="Q4406">
        <v>5.3401546614514302E-2</v>
      </c>
      <c r="R4406">
        <v>0.98696184447303303</v>
      </c>
      <c r="S4406" t="s">
        <v>9957</v>
      </c>
      <c r="T4406" t="s">
        <v>11100</v>
      </c>
      <c r="U4406" t="s">
        <v>11100</v>
      </c>
      <c r="V4406" t="s">
        <v>11100</v>
      </c>
      <c r="W4406" t="s">
        <v>15455</v>
      </c>
      <c r="X4406">
        <v>15</v>
      </c>
      <c r="Y4406" t="s">
        <v>20886</v>
      </c>
      <c r="Z4406" t="s">
        <v>26411</v>
      </c>
      <c r="AA4406">
        <v>0.66781903008727617</v>
      </c>
      <c r="AB4406" t="str">
        <f>HYPERLINK("Melting_Curves/meltCurve_Q96QK1_VPS35.pdf", "Melting_Curves/meltCurve_Q96QK1_VPS35.pdf")</f>
        <v>Melting_Curves/meltCurve_Q96QK1_VPS35.pdf</v>
      </c>
    </row>
    <row r="4407" spans="1:28" x14ac:dyDescent="0.25">
      <c r="A4407" t="s">
        <v>4411</v>
      </c>
      <c r="B4407">
        <v>0.99299721793515405</v>
      </c>
      <c r="C4407">
        <v>0.83348114165068299</v>
      </c>
      <c r="D4407">
        <v>0.92587120708510995</v>
      </c>
      <c r="E4407">
        <v>0.61610498282967496</v>
      </c>
      <c r="F4407">
        <v>0.71108515700575203</v>
      </c>
      <c r="G4407">
        <v>0.42472342396358498</v>
      </c>
      <c r="H4407">
        <v>0.37058974956245</v>
      </c>
      <c r="I4407">
        <v>0.45497760637738499</v>
      </c>
      <c r="J4407">
        <v>0.58432376602972003</v>
      </c>
      <c r="K4407">
        <v>0.29217676331180098</v>
      </c>
      <c r="L4407">
        <v>516.04258159030496</v>
      </c>
      <c r="M4407">
        <v>10.9927398635543</v>
      </c>
      <c r="N4407">
        <v>54.028287600916599</v>
      </c>
      <c r="O4407">
        <v>45.470658200445101</v>
      </c>
      <c r="P4407">
        <v>-3.73817254722352E-2</v>
      </c>
      <c r="Q4407">
        <v>0.38170217319503602</v>
      </c>
      <c r="R4407">
        <v>0.81560874067564204</v>
      </c>
      <c r="S4407" t="s">
        <v>9958</v>
      </c>
      <c r="T4407" t="s">
        <v>11100</v>
      </c>
      <c r="U4407" t="s">
        <v>11100</v>
      </c>
      <c r="V4407" t="s">
        <v>11100</v>
      </c>
      <c r="W4407" t="s">
        <v>15456</v>
      </c>
      <c r="X4407">
        <v>1</v>
      </c>
      <c r="Y4407" t="s">
        <v>20887</v>
      </c>
      <c r="Z4407" t="s">
        <v>26412</v>
      </c>
      <c r="AA4407">
        <v>0.60998641732173686</v>
      </c>
      <c r="AB4407" t="str">
        <f>HYPERLINK("Melting_Curves/meltCurve_Q96QR8_PURB.pdf", "Melting_Curves/meltCurve_Q96QR8_PURB.pdf")</f>
        <v>Melting_Curves/meltCurve_Q96QR8_PURB.pdf</v>
      </c>
    </row>
    <row r="4408" spans="1:28" x14ac:dyDescent="0.25">
      <c r="A4408" t="s">
        <v>4412</v>
      </c>
      <c r="B4408">
        <v>0.99299721793515405</v>
      </c>
      <c r="C4408">
        <v>0.98739225336821601</v>
      </c>
      <c r="D4408">
        <v>0.91907555497013904</v>
      </c>
      <c r="E4408">
        <v>0.81045714256265899</v>
      </c>
      <c r="F4408">
        <v>0.70752475160428296</v>
      </c>
      <c r="G4408">
        <v>0.25703041037820101</v>
      </c>
      <c r="H4408">
        <v>0.13104446152947399</v>
      </c>
      <c r="I4408">
        <v>0.109865699473724</v>
      </c>
      <c r="J4408">
        <v>0.120768462369765</v>
      </c>
      <c r="K4408">
        <v>6.9717641667991298E-2</v>
      </c>
      <c r="L4408">
        <v>1047.7496127823799</v>
      </c>
      <c r="M4408">
        <v>20.509904786009599</v>
      </c>
      <c r="N4408">
        <v>51.458124968744499</v>
      </c>
      <c r="O4408">
        <v>50.606854191341</v>
      </c>
      <c r="P4408">
        <v>-9.4322998018493004E-2</v>
      </c>
      <c r="Q4408">
        <v>6.9084087749314696E-2</v>
      </c>
      <c r="R4408">
        <v>0.984281580598943</v>
      </c>
      <c r="S4408" t="s">
        <v>9959</v>
      </c>
      <c r="T4408" t="s">
        <v>11100</v>
      </c>
      <c r="U4408" t="s">
        <v>11100</v>
      </c>
      <c r="V4408" t="s">
        <v>11100</v>
      </c>
      <c r="W4408" t="s">
        <v>15457</v>
      </c>
      <c r="X4408">
        <v>7</v>
      </c>
      <c r="Y4408" t="s">
        <v>20888</v>
      </c>
      <c r="Z4408" t="s">
        <v>26413</v>
      </c>
      <c r="AA4408">
        <v>0.51782726564740633</v>
      </c>
      <c r="AB4408" t="str">
        <f>HYPERLINK("Melting_Curves/meltCurve_Q96QU8_XPO6.pdf", "Melting_Curves/meltCurve_Q96QU8_XPO6.pdf")</f>
        <v>Melting_Curves/meltCurve_Q96QU8_XPO6.pdf</v>
      </c>
    </row>
    <row r="4409" spans="1:28" x14ac:dyDescent="0.25">
      <c r="A4409" t="s">
        <v>4413</v>
      </c>
      <c r="B4409">
        <v>0.99299721793515405</v>
      </c>
      <c r="C4409">
        <v>0.90475352867110803</v>
      </c>
      <c r="D4409">
        <v>0.90504532730757303</v>
      </c>
      <c r="E4409">
        <v>0.77659869989094998</v>
      </c>
      <c r="F4409">
        <v>0.48860270156331298</v>
      </c>
      <c r="G4409">
        <v>0.31613803008120001</v>
      </c>
      <c r="H4409">
        <v>0.25377167355171099</v>
      </c>
      <c r="I4409">
        <v>0.227174266074016</v>
      </c>
      <c r="J4409">
        <v>0.19512499628483301</v>
      </c>
      <c r="K4409">
        <v>0.143263439161535</v>
      </c>
      <c r="L4409">
        <v>731.63301136784196</v>
      </c>
      <c r="M4409">
        <v>14.9113828487641</v>
      </c>
      <c r="N4409">
        <v>50.342081475024699</v>
      </c>
      <c r="O4409">
        <v>48.208314246830398</v>
      </c>
      <c r="P4409">
        <v>-6.5160275326825598E-2</v>
      </c>
      <c r="Q4409">
        <v>0.15743770109226299</v>
      </c>
      <c r="R4409">
        <v>0.99134329040671798</v>
      </c>
      <c r="S4409" t="s">
        <v>9960</v>
      </c>
      <c r="T4409" t="s">
        <v>11100</v>
      </c>
      <c r="U4409" t="s">
        <v>11100</v>
      </c>
      <c r="V4409" t="s">
        <v>11100</v>
      </c>
      <c r="W4409" t="s">
        <v>15458</v>
      </c>
      <c r="X4409">
        <v>13</v>
      </c>
      <c r="Y4409" t="s">
        <v>20889</v>
      </c>
      <c r="Z4409" t="s">
        <v>26414</v>
      </c>
      <c r="AA4409">
        <v>0.51456234560488567</v>
      </c>
      <c r="AB4409" t="str">
        <f>HYPERLINK("Melting_Curves/meltCurve_Q96R06_SPAG5.pdf", "Melting_Curves/meltCurve_Q96R06_SPAG5.pdf")</f>
        <v>Melting_Curves/meltCurve_Q96R06_SPAG5.pdf</v>
      </c>
    </row>
    <row r="4410" spans="1:28" x14ac:dyDescent="0.25">
      <c r="A4410" t="s">
        <v>4414</v>
      </c>
      <c r="B4410">
        <v>0.99299721793515405</v>
      </c>
      <c r="C4410">
        <v>0.85849775809878304</v>
      </c>
      <c r="D4410">
        <v>0.67476097299320803</v>
      </c>
      <c r="E4410">
        <v>0.70853819497584103</v>
      </c>
      <c r="F4410">
        <v>0.71323253207416404</v>
      </c>
      <c r="G4410">
        <v>0.84176419713776796</v>
      </c>
      <c r="H4410">
        <v>0.42409762704528098</v>
      </c>
      <c r="I4410">
        <v>0.416096315337047</v>
      </c>
      <c r="J4410">
        <v>0.40378790826893801</v>
      </c>
      <c r="K4410">
        <v>0.49560520577656503</v>
      </c>
      <c r="L4410">
        <v>214.23990245450801</v>
      </c>
      <c r="M4410">
        <v>3.53514397318148</v>
      </c>
      <c r="N4410">
        <v>60.6028817967034</v>
      </c>
      <c r="O4410">
        <v>47.688300070010101</v>
      </c>
      <c r="P4410">
        <v>-1.8883731595768099E-2</v>
      </c>
      <c r="Q4410">
        <v>0</v>
      </c>
      <c r="R4410">
        <v>0.71561803965789705</v>
      </c>
      <c r="S4410" t="s">
        <v>9961</v>
      </c>
      <c r="T4410" t="s">
        <v>11100</v>
      </c>
      <c r="U4410" t="s">
        <v>11100</v>
      </c>
      <c r="V4410" t="s">
        <v>11100</v>
      </c>
      <c r="W4410" t="s">
        <v>15459</v>
      </c>
      <c r="X4410">
        <v>1</v>
      </c>
      <c r="Y4410" t="s">
        <v>20890</v>
      </c>
      <c r="Z4410" t="s">
        <v>26415</v>
      </c>
      <c r="AA4410">
        <v>0.65010836287095553</v>
      </c>
      <c r="AB4410" t="str">
        <f>HYPERLINK("Melting_Curves/meltCurve_Q96RD7_2_PANX1.pdf", "Melting_Curves/meltCurve_Q96RD7_2_PANX1.pdf")</f>
        <v>Melting_Curves/meltCurve_Q96RD7_2_PANX1.pdf</v>
      </c>
    </row>
    <row r="4411" spans="1:28" x14ac:dyDescent="0.25">
      <c r="A4411" t="s">
        <v>4415</v>
      </c>
      <c r="B4411">
        <v>0.99299721793515405</v>
      </c>
      <c r="C4411">
        <v>0.92656417253309198</v>
      </c>
      <c r="D4411">
        <v>0.89736628524192696</v>
      </c>
      <c r="E4411">
        <v>0.88432629686233399</v>
      </c>
      <c r="F4411">
        <v>0.71134315711454998</v>
      </c>
      <c r="G4411">
        <v>0.36950832638041198</v>
      </c>
      <c r="H4411">
        <v>0.23611551587619201</v>
      </c>
      <c r="I4411">
        <v>0.157671530917804</v>
      </c>
      <c r="J4411">
        <v>0.12730668072616</v>
      </c>
      <c r="K4411">
        <v>0.12345462048438199</v>
      </c>
      <c r="L4411">
        <v>903.687118842882</v>
      </c>
      <c r="M4411">
        <v>17.461431278128199</v>
      </c>
      <c r="N4411">
        <v>52.405627403591502</v>
      </c>
      <c r="O4411">
        <v>51.088849442167998</v>
      </c>
      <c r="P4411">
        <v>-7.7104924927118401E-2</v>
      </c>
      <c r="Q4411">
        <v>9.7672314918963096E-2</v>
      </c>
      <c r="R4411">
        <v>0.98878783381512503</v>
      </c>
      <c r="S4411" t="s">
        <v>9962</v>
      </c>
      <c r="T4411" t="s">
        <v>11100</v>
      </c>
      <c r="U4411" t="s">
        <v>11100</v>
      </c>
      <c r="V4411" t="s">
        <v>11100</v>
      </c>
      <c r="W4411" t="s">
        <v>15460</v>
      </c>
      <c r="X4411">
        <v>5</v>
      </c>
      <c r="Y4411" t="s">
        <v>20891</v>
      </c>
      <c r="Z4411" t="s">
        <v>26416</v>
      </c>
      <c r="AA4411">
        <v>0.55577445729516295</v>
      </c>
      <c r="AB4411" t="str">
        <f>HYPERLINK("Melting_Curves/meltCurve_Q96RE7_NACC1.pdf", "Melting_Curves/meltCurve_Q96RE7_NACC1.pdf")</f>
        <v>Melting_Curves/meltCurve_Q96RE7_NACC1.pdf</v>
      </c>
    </row>
    <row r="4412" spans="1:28" x14ac:dyDescent="0.25">
      <c r="A4412" t="s">
        <v>4416</v>
      </c>
      <c r="B4412">
        <v>0.99299721793515405</v>
      </c>
      <c r="C4412">
        <v>0.851190814138857</v>
      </c>
      <c r="D4412">
        <v>0.87324157063559804</v>
      </c>
      <c r="E4412">
        <v>0.64443916829227399</v>
      </c>
      <c r="F4412">
        <v>0.52348177455261802</v>
      </c>
      <c r="G4412">
        <v>0.27188443849007299</v>
      </c>
      <c r="H4412">
        <v>0.190055782424812</v>
      </c>
      <c r="I4412">
        <v>0.26323899207599499</v>
      </c>
      <c r="J4412">
        <v>0.131283614776942</v>
      </c>
      <c r="K4412">
        <v>0.125473095557249</v>
      </c>
      <c r="L4412">
        <v>543.46846588751896</v>
      </c>
      <c r="M4412">
        <v>11.1570602574419</v>
      </c>
      <c r="N4412">
        <v>49.617743089103698</v>
      </c>
      <c r="O4412">
        <v>47.224448489914302</v>
      </c>
      <c r="P4412">
        <v>-5.36325110998487E-2</v>
      </c>
      <c r="Q4412">
        <v>9.2249520248153694E-2</v>
      </c>
      <c r="R4412">
        <v>0.97672816579400901</v>
      </c>
      <c r="S4412" t="s">
        <v>9963</v>
      </c>
      <c r="T4412" t="s">
        <v>11100</v>
      </c>
      <c r="U4412" t="s">
        <v>11100</v>
      </c>
      <c r="V4412" t="s">
        <v>11100</v>
      </c>
      <c r="W4412" t="s">
        <v>15461</v>
      </c>
      <c r="X4412">
        <v>2</v>
      </c>
      <c r="Y4412" t="s">
        <v>20892</v>
      </c>
      <c r="Z4412" t="s">
        <v>26417</v>
      </c>
      <c r="AA4412">
        <v>0.47677794549047042</v>
      </c>
      <c r="AB4412" t="str">
        <f>HYPERLINK("Melting_Curves/meltCurve_Q96RF0_3_SNX18.pdf", "Melting_Curves/meltCurve_Q96RF0_3_SNX18.pdf")</f>
        <v>Melting_Curves/meltCurve_Q96RF0_3_SNX18.pdf</v>
      </c>
    </row>
    <row r="4413" spans="1:28" x14ac:dyDescent="0.25">
      <c r="A4413" t="s">
        <v>4417</v>
      </c>
      <c r="B4413">
        <v>0.99299721793515405</v>
      </c>
      <c r="C4413">
        <v>0.77523909484517795</v>
      </c>
      <c r="D4413">
        <v>0.69862875720979101</v>
      </c>
      <c r="E4413">
        <v>0.65671483742451997</v>
      </c>
      <c r="F4413">
        <v>0.617929019214571</v>
      </c>
      <c r="G4413">
        <v>0.37023354388652902</v>
      </c>
      <c r="H4413">
        <v>0.26743468170805101</v>
      </c>
      <c r="I4413">
        <v>0.18291347774592101</v>
      </c>
      <c r="J4413">
        <v>0.12579388341056399</v>
      </c>
      <c r="K4413">
        <v>3.9503847619719402E-2</v>
      </c>
      <c r="L4413">
        <v>385.16669762385499</v>
      </c>
      <c r="M4413">
        <v>7.7064907607930699</v>
      </c>
      <c r="N4413">
        <v>49.979517366268702</v>
      </c>
      <c r="O4413">
        <v>46.948235968123399</v>
      </c>
      <c r="P4413">
        <v>-4.1090516240901397E-2</v>
      </c>
      <c r="Q4413">
        <v>0</v>
      </c>
      <c r="R4413">
        <v>0.95190818510194497</v>
      </c>
      <c r="S4413" t="s">
        <v>9964</v>
      </c>
      <c r="T4413" t="s">
        <v>11100</v>
      </c>
      <c r="U4413" t="s">
        <v>11100</v>
      </c>
      <c r="V4413" t="s">
        <v>11100</v>
      </c>
      <c r="W4413" t="s">
        <v>15462</v>
      </c>
      <c r="X4413">
        <v>7</v>
      </c>
      <c r="Y4413" t="s">
        <v>20893</v>
      </c>
      <c r="Z4413" t="s">
        <v>26418</v>
      </c>
      <c r="AA4413">
        <v>0.47457660057215229</v>
      </c>
      <c r="AB4413" t="str">
        <f>HYPERLINK("Melting_Curves/meltCurve_Q96RG2_PASK.pdf", "Melting_Curves/meltCurve_Q96RG2_PASK.pdf")</f>
        <v>Melting_Curves/meltCurve_Q96RG2_PASK.pdf</v>
      </c>
    </row>
    <row r="4414" spans="1:28" x14ac:dyDescent="0.25">
      <c r="A4414" t="s">
        <v>4418</v>
      </c>
      <c r="B4414">
        <v>0.99299721793515405</v>
      </c>
      <c r="C4414">
        <v>1.0328226214437299</v>
      </c>
      <c r="D4414">
        <v>1.0189831728611001</v>
      </c>
      <c r="E4414">
        <v>0.85679281705282195</v>
      </c>
      <c r="F4414">
        <v>0.57329513619800199</v>
      </c>
      <c r="G4414">
        <v>0.26571165586073803</v>
      </c>
      <c r="H4414">
        <v>0.121873392097937</v>
      </c>
      <c r="I4414">
        <v>0.107428849524033</v>
      </c>
      <c r="J4414">
        <v>9.95658240799661E-2</v>
      </c>
      <c r="K4414">
        <v>7.6159740934390999E-2</v>
      </c>
      <c r="L4414">
        <v>1137.93065937034</v>
      </c>
      <c r="M4414">
        <v>22.554203376151399</v>
      </c>
      <c r="N4414">
        <v>50.851917166352301</v>
      </c>
      <c r="O4414">
        <v>50.061546065831301</v>
      </c>
      <c r="P4414">
        <v>-0.103505309112105</v>
      </c>
      <c r="Q4414">
        <v>8.1052716430140795E-2</v>
      </c>
      <c r="R4414">
        <v>0.99777243517767</v>
      </c>
      <c r="S4414" t="s">
        <v>9965</v>
      </c>
      <c r="T4414" t="s">
        <v>11100</v>
      </c>
      <c r="U4414" t="s">
        <v>11100</v>
      </c>
      <c r="V4414" t="s">
        <v>11100</v>
      </c>
      <c r="W4414" t="s">
        <v>15463</v>
      </c>
      <c r="X4414">
        <v>17</v>
      </c>
      <c r="Y4414" t="s">
        <v>20894</v>
      </c>
      <c r="Z4414" t="s">
        <v>26419</v>
      </c>
      <c r="AA4414">
        <v>0.50291233778651179</v>
      </c>
      <c r="AB4414" t="str">
        <f>HYPERLINK("Melting_Curves/meltCurve_Q96RP9_GFM1.pdf", "Melting_Curves/meltCurve_Q96RP9_GFM1.pdf")</f>
        <v>Melting_Curves/meltCurve_Q96RP9_GFM1.pdf</v>
      </c>
    </row>
    <row r="4415" spans="1:28" x14ac:dyDescent="0.25">
      <c r="A4415" t="s">
        <v>4419</v>
      </c>
      <c r="B4415">
        <v>0.99299721793515405</v>
      </c>
      <c r="C4415">
        <v>0.79875742993032905</v>
      </c>
      <c r="D4415">
        <v>0.84087229689975096</v>
      </c>
      <c r="E4415">
        <v>0.74680385034807695</v>
      </c>
      <c r="F4415">
        <v>0.54772295267342996</v>
      </c>
      <c r="G4415">
        <v>0.54117178020893097</v>
      </c>
      <c r="H4415">
        <v>0.48413113693728299</v>
      </c>
      <c r="I4415">
        <v>0.64602647803058799</v>
      </c>
      <c r="J4415">
        <v>1.29864400914367</v>
      </c>
      <c r="K4415">
        <v>0.66223861685910301</v>
      </c>
      <c r="L4415">
        <v>853.09431986925995</v>
      </c>
      <c r="M4415">
        <v>21.3192948288591</v>
      </c>
      <c r="O4415">
        <v>39.668053352929498</v>
      </c>
      <c r="P4415">
        <v>-3.9341967850484397E-2</v>
      </c>
      <c r="Q4415">
        <v>0.70719863386481097</v>
      </c>
      <c r="R4415">
        <v>0.13258319745245201</v>
      </c>
      <c r="S4415" t="s">
        <v>9966</v>
      </c>
      <c r="T4415" t="s">
        <v>11100</v>
      </c>
      <c r="U4415" t="s">
        <v>11100</v>
      </c>
      <c r="V4415" t="s">
        <v>11100</v>
      </c>
      <c r="W4415" t="s">
        <v>15464</v>
      </c>
      <c r="X4415">
        <v>1</v>
      </c>
      <c r="Y4415" t="s">
        <v>20895</v>
      </c>
      <c r="Z4415" t="s">
        <v>26420</v>
      </c>
      <c r="AA4415">
        <v>0.74187026303580283</v>
      </c>
      <c r="AB4415" t="str">
        <f>HYPERLINK("Melting_Curves/meltCurve_Q96RR1_PEO1.pdf", "Melting_Curves/meltCurve_Q96RR1_PEO1.pdf")</f>
        <v>Melting_Curves/meltCurve_Q96RR1_PEO1.pdf</v>
      </c>
    </row>
    <row r="4416" spans="1:28" x14ac:dyDescent="0.25">
      <c r="A4416" t="s">
        <v>4420</v>
      </c>
      <c r="B4416">
        <v>0.99299721793515405</v>
      </c>
      <c r="C4416">
        <v>0.98132970013384002</v>
      </c>
      <c r="D4416">
        <v>0.82745764066633498</v>
      </c>
      <c r="E4416">
        <v>0.80512296924031301</v>
      </c>
      <c r="F4416">
        <v>0.68343844745398996</v>
      </c>
      <c r="G4416">
        <v>0.336700278202481</v>
      </c>
      <c r="H4416">
        <v>0.21155916813360001</v>
      </c>
      <c r="I4416">
        <v>0.16279794849031301</v>
      </c>
      <c r="J4416">
        <v>0.103458355287223</v>
      </c>
      <c r="K4416">
        <v>0.103230913496053</v>
      </c>
      <c r="L4416">
        <v>650.20215322477304</v>
      </c>
      <c r="M4416">
        <v>12.6176465732204</v>
      </c>
      <c r="N4416">
        <v>51.8032909627183</v>
      </c>
      <c r="O4416">
        <v>50.288195125131303</v>
      </c>
      <c r="P4416">
        <v>-6.0727402038678401E-2</v>
      </c>
      <c r="Q4416">
        <v>3.2065017038251001E-2</v>
      </c>
      <c r="R4416">
        <v>0.982403802095974</v>
      </c>
      <c r="S4416" t="s">
        <v>9967</v>
      </c>
      <c r="T4416" t="s">
        <v>11100</v>
      </c>
      <c r="U4416" t="s">
        <v>11100</v>
      </c>
      <c r="V4416" t="s">
        <v>11100</v>
      </c>
      <c r="W4416" t="s">
        <v>15465</v>
      </c>
      <c r="X4416">
        <v>6</v>
      </c>
      <c r="Y4416" t="s">
        <v>20896</v>
      </c>
      <c r="Z4416" t="s">
        <v>26421</v>
      </c>
      <c r="AA4416">
        <v>0.52388413055525862</v>
      </c>
      <c r="AB4416" t="str">
        <f>HYPERLINK("Melting_Curves/meltCurve_Q96RR4_2_CAMKK2.pdf", "Melting_Curves/meltCurve_Q96RR4_2_CAMKK2.pdf")</f>
        <v>Melting_Curves/meltCurve_Q96RR4_2_CAMKK2.pdf</v>
      </c>
    </row>
    <row r="4417" spans="1:28" x14ac:dyDescent="0.25">
      <c r="A4417" t="s">
        <v>4421</v>
      </c>
      <c r="B4417">
        <v>0.99299721793515405</v>
      </c>
      <c r="C4417">
        <v>0.96236335403267204</v>
      </c>
      <c r="D4417">
        <v>0.90728637188330796</v>
      </c>
      <c r="E4417">
        <v>0.78475729621692203</v>
      </c>
      <c r="F4417">
        <v>0.74503904814456701</v>
      </c>
      <c r="G4417">
        <v>0.66260507791727197</v>
      </c>
      <c r="H4417">
        <v>0.44493774084609899</v>
      </c>
      <c r="I4417">
        <v>0.30837729517875301</v>
      </c>
      <c r="J4417">
        <v>0.234629629413077</v>
      </c>
      <c r="K4417">
        <v>0.23665376550947601</v>
      </c>
      <c r="L4417">
        <v>460.433052525189</v>
      </c>
      <c r="M4417">
        <v>8.1966469730457199</v>
      </c>
      <c r="N4417">
        <v>56.173341761326903</v>
      </c>
      <c r="O4417">
        <v>53.126986069467499</v>
      </c>
      <c r="P4417">
        <v>-3.8610850752813598E-2</v>
      </c>
      <c r="Q4417">
        <v>0</v>
      </c>
      <c r="R4417">
        <v>0.98438813865708097</v>
      </c>
      <c r="S4417" t="s">
        <v>9968</v>
      </c>
      <c r="T4417" t="s">
        <v>11100</v>
      </c>
      <c r="U4417" t="s">
        <v>11100</v>
      </c>
      <c r="V4417" t="s">
        <v>11100</v>
      </c>
      <c r="W4417" t="s">
        <v>15466</v>
      </c>
      <c r="X4417">
        <v>7</v>
      </c>
      <c r="Y4417" t="s">
        <v>20897</v>
      </c>
      <c r="Z4417" t="s">
        <v>26422</v>
      </c>
      <c r="AA4417">
        <v>0.63691011072318171</v>
      </c>
      <c r="AB4417" t="str">
        <f>HYPERLINK("Melting_Curves/meltCurve_Q96RS6_NUDCD1.pdf", "Melting_Curves/meltCurve_Q96RS6_NUDCD1.pdf")</f>
        <v>Melting_Curves/meltCurve_Q96RS6_NUDCD1.pdf</v>
      </c>
    </row>
    <row r="4418" spans="1:28" x14ac:dyDescent="0.25">
      <c r="A4418" t="s">
        <v>4422</v>
      </c>
      <c r="B4418">
        <v>0.99299721793515405</v>
      </c>
      <c r="C4418">
        <v>0.96868788128539196</v>
      </c>
      <c r="D4418">
        <v>0.83891992049749697</v>
      </c>
      <c r="E4418">
        <v>0.82161906321376299</v>
      </c>
      <c r="F4418">
        <v>0.65154412522661698</v>
      </c>
      <c r="G4418">
        <v>0.326687395717004</v>
      </c>
      <c r="H4418">
        <v>0.263052652678541</v>
      </c>
      <c r="I4418">
        <v>0.235361024288675</v>
      </c>
      <c r="J4418">
        <v>0.21076546300155999</v>
      </c>
      <c r="K4418">
        <v>0.16862228873902799</v>
      </c>
      <c r="L4418">
        <v>704.59335380277298</v>
      </c>
      <c r="M4418">
        <v>13.980668373429999</v>
      </c>
      <c r="N4418">
        <v>51.696784334536197</v>
      </c>
      <c r="O4418">
        <v>49.400182264373697</v>
      </c>
      <c r="P4418">
        <v>-6.02802485508106E-2</v>
      </c>
      <c r="Q4418">
        <v>0.148121340282036</v>
      </c>
      <c r="R4418">
        <v>0.981093684016342</v>
      </c>
      <c r="S4418" t="s">
        <v>9969</v>
      </c>
      <c r="T4418" t="s">
        <v>11100</v>
      </c>
      <c r="U4418" t="s">
        <v>11100</v>
      </c>
      <c r="V4418" t="s">
        <v>11100</v>
      </c>
      <c r="W4418" t="s">
        <v>15467</v>
      </c>
      <c r="X4418">
        <v>4</v>
      </c>
      <c r="Y4418" t="s">
        <v>20898</v>
      </c>
      <c r="Z4418" t="s">
        <v>26423</v>
      </c>
      <c r="AA4418">
        <v>0.54787540848164396</v>
      </c>
      <c r="AB4418" t="str">
        <f>HYPERLINK("Melting_Curves/meltCurve_Q96RT1_7_ERBB2IP.pdf", "Melting_Curves/meltCurve_Q96RT1_7_ERBB2IP.pdf")</f>
        <v>Melting_Curves/meltCurve_Q96RT1_7_ERBB2IP.pdf</v>
      </c>
    </row>
    <row r="4419" spans="1:28" x14ac:dyDescent="0.25">
      <c r="A4419" t="s">
        <v>4423</v>
      </c>
      <c r="B4419">
        <v>0.99299721793515405</v>
      </c>
      <c r="C4419">
        <v>0.85087700947342104</v>
      </c>
      <c r="D4419">
        <v>0.86884432794766198</v>
      </c>
      <c r="E4419">
        <v>0.76415832138254403</v>
      </c>
      <c r="F4419">
        <v>0.58871790118992895</v>
      </c>
      <c r="G4419">
        <v>0.34365541011932699</v>
      </c>
      <c r="H4419">
        <v>0.28415867121471899</v>
      </c>
      <c r="I4419">
        <v>0.30840098908770702</v>
      </c>
      <c r="J4419">
        <v>0.27960282911435802</v>
      </c>
      <c r="K4419">
        <v>0.23521120692097999</v>
      </c>
      <c r="L4419">
        <v>582.91147181727899</v>
      </c>
      <c r="M4419">
        <v>11.9001339330199</v>
      </c>
      <c r="N4419">
        <v>51.289641315185101</v>
      </c>
      <c r="O4419">
        <v>47.661812571555899</v>
      </c>
      <c r="P4419">
        <v>-4.9500006765143899E-2</v>
      </c>
      <c r="Q4419">
        <v>0.20717775048873799</v>
      </c>
      <c r="R4419">
        <v>0.97233476381952999</v>
      </c>
      <c r="S4419" t="s">
        <v>9970</v>
      </c>
      <c r="T4419" t="s">
        <v>11100</v>
      </c>
      <c r="U4419" t="s">
        <v>11100</v>
      </c>
      <c r="V4419" t="s">
        <v>11100</v>
      </c>
      <c r="W4419" t="s">
        <v>15468</v>
      </c>
      <c r="X4419">
        <v>4</v>
      </c>
      <c r="Y4419" t="s">
        <v>20899</v>
      </c>
      <c r="Z4419" t="s">
        <v>26424</v>
      </c>
      <c r="AA4419">
        <v>0.54771901935451839</v>
      </c>
      <c r="AB4419" t="str">
        <f>HYPERLINK("Melting_Curves/meltCurve_Q96RU2_2_USP28.pdf", "Melting_Curves/meltCurve_Q96RU2_2_USP28.pdf")</f>
        <v>Melting_Curves/meltCurve_Q96RU2_2_USP28.pdf</v>
      </c>
    </row>
    <row r="4420" spans="1:28" x14ac:dyDescent="0.25">
      <c r="A4420" t="s">
        <v>4424</v>
      </c>
      <c r="B4420">
        <v>0.99299721793515405</v>
      </c>
      <c r="C4420">
        <v>0.99280213444518595</v>
      </c>
      <c r="D4420">
        <v>1.01121676082302</v>
      </c>
      <c r="E4420">
        <v>0.92903090559207002</v>
      </c>
      <c r="F4420">
        <v>0.60231348370726001</v>
      </c>
      <c r="G4420">
        <v>0.25626291631041298</v>
      </c>
      <c r="H4420">
        <v>0.15454849830654199</v>
      </c>
      <c r="I4420">
        <v>0.14568120775353299</v>
      </c>
      <c r="J4420">
        <v>0.13469225515717101</v>
      </c>
      <c r="K4420">
        <v>0.13904646949319299</v>
      </c>
      <c r="L4420">
        <v>1496.0693431191501</v>
      </c>
      <c r="M4420">
        <v>29.644611594083099</v>
      </c>
      <c r="N4420">
        <v>51.013781945004403</v>
      </c>
      <c r="O4420">
        <v>50.238842630947197</v>
      </c>
      <c r="P4420">
        <v>-0.12743592869018799</v>
      </c>
      <c r="Q4420">
        <v>0.136141175700001</v>
      </c>
      <c r="R4420">
        <v>0.99971380506733398</v>
      </c>
      <c r="S4420" t="s">
        <v>9971</v>
      </c>
      <c r="T4420" t="s">
        <v>11100</v>
      </c>
      <c r="U4420" t="s">
        <v>11100</v>
      </c>
      <c r="V4420" t="s">
        <v>11100</v>
      </c>
      <c r="W4420" t="s">
        <v>15469</v>
      </c>
      <c r="X4420">
        <v>8</v>
      </c>
      <c r="Y4420" t="s">
        <v>20900</v>
      </c>
      <c r="Z4420" t="s">
        <v>26425</v>
      </c>
      <c r="AA4420">
        <v>0.52938832091168631</v>
      </c>
      <c r="AB4420" t="str">
        <f>HYPERLINK("Melting_Curves/meltCurve_Q96RU3_4_FNBP1.pdf", "Melting_Curves/meltCurve_Q96RU3_4_FNBP1.pdf")</f>
        <v>Melting_Curves/meltCurve_Q96RU3_4_FNBP1.pdf</v>
      </c>
    </row>
    <row r="4421" spans="1:28" x14ac:dyDescent="0.25">
      <c r="A4421" t="s">
        <v>4425</v>
      </c>
      <c r="B4421">
        <v>0.99299721793515405</v>
      </c>
      <c r="C4421">
        <v>0.91234467726901403</v>
      </c>
      <c r="D4421">
        <v>0.96979868741421305</v>
      </c>
      <c r="E4421">
        <v>0.83315311441891204</v>
      </c>
      <c r="F4421">
        <v>0.75288203907676399</v>
      </c>
      <c r="G4421">
        <v>0.34015596286262001</v>
      </c>
      <c r="H4421">
        <v>0.209562572918634</v>
      </c>
      <c r="I4421">
        <v>0.17038319407194299</v>
      </c>
      <c r="J4421">
        <v>0.15727232820296899</v>
      </c>
      <c r="K4421">
        <v>0.118958051256686</v>
      </c>
      <c r="L4421">
        <v>1035.41232219783</v>
      </c>
      <c r="M4421">
        <v>20.079656209079701</v>
      </c>
      <c r="N4421">
        <v>52.278774911867202</v>
      </c>
      <c r="O4421">
        <v>51.061972690456699</v>
      </c>
      <c r="P4421">
        <v>-8.6529863511602995E-2</v>
      </c>
      <c r="Q4421">
        <v>0.119856649717084</v>
      </c>
      <c r="R4421">
        <v>0.98292423432884402</v>
      </c>
      <c r="S4421" t="s">
        <v>9972</v>
      </c>
      <c r="T4421" t="s">
        <v>11100</v>
      </c>
      <c r="U4421" t="s">
        <v>11100</v>
      </c>
      <c r="V4421" t="s">
        <v>11100</v>
      </c>
      <c r="W4421" t="s">
        <v>15470</v>
      </c>
      <c r="X4421">
        <v>6</v>
      </c>
      <c r="Y4421" t="s">
        <v>20901</v>
      </c>
      <c r="Z4421" t="s">
        <v>26426</v>
      </c>
      <c r="AA4421">
        <v>0.55854778959320961</v>
      </c>
      <c r="AB4421" t="str">
        <f>HYPERLINK("Melting_Curves/meltCurve_Q96S19_C16orf13.pdf", "Melting_Curves/meltCurve_Q96S19_C16orf13.pdf")</f>
        <v>Melting_Curves/meltCurve_Q96S19_C16orf13.pdf</v>
      </c>
    </row>
    <row r="4422" spans="1:28" x14ac:dyDescent="0.25">
      <c r="A4422" t="s">
        <v>4426</v>
      </c>
      <c r="B4422">
        <v>0.99299721793515405</v>
      </c>
      <c r="C4422">
        <v>1.12347727042634</v>
      </c>
      <c r="D4422">
        <v>0.87161177562186798</v>
      </c>
      <c r="E4422">
        <v>0.95089167618280801</v>
      </c>
      <c r="F4422">
        <v>0.82349384277669702</v>
      </c>
      <c r="G4422">
        <v>0.363759630399214</v>
      </c>
      <c r="H4422">
        <v>0.30228697527356002</v>
      </c>
      <c r="I4422">
        <v>0.17959963856811001</v>
      </c>
      <c r="J4422">
        <v>8.3416434176016199E-2</v>
      </c>
      <c r="K4422">
        <v>0</v>
      </c>
      <c r="L4422">
        <v>939.80187508064898</v>
      </c>
      <c r="M4422">
        <v>17.651285376755901</v>
      </c>
      <c r="N4422">
        <v>53.451375399661899</v>
      </c>
      <c r="O4422">
        <v>52.573416928377704</v>
      </c>
      <c r="P4422">
        <v>-8.1145854435056494E-2</v>
      </c>
      <c r="Q4422">
        <v>3.3297030541679699E-2</v>
      </c>
      <c r="R4422">
        <v>0.965275692370688</v>
      </c>
      <c r="S4422" t="s">
        <v>9973</v>
      </c>
      <c r="T4422" t="s">
        <v>11100</v>
      </c>
      <c r="U4422" t="s">
        <v>11100</v>
      </c>
      <c r="V4422" t="s">
        <v>11100</v>
      </c>
      <c r="W4422" t="s">
        <v>15471</v>
      </c>
      <c r="X4422">
        <v>1</v>
      </c>
      <c r="Y4422" t="s">
        <v>20902</v>
      </c>
      <c r="Z4422" t="s">
        <v>26427</v>
      </c>
      <c r="AA4422">
        <v>0.57091550702975014</v>
      </c>
      <c r="AB4422" t="str">
        <f>HYPERLINK("Melting_Curves/meltCurve_Q96S38_2_RPS6KC1.pdf", "Melting_Curves/meltCurve_Q96S38_2_RPS6KC1.pdf")</f>
        <v>Melting_Curves/meltCurve_Q96S38_2_RPS6KC1.pdf</v>
      </c>
    </row>
    <row r="4423" spans="1:28" x14ac:dyDescent="0.25">
      <c r="A4423" t="s">
        <v>4427</v>
      </c>
      <c r="B4423">
        <v>0.99299721793515405</v>
      </c>
      <c r="C4423">
        <v>0.91369931882162503</v>
      </c>
      <c r="D4423">
        <v>0.88734681917185199</v>
      </c>
      <c r="E4423">
        <v>0.87966058771519695</v>
      </c>
      <c r="F4423">
        <v>0.80880713882037703</v>
      </c>
      <c r="G4423">
        <v>0.84106352646832405</v>
      </c>
      <c r="H4423">
        <v>0.466220210774341</v>
      </c>
      <c r="I4423">
        <v>0.32242233454535801</v>
      </c>
      <c r="J4423">
        <v>0.17906263192001201</v>
      </c>
      <c r="K4423">
        <v>9.6186224284879204E-2</v>
      </c>
      <c r="L4423">
        <v>790.26949735824098</v>
      </c>
      <c r="M4423">
        <v>13.748181702291999</v>
      </c>
      <c r="N4423">
        <v>57.4817468134964</v>
      </c>
      <c r="O4423">
        <v>56.3065167829795</v>
      </c>
      <c r="P4423">
        <v>-6.1050369028795501E-2</v>
      </c>
      <c r="Q4423">
        <v>0</v>
      </c>
      <c r="R4423">
        <v>0.95427416486989503</v>
      </c>
      <c r="S4423" t="s">
        <v>9974</v>
      </c>
      <c r="T4423" t="s">
        <v>11100</v>
      </c>
      <c r="U4423" t="s">
        <v>11100</v>
      </c>
      <c r="V4423" t="s">
        <v>11100</v>
      </c>
      <c r="W4423" t="s">
        <v>15472</v>
      </c>
      <c r="X4423">
        <v>8</v>
      </c>
      <c r="Y4423" t="s">
        <v>20903</v>
      </c>
      <c r="Z4423" t="s">
        <v>26428</v>
      </c>
      <c r="AA4423">
        <v>0.68772358122831345</v>
      </c>
      <c r="AB4423" t="str">
        <f>HYPERLINK("Melting_Curves/meltCurve_Q96S44_TP53RK.pdf", "Melting_Curves/meltCurve_Q96S44_TP53RK.pdf")</f>
        <v>Melting_Curves/meltCurve_Q96S44_TP53RK.pdf</v>
      </c>
    </row>
    <row r="4424" spans="1:28" x14ac:dyDescent="0.25">
      <c r="A4424" t="s">
        <v>4428</v>
      </c>
      <c r="B4424">
        <v>0.99299721793515405</v>
      </c>
      <c r="C4424">
        <v>0.75752163232889602</v>
      </c>
      <c r="D4424">
        <v>0.78975404741213195</v>
      </c>
      <c r="E4424">
        <v>0.70091076564731702</v>
      </c>
      <c r="F4424">
        <v>0.58902712242209199</v>
      </c>
      <c r="G4424">
        <v>0.46290598566475899</v>
      </c>
      <c r="H4424">
        <v>0.36644911547449799</v>
      </c>
      <c r="I4424">
        <v>0.28480245221274297</v>
      </c>
      <c r="J4424">
        <v>0.29079527329396498</v>
      </c>
      <c r="K4424">
        <v>0.23703282075908799</v>
      </c>
      <c r="L4424">
        <v>303.70485760987299</v>
      </c>
      <c r="M4424">
        <v>5.8136344808670097</v>
      </c>
      <c r="N4424">
        <v>52.564532588274297</v>
      </c>
      <c r="O4424">
        <v>47.053736228279398</v>
      </c>
      <c r="P4424">
        <v>-3.0453864045806699E-2</v>
      </c>
      <c r="Q4424">
        <v>1.7622946530547402E-2</v>
      </c>
      <c r="R4424">
        <v>0.96775132705290701</v>
      </c>
      <c r="S4424" t="s">
        <v>9975</v>
      </c>
      <c r="T4424" t="s">
        <v>11100</v>
      </c>
      <c r="U4424" t="s">
        <v>11100</v>
      </c>
      <c r="V4424" t="s">
        <v>11100</v>
      </c>
      <c r="W4424" t="s">
        <v>15473</v>
      </c>
      <c r="X4424">
        <v>1</v>
      </c>
      <c r="Y4424" t="s">
        <v>20904</v>
      </c>
      <c r="Z4424" t="s">
        <v>26429</v>
      </c>
      <c r="AA4424">
        <v>0.54152103642030269</v>
      </c>
      <c r="AB4424" t="str">
        <f>HYPERLINK("Melting_Curves/meltCurve_Q96S52_PIGS.pdf", "Melting_Curves/meltCurve_Q96S52_PIGS.pdf")</f>
        <v>Melting_Curves/meltCurve_Q96S52_PIGS.pdf</v>
      </c>
    </row>
    <row r="4425" spans="1:28" x14ac:dyDescent="0.25">
      <c r="A4425" t="s">
        <v>4429</v>
      </c>
      <c r="B4425">
        <v>0.99299721793515405</v>
      </c>
      <c r="C4425">
        <v>1.0342810486718601</v>
      </c>
      <c r="D4425">
        <v>0.93947084876592502</v>
      </c>
      <c r="E4425">
        <v>0.97378776306136305</v>
      </c>
      <c r="F4425">
        <v>0.58121054427376695</v>
      </c>
      <c r="G4425">
        <v>0.19449821255786001</v>
      </c>
      <c r="H4425">
        <v>0.195127404269239</v>
      </c>
      <c r="I4425">
        <v>0.18132437069680399</v>
      </c>
      <c r="J4425">
        <v>0.16953481617829599</v>
      </c>
      <c r="K4425">
        <v>0.181745310054163</v>
      </c>
      <c r="L4425">
        <v>2555.08603090408</v>
      </c>
      <c r="M4425">
        <v>50.948666681052501</v>
      </c>
      <c r="N4425">
        <v>50.591352914002798</v>
      </c>
      <c r="O4425">
        <v>50.073122927966502</v>
      </c>
      <c r="P4425">
        <v>-0.20874955221515201</v>
      </c>
      <c r="Q4425">
        <v>0.17935174938817999</v>
      </c>
      <c r="R4425">
        <v>0.99624282190597802</v>
      </c>
      <c r="S4425" t="s">
        <v>9976</v>
      </c>
      <c r="T4425" t="s">
        <v>11100</v>
      </c>
      <c r="U4425" t="s">
        <v>11100</v>
      </c>
      <c r="V4425" t="s">
        <v>11100</v>
      </c>
      <c r="W4425" t="s">
        <v>15474</v>
      </c>
      <c r="X4425">
        <v>4</v>
      </c>
      <c r="Y4425" t="s">
        <v>20905</v>
      </c>
      <c r="Z4425" t="s">
        <v>26430</v>
      </c>
      <c r="AA4425">
        <v>0.5408227322479231</v>
      </c>
      <c r="AB4425" t="str">
        <f>HYPERLINK("Melting_Curves/meltCurve_Q96S55_2_WRNIP1.pdf", "Melting_Curves/meltCurve_Q96S55_2_WRNIP1.pdf")</f>
        <v>Melting_Curves/meltCurve_Q96S55_2_WRNIP1.pdf</v>
      </c>
    </row>
    <row r="4426" spans="1:28" x14ac:dyDescent="0.25">
      <c r="A4426" t="s">
        <v>4430</v>
      </c>
      <c r="B4426">
        <v>0.99299721793515405</v>
      </c>
      <c r="C4426">
        <v>0.72161422602516501</v>
      </c>
      <c r="D4426">
        <v>0.83770611152631402</v>
      </c>
      <c r="E4426">
        <v>0.880558905106814</v>
      </c>
      <c r="F4426">
        <v>0.68031912867395306</v>
      </c>
      <c r="G4426">
        <v>0.75195411720358796</v>
      </c>
      <c r="H4426">
        <v>0.67093165053463999</v>
      </c>
      <c r="I4426">
        <v>0.45743332645199603</v>
      </c>
      <c r="J4426">
        <v>0.23415497535516899</v>
      </c>
      <c r="K4426">
        <v>0.24776450849207801</v>
      </c>
      <c r="L4426">
        <v>369.73478521052601</v>
      </c>
      <c r="M4426">
        <v>6.3124623137356002</v>
      </c>
      <c r="N4426">
        <v>58.572178787637903</v>
      </c>
      <c r="O4426">
        <v>53.518824016213699</v>
      </c>
      <c r="P4426">
        <v>-2.9566713358164399E-2</v>
      </c>
      <c r="Q4426">
        <v>0</v>
      </c>
      <c r="R4426">
        <v>0.80141087342611095</v>
      </c>
      <c r="S4426" t="s">
        <v>9977</v>
      </c>
      <c r="T4426" t="s">
        <v>11100</v>
      </c>
      <c r="U4426" t="s">
        <v>11100</v>
      </c>
      <c r="V4426" t="s">
        <v>11100</v>
      </c>
      <c r="W4426" t="s">
        <v>15475</v>
      </c>
      <c r="X4426">
        <v>1</v>
      </c>
      <c r="Y4426" t="s">
        <v>20906</v>
      </c>
      <c r="Z4426" t="s">
        <v>26431</v>
      </c>
      <c r="AA4426">
        <v>0.6739338081774201</v>
      </c>
      <c r="AB4426" t="str">
        <f>HYPERLINK("Melting_Curves/meltCurve_Q96S59_RANBP9.pdf", "Melting_Curves/meltCurve_Q96S59_RANBP9.pdf")</f>
        <v>Melting_Curves/meltCurve_Q96S59_RANBP9.pdf</v>
      </c>
    </row>
    <row r="4427" spans="1:28" x14ac:dyDescent="0.25">
      <c r="A4427" t="s">
        <v>4431</v>
      </c>
      <c r="B4427">
        <v>0.99299721793515405</v>
      </c>
      <c r="C4427">
        <v>0.91891815604433802</v>
      </c>
      <c r="D4427">
        <v>0.98352365328240599</v>
      </c>
      <c r="E4427">
        <v>0.79091623085687501</v>
      </c>
      <c r="F4427">
        <v>0.75295768445031297</v>
      </c>
      <c r="G4427">
        <v>0.58594305289484006</v>
      </c>
      <c r="H4427">
        <v>0.65364030274033702</v>
      </c>
      <c r="I4427">
        <v>0.76834787324965603</v>
      </c>
      <c r="J4427">
        <v>0.80458550467662004</v>
      </c>
      <c r="K4427">
        <v>0.64723791323236202</v>
      </c>
      <c r="L4427">
        <v>1555.6490395071901</v>
      </c>
      <c r="M4427">
        <v>34.062280503617501</v>
      </c>
      <c r="O4427">
        <v>45.5141710706854</v>
      </c>
      <c r="P4427">
        <v>-5.6401190922740298E-2</v>
      </c>
      <c r="Q4427">
        <v>0.69854709550026495</v>
      </c>
      <c r="R4427">
        <v>0.76310904906469201</v>
      </c>
      <c r="S4427" t="s">
        <v>9978</v>
      </c>
      <c r="T4427" t="s">
        <v>11100</v>
      </c>
      <c r="U4427" t="s">
        <v>11100</v>
      </c>
      <c r="V4427" t="s">
        <v>11100</v>
      </c>
      <c r="W4427" t="s">
        <v>15476</v>
      </c>
      <c r="X4427">
        <v>16</v>
      </c>
      <c r="Y4427" t="s">
        <v>20907</v>
      </c>
      <c r="Z4427" t="s">
        <v>26432</v>
      </c>
      <c r="AA4427">
        <v>0.78699373552556484</v>
      </c>
      <c r="AB4427" t="str">
        <f>HYPERLINK("Melting_Curves/meltCurve_Q96S66_CLCC1.pdf", "Melting_Curves/meltCurve_Q96S66_CLCC1.pdf")</f>
        <v>Melting_Curves/meltCurve_Q96S66_CLCC1.pdf</v>
      </c>
    </row>
    <row r="4428" spans="1:28" x14ac:dyDescent="0.25">
      <c r="A4428" t="s">
        <v>4432</v>
      </c>
      <c r="B4428">
        <v>0.99299721793515405</v>
      </c>
      <c r="C4428">
        <v>1.01083095829486</v>
      </c>
      <c r="D4428">
        <v>0.95693615372471696</v>
      </c>
      <c r="E4428">
        <v>1.03756631306299</v>
      </c>
      <c r="F4428">
        <v>0.86666532287370801</v>
      </c>
      <c r="G4428">
        <v>0.51590382531766299</v>
      </c>
      <c r="H4428">
        <v>0.31280733858561999</v>
      </c>
      <c r="I4428">
        <v>0.30402448795402798</v>
      </c>
      <c r="J4428">
        <v>0.33573781586221801</v>
      </c>
      <c r="K4428">
        <v>0.20550343956891801</v>
      </c>
      <c r="L4428">
        <v>1719.2535703419601</v>
      </c>
      <c r="M4428">
        <v>32.678594141970002</v>
      </c>
      <c r="N4428">
        <v>53.936983433621997</v>
      </c>
      <c r="O4428">
        <v>52.415174293050299</v>
      </c>
      <c r="P4428">
        <v>-0.11283209304542199</v>
      </c>
      <c r="Q4428">
        <v>0.276090698069139</v>
      </c>
      <c r="R4428">
        <v>0.98783068115362005</v>
      </c>
      <c r="S4428" t="s">
        <v>9979</v>
      </c>
      <c r="T4428" t="s">
        <v>11100</v>
      </c>
      <c r="U4428" t="s">
        <v>11100</v>
      </c>
      <c r="V4428" t="s">
        <v>11100</v>
      </c>
      <c r="W4428" t="s">
        <v>15477</v>
      </c>
      <c r="X4428">
        <v>4</v>
      </c>
      <c r="Y4428" t="s">
        <v>20908</v>
      </c>
      <c r="Z4428" t="s">
        <v>26433</v>
      </c>
      <c r="AA4428">
        <v>0.65669081941100715</v>
      </c>
      <c r="AB4428" t="str">
        <f>HYPERLINK("Melting_Curves/meltCurve_Q96S90_2_LYSMD1.pdf", "Melting_Curves/meltCurve_Q96S90_2_LYSMD1.pdf")</f>
        <v>Melting_Curves/meltCurve_Q96S90_2_LYSMD1.pdf</v>
      </c>
    </row>
    <row r="4429" spans="1:28" x14ac:dyDescent="0.25">
      <c r="A4429" t="s">
        <v>4433</v>
      </c>
      <c r="B4429">
        <v>0.99299721793515405</v>
      </c>
      <c r="C4429">
        <v>1.0501483724827301</v>
      </c>
      <c r="D4429">
        <v>1.02761606457318</v>
      </c>
      <c r="E4429">
        <v>0.91404412687918701</v>
      </c>
      <c r="F4429">
        <v>0.72205065320155304</v>
      </c>
      <c r="G4429">
        <v>0.27058576137046397</v>
      </c>
      <c r="H4429">
        <v>0.18184490105185899</v>
      </c>
      <c r="I4429">
        <v>0.15963635107677299</v>
      </c>
      <c r="J4429">
        <v>0.15133409172623799</v>
      </c>
      <c r="K4429">
        <v>0.14108823127075801</v>
      </c>
      <c r="L4429">
        <v>1675.9360425053501</v>
      </c>
      <c r="M4429">
        <v>32.760228240847198</v>
      </c>
      <c r="N4429">
        <v>51.712353171290601</v>
      </c>
      <c r="O4429">
        <v>50.968153784552698</v>
      </c>
      <c r="P4429">
        <v>-0.13688352109030599</v>
      </c>
      <c r="Q4429">
        <v>0.148153927314704</v>
      </c>
      <c r="R4429">
        <v>0.99530403266313106</v>
      </c>
      <c r="S4429" t="s">
        <v>9980</v>
      </c>
      <c r="T4429" t="s">
        <v>11100</v>
      </c>
      <c r="U4429" t="s">
        <v>11100</v>
      </c>
      <c r="V4429" t="s">
        <v>11100</v>
      </c>
      <c r="W4429" t="s">
        <v>15478</v>
      </c>
      <c r="X4429">
        <v>3</v>
      </c>
      <c r="Y4429" t="s">
        <v>20909</v>
      </c>
      <c r="Z4429" t="s">
        <v>26434</v>
      </c>
      <c r="AA4429">
        <v>0.55463443803915369</v>
      </c>
      <c r="AB4429" t="str">
        <f>HYPERLINK("Melting_Curves/meltCurve_Q96S99_PLEKHF1.pdf", "Melting_Curves/meltCurve_Q96S99_PLEKHF1.pdf")</f>
        <v>Melting_Curves/meltCurve_Q96S99_PLEKHF1.pdf</v>
      </c>
    </row>
    <row r="4430" spans="1:28" x14ac:dyDescent="0.25">
      <c r="A4430" t="s">
        <v>4434</v>
      </c>
      <c r="B4430">
        <v>0.99299721793515405</v>
      </c>
      <c r="C4430">
        <v>0.99110245125646101</v>
      </c>
      <c r="D4430">
        <v>0.93335194031087398</v>
      </c>
      <c r="E4430">
        <v>0.80527367081245105</v>
      </c>
      <c r="F4430">
        <v>0.74381195871449401</v>
      </c>
      <c r="G4430">
        <v>0.49558527216161402</v>
      </c>
      <c r="H4430">
        <v>0.49511532268840602</v>
      </c>
      <c r="I4430">
        <v>0.36297190198914803</v>
      </c>
      <c r="J4430">
        <v>0.30241433143172802</v>
      </c>
      <c r="K4430">
        <v>0.29530778033461602</v>
      </c>
      <c r="L4430">
        <v>546.89725700917802</v>
      </c>
      <c r="M4430">
        <v>10.4233199537037</v>
      </c>
      <c r="N4430">
        <v>55.503274120733202</v>
      </c>
      <c r="O4430">
        <v>50.6476317226726</v>
      </c>
      <c r="P4430">
        <v>-4.02914687792187E-2</v>
      </c>
      <c r="Q4430">
        <v>0.217208718224004</v>
      </c>
      <c r="R4430">
        <v>0.98604273504170703</v>
      </c>
      <c r="S4430" t="s">
        <v>9981</v>
      </c>
      <c r="T4430" t="s">
        <v>11100</v>
      </c>
      <c r="U4430" t="s">
        <v>11100</v>
      </c>
      <c r="V4430" t="s">
        <v>11100</v>
      </c>
      <c r="W4430" t="s">
        <v>15479</v>
      </c>
      <c r="X4430">
        <v>2</v>
      </c>
      <c r="Y4430" t="s">
        <v>20910</v>
      </c>
      <c r="Z4430" t="s">
        <v>26435</v>
      </c>
      <c r="AA4430">
        <v>0.6398870281374105</v>
      </c>
      <c r="AB4430" t="str">
        <f>HYPERLINK("Melting_Curves/meltCurve_Q96SB3_PPP1R9B.pdf", "Melting_Curves/meltCurve_Q96SB3_PPP1R9B.pdf")</f>
        <v>Melting_Curves/meltCurve_Q96SB3_PPP1R9B.pdf</v>
      </c>
    </row>
    <row r="4431" spans="1:28" x14ac:dyDescent="0.25">
      <c r="A4431" t="s">
        <v>4435</v>
      </c>
      <c r="B4431">
        <v>0.99299721793515405</v>
      </c>
      <c r="C4431">
        <v>0.92383426674658897</v>
      </c>
      <c r="D4431">
        <v>1.0373940132267001</v>
      </c>
      <c r="E4431">
        <v>0.98059888651323601</v>
      </c>
      <c r="F4431">
        <v>0.74000109931994396</v>
      </c>
      <c r="G4431">
        <v>0.705498124026401</v>
      </c>
      <c r="H4431">
        <v>0.53319612139622896</v>
      </c>
      <c r="I4431">
        <v>0.77162623763148697</v>
      </c>
      <c r="J4431">
        <v>0.66653737711391303</v>
      </c>
      <c r="K4431">
        <v>0.54961920143536702</v>
      </c>
      <c r="L4431">
        <v>2147.2462288912898</v>
      </c>
      <c r="M4431">
        <v>43.632182508591299</v>
      </c>
      <c r="O4431">
        <v>49.109402738864802</v>
      </c>
      <c r="P4431">
        <v>-7.9482581724910295E-2</v>
      </c>
      <c r="Q4431">
        <v>0.64215988114274003</v>
      </c>
      <c r="R4431">
        <v>0.84164746237125099</v>
      </c>
      <c r="S4431" t="s">
        <v>9982</v>
      </c>
      <c r="T4431" t="s">
        <v>11100</v>
      </c>
      <c r="U4431" t="s">
        <v>11100</v>
      </c>
      <c r="V4431" t="s">
        <v>11100</v>
      </c>
      <c r="W4431" t="s">
        <v>15480</v>
      </c>
      <c r="X4431">
        <v>4</v>
      </c>
      <c r="Y4431" t="s">
        <v>20911</v>
      </c>
      <c r="Z4431" t="s">
        <v>26436</v>
      </c>
      <c r="AA4431">
        <v>0.78885156978202742</v>
      </c>
      <c r="AB4431" t="str">
        <f>HYPERLINK("Melting_Curves/meltCurve_Q96SI1_KCTD15.pdf", "Melting_Curves/meltCurve_Q96SI1_KCTD15.pdf")</f>
        <v>Melting_Curves/meltCurve_Q96SI1_KCTD15.pdf</v>
      </c>
    </row>
    <row r="4432" spans="1:28" x14ac:dyDescent="0.25">
      <c r="A4432" t="s">
        <v>4436</v>
      </c>
      <c r="B4432">
        <v>0.99299721793515405</v>
      </c>
      <c r="C4432">
        <v>0.73175841243373996</v>
      </c>
      <c r="D4432">
        <v>0.71717455644325101</v>
      </c>
      <c r="E4432">
        <v>0.81469344192591497</v>
      </c>
      <c r="F4432">
        <v>0.631207932345758</v>
      </c>
      <c r="G4432">
        <v>0.59101242154563005</v>
      </c>
      <c r="H4432">
        <v>0.18343461508220699</v>
      </c>
      <c r="I4432">
        <v>0.12865737399952601</v>
      </c>
      <c r="J4432">
        <v>0.11915930645221801</v>
      </c>
      <c r="K4432">
        <v>7.7599611807881705E-2</v>
      </c>
      <c r="L4432">
        <v>456.35859659879702</v>
      </c>
      <c r="M4432">
        <v>8.8148273084735695</v>
      </c>
      <c r="N4432">
        <v>51.7717001218127</v>
      </c>
      <c r="O4432">
        <v>49.314749979995902</v>
      </c>
      <c r="P4432">
        <v>-4.4721672472235699E-2</v>
      </c>
      <c r="Q4432">
        <v>0</v>
      </c>
      <c r="R4432">
        <v>0.87926932544724901</v>
      </c>
      <c r="S4432" t="s">
        <v>9983</v>
      </c>
      <c r="T4432" t="s">
        <v>11100</v>
      </c>
      <c r="U4432" t="s">
        <v>11100</v>
      </c>
      <c r="V4432" t="s">
        <v>11100</v>
      </c>
      <c r="W4432" t="s">
        <v>15481</v>
      </c>
      <c r="X4432">
        <v>2</v>
      </c>
      <c r="Y4432" t="s">
        <v>20912</v>
      </c>
      <c r="Z4432" t="s">
        <v>26437</v>
      </c>
      <c r="AA4432">
        <v>0.52157753613307789</v>
      </c>
      <c r="AB4432" t="str">
        <f>HYPERLINK("Melting_Curves/meltCurve_Q96SK2_2_TMEM209.pdf", "Melting_Curves/meltCurve_Q96SK2_2_TMEM209.pdf")</f>
        <v>Melting_Curves/meltCurve_Q96SK2_2_TMEM209.pdf</v>
      </c>
    </row>
    <row r="4433" spans="1:28" x14ac:dyDescent="0.25">
      <c r="A4433" t="s">
        <v>4437</v>
      </c>
      <c r="B4433">
        <v>0.99299721793515405</v>
      </c>
      <c r="C4433">
        <v>0.883840901472291</v>
      </c>
      <c r="D4433">
        <v>0.92167231401682403</v>
      </c>
      <c r="E4433">
        <v>0.84068992151731403</v>
      </c>
      <c r="F4433">
        <v>0.63826309122251101</v>
      </c>
      <c r="G4433">
        <v>0.33527966604403803</v>
      </c>
      <c r="H4433">
        <v>0.24108955759419801</v>
      </c>
      <c r="I4433">
        <v>0.22792189258506801</v>
      </c>
      <c r="J4433">
        <v>0.246108108841151</v>
      </c>
      <c r="K4433">
        <v>0.19925192183766299</v>
      </c>
      <c r="L4433">
        <v>928.01377622362304</v>
      </c>
      <c r="M4433">
        <v>18.505275785748601</v>
      </c>
      <c r="N4433">
        <v>51.533242473074999</v>
      </c>
      <c r="O4433">
        <v>49.573989183142999</v>
      </c>
      <c r="P4433">
        <v>-7.5044180310539596E-2</v>
      </c>
      <c r="Q4433">
        <v>0.195888821976341</v>
      </c>
      <c r="R4433">
        <v>0.98071025764182995</v>
      </c>
      <c r="S4433" t="s">
        <v>9984</v>
      </c>
      <c r="T4433" t="s">
        <v>11100</v>
      </c>
      <c r="U4433" t="s">
        <v>11100</v>
      </c>
      <c r="V4433" t="s">
        <v>11100</v>
      </c>
      <c r="W4433" t="s">
        <v>15482</v>
      </c>
      <c r="X4433">
        <v>19</v>
      </c>
      <c r="Y4433" t="s">
        <v>20913</v>
      </c>
      <c r="Z4433" t="s">
        <v>26438</v>
      </c>
      <c r="AA4433">
        <v>0.56040059108672013</v>
      </c>
      <c r="AB4433" t="str">
        <f>HYPERLINK("Melting_Curves/meltCurve_Q96ST2_IWS1.pdf", "Melting_Curves/meltCurve_Q96ST2_IWS1.pdf")</f>
        <v>Melting_Curves/meltCurve_Q96ST2_IWS1.pdf</v>
      </c>
    </row>
    <row r="4434" spans="1:28" x14ac:dyDescent="0.25">
      <c r="A4434" t="s">
        <v>4438</v>
      </c>
      <c r="B4434">
        <v>0.99299721793515405</v>
      </c>
      <c r="C4434">
        <v>0.78760667156836806</v>
      </c>
      <c r="D4434">
        <v>1.10734036900908</v>
      </c>
      <c r="E4434">
        <v>0.78152394803694702</v>
      </c>
      <c r="F4434">
        <v>0.64053509533955</v>
      </c>
      <c r="G4434">
        <v>0.61672929430813594</v>
      </c>
      <c r="H4434">
        <v>0.35036866618871598</v>
      </c>
      <c r="I4434">
        <v>0.39253477886838001</v>
      </c>
      <c r="J4434">
        <v>0.41358866451849702</v>
      </c>
      <c r="K4434">
        <v>0.324390503094454</v>
      </c>
      <c r="L4434">
        <v>677.81922413730604</v>
      </c>
      <c r="M4434">
        <v>13.4478902280787</v>
      </c>
      <c r="N4434">
        <v>54.7200511339597</v>
      </c>
      <c r="O4434">
        <v>49.327978105611997</v>
      </c>
      <c r="P4434">
        <v>-4.5881196273941501E-2</v>
      </c>
      <c r="Q4434">
        <v>0.326920060085301</v>
      </c>
      <c r="R4434">
        <v>0.87151489335736199</v>
      </c>
      <c r="S4434" t="s">
        <v>9985</v>
      </c>
      <c r="T4434" t="s">
        <v>11100</v>
      </c>
      <c r="U4434" t="s">
        <v>11100</v>
      </c>
      <c r="V4434" t="s">
        <v>11100</v>
      </c>
      <c r="W4434" t="s">
        <v>15483</v>
      </c>
      <c r="X4434">
        <v>1</v>
      </c>
      <c r="Y4434" t="s">
        <v>20914</v>
      </c>
      <c r="Z4434" t="s">
        <v>26439</v>
      </c>
      <c r="AA4434">
        <v>0.64367064664877727</v>
      </c>
      <c r="AB4434" t="str">
        <f>HYPERLINK("Melting_Curves/meltCurve_Q96ST3_SIN3A.pdf", "Melting_Curves/meltCurve_Q96ST3_SIN3A.pdf")</f>
        <v>Melting_Curves/meltCurve_Q96ST3_SIN3A.pdf</v>
      </c>
    </row>
    <row r="4435" spans="1:28" x14ac:dyDescent="0.25">
      <c r="A4435" t="s">
        <v>4439</v>
      </c>
      <c r="B4435">
        <v>0.99299721793515405</v>
      </c>
      <c r="C4435">
        <v>0.94491653574819101</v>
      </c>
      <c r="D4435">
        <v>0.97274573733503999</v>
      </c>
      <c r="E4435">
        <v>0.81801212822277303</v>
      </c>
      <c r="F4435">
        <v>0.77003123917489502</v>
      </c>
      <c r="G4435">
        <v>0.51714389294026297</v>
      </c>
      <c r="H4435">
        <v>0.45782993664902999</v>
      </c>
      <c r="I4435">
        <v>0.49055499126615099</v>
      </c>
      <c r="J4435">
        <v>0.40029070081333301</v>
      </c>
      <c r="K4435">
        <v>0.223595744573726</v>
      </c>
      <c r="L4435">
        <v>483.20168861665098</v>
      </c>
      <c r="M4435">
        <v>8.9650773850667793</v>
      </c>
      <c r="N4435">
        <v>56.874311153769497</v>
      </c>
      <c r="O4435">
        <v>51.419001606989198</v>
      </c>
      <c r="P4435">
        <v>-3.5453675572730298E-2</v>
      </c>
      <c r="Q4435">
        <v>0.18722394112086399</v>
      </c>
      <c r="R4435">
        <v>0.95382080789920798</v>
      </c>
      <c r="S4435" t="s">
        <v>9986</v>
      </c>
      <c r="T4435" t="s">
        <v>11100</v>
      </c>
      <c r="U4435" t="s">
        <v>11100</v>
      </c>
      <c r="V4435" t="s">
        <v>11100</v>
      </c>
      <c r="W4435" t="s">
        <v>15484</v>
      </c>
      <c r="X4435">
        <v>14</v>
      </c>
      <c r="Y4435" t="s">
        <v>20915</v>
      </c>
      <c r="Z4435" t="s">
        <v>26440</v>
      </c>
      <c r="AA4435">
        <v>0.6589565202046741</v>
      </c>
      <c r="AB4435" t="str">
        <f>HYPERLINK("Melting_Curves/meltCurve_Q96SZ5_ADO.pdf", "Melting_Curves/meltCurve_Q96SZ5_ADO.pdf")</f>
        <v>Melting_Curves/meltCurve_Q96SZ5_ADO.pdf</v>
      </c>
    </row>
    <row r="4436" spans="1:28" x14ac:dyDescent="0.25">
      <c r="A4436" t="s">
        <v>4440</v>
      </c>
      <c r="B4436">
        <v>0.99299721793515405</v>
      </c>
      <c r="C4436">
        <v>1.0344819285940401</v>
      </c>
      <c r="D4436">
        <v>0.81225121114406396</v>
      </c>
      <c r="E4436">
        <v>0.79078288126191998</v>
      </c>
      <c r="F4436">
        <v>0.59542073218610903</v>
      </c>
      <c r="G4436">
        <v>0.23620967505062701</v>
      </c>
      <c r="H4436">
        <v>0.18887766953340099</v>
      </c>
      <c r="I4436">
        <v>0.100718766440556</v>
      </c>
      <c r="J4436">
        <v>9.2506166473167298E-2</v>
      </c>
      <c r="K4436">
        <v>5.1421847476334402E-2</v>
      </c>
      <c r="L4436">
        <v>710.97600247420496</v>
      </c>
      <c r="M4436">
        <v>14.0904899721075</v>
      </c>
      <c r="N4436">
        <v>50.646961824800201</v>
      </c>
      <c r="O4436">
        <v>49.474179180713598</v>
      </c>
      <c r="P4436">
        <v>-6.9385796392171697E-2</v>
      </c>
      <c r="Q4436">
        <v>2.5623354331012298E-2</v>
      </c>
      <c r="R4436">
        <v>0.98123876692659595</v>
      </c>
      <c r="S4436" t="s">
        <v>9987</v>
      </c>
      <c r="T4436" t="s">
        <v>11100</v>
      </c>
      <c r="U4436" t="s">
        <v>11100</v>
      </c>
      <c r="V4436" t="s">
        <v>11100</v>
      </c>
      <c r="W4436" t="s">
        <v>15485</v>
      </c>
      <c r="X4436">
        <v>2</v>
      </c>
      <c r="Y4436" t="s">
        <v>20916</v>
      </c>
      <c r="Z4436" t="s">
        <v>26441</v>
      </c>
      <c r="AA4436">
        <v>0.48453074049899458</v>
      </c>
      <c r="AB4436" t="str">
        <f>HYPERLINK("Melting_Curves/meltCurve_Q96SZ6_2_CDK5RAP1.pdf", "Melting_Curves/meltCurve_Q96SZ6_2_CDK5RAP1.pdf")</f>
        <v>Melting_Curves/meltCurve_Q96SZ6_2_CDK5RAP1.pdf</v>
      </c>
    </row>
    <row r="4437" spans="1:28" x14ac:dyDescent="0.25">
      <c r="A4437" t="s">
        <v>4441</v>
      </c>
      <c r="B4437">
        <v>0.99299721793515405</v>
      </c>
      <c r="C4437">
        <v>1.0730761265084101</v>
      </c>
      <c r="D4437">
        <v>1.1425690011024201</v>
      </c>
      <c r="E4437">
        <v>0.90728122969603697</v>
      </c>
      <c r="F4437">
        <v>0.66006755931071504</v>
      </c>
      <c r="G4437">
        <v>0.396602497233842</v>
      </c>
      <c r="H4437">
        <v>0.36991696726499101</v>
      </c>
      <c r="I4437">
        <v>0.36105711634438398</v>
      </c>
      <c r="J4437">
        <v>0.33983090352046902</v>
      </c>
      <c r="K4437">
        <v>0.287678753445682</v>
      </c>
      <c r="L4437">
        <v>1493.66306259308</v>
      </c>
      <c r="M4437">
        <v>29.835546351806599</v>
      </c>
      <c r="N4437">
        <v>51.972257681470097</v>
      </c>
      <c r="O4437">
        <v>49.8399124488528</v>
      </c>
      <c r="P4437">
        <v>-9.9839131859649696E-2</v>
      </c>
      <c r="Q4437">
        <v>0.33288428758148902</v>
      </c>
      <c r="R4437">
        <v>0.97039716728195502</v>
      </c>
      <c r="S4437" t="s">
        <v>9988</v>
      </c>
      <c r="T4437" t="s">
        <v>11100</v>
      </c>
      <c r="U4437" t="s">
        <v>11100</v>
      </c>
      <c r="V4437" t="s">
        <v>11100</v>
      </c>
      <c r="W4437" t="s">
        <v>15486</v>
      </c>
      <c r="X4437">
        <v>19</v>
      </c>
      <c r="Y4437" t="s">
        <v>20917</v>
      </c>
      <c r="Z4437" t="s">
        <v>26442</v>
      </c>
      <c r="AA4437">
        <v>0.62751532493547224</v>
      </c>
      <c r="AB4437" t="str">
        <f>HYPERLINK("Melting_Curves/meltCurve_Q96T51_RUFY1.pdf", "Melting_Curves/meltCurve_Q96T51_RUFY1.pdf")</f>
        <v>Melting_Curves/meltCurve_Q96T51_RUFY1.pdf</v>
      </c>
    </row>
    <row r="4438" spans="1:28" x14ac:dyDescent="0.25">
      <c r="A4438" t="s">
        <v>4442</v>
      </c>
      <c r="B4438">
        <v>0.99299721793515405</v>
      </c>
      <c r="C4438">
        <v>1.0084668975803699</v>
      </c>
      <c r="D4438">
        <v>0.91834850362374199</v>
      </c>
      <c r="E4438">
        <v>0.97772607550320001</v>
      </c>
      <c r="F4438">
        <v>0.74206895805860196</v>
      </c>
      <c r="G4438">
        <v>0.56196763785147297</v>
      </c>
      <c r="H4438">
        <v>0.54155018537108701</v>
      </c>
      <c r="I4438">
        <v>0.55575219079317195</v>
      </c>
      <c r="J4438">
        <v>0.55845383895308498</v>
      </c>
      <c r="K4438">
        <v>0.42899173996773399</v>
      </c>
      <c r="L4438">
        <v>1621.56869537804</v>
      </c>
      <c r="M4438">
        <v>32.402297723954597</v>
      </c>
      <c r="O4438">
        <v>49.855407809983902</v>
      </c>
      <c r="P4438">
        <v>-7.8311616453362501E-2</v>
      </c>
      <c r="Q4438">
        <v>0.51802940353469695</v>
      </c>
      <c r="R4438">
        <v>0.96093202241796605</v>
      </c>
      <c r="S4438" t="s">
        <v>9989</v>
      </c>
      <c r="T4438" t="s">
        <v>11100</v>
      </c>
      <c r="U4438" t="s">
        <v>11100</v>
      </c>
      <c r="V4438" t="s">
        <v>11100</v>
      </c>
      <c r="W4438" t="s">
        <v>15487</v>
      </c>
      <c r="X4438">
        <v>6</v>
      </c>
      <c r="Y4438" t="s">
        <v>20918</v>
      </c>
      <c r="Z4438" t="s">
        <v>26443</v>
      </c>
      <c r="AA4438">
        <v>0.73014445407989514</v>
      </c>
      <c r="AB4438" t="str">
        <f>HYPERLINK("Melting_Curves/meltCurve_Q96T58_SPEN.pdf", "Melting_Curves/meltCurve_Q96T58_SPEN.pdf")</f>
        <v>Melting_Curves/meltCurve_Q96T58_SPEN.pdf</v>
      </c>
    </row>
    <row r="4439" spans="1:28" x14ac:dyDescent="0.25">
      <c r="A4439" t="s">
        <v>4443</v>
      </c>
      <c r="B4439">
        <v>0.99299721793515405</v>
      </c>
      <c r="C4439">
        <v>0.970776647521993</v>
      </c>
      <c r="D4439">
        <v>0.97844180548423298</v>
      </c>
      <c r="E4439">
        <v>0.95663597635944797</v>
      </c>
      <c r="F4439">
        <v>0.79982246690486103</v>
      </c>
      <c r="G4439">
        <v>0.18679604769789801</v>
      </c>
      <c r="H4439">
        <v>0.16805784087209699</v>
      </c>
      <c r="I4439">
        <v>0.18859532711654001</v>
      </c>
      <c r="J4439">
        <v>0.153187700056234</v>
      </c>
      <c r="K4439">
        <v>0.20896219643053199</v>
      </c>
      <c r="L4439">
        <v>4168.4276661950598</v>
      </c>
      <c r="M4439">
        <v>81.906571546658498</v>
      </c>
      <c r="N4439">
        <v>51.169676358004303</v>
      </c>
      <c r="O4439">
        <v>50.862155085940401</v>
      </c>
      <c r="P4439">
        <v>-0.33045551265412698</v>
      </c>
      <c r="Q4439">
        <v>0.17917807000035399</v>
      </c>
      <c r="R4439">
        <v>0.99659429570448799</v>
      </c>
      <c r="S4439" t="s">
        <v>9990</v>
      </c>
      <c r="T4439" t="s">
        <v>11100</v>
      </c>
      <c r="U4439" t="s">
        <v>11100</v>
      </c>
      <c r="V4439" t="s">
        <v>11100</v>
      </c>
      <c r="W4439" t="s">
        <v>15488</v>
      </c>
      <c r="X4439">
        <v>7</v>
      </c>
      <c r="Y4439" t="s">
        <v>20919</v>
      </c>
      <c r="Z4439" t="s">
        <v>26444</v>
      </c>
      <c r="AA4439">
        <v>0.55997043958446058</v>
      </c>
      <c r="AB4439" t="str">
        <f>HYPERLINK("Melting_Curves/meltCurve_Q96T76_9_MMS19.pdf", "Melting_Curves/meltCurve_Q96T76_9_MMS19.pdf")</f>
        <v>Melting_Curves/meltCurve_Q96T76_9_MMS19.pdf</v>
      </c>
    </row>
    <row r="4440" spans="1:28" x14ac:dyDescent="0.25">
      <c r="A4440" t="s">
        <v>4444</v>
      </c>
      <c r="B4440">
        <v>0.99299721793515405</v>
      </c>
      <c r="C4440">
        <v>1.08887777583101</v>
      </c>
      <c r="D4440">
        <v>1.15368944826521</v>
      </c>
      <c r="E4440">
        <v>0.97529257600683406</v>
      </c>
      <c r="F4440">
        <v>0.84834688660600799</v>
      </c>
      <c r="G4440">
        <v>0.61713050826125504</v>
      </c>
      <c r="H4440">
        <v>0.246670314225587</v>
      </c>
      <c r="I4440">
        <v>0.19019748976445899</v>
      </c>
      <c r="J4440">
        <v>0.16675098976361499</v>
      </c>
      <c r="K4440">
        <v>0.140319674472696</v>
      </c>
      <c r="L4440">
        <v>1381.53525726105</v>
      </c>
      <c r="M4440">
        <v>25.632044652446599</v>
      </c>
      <c r="N4440">
        <v>54.588130121300203</v>
      </c>
      <c r="O4440">
        <v>53.573895222538397</v>
      </c>
      <c r="P4440">
        <v>-0.10307389668625599</v>
      </c>
      <c r="Q4440">
        <v>0.13826572172483201</v>
      </c>
      <c r="R4440">
        <v>0.97655384015218205</v>
      </c>
      <c r="S4440" t="s">
        <v>9991</v>
      </c>
      <c r="T4440" t="s">
        <v>11100</v>
      </c>
      <c r="U4440" t="s">
        <v>11100</v>
      </c>
      <c r="V4440" t="s">
        <v>11100</v>
      </c>
      <c r="W4440" t="s">
        <v>15489</v>
      </c>
      <c r="X4440">
        <v>14</v>
      </c>
      <c r="Y4440" t="s">
        <v>20920</v>
      </c>
      <c r="Z4440" t="s">
        <v>26445</v>
      </c>
      <c r="AA4440">
        <v>0.6309074059770724</v>
      </c>
      <c r="AB4440" t="str">
        <f>HYPERLINK("Melting_Curves/meltCurve_Q96TA1_2_FAM129B.pdf", "Melting_Curves/meltCurve_Q96TA1_2_FAM129B.pdf")</f>
        <v>Melting_Curves/meltCurve_Q96TA1_2_FAM129B.pdf</v>
      </c>
    </row>
    <row r="4441" spans="1:28" x14ac:dyDescent="0.25">
      <c r="A4441" t="s">
        <v>4445</v>
      </c>
      <c r="B4441">
        <v>0.99299721793515405</v>
      </c>
      <c r="C4441">
        <v>0.96445818179556497</v>
      </c>
      <c r="D4441">
        <v>0.86017451840487302</v>
      </c>
      <c r="E4441">
        <v>0.81465160338825604</v>
      </c>
      <c r="F4441">
        <v>0.62177223089115496</v>
      </c>
      <c r="G4441">
        <v>0.36788402800548697</v>
      </c>
      <c r="H4441">
        <v>0.30931528390788199</v>
      </c>
      <c r="I4441">
        <v>0.30846288521943999</v>
      </c>
      <c r="J4441">
        <v>0.361555306057537</v>
      </c>
      <c r="K4441">
        <v>0.28767360982295997</v>
      </c>
      <c r="L4441">
        <v>797.97441556620299</v>
      </c>
      <c r="M4441">
        <v>16.270123978503999</v>
      </c>
      <c r="N4441">
        <v>51.726721112122803</v>
      </c>
      <c r="O4441">
        <v>48.322434030379803</v>
      </c>
      <c r="P4441">
        <v>-6.0200032712502502E-2</v>
      </c>
      <c r="Q4441">
        <v>0.28487388924604401</v>
      </c>
      <c r="R4441">
        <v>0.97839682726503296</v>
      </c>
      <c r="S4441" t="s">
        <v>9992</v>
      </c>
      <c r="T4441" t="s">
        <v>11100</v>
      </c>
      <c r="U4441" t="s">
        <v>11100</v>
      </c>
      <c r="V4441" t="s">
        <v>11100</v>
      </c>
      <c r="W4441" t="s">
        <v>15490</v>
      </c>
      <c r="X4441">
        <v>7</v>
      </c>
      <c r="Y4441" t="s">
        <v>20921</v>
      </c>
      <c r="Z4441" t="s">
        <v>26446</v>
      </c>
      <c r="AA4441">
        <v>0.58549272389134543</v>
      </c>
      <c r="AB4441" t="str">
        <f>HYPERLINK("Melting_Curves/meltCurve_Q96TA2_3_YME1L1.pdf", "Melting_Curves/meltCurve_Q96TA2_3_YME1L1.pdf")</f>
        <v>Melting_Curves/meltCurve_Q96TA2_3_YME1L1.pdf</v>
      </c>
    </row>
    <row r="4442" spans="1:28" x14ac:dyDescent="0.25">
      <c r="A4442" t="s">
        <v>4446</v>
      </c>
      <c r="B4442">
        <v>0.99299721793515405</v>
      </c>
      <c r="C4442">
        <v>0.94327121027843497</v>
      </c>
      <c r="D4442">
        <v>1.0771124966914201</v>
      </c>
      <c r="E4442">
        <v>0.81255511562952598</v>
      </c>
      <c r="F4442">
        <v>0.63458290883894897</v>
      </c>
      <c r="G4442">
        <v>6.7076908101237703E-2</v>
      </c>
      <c r="H4442">
        <v>0.25634373951949502</v>
      </c>
      <c r="I4442">
        <v>0.37718808244574198</v>
      </c>
      <c r="J4442">
        <v>0.22218499962404001</v>
      </c>
      <c r="K4442">
        <v>0.32420649846393002</v>
      </c>
      <c r="L4442">
        <v>12552.644463529299</v>
      </c>
      <c r="M4442">
        <v>250</v>
      </c>
      <c r="N4442">
        <v>50.349693892439703</v>
      </c>
      <c r="O4442">
        <v>50.207372060253299</v>
      </c>
      <c r="P4442">
        <v>-0.93437481934822497</v>
      </c>
      <c r="Q4442">
        <v>0.24940004333277799</v>
      </c>
      <c r="R4442">
        <v>0.91698607108006103</v>
      </c>
      <c r="S4442" t="s">
        <v>9993</v>
      </c>
      <c r="T4442" t="s">
        <v>11100</v>
      </c>
      <c r="U4442" t="s">
        <v>11100</v>
      </c>
      <c r="V4442" t="s">
        <v>11100</v>
      </c>
      <c r="W4442" t="s">
        <v>15491</v>
      </c>
      <c r="X4442">
        <v>4</v>
      </c>
      <c r="Y4442" t="s">
        <v>20922</v>
      </c>
      <c r="Z4442" t="s">
        <v>26447</v>
      </c>
      <c r="AA4442">
        <v>0.57999482411555425</v>
      </c>
      <c r="AB4442" t="str">
        <f>HYPERLINK("Melting_Curves/meltCurve_Q99081_TCF12.pdf", "Melting_Curves/meltCurve_Q99081_TCF12.pdf")</f>
        <v>Melting_Curves/meltCurve_Q99081_TCF12.pdf</v>
      </c>
    </row>
    <row r="4443" spans="1:28" x14ac:dyDescent="0.25">
      <c r="A4443" t="s">
        <v>4447</v>
      </c>
      <c r="B4443">
        <v>0.99299721793515405</v>
      </c>
      <c r="C4443">
        <v>0.97913120741301496</v>
      </c>
      <c r="D4443">
        <v>0.93127271604301798</v>
      </c>
      <c r="E4443">
        <v>0.85817203654089003</v>
      </c>
      <c r="F4443">
        <v>0.73381837807657901</v>
      </c>
      <c r="G4443">
        <v>0.51084007920541796</v>
      </c>
      <c r="H4443">
        <v>0.63602875105687595</v>
      </c>
      <c r="I4443">
        <v>0.76010090732471702</v>
      </c>
      <c r="J4443">
        <v>0.87228094081924101</v>
      </c>
      <c r="K4443">
        <v>0.74065838818549601</v>
      </c>
      <c r="L4443">
        <v>1446.46746384062</v>
      </c>
      <c r="M4443">
        <v>31.288620277865601</v>
      </c>
      <c r="O4443">
        <v>46.042212122258199</v>
      </c>
      <c r="P4443">
        <v>-4.98983291448594E-2</v>
      </c>
      <c r="Q4443">
        <v>0.70629362862564804</v>
      </c>
      <c r="R4443">
        <v>0.63255998564029903</v>
      </c>
      <c r="S4443" t="s">
        <v>9994</v>
      </c>
      <c r="T4443" t="s">
        <v>11100</v>
      </c>
      <c r="U4443" t="s">
        <v>11100</v>
      </c>
      <c r="V4443" t="s">
        <v>11100</v>
      </c>
      <c r="W4443" t="s">
        <v>15492</v>
      </c>
      <c r="X4443">
        <v>8</v>
      </c>
      <c r="Y4443" t="s">
        <v>20923</v>
      </c>
      <c r="Z4443" t="s">
        <v>26448</v>
      </c>
      <c r="AA4443">
        <v>0.79820027809285965</v>
      </c>
      <c r="AB4443" t="str">
        <f>HYPERLINK("Melting_Curves/meltCurve_Q99417_MYCBP.pdf", "Melting_Curves/meltCurve_Q99417_MYCBP.pdf")</f>
        <v>Melting_Curves/meltCurve_Q99417_MYCBP.pdf</v>
      </c>
    </row>
    <row r="4444" spans="1:28" x14ac:dyDescent="0.25">
      <c r="A4444" t="s">
        <v>4448</v>
      </c>
      <c r="B4444">
        <v>0.99299721793515405</v>
      </c>
      <c r="C4444">
        <v>0.98538954365548903</v>
      </c>
      <c r="D4444">
        <v>1.0207198335882299</v>
      </c>
      <c r="E4444">
        <v>0.86246003622602796</v>
      </c>
      <c r="F4444">
        <v>0.79775023118649102</v>
      </c>
      <c r="G4444">
        <v>0.403399649074827</v>
      </c>
      <c r="H4444">
        <v>0.210809774436996</v>
      </c>
      <c r="I4444">
        <v>0.16781722613863101</v>
      </c>
      <c r="J4444">
        <v>0.154615579451121</v>
      </c>
      <c r="K4444">
        <v>0.13053206125616301</v>
      </c>
      <c r="L4444">
        <v>1212.1563576774699</v>
      </c>
      <c r="M4444">
        <v>23.225063939217399</v>
      </c>
      <c r="N4444">
        <v>52.879710846295602</v>
      </c>
      <c r="O4444">
        <v>51.809417550739902</v>
      </c>
      <c r="P4444">
        <v>-9.7458147939383094E-2</v>
      </c>
      <c r="Q4444">
        <v>0.13039482731611601</v>
      </c>
      <c r="R4444">
        <v>0.99178110521405005</v>
      </c>
      <c r="S4444" t="s">
        <v>9995</v>
      </c>
      <c r="T4444" t="s">
        <v>11100</v>
      </c>
      <c r="U4444" t="s">
        <v>11100</v>
      </c>
      <c r="V4444" t="s">
        <v>11100</v>
      </c>
      <c r="W4444" t="s">
        <v>15493</v>
      </c>
      <c r="X4444">
        <v>22</v>
      </c>
      <c r="Y4444" t="s">
        <v>20924</v>
      </c>
      <c r="Z4444" t="s">
        <v>26449</v>
      </c>
      <c r="AA4444">
        <v>0.57951993799212731</v>
      </c>
      <c r="AB4444" t="str">
        <f>HYPERLINK("Melting_Curves/meltCurve_Q99426_TBCB.pdf", "Melting_Curves/meltCurve_Q99426_TBCB.pdf")</f>
        <v>Melting_Curves/meltCurve_Q99426_TBCB.pdf</v>
      </c>
    </row>
    <row r="4445" spans="1:28" x14ac:dyDescent="0.25">
      <c r="A4445" t="s">
        <v>4449</v>
      </c>
      <c r="B4445">
        <v>0.99299721793515405</v>
      </c>
      <c r="C4445">
        <v>0.82035149055256695</v>
      </c>
      <c r="D4445">
        <v>0.70123090942896704</v>
      </c>
      <c r="E4445">
        <v>0.75241728009883202</v>
      </c>
      <c r="F4445">
        <v>0.69169969349161098</v>
      </c>
      <c r="G4445">
        <v>0.86678847183830199</v>
      </c>
      <c r="H4445">
        <v>3.5281831601110301</v>
      </c>
      <c r="I4445">
        <v>3.89284777215317</v>
      </c>
      <c r="J4445">
        <v>4.8258632613003298</v>
      </c>
      <c r="K4445">
        <v>6.0836702953575097</v>
      </c>
      <c r="L4445">
        <v>5712.1292532199604</v>
      </c>
      <c r="M4445">
        <v>104.148189801385</v>
      </c>
      <c r="O4445">
        <v>54.825938251938503</v>
      </c>
      <c r="P4445">
        <v>0.23745184289632701</v>
      </c>
      <c r="Q4445">
        <v>1.5</v>
      </c>
      <c r="R4445">
        <v>-0.105056019293262</v>
      </c>
      <c r="S4445" t="s">
        <v>9996</v>
      </c>
      <c r="T4445" t="s">
        <v>11100</v>
      </c>
      <c r="U4445" t="s">
        <v>11100</v>
      </c>
      <c r="V4445" t="s">
        <v>11100</v>
      </c>
      <c r="W4445" t="s">
        <v>15494</v>
      </c>
      <c r="X4445">
        <v>1</v>
      </c>
      <c r="Y4445" t="s">
        <v>20925</v>
      </c>
      <c r="Z4445" t="s">
        <v>26450</v>
      </c>
      <c r="AA4445">
        <v>1.202286241325516</v>
      </c>
      <c r="AB4445" t="str">
        <f>HYPERLINK("Melting_Curves/meltCurve_Q99436_PSMB7.pdf", "Melting_Curves/meltCurve_Q99436_PSMB7.pdf")</f>
        <v>Melting_Curves/meltCurve_Q99436_PSMB7.pdf</v>
      </c>
    </row>
    <row r="4446" spans="1:28" x14ac:dyDescent="0.25">
      <c r="A4446" t="s">
        <v>4450</v>
      </c>
      <c r="B4446">
        <v>0.99299721793515405</v>
      </c>
      <c r="C4446">
        <v>0.75100551354127698</v>
      </c>
      <c r="D4446">
        <v>0.802978977063597</v>
      </c>
      <c r="E4446">
        <v>0.58198207795478196</v>
      </c>
      <c r="F4446">
        <v>0.58035162061127099</v>
      </c>
      <c r="G4446">
        <v>0.47074519403298798</v>
      </c>
      <c r="H4446">
        <v>0.33208494377658598</v>
      </c>
      <c r="I4446">
        <v>0.28627049849595798</v>
      </c>
      <c r="J4446">
        <v>0.27817624153644099</v>
      </c>
      <c r="K4446">
        <v>0.17408992449764801</v>
      </c>
      <c r="L4446">
        <v>297.97746647471399</v>
      </c>
      <c r="M4446">
        <v>5.7805769862297698</v>
      </c>
      <c r="N4446">
        <v>51.5480490726437</v>
      </c>
      <c r="O4446">
        <v>46.381009102550202</v>
      </c>
      <c r="P4446">
        <v>-3.1273288405645902E-2</v>
      </c>
      <c r="Q4446">
        <v>0</v>
      </c>
      <c r="R4446">
        <v>0.95566186479947401</v>
      </c>
      <c r="S4446" t="s">
        <v>9997</v>
      </c>
      <c r="T4446" t="s">
        <v>11100</v>
      </c>
      <c r="U4446" t="s">
        <v>11100</v>
      </c>
      <c r="V4446" t="s">
        <v>11100</v>
      </c>
      <c r="W4446" t="s">
        <v>15495</v>
      </c>
      <c r="X4446">
        <v>5</v>
      </c>
      <c r="Y4446" t="s">
        <v>20926</v>
      </c>
      <c r="Z4446" t="s">
        <v>26451</v>
      </c>
      <c r="AA4446">
        <v>0.51760442888225733</v>
      </c>
      <c r="AB4446" t="str">
        <f>HYPERLINK("Melting_Curves/meltCurve_Q99442_SEC62.pdf", "Melting_Curves/meltCurve_Q99442_SEC62.pdf")</f>
        <v>Melting_Curves/meltCurve_Q99442_SEC62.pdf</v>
      </c>
    </row>
    <row r="4447" spans="1:28" x14ac:dyDescent="0.25">
      <c r="A4447" t="s">
        <v>4451</v>
      </c>
      <c r="B4447">
        <v>0.99299721793515405</v>
      </c>
      <c r="C4447">
        <v>0.98960036336949397</v>
      </c>
      <c r="D4447">
        <v>0.98751439396504304</v>
      </c>
      <c r="E4447">
        <v>0.92989203373163698</v>
      </c>
      <c r="F4447">
        <v>0.75755092684133496</v>
      </c>
      <c r="G4447">
        <v>0.59924139161541801</v>
      </c>
      <c r="H4447">
        <v>0.46432845774658699</v>
      </c>
      <c r="I4447">
        <v>0.285475729935386</v>
      </c>
      <c r="J4447">
        <v>0.25611264059190397</v>
      </c>
      <c r="K4447">
        <v>0.22734590895475101</v>
      </c>
      <c r="L4447">
        <v>710.89279028586998</v>
      </c>
      <c r="M4447">
        <v>13.1043003433356</v>
      </c>
      <c r="N4447">
        <v>55.836438969458598</v>
      </c>
      <c r="O4447">
        <v>53.032142463632503</v>
      </c>
      <c r="P4447">
        <v>-5.2176309157327398E-2</v>
      </c>
      <c r="Q4447">
        <v>0.15552983391821501</v>
      </c>
      <c r="R4447">
        <v>0.99661250528422296</v>
      </c>
      <c r="S4447" t="s">
        <v>9998</v>
      </c>
      <c r="T4447" t="s">
        <v>11100</v>
      </c>
      <c r="U4447" t="s">
        <v>11100</v>
      </c>
      <c r="V4447" t="s">
        <v>11100</v>
      </c>
      <c r="W4447" t="s">
        <v>15496</v>
      </c>
      <c r="X4447">
        <v>12</v>
      </c>
      <c r="Y4447" t="s">
        <v>20927</v>
      </c>
      <c r="Z4447" t="s">
        <v>26452</v>
      </c>
      <c r="AA4447">
        <v>0.65523162436549687</v>
      </c>
      <c r="AB4447" t="str">
        <f>HYPERLINK("Melting_Curves/meltCurve_Q99447_PCYT2.pdf", "Melting_Curves/meltCurve_Q99447_PCYT2.pdf")</f>
        <v>Melting_Curves/meltCurve_Q99447_PCYT2.pdf</v>
      </c>
    </row>
    <row r="4448" spans="1:28" x14ac:dyDescent="0.25">
      <c r="A4448" t="s">
        <v>4452</v>
      </c>
      <c r="B4448">
        <v>0.99299721793515405</v>
      </c>
      <c r="C4448">
        <v>1.0209320159169299</v>
      </c>
      <c r="D4448">
        <v>0.79385524938491703</v>
      </c>
      <c r="E4448">
        <v>0.84152361538147202</v>
      </c>
      <c r="F4448">
        <v>0.65211416964232805</v>
      </c>
      <c r="G4448">
        <v>0.43518328818566399</v>
      </c>
      <c r="H4448">
        <v>0.38806419861255897</v>
      </c>
      <c r="I4448">
        <v>0.39124609648540498</v>
      </c>
      <c r="J4448">
        <v>0.45694757167250599</v>
      </c>
      <c r="K4448">
        <v>0.38939993965408098</v>
      </c>
      <c r="L4448">
        <v>711.70358192959804</v>
      </c>
      <c r="M4448">
        <v>14.6730348328594</v>
      </c>
      <c r="N4448">
        <v>53.553478741654999</v>
      </c>
      <c r="O4448">
        <v>47.629964797963297</v>
      </c>
      <c r="P4448">
        <v>-4.8167541336440502E-2</v>
      </c>
      <c r="Q4448">
        <v>0.374644399130804</v>
      </c>
      <c r="R4448">
        <v>0.944969272228948</v>
      </c>
      <c r="S4448" t="s">
        <v>9999</v>
      </c>
      <c r="T4448" t="s">
        <v>11100</v>
      </c>
      <c r="U4448" t="s">
        <v>11100</v>
      </c>
      <c r="V4448" t="s">
        <v>11100</v>
      </c>
      <c r="W4448" t="s">
        <v>15497</v>
      </c>
      <c r="X4448">
        <v>2</v>
      </c>
      <c r="Y4448" t="s">
        <v>20928</v>
      </c>
      <c r="Z4448" t="s">
        <v>26453</v>
      </c>
      <c r="AA4448">
        <v>0.62856150673502642</v>
      </c>
      <c r="AB4448" t="str">
        <f>HYPERLINK("Melting_Curves/meltCurve_Q99459_CDC5L.pdf", "Melting_Curves/meltCurve_Q99459_CDC5L.pdf")</f>
        <v>Melting_Curves/meltCurve_Q99459_CDC5L.pdf</v>
      </c>
    </row>
    <row r="4449" spans="1:28" x14ac:dyDescent="0.25">
      <c r="A4449" t="s">
        <v>4453</v>
      </c>
      <c r="B4449">
        <v>0.99299721793515405</v>
      </c>
      <c r="C4449">
        <v>1.1029244232572</v>
      </c>
      <c r="D4449">
        <v>0.78836016821400001</v>
      </c>
      <c r="E4449">
        <v>0.77947211142702399</v>
      </c>
      <c r="F4449">
        <v>0.68335522405226401</v>
      </c>
      <c r="G4449">
        <v>0.59394370133576702</v>
      </c>
      <c r="H4449">
        <v>0.75316715049427396</v>
      </c>
      <c r="I4449">
        <v>0.59060960532941498</v>
      </c>
      <c r="J4449">
        <v>0.49623275133401501</v>
      </c>
      <c r="K4449">
        <v>0.36675608515427799</v>
      </c>
      <c r="L4449">
        <v>271.94746077257798</v>
      </c>
      <c r="M4449">
        <v>4.3055194922964199</v>
      </c>
      <c r="N4449">
        <v>63.162519952848598</v>
      </c>
      <c r="O4449">
        <v>53.021742977132099</v>
      </c>
      <c r="P4449">
        <v>-2.0506204466267001E-2</v>
      </c>
      <c r="Q4449">
        <v>0</v>
      </c>
      <c r="R4449">
        <v>0.80517020458974697</v>
      </c>
      <c r="S4449" t="s">
        <v>10000</v>
      </c>
      <c r="T4449" t="s">
        <v>11100</v>
      </c>
      <c r="U4449" t="s">
        <v>11100</v>
      </c>
      <c r="V4449" t="s">
        <v>11100</v>
      </c>
      <c r="W4449" t="s">
        <v>15498</v>
      </c>
      <c r="X4449">
        <v>10</v>
      </c>
      <c r="Y4449" t="s">
        <v>20929</v>
      </c>
      <c r="Z4449" t="s">
        <v>26454</v>
      </c>
      <c r="AA4449">
        <v>0.71029241584314606</v>
      </c>
      <c r="AB4449" t="str">
        <f>HYPERLINK("Melting_Curves/meltCurve_Q99460_PSMD1.pdf", "Melting_Curves/meltCurve_Q99460_PSMD1.pdf")</f>
        <v>Melting_Curves/meltCurve_Q99460_PSMD1.pdf</v>
      </c>
    </row>
    <row r="4450" spans="1:28" x14ac:dyDescent="0.25">
      <c r="A4450" t="s">
        <v>4454</v>
      </c>
      <c r="B4450">
        <v>0.99299721793515405</v>
      </c>
      <c r="C4450">
        <v>0.97193541978098996</v>
      </c>
      <c r="D4450">
        <v>0.77596394735512697</v>
      </c>
      <c r="E4450">
        <v>0.71199095054139705</v>
      </c>
      <c r="F4450">
        <v>1.0063607352881501</v>
      </c>
      <c r="G4450">
        <v>0.62604420058900401</v>
      </c>
      <c r="H4450">
        <v>0.52185418763797897</v>
      </c>
      <c r="I4450">
        <v>0.38862128962890902</v>
      </c>
      <c r="J4450">
        <v>0.43108712211003403</v>
      </c>
      <c r="K4450">
        <v>0.273556319325993</v>
      </c>
      <c r="L4450">
        <v>377.64639844920902</v>
      </c>
      <c r="M4450">
        <v>6.4087695375023399</v>
      </c>
      <c r="N4450">
        <v>58.926506284104299</v>
      </c>
      <c r="O4450">
        <v>53.973868710588803</v>
      </c>
      <c r="P4450">
        <v>-2.9760468104299199E-2</v>
      </c>
      <c r="Q4450">
        <v>0</v>
      </c>
      <c r="R4450">
        <v>0.82627828815743698</v>
      </c>
      <c r="S4450" t="s">
        <v>10001</v>
      </c>
      <c r="T4450" t="s">
        <v>11100</v>
      </c>
      <c r="U4450" t="s">
        <v>11100</v>
      </c>
      <c r="V4450" t="s">
        <v>11100</v>
      </c>
      <c r="W4450" t="s">
        <v>15499</v>
      </c>
      <c r="X4450">
        <v>1</v>
      </c>
      <c r="Y4450" t="s">
        <v>20930</v>
      </c>
      <c r="Z4450" t="s">
        <v>26455</v>
      </c>
      <c r="AA4450">
        <v>0.68234706716384985</v>
      </c>
      <c r="AB4450" t="str">
        <f>HYPERLINK("Melting_Curves/meltCurve_Q99470_SDF2.pdf", "Melting_Curves/meltCurve_Q99470_SDF2.pdf")</f>
        <v>Melting_Curves/meltCurve_Q99470_SDF2.pdf</v>
      </c>
    </row>
    <row r="4451" spans="1:28" x14ac:dyDescent="0.25">
      <c r="A4451" t="s">
        <v>4455</v>
      </c>
      <c r="B4451">
        <v>0.99299721793515405</v>
      </c>
      <c r="C4451">
        <v>1.0057276026253501</v>
      </c>
      <c r="D4451">
        <v>0.97909193331327504</v>
      </c>
      <c r="E4451">
        <v>0.87121781230111395</v>
      </c>
      <c r="F4451">
        <v>0.80381976461679305</v>
      </c>
      <c r="G4451">
        <v>0.65869352653938296</v>
      </c>
      <c r="H4451">
        <v>0.74609102172772501</v>
      </c>
      <c r="I4451">
        <v>0.88966372638594804</v>
      </c>
      <c r="J4451">
        <v>0.83383254085667802</v>
      </c>
      <c r="K4451">
        <v>0.47357817608230501</v>
      </c>
      <c r="L4451">
        <v>1110.67650335234</v>
      </c>
      <c r="M4451">
        <v>23.540709974125999</v>
      </c>
      <c r="O4451">
        <v>46.844579485823999</v>
      </c>
      <c r="P4451">
        <v>-3.5094034544053097E-2</v>
      </c>
      <c r="Q4451">
        <v>0.72066479208019396</v>
      </c>
      <c r="R4451">
        <v>0.56057054578512699</v>
      </c>
      <c r="S4451" t="s">
        <v>10002</v>
      </c>
      <c r="T4451" t="s">
        <v>11100</v>
      </c>
      <c r="U4451" t="s">
        <v>11100</v>
      </c>
      <c r="V4451" t="s">
        <v>11100</v>
      </c>
      <c r="W4451" t="s">
        <v>15500</v>
      </c>
      <c r="X4451">
        <v>15</v>
      </c>
      <c r="Y4451" t="s">
        <v>20931</v>
      </c>
      <c r="Z4451" t="s">
        <v>26456</v>
      </c>
      <c r="AA4451">
        <v>0.81811555225178068</v>
      </c>
      <c r="AB4451" t="str">
        <f>HYPERLINK("Melting_Curves/meltCurve_Q99471_PFDN5.pdf", "Melting_Curves/meltCurve_Q99471_PFDN5.pdf")</f>
        <v>Melting_Curves/meltCurve_Q99471_PFDN5.pdf</v>
      </c>
    </row>
    <row r="4452" spans="1:28" x14ac:dyDescent="0.25">
      <c r="A4452" t="s">
        <v>4456</v>
      </c>
      <c r="B4452">
        <v>0.99299721793515405</v>
      </c>
      <c r="C4452">
        <v>1.033544016202</v>
      </c>
      <c r="D4452">
        <v>0.97662826907365696</v>
      </c>
      <c r="E4452">
        <v>0.82874957176286701</v>
      </c>
      <c r="F4452">
        <v>0.69632708999929205</v>
      </c>
      <c r="G4452">
        <v>0.54991325217703302</v>
      </c>
      <c r="H4452">
        <v>0.385271592711731</v>
      </c>
      <c r="I4452">
        <v>0.25511276451561299</v>
      </c>
      <c r="J4452">
        <v>0.155972140555904</v>
      </c>
      <c r="K4452">
        <v>0.13455241720838201</v>
      </c>
      <c r="L4452">
        <v>575.20479473897694</v>
      </c>
      <c r="M4452">
        <v>10.5485809740966</v>
      </c>
      <c r="N4452">
        <v>54.580276484439402</v>
      </c>
      <c r="O4452">
        <v>52.678797890170998</v>
      </c>
      <c r="P4452">
        <v>-4.9834305218475199E-2</v>
      </c>
      <c r="Q4452">
        <v>4.9195841354644099E-3</v>
      </c>
      <c r="R4452">
        <v>0.99479721865006099</v>
      </c>
      <c r="S4452" t="s">
        <v>10003</v>
      </c>
      <c r="T4452" t="s">
        <v>11100</v>
      </c>
      <c r="U4452" t="s">
        <v>11100</v>
      </c>
      <c r="V4452" t="s">
        <v>11100</v>
      </c>
      <c r="W4452" t="s">
        <v>15501</v>
      </c>
      <c r="X4452">
        <v>3</v>
      </c>
      <c r="Y4452" t="s">
        <v>20932</v>
      </c>
      <c r="Z4452" t="s">
        <v>26457</v>
      </c>
      <c r="AA4452">
        <v>0.60163800219501706</v>
      </c>
      <c r="AB4452" t="str">
        <f>HYPERLINK("Melting_Curves/meltCurve_Q99487_PAFAH2.pdf", "Melting_Curves/meltCurve_Q99487_PAFAH2.pdf")</f>
        <v>Melting_Curves/meltCurve_Q99487_PAFAH2.pdf</v>
      </c>
    </row>
    <row r="4453" spans="1:28" x14ac:dyDescent="0.25">
      <c r="A4453" t="s">
        <v>4457</v>
      </c>
      <c r="B4453">
        <v>0.99299721793515405</v>
      </c>
      <c r="C4453">
        <v>1.0936540753421999</v>
      </c>
      <c r="D4453">
        <v>0.95910086433819897</v>
      </c>
      <c r="E4453">
        <v>0.96700994821244601</v>
      </c>
      <c r="F4453">
        <v>0.75851117207574703</v>
      </c>
      <c r="G4453">
        <v>0.64878434243948402</v>
      </c>
      <c r="H4453">
        <v>0.36105842483190598</v>
      </c>
      <c r="I4453">
        <v>0.27606575881671402</v>
      </c>
      <c r="J4453">
        <v>0.20171232808220299</v>
      </c>
      <c r="K4453">
        <v>0.12682183521616799</v>
      </c>
      <c r="L4453">
        <v>782.69806248169698</v>
      </c>
      <c r="M4453">
        <v>14.2671640839764</v>
      </c>
      <c r="N4453">
        <v>55.542424626545603</v>
      </c>
      <c r="O4453">
        <v>53.816079732123498</v>
      </c>
      <c r="P4453">
        <v>-6.0957273125686801E-2</v>
      </c>
      <c r="Q4453">
        <v>8.0384056929209302E-2</v>
      </c>
      <c r="R4453">
        <v>0.98509162705433595</v>
      </c>
      <c r="S4453" t="s">
        <v>10004</v>
      </c>
      <c r="T4453" t="s">
        <v>11100</v>
      </c>
      <c r="U4453" t="s">
        <v>11100</v>
      </c>
      <c r="V4453" t="s">
        <v>11100</v>
      </c>
      <c r="W4453" t="s">
        <v>15502</v>
      </c>
      <c r="X4453">
        <v>6</v>
      </c>
      <c r="Y4453" t="s">
        <v>20933</v>
      </c>
      <c r="Z4453" t="s">
        <v>26458</v>
      </c>
      <c r="AA4453">
        <v>0.64137896466250666</v>
      </c>
      <c r="AB4453" t="str">
        <f>HYPERLINK("Melting_Curves/meltCurve_Q99496_RNF2.pdf", "Melting_Curves/meltCurve_Q99496_RNF2.pdf")</f>
        <v>Melting_Curves/meltCurve_Q99496_RNF2.pdf</v>
      </c>
    </row>
    <row r="4454" spans="1:28" x14ac:dyDescent="0.25">
      <c r="A4454" t="s">
        <v>4458</v>
      </c>
      <c r="B4454">
        <v>0.99299721793515405</v>
      </c>
      <c r="C4454">
        <v>1.03495280873433</v>
      </c>
      <c r="D4454">
        <v>1.0658861774189901</v>
      </c>
      <c r="E4454">
        <v>0.98137644131705504</v>
      </c>
      <c r="F4454">
        <v>0.85526287603580897</v>
      </c>
      <c r="G4454">
        <v>0.76326189567955605</v>
      </c>
      <c r="H4454">
        <v>0.61362072789529498</v>
      </c>
      <c r="I4454">
        <v>0.68345238780868101</v>
      </c>
      <c r="J4454">
        <v>0.46398749608249201</v>
      </c>
      <c r="K4454">
        <v>0.29233340593426199</v>
      </c>
      <c r="L4454">
        <v>538.00691178651903</v>
      </c>
      <c r="M4454">
        <v>8.6070925986032893</v>
      </c>
      <c r="N4454">
        <v>62.507388713709503</v>
      </c>
      <c r="O4454">
        <v>59.407718911582698</v>
      </c>
      <c r="P4454">
        <v>-3.6251563640896302E-2</v>
      </c>
      <c r="Q4454">
        <v>0</v>
      </c>
      <c r="R4454">
        <v>0.93549474289469303</v>
      </c>
      <c r="S4454" t="s">
        <v>10005</v>
      </c>
      <c r="T4454" t="s">
        <v>11100</v>
      </c>
      <c r="U4454" t="s">
        <v>11100</v>
      </c>
      <c r="V4454" t="s">
        <v>11100</v>
      </c>
      <c r="W4454" t="s">
        <v>15503</v>
      </c>
      <c r="X4454">
        <v>17</v>
      </c>
      <c r="Y4454" t="s">
        <v>20934</v>
      </c>
      <c r="Z4454" t="s">
        <v>26459</v>
      </c>
      <c r="AA4454">
        <v>0.78075094419257818</v>
      </c>
      <c r="AB4454" t="str">
        <f>HYPERLINK("Melting_Curves/meltCurve_Q99497_PARK7.pdf", "Melting_Curves/meltCurve_Q99497_PARK7.pdf")</f>
        <v>Melting_Curves/meltCurve_Q99497_PARK7.pdf</v>
      </c>
    </row>
    <row r="4455" spans="1:28" x14ac:dyDescent="0.25">
      <c r="A4455" t="s">
        <v>4459</v>
      </c>
      <c r="B4455">
        <v>0.99299721793515405</v>
      </c>
      <c r="C4455">
        <v>0.91611107117978197</v>
      </c>
      <c r="D4455">
        <v>0.88046649338626704</v>
      </c>
      <c r="E4455">
        <v>0.75507784471839101</v>
      </c>
      <c r="F4455">
        <v>0.38509335067732903</v>
      </c>
      <c r="G4455">
        <v>0.29263655562874102</v>
      </c>
      <c r="H4455">
        <v>0.21982137436502799</v>
      </c>
      <c r="I4455">
        <v>0.19043466807725701</v>
      </c>
      <c r="J4455">
        <v>0.168566301675802</v>
      </c>
      <c r="K4455">
        <v>0.120429050497881</v>
      </c>
      <c r="L4455">
        <v>786.90150155593801</v>
      </c>
      <c r="M4455">
        <v>16.294715633529801</v>
      </c>
      <c r="N4455">
        <v>49.320179029497801</v>
      </c>
      <c r="O4455">
        <v>47.582064795060198</v>
      </c>
      <c r="P4455">
        <v>-7.3288345518036493E-2</v>
      </c>
      <c r="Q4455">
        <v>0.144027732356932</v>
      </c>
      <c r="R4455">
        <v>0.98873747274605495</v>
      </c>
      <c r="S4455" t="s">
        <v>10006</v>
      </c>
      <c r="T4455" t="s">
        <v>11100</v>
      </c>
      <c r="U4455" t="s">
        <v>11100</v>
      </c>
      <c r="V4455" t="s">
        <v>11100</v>
      </c>
      <c r="W4455" t="s">
        <v>15504</v>
      </c>
      <c r="X4455">
        <v>6</v>
      </c>
      <c r="Y4455" t="s">
        <v>20935</v>
      </c>
      <c r="Z4455" t="s">
        <v>26460</v>
      </c>
      <c r="AA4455">
        <v>0.48249764992753008</v>
      </c>
      <c r="AB4455" t="str">
        <f>HYPERLINK("Melting_Curves/meltCurve_Q99504_2_EYA3.pdf", "Melting_Curves/meltCurve_Q99504_2_EYA3.pdf")</f>
        <v>Melting_Curves/meltCurve_Q99504_2_EYA3.pdf</v>
      </c>
    </row>
    <row r="4456" spans="1:28" x14ac:dyDescent="0.25">
      <c r="A4456" t="s">
        <v>4460</v>
      </c>
      <c r="B4456">
        <v>0.99299721793515405</v>
      </c>
      <c r="C4456">
        <v>0.76785183222249698</v>
      </c>
      <c r="D4456">
        <v>0.70007561153144304</v>
      </c>
      <c r="E4456">
        <v>0.65581211075132995</v>
      </c>
      <c r="F4456">
        <v>0.567911950362743</v>
      </c>
      <c r="G4456">
        <v>0.62697840016501505</v>
      </c>
      <c r="H4456">
        <v>0.64922076065115697</v>
      </c>
      <c r="I4456">
        <v>0.87462435127108096</v>
      </c>
      <c r="J4456">
        <v>0.35542999138910297</v>
      </c>
      <c r="K4456">
        <v>0.16578247573617799</v>
      </c>
      <c r="L4456">
        <v>185.276199357557</v>
      </c>
      <c r="M4456">
        <v>3.0602668097443102</v>
      </c>
      <c r="N4456">
        <v>60.542502797695597</v>
      </c>
      <c r="O4456">
        <v>44.966501441927498</v>
      </c>
      <c r="P4456">
        <v>-1.75103443336312E-2</v>
      </c>
      <c r="Q4456">
        <v>0</v>
      </c>
      <c r="R4456">
        <v>0.47153199395539802</v>
      </c>
      <c r="S4456" t="s">
        <v>10007</v>
      </c>
      <c r="T4456" t="s">
        <v>11100</v>
      </c>
      <c r="U4456" t="s">
        <v>11100</v>
      </c>
      <c r="V4456" t="s">
        <v>11100</v>
      </c>
      <c r="W4456" t="s">
        <v>15505</v>
      </c>
      <c r="X4456">
        <v>4</v>
      </c>
      <c r="Y4456" t="s">
        <v>20936</v>
      </c>
      <c r="Z4456" t="s">
        <v>26461</v>
      </c>
      <c r="AA4456">
        <v>0.63383680945925569</v>
      </c>
      <c r="AB4456" t="str">
        <f>HYPERLINK("Melting_Curves/meltCurve_Q99519_NEU1.pdf", "Melting_Curves/meltCurve_Q99519_NEU1.pdf")</f>
        <v>Melting_Curves/meltCurve_Q99519_NEU1.pdf</v>
      </c>
    </row>
    <row r="4457" spans="1:28" x14ac:dyDescent="0.25">
      <c r="A4457" t="s">
        <v>4461</v>
      </c>
      <c r="B4457">
        <v>0.99299721793515405</v>
      </c>
      <c r="C4457">
        <v>1.01834453145801</v>
      </c>
      <c r="D4457">
        <v>0.88329776455845899</v>
      </c>
      <c r="E4457">
        <v>0.910178991693675</v>
      </c>
      <c r="F4457">
        <v>0.79830021720828004</v>
      </c>
      <c r="G4457">
        <v>0.73522677370362099</v>
      </c>
      <c r="H4457">
        <v>0.69848045971600103</v>
      </c>
      <c r="I4457">
        <v>0.67863352993912096</v>
      </c>
      <c r="J4457">
        <v>0.416579520092341</v>
      </c>
      <c r="K4457">
        <v>0.31576140143259901</v>
      </c>
      <c r="L4457">
        <v>429.32950198256901</v>
      </c>
      <c r="M4457">
        <v>6.8456959798466901</v>
      </c>
      <c r="N4457">
        <v>62.715245026221403</v>
      </c>
      <c r="O4457">
        <v>58.017443040439801</v>
      </c>
      <c r="P4457">
        <v>-2.95577708355402E-2</v>
      </c>
      <c r="Q4457">
        <v>0</v>
      </c>
      <c r="R4457">
        <v>0.92358802357691605</v>
      </c>
      <c r="S4457" t="s">
        <v>10008</v>
      </c>
      <c r="T4457" t="s">
        <v>11100</v>
      </c>
      <c r="U4457" t="s">
        <v>11100</v>
      </c>
      <c r="V4457" t="s">
        <v>11100</v>
      </c>
      <c r="W4457" t="s">
        <v>15506</v>
      </c>
      <c r="X4457">
        <v>7</v>
      </c>
      <c r="Y4457" t="s">
        <v>20937</v>
      </c>
      <c r="Z4457" t="s">
        <v>26462</v>
      </c>
      <c r="AA4457">
        <v>0.76066422433530412</v>
      </c>
      <c r="AB4457" t="str">
        <f>HYPERLINK("Melting_Curves/meltCurve_Q99523_SORT1.pdf", "Melting_Curves/meltCurve_Q99523_SORT1.pdf")</f>
        <v>Melting_Curves/meltCurve_Q99523_SORT1.pdf</v>
      </c>
    </row>
    <row r="4458" spans="1:28" x14ac:dyDescent="0.25">
      <c r="A4458" t="s">
        <v>4462</v>
      </c>
      <c r="B4458">
        <v>0.99299721793515405</v>
      </c>
      <c r="C4458">
        <v>0.988458994478292</v>
      </c>
      <c r="D4458">
        <v>0.912026503978414</v>
      </c>
      <c r="E4458">
        <v>0.90948316686200803</v>
      </c>
      <c r="F4458">
        <v>0.79633894449004805</v>
      </c>
      <c r="G4458">
        <v>0.62541736889973099</v>
      </c>
      <c r="H4458">
        <v>0.56213542783530901</v>
      </c>
      <c r="I4458">
        <v>0.56042580808438602</v>
      </c>
      <c r="J4458">
        <v>0.37063583434331598</v>
      </c>
      <c r="K4458">
        <v>0.20116608169914599</v>
      </c>
      <c r="L4458">
        <v>450.83578685263802</v>
      </c>
      <c r="M4458">
        <v>7.6090059391247999</v>
      </c>
      <c r="N4458">
        <v>59.250285505571298</v>
      </c>
      <c r="O4458">
        <v>55.573346763102499</v>
      </c>
      <c r="P4458">
        <v>-3.4276215303765498E-2</v>
      </c>
      <c r="Q4458">
        <v>0</v>
      </c>
      <c r="R4458">
        <v>0.95956790602117004</v>
      </c>
      <c r="S4458" t="s">
        <v>10009</v>
      </c>
      <c r="T4458" t="s">
        <v>11100</v>
      </c>
      <c r="U4458" t="s">
        <v>11100</v>
      </c>
      <c r="V4458" t="s">
        <v>11100</v>
      </c>
      <c r="W4458" t="s">
        <v>15507</v>
      </c>
      <c r="X4458">
        <v>10</v>
      </c>
      <c r="Y4458" t="s">
        <v>20938</v>
      </c>
      <c r="Z4458" t="s">
        <v>26463</v>
      </c>
      <c r="AA4458">
        <v>0.70326080080701814</v>
      </c>
      <c r="AB4458" t="str">
        <f>HYPERLINK("Melting_Curves/meltCurve_Q99536_VAT1.pdf", "Melting_Curves/meltCurve_Q99536_VAT1.pdf")</f>
        <v>Melting_Curves/meltCurve_Q99536_VAT1.pdf</v>
      </c>
    </row>
    <row r="4459" spans="1:28" x14ac:dyDescent="0.25">
      <c r="A4459" t="s">
        <v>4463</v>
      </c>
      <c r="B4459">
        <v>0.99299721793515405</v>
      </c>
      <c r="C4459">
        <v>0.96442013132643001</v>
      </c>
      <c r="D4459">
        <v>1.0647217234702999</v>
      </c>
      <c r="E4459">
        <v>0.68754296881659704</v>
      </c>
      <c r="F4459">
        <v>0.36154865344495801</v>
      </c>
      <c r="G4459">
        <v>0.304740681445413</v>
      </c>
      <c r="H4459">
        <v>0.19200745593414001</v>
      </c>
      <c r="I4459">
        <v>0.181188899149133</v>
      </c>
      <c r="J4459">
        <v>0.139362382424607</v>
      </c>
      <c r="K4459">
        <v>0.15988974921628901</v>
      </c>
      <c r="L4459">
        <v>1216.0841417351201</v>
      </c>
      <c r="M4459">
        <v>25.419575620734602</v>
      </c>
      <c r="N4459">
        <v>48.691191495805299</v>
      </c>
      <c r="O4459">
        <v>47.547323456099598</v>
      </c>
      <c r="P4459">
        <v>-0.109690059025077</v>
      </c>
      <c r="Q4459">
        <v>0.17930919077591001</v>
      </c>
      <c r="R4459">
        <v>0.98278366901450798</v>
      </c>
      <c r="S4459" t="s">
        <v>10010</v>
      </c>
      <c r="T4459" t="s">
        <v>11100</v>
      </c>
      <c r="U4459" t="s">
        <v>11100</v>
      </c>
      <c r="V4459" t="s">
        <v>11100</v>
      </c>
      <c r="W4459" t="s">
        <v>15508</v>
      </c>
      <c r="X4459">
        <v>12</v>
      </c>
      <c r="Y4459" t="s">
        <v>20939</v>
      </c>
      <c r="Z4459" t="s">
        <v>26464</v>
      </c>
      <c r="AA4459">
        <v>0.48261531797208601</v>
      </c>
      <c r="AB4459" t="str">
        <f>HYPERLINK("Melting_Curves/meltCurve_Q99543_DNAJC2.pdf", "Melting_Curves/meltCurve_Q99543_DNAJC2.pdf")</f>
        <v>Melting_Curves/meltCurve_Q99543_DNAJC2.pdf</v>
      </c>
    </row>
    <row r="4460" spans="1:28" x14ac:dyDescent="0.25">
      <c r="A4460" t="s">
        <v>4464</v>
      </c>
      <c r="B4460">
        <v>0.99299721793515405</v>
      </c>
      <c r="C4460">
        <v>0.98452492026395899</v>
      </c>
      <c r="D4460">
        <v>0.89917426193318195</v>
      </c>
      <c r="E4460">
        <v>0.79413813663268296</v>
      </c>
      <c r="F4460">
        <v>0.61170238079883499</v>
      </c>
      <c r="G4460">
        <v>0.40517626490776798</v>
      </c>
      <c r="H4460">
        <v>0.29814247428163498</v>
      </c>
      <c r="I4460">
        <v>0.23483231281837599</v>
      </c>
      <c r="J4460">
        <v>0.21646900289276899</v>
      </c>
      <c r="K4460">
        <v>0.18053543679044201</v>
      </c>
      <c r="L4460">
        <v>656.51797597250595</v>
      </c>
      <c r="M4460">
        <v>12.9817481888358</v>
      </c>
      <c r="N4460">
        <v>52.030061242547099</v>
      </c>
      <c r="O4460">
        <v>49.417458572279799</v>
      </c>
      <c r="P4460">
        <v>-5.5671868996465999E-2</v>
      </c>
      <c r="Q4460">
        <v>0.15244892297804</v>
      </c>
      <c r="R4460">
        <v>0.99874217326108905</v>
      </c>
      <c r="S4460" t="s">
        <v>10011</v>
      </c>
      <c r="T4460" t="s">
        <v>11100</v>
      </c>
      <c r="U4460" t="s">
        <v>11100</v>
      </c>
      <c r="V4460" t="s">
        <v>11100</v>
      </c>
      <c r="W4460" t="s">
        <v>15509</v>
      </c>
      <c r="X4460">
        <v>9</v>
      </c>
      <c r="Y4460" t="s">
        <v>20940</v>
      </c>
      <c r="Z4460" t="s">
        <v>26465</v>
      </c>
      <c r="AA4460">
        <v>0.55676524567937535</v>
      </c>
      <c r="AB4460" t="str">
        <f>HYPERLINK("Melting_Curves/meltCurve_Q99567_NUP88.pdf", "Melting_Curves/meltCurve_Q99567_NUP88.pdf")</f>
        <v>Melting_Curves/meltCurve_Q99567_NUP88.pdf</v>
      </c>
    </row>
    <row r="4461" spans="1:28" x14ac:dyDescent="0.25">
      <c r="A4461" t="s">
        <v>4465</v>
      </c>
      <c r="B4461">
        <v>0.99299721793515405</v>
      </c>
      <c r="C4461">
        <v>0.79190067228140604</v>
      </c>
      <c r="D4461">
        <v>0.86776023110735301</v>
      </c>
      <c r="E4461">
        <v>0.67884708055466603</v>
      </c>
      <c r="F4461">
        <v>0.67974775020153999</v>
      </c>
      <c r="G4461">
        <v>0.98690663757085095</v>
      </c>
      <c r="H4461">
        <v>1.4470181480175099</v>
      </c>
      <c r="I4461">
        <v>1.0951881410214399</v>
      </c>
      <c r="J4461">
        <v>0.54044313106450903</v>
      </c>
      <c r="K4461">
        <v>0.23426035107360499</v>
      </c>
      <c r="L4461">
        <v>15000</v>
      </c>
      <c r="M4461">
        <v>234.415347297464</v>
      </c>
      <c r="N4461">
        <v>64.161972042025496</v>
      </c>
      <c r="O4461">
        <v>63.984327159969503</v>
      </c>
      <c r="P4461">
        <v>-0.70136803940842996</v>
      </c>
      <c r="Q4461">
        <v>0.23423850121950299</v>
      </c>
      <c r="R4461">
        <v>0.51923058756867202</v>
      </c>
      <c r="S4461" t="s">
        <v>10012</v>
      </c>
      <c r="T4461" t="s">
        <v>11100</v>
      </c>
      <c r="U4461" t="s">
        <v>11100</v>
      </c>
      <c r="V4461" t="s">
        <v>11100</v>
      </c>
      <c r="W4461" t="s">
        <v>15510</v>
      </c>
      <c r="X4461">
        <v>2</v>
      </c>
      <c r="Y4461" t="s">
        <v>20941</v>
      </c>
      <c r="Z4461" t="s">
        <v>26466</v>
      </c>
      <c r="AA4461">
        <v>0.92324027979061762</v>
      </c>
      <c r="AB4461" t="str">
        <f>HYPERLINK("Melting_Curves/meltCurve_Q99575_POP1.pdf", "Melting_Curves/meltCurve_Q99575_POP1.pdf")</f>
        <v>Melting_Curves/meltCurve_Q99575_POP1.pdf</v>
      </c>
    </row>
    <row r="4462" spans="1:28" x14ac:dyDescent="0.25">
      <c r="A4462" t="s">
        <v>4466</v>
      </c>
      <c r="B4462">
        <v>0.99299721793515405</v>
      </c>
      <c r="C4462">
        <v>0.79289380984647195</v>
      </c>
      <c r="D4462">
        <v>0.70659210063939903</v>
      </c>
      <c r="E4462">
        <v>0.60673321972590299</v>
      </c>
      <c r="F4462">
        <v>0.730969757026105</v>
      </c>
      <c r="G4462">
        <v>0.42401985667891601</v>
      </c>
      <c r="H4462">
        <v>0.47168065881830701</v>
      </c>
      <c r="I4462">
        <v>0.49186838813358702</v>
      </c>
      <c r="J4462">
        <v>0.50948466554585403</v>
      </c>
      <c r="K4462">
        <v>0.36256430984453802</v>
      </c>
      <c r="L4462">
        <v>362.50917341342398</v>
      </c>
      <c r="M4462">
        <v>8.0950890381206193</v>
      </c>
      <c r="N4462">
        <v>55.651029566736</v>
      </c>
      <c r="O4462">
        <v>42.296987765633297</v>
      </c>
      <c r="P4462">
        <v>-2.8876678855663598E-2</v>
      </c>
      <c r="Q4462">
        <v>0.39712735938548699</v>
      </c>
      <c r="R4462">
        <v>0.83261229267123504</v>
      </c>
      <c r="S4462" t="s">
        <v>10013</v>
      </c>
      <c r="T4462" t="s">
        <v>11100</v>
      </c>
      <c r="U4462" t="s">
        <v>11100</v>
      </c>
      <c r="V4462" t="s">
        <v>11100</v>
      </c>
      <c r="W4462" t="s">
        <v>15511</v>
      </c>
      <c r="X4462">
        <v>1</v>
      </c>
      <c r="Y4462" t="s">
        <v>20942</v>
      </c>
      <c r="Z4462" t="s">
        <v>26467</v>
      </c>
      <c r="AA4462">
        <v>0.59503853443190879</v>
      </c>
      <c r="AB4462" t="str">
        <f>HYPERLINK("Melting_Curves/meltCurve_Q99583_MNT.pdf", "Melting_Curves/meltCurve_Q99583_MNT.pdf")</f>
        <v>Melting_Curves/meltCurve_Q99583_MNT.pdf</v>
      </c>
    </row>
    <row r="4463" spans="1:28" x14ac:dyDescent="0.25">
      <c r="A4463" t="s">
        <v>4467</v>
      </c>
      <c r="B4463">
        <v>0.99299721793515405</v>
      </c>
      <c r="C4463">
        <v>0.99452753300750896</v>
      </c>
      <c r="D4463">
        <v>0.92693248917297699</v>
      </c>
      <c r="E4463">
        <v>0.89959566134468105</v>
      </c>
      <c r="F4463">
        <v>0.75276287876679604</v>
      </c>
      <c r="G4463">
        <v>0.54917046002112302</v>
      </c>
      <c r="H4463">
        <v>0.51683424956997404</v>
      </c>
      <c r="I4463">
        <v>0.51633511601869297</v>
      </c>
      <c r="J4463">
        <v>0.49884861437953398</v>
      </c>
      <c r="K4463">
        <v>0.36345416291319899</v>
      </c>
      <c r="L4463">
        <v>738.68609013227604</v>
      </c>
      <c r="M4463">
        <v>14.5479896881918</v>
      </c>
      <c r="N4463">
        <v>58.187309124155298</v>
      </c>
      <c r="O4463">
        <v>49.845345263341898</v>
      </c>
      <c r="P4463">
        <v>-4.2206761844687302E-2</v>
      </c>
      <c r="Q4463">
        <v>0.42161876628661799</v>
      </c>
      <c r="R4463">
        <v>0.970600502499672</v>
      </c>
      <c r="S4463" t="s">
        <v>10014</v>
      </c>
      <c r="T4463" t="s">
        <v>11100</v>
      </c>
      <c r="U4463" t="s">
        <v>11100</v>
      </c>
      <c r="V4463" t="s">
        <v>11100</v>
      </c>
      <c r="W4463" t="s">
        <v>15512</v>
      </c>
      <c r="X4463">
        <v>8</v>
      </c>
      <c r="Y4463" t="s">
        <v>20943</v>
      </c>
      <c r="Z4463" t="s">
        <v>26468</v>
      </c>
      <c r="AA4463">
        <v>0.69944660829208349</v>
      </c>
      <c r="AB4463" t="str">
        <f>HYPERLINK("Melting_Curves/meltCurve_Q99584_S100A13.pdf", "Melting_Curves/meltCurve_Q99584_S100A13.pdf")</f>
        <v>Melting_Curves/meltCurve_Q99584_S100A13.pdf</v>
      </c>
    </row>
    <row r="4464" spans="1:28" x14ac:dyDescent="0.25">
      <c r="A4464" t="s">
        <v>4468</v>
      </c>
      <c r="B4464">
        <v>0.99299721793515405</v>
      </c>
      <c r="C4464">
        <v>1.0188646231626799</v>
      </c>
      <c r="D4464">
        <v>0.90870678122678095</v>
      </c>
      <c r="E4464">
        <v>0.90728836309099703</v>
      </c>
      <c r="F4464">
        <v>0.67217390529994903</v>
      </c>
      <c r="G4464">
        <v>0.50353151205716995</v>
      </c>
      <c r="H4464">
        <v>0.60748313930566</v>
      </c>
      <c r="I4464">
        <v>0.63753416945369801</v>
      </c>
      <c r="J4464">
        <v>0.55455488629327798</v>
      </c>
      <c r="K4464">
        <v>0.28162595979404598</v>
      </c>
      <c r="L4464">
        <v>653.23309171127801</v>
      </c>
      <c r="M4464">
        <v>13.1296649005488</v>
      </c>
      <c r="N4464">
        <v>60.7984733125001</v>
      </c>
      <c r="O4464">
        <v>48.640774177437699</v>
      </c>
      <c r="P4464">
        <v>-3.6853545577493402E-2</v>
      </c>
      <c r="Q4464">
        <v>0.45397529536224801</v>
      </c>
      <c r="R4464">
        <v>0.83839786375384195</v>
      </c>
      <c r="S4464" t="s">
        <v>10015</v>
      </c>
      <c r="T4464" t="s">
        <v>11100</v>
      </c>
      <c r="U4464" t="s">
        <v>11100</v>
      </c>
      <c r="V4464" t="s">
        <v>11100</v>
      </c>
      <c r="W4464" t="s">
        <v>15513</v>
      </c>
      <c r="X4464">
        <v>2</v>
      </c>
      <c r="Y4464" t="s">
        <v>20944</v>
      </c>
      <c r="Z4464" t="s">
        <v>26469</v>
      </c>
      <c r="AA4464">
        <v>0.69993909140310895</v>
      </c>
      <c r="AB4464" t="str">
        <f>HYPERLINK("Melting_Curves/meltCurve_Q99595_TIMM17A.pdf", "Melting_Curves/meltCurve_Q99595_TIMM17A.pdf")</f>
        <v>Melting_Curves/meltCurve_Q99595_TIMM17A.pdf</v>
      </c>
    </row>
    <row r="4465" spans="1:28" x14ac:dyDescent="0.25">
      <c r="A4465" t="s">
        <v>4469</v>
      </c>
      <c r="B4465">
        <v>0.99299721793515405</v>
      </c>
      <c r="C4465">
        <v>0.99346365090551203</v>
      </c>
      <c r="D4465">
        <v>1.00462497509862</v>
      </c>
      <c r="E4465">
        <v>0.86451090913638795</v>
      </c>
      <c r="F4465">
        <v>0.74127417903602799</v>
      </c>
      <c r="G4465">
        <v>0.78599241494927297</v>
      </c>
      <c r="H4465">
        <v>0.72342759198289297</v>
      </c>
      <c r="I4465">
        <v>0.76247475897904504</v>
      </c>
      <c r="J4465">
        <v>0.720814518331646</v>
      </c>
      <c r="K4465">
        <v>0.45597627514380101</v>
      </c>
      <c r="L4465">
        <v>283.88267859972399</v>
      </c>
      <c r="M4465">
        <v>3.9333898737593498</v>
      </c>
      <c r="O4465">
        <v>58.932116050961703</v>
      </c>
      <c r="P4465">
        <v>-1.6912427049665502E-2</v>
      </c>
      <c r="Q4465">
        <v>0</v>
      </c>
      <c r="R4465">
        <v>0.80068616604535403</v>
      </c>
      <c r="S4465" t="s">
        <v>10016</v>
      </c>
      <c r="T4465" t="s">
        <v>11100</v>
      </c>
      <c r="U4465" t="s">
        <v>11100</v>
      </c>
      <c r="V4465" t="s">
        <v>11100</v>
      </c>
      <c r="W4465" t="s">
        <v>15514</v>
      </c>
      <c r="X4465">
        <v>18</v>
      </c>
      <c r="Y4465" t="s">
        <v>20945</v>
      </c>
      <c r="Z4465" t="s">
        <v>26470</v>
      </c>
      <c r="AA4465">
        <v>0.80561931726857672</v>
      </c>
      <c r="AB4465" t="str">
        <f>HYPERLINK("Melting_Curves/meltCurve_Q99598_TSNAX.pdf", "Melting_Curves/meltCurve_Q99598_TSNAX.pdf")</f>
        <v>Melting_Curves/meltCurve_Q99598_TSNAX.pdf</v>
      </c>
    </row>
    <row r="4466" spans="1:28" x14ac:dyDescent="0.25">
      <c r="A4466" t="s">
        <v>4470</v>
      </c>
      <c r="B4466">
        <v>0.99299721793515405</v>
      </c>
      <c r="C4466">
        <v>0.88537975149994397</v>
      </c>
      <c r="D4466">
        <v>0.83288779801963098</v>
      </c>
      <c r="E4466">
        <v>0.82000384612198995</v>
      </c>
      <c r="F4466">
        <v>0.72608475576802101</v>
      </c>
      <c r="G4466">
        <v>0.58732094676216895</v>
      </c>
      <c r="H4466">
        <v>0.56812786208708299</v>
      </c>
      <c r="I4466">
        <v>0.72996973584592795</v>
      </c>
      <c r="J4466">
        <v>0.77271662338661695</v>
      </c>
      <c r="K4466">
        <v>0.66861205167096804</v>
      </c>
      <c r="L4466">
        <v>597.798052960478</v>
      </c>
      <c r="M4466">
        <v>13.817885801348201</v>
      </c>
      <c r="O4466">
        <v>42.386716609468202</v>
      </c>
      <c r="P4466">
        <v>-2.7072081587663301E-2</v>
      </c>
      <c r="Q4466">
        <v>0.66786906066149099</v>
      </c>
      <c r="R4466">
        <v>0.732286877223009</v>
      </c>
      <c r="S4466" t="s">
        <v>10017</v>
      </c>
      <c r="T4466" t="s">
        <v>11100</v>
      </c>
      <c r="U4466" t="s">
        <v>11100</v>
      </c>
      <c r="V4466" t="s">
        <v>11100</v>
      </c>
      <c r="W4466" t="s">
        <v>15515</v>
      </c>
      <c r="X4466">
        <v>3</v>
      </c>
      <c r="Y4466" t="s">
        <v>20946</v>
      </c>
      <c r="Z4466" t="s">
        <v>26471</v>
      </c>
      <c r="AA4466">
        <v>0.74743022177634544</v>
      </c>
      <c r="AB4466" t="str">
        <f>HYPERLINK("Melting_Curves/meltCurve_Q99611_SEPHS2.pdf", "Melting_Curves/meltCurve_Q99611_SEPHS2.pdf")</f>
        <v>Melting_Curves/meltCurve_Q99611_SEPHS2.pdf</v>
      </c>
    </row>
    <row r="4467" spans="1:28" x14ac:dyDescent="0.25">
      <c r="A4467" t="s">
        <v>4471</v>
      </c>
      <c r="B4467">
        <v>0.99299721793515405</v>
      </c>
      <c r="C4467">
        <v>0.95494449197466702</v>
      </c>
      <c r="D4467">
        <v>1.0629524014506599</v>
      </c>
      <c r="E4467">
        <v>0.87445560589849602</v>
      </c>
      <c r="F4467">
        <v>0.77416126741166802</v>
      </c>
      <c r="G4467">
        <v>0.64262284960473404</v>
      </c>
      <c r="H4467">
        <v>0.60792322802889498</v>
      </c>
      <c r="I4467">
        <v>0.73760726872434701</v>
      </c>
      <c r="J4467">
        <v>0.77468275840438205</v>
      </c>
      <c r="K4467">
        <v>0.99585351591065396</v>
      </c>
      <c r="L4467">
        <v>5756.4987298143296</v>
      </c>
      <c r="M4467">
        <v>123.58335071216101</v>
      </c>
      <c r="O4467">
        <v>46.567694756236001</v>
      </c>
      <c r="P4467">
        <v>-0.162237388718287</v>
      </c>
      <c r="Q4467">
        <v>0.75546799891857197</v>
      </c>
      <c r="R4467">
        <v>0.55574792539627205</v>
      </c>
      <c r="S4467" t="s">
        <v>10018</v>
      </c>
      <c r="T4467" t="s">
        <v>11100</v>
      </c>
      <c r="U4467" t="s">
        <v>11100</v>
      </c>
      <c r="V4467" t="s">
        <v>11100</v>
      </c>
      <c r="W4467" t="s">
        <v>15516</v>
      </c>
      <c r="X4467">
        <v>20</v>
      </c>
      <c r="Y4467" t="s">
        <v>20947</v>
      </c>
      <c r="Z4467" t="s">
        <v>26472</v>
      </c>
      <c r="AA4467">
        <v>0.83363617000302326</v>
      </c>
      <c r="AB4467" t="str">
        <f>HYPERLINK("Melting_Curves/meltCurve_Q99614_TTC1.pdf", "Melting_Curves/meltCurve_Q99614_TTC1.pdf")</f>
        <v>Melting_Curves/meltCurve_Q99614_TTC1.pdf</v>
      </c>
    </row>
    <row r="4468" spans="1:28" x14ac:dyDescent="0.25">
      <c r="A4468" t="s">
        <v>4472</v>
      </c>
      <c r="B4468">
        <v>0.99299721793515405</v>
      </c>
      <c r="C4468">
        <v>1.0207524121021101</v>
      </c>
      <c r="D4468">
        <v>0.97541208734117302</v>
      </c>
      <c r="E4468">
        <v>0.85472688170992805</v>
      </c>
      <c r="F4468">
        <v>0.64094705980092503</v>
      </c>
      <c r="G4468">
        <v>0.214487240040236</v>
      </c>
      <c r="H4468">
        <v>0.15777908487828099</v>
      </c>
      <c r="I4468">
        <v>0.146568358733279</v>
      </c>
      <c r="J4468">
        <v>0.148624876634119</v>
      </c>
      <c r="K4468">
        <v>0.1237477274958</v>
      </c>
      <c r="L4468">
        <v>1350.74479215465</v>
      </c>
      <c r="M4468">
        <v>26.772535541449901</v>
      </c>
      <c r="N4468">
        <v>51.007236094084703</v>
      </c>
      <c r="O4468">
        <v>50.173685787619299</v>
      </c>
      <c r="P4468">
        <v>-0.11655489802037999</v>
      </c>
      <c r="Q4468">
        <v>0.126279790484226</v>
      </c>
      <c r="R4468">
        <v>0.99337150428365195</v>
      </c>
      <c r="S4468" t="s">
        <v>10019</v>
      </c>
      <c r="T4468" t="s">
        <v>11100</v>
      </c>
      <c r="U4468" t="s">
        <v>11100</v>
      </c>
      <c r="V4468" t="s">
        <v>11100</v>
      </c>
      <c r="W4468" t="s">
        <v>15517</v>
      </c>
      <c r="X4468">
        <v>32</v>
      </c>
      <c r="Y4468" t="s">
        <v>20948</v>
      </c>
      <c r="Z4468" t="s">
        <v>26473</v>
      </c>
      <c r="AA4468">
        <v>0.52481102326645157</v>
      </c>
      <c r="AB4468" t="str">
        <f>HYPERLINK("Melting_Curves/meltCurve_Q99615_DNAJC7.pdf", "Melting_Curves/meltCurve_Q99615_DNAJC7.pdf")</f>
        <v>Melting_Curves/meltCurve_Q99615_DNAJC7.pdf</v>
      </c>
    </row>
    <row r="4469" spans="1:28" x14ac:dyDescent="0.25">
      <c r="A4469" t="s">
        <v>4473</v>
      </c>
      <c r="B4469">
        <v>0.99299721793515405</v>
      </c>
      <c r="C4469">
        <v>0.91266031048031904</v>
      </c>
      <c r="D4469">
        <v>0.90232072452041301</v>
      </c>
      <c r="E4469">
        <v>0.84555525760683004</v>
      </c>
      <c r="F4469">
        <v>0.78833725113696895</v>
      </c>
      <c r="G4469">
        <v>0.53749635292567</v>
      </c>
      <c r="H4469">
        <v>0.59659456723312898</v>
      </c>
      <c r="I4469">
        <v>0.78881338079811603</v>
      </c>
      <c r="J4469">
        <v>0.87085101854295699</v>
      </c>
      <c r="K4469">
        <v>0.72758131256462899</v>
      </c>
      <c r="L4469">
        <v>783.74296007147598</v>
      </c>
      <c r="M4469">
        <v>17.633824744014099</v>
      </c>
      <c r="O4469">
        <v>43.885654752198498</v>
      </c>
      <c r="P4469">
        <v>-2.8731879612869202E-2</v>
      </c>
      <c r="Q4469">
        <v>0.71399283372186995</v>
      </c>
      <c r="R4469">
        <v>0.52530142359891296</v>
      </c>
      <c r="S4469" t="s">
        <v>10020</v>
      </c>
      <c r="T4469" t="s">
        <v>11100</v>
      </c>
      <c r="U4469" t="s">
        <v>11100</v>
      </c>
      <c r="V4469" t="s">
        <v>11100</v>
      </c>
      <c r="W4469" t="s">
        <v>15518</v>
      </c>
      <c r="X4469">
        <v>10</v>
      </c>
      <c r="Y4469" t="s">
        <v>20949</v>
      </c>
      <c r="Z4469" t="s">
        <v>26474</v>
      </c>
      <c r="AA4469">
        <v>0.78993559849412331</v>
      </c>
      <c r="AB4469" t="str">
        <f>HYPERLINK("Melting_Curves/meltCurve_Q99618_CDCA3.pdf", "Melting_Curves/meltCurve_Q99618_CDCA3.pdf")</f>
        <v>Melting_Curves/meltCurve_Q99618_CDCA3.pdf</v>
      </c>
    </row>
    <row r="4470" spans="1:28" x14ac:dyDescent="0.25">
      <c r="A4470" t="s">
        <v>4474</v>
      </c>
      <c r="B4470">
        <v>0.99299721793515405</v>
      </c>
      <c r="C4470">
        <v>1.0696182594255501</v>
      </c>
      <c r="D4470">
        <v>0.92463264576020099</v>
      </c>
      <c r="E4470">
        <v>0.98031488698272695</v>
      </c>
      <c r="F4470">
        <v>0.67360213843074601</v>
      </c>
      <c r="G4470">
        <v>0.32870858237648998</v>
      </c>
      <c r="H4470">
        <v>0.24392502499411001</v>
      </c>
      <c r="I4470">
        <v>0.236941324516624</v>
      </c>
      <c r="J4470">
        <v>0.25595988669912001</v>
      </c>
      <c r="K4470">
        <v>0.19767420303365801</v>
      </c>
      <c r="L4470">
        <v>1723.7115288535999</v>
      </c>
      <c r="M4470">
        <v>34.005281763481499</v>
      </c>
      <c r="N4470">
        <v>51.624269368133497</v>
      </c>
      <c r="O4470">
        <v>50.515191161733703</v>
      </c>
      <c r="P4470">
        <v>-0.12960672364185499</v>
      </c>
      <c r="Q4470">
        <v>0.229874713185374</v>
      </c>
      <c r="R4470">
        <v>0.990027046027675</v>
      </c>
      <c r="S4470" t="s">
        <v>10021</v>
      </c>
      <c r="T4470" t="s">
        <v>11100</v>
      </c>
      <c r="U4470" t="s">
        <v>11100</v>
      </c>
      <c r="V4470" t="s">
        <v>11100</v>
      </c>
      <c r="W4470" t="s">
        <v>15519</v>
      </c>
      <c r="X4470">
        <v>6</v>
      </c>
      <c r="Y4470" t="s">
        <v>20950</v>
      </c>
      <c r="Z4470" t="s">
        <v>26475</v>
      </c>
      <c r="AA4470">
        <v>0.58502546542180189</v>
      </c>
      <c r="AB4470" t="str">
        <f>HYPERLINK("Melting_Curves/meltCurve_Q99622_C12orf57.pdf", "Melting_Curves/meltCurve_Q99622_C12orf57.pdf")</f>
        <v>Melting_Curves/meltCurve_Q99622_C12orf57.pdf</v>
      </c>
    </row>
    <row r="4471" spans="1:28" x14ac:dyDescent="0.25">
      <c r="A4471" t="s">
        <v>4475</v>
      </c>
      <c r="B4471">
        <v>0.99299721793515405</v>
      </c>
      <c r="C4471">
        <v>0.90234959893136801</v>
      </c>
      <c r="D4471">
        <v>0.887741482213115</v>
      </c>
      <c r="E4471">
        <v>0.753492070370677</v>
      </c>
      <c r="F4471">
        <v>0.71158236167769595</v>
      </c>
      <c r="G4471">
        <v>0.55994978831263498</v>
      </c>
      <c r="H4471">
        <v>1.9290022114574099</v>
      </c>
      <c r="I4471">
        <v>2.1576705135561398</v>
      </c>
      <c r="J4471">
        <v>2.5298990464811602</v>
      </c>
      <c r="K4471">
        <v>3.8127981284004302</v>
      </c>
      <c r="L4471">
        <v>13888.6370956105</v>
      </c>
      <c r="M4471">
        <v>250</v>
      </c>
      <c r="O4471">
        <v>55.550983954458601</v>
      </c>
      <c r="P4471">
        <v>0.56254619745011702</v>
      </c>
      <c r="Q4471">
        <v>1.5</v>
      </c>
      <c r="R4471">
        <v>0.26666942642132602</v>
      </c>
      <c r="S4471" t="s">
        <v>10022</v>
      </c>
      <c r="T4471" t="s">
        <v>11100</v>
      </c>
      <c r="U4471" t="s">
        <v>11100</v>
      </c>
      <c r="V4471" t="s">
        <v>11100</v>
      </c>
      <c r="W4471" t="s">
        <v>15520</v>
      </c>
      <c r="X4471">
        <v>19</v>
      </c>
      <c r="Y4471" t="s">
        <v>20951</v>
      </c>
      <c r="Z4471" t="s">
        <v>26476</v>
      </c>
      <c r="AA4471">
        <v>1.190708778275404</v>
      </c>
      <c r="AB4471" t="str">
        <f>HYPERLINK("Melting_Curves/meltCurve_Q99623_PHB2.pdf", "Melting_Curves/meltCurve_Q99623_PHB2.pdf")</f>
        <v>Melting_Curves/meltCurve_Q99623_PHB2.pdf</v>
      </c>
    </row>
    <row r="4472" spans="1:28" x14ac:dyDescent="0.25">
      <c r="A4472" t="s">
        <v>4476</v>
      </c>
      <c r="B4472">
        <v>0.99299721793515405</v>
      </c>
      <c r="C4472">
        <v>0.94250929069348499</v>
      </c>
      <c r="D4472">
        <v>0.87802725369082602</v>
      </c>
      <c r="E4472">
        <v>0.92991871790934699</v>
      </c>
      <c r="F4472">
        <v>0.70971066113965897</v>
      </c>
      <c r="G4472">
        <v>0.42478072106397102</v>
      </c>
      <c r="H4472">
        <v>0.38512865793808598</v>
      </c>
      <c r="I4472">
        <v>0.35665537666679797</v>
      </c>
      <c r="J4472">
        <v>0.33580414516888302</v>
      </c>
      <c r="K4472">
        <v>0.29355083195023701</v>
      </c>
      <c r="L4472">
        <v>1099.15003029371</v>
      </c>
      <c r="M4472">
        <v>21.717949698346601</v>
      </c>
      <c r="N4472">
        <v>53.079656889094998</v>
      </c>
      <c r="O4472">
        <v>50.186981227350003</v>
      </c>
      <c r="P4472">
        <v>-7.3788158245351704E-2</v>
      </c>
      <c r="Q4472">
        <v>0.31796179957160597</v>
      </c>
      <c r="R4472">
        <v>0.97515647574297204</v>
      </c>
      <c r="S4472" t="s">
        <v>10023</v>
      </c>
      <c r="T4472" t="s">
        <v>11100</v>
      </c>
      <c r="U4472" t="s">
        <v>11100</v>
      </c>
      <c r="V4472" t="s">
        <v>11100</v>
      </c>
      <c r="W4472" t="s">
        <v>15521</v>
      </c>
      <c r="X4472">
        <v>9</v>
      </c>
      <c r="Y4472" t="s">
        <v>20952</v>
      </c>
      <c r="Z4472" t="s">
        <v>26477</v>
      </c>
      <c r="AA4472">
        <v>0.63514589849067093</v>
      </c>
      <c r="AB4472" t="str">
        <f>HYPERLINK("Melting_Curves/meltCurve_Q99633_PRPF18.pdf", "Melting_Curves/meltCurve_Q99633_PRPF18.pdf")</f>
        <v>Melting_Curves/meltCurve_Q99633_PRPF18.pdf</v>
      </c>
    </row>
    <row r="4473" spans="1:28" x14ac:dyDescent="0.25">
      <c r="A4473" t="s">
        <v>4477</v>
      </c>
      <c r="B4473">
        <v>0.99299721793515405</v>
      </c>
      <c r="C4473">
        <v>0.94263764485909995</v>
      </c>
      <c r="D4473">
        <v>0.84402875724675297</v>
      </c>
      <c r="E4473">
        <v>0.79746084045498999</v>
      </c>
      <c r="F4473">
        <v>0.35591553264166298</v>
      </c>
      <c r="G4473">
        <v>0.31083998223694898</v>
      </c>
      <c r="H4473">
        <v>0.25438919067709698</v>
      </c>
      <c r="I4473">
        <v>0.17902492644284099</v>
      </c>
      <c r="J4473">
        <v>0.20250432941197499</v>
      </c>
      <c r="K4473">
        <v>0.11889103435630401</v>
      </c>
      <c r="L4473">
        <v>804.95339471491604</v>
      </c>
      <c r="M4473">
        <v>16.684187787679299</v>
      </c>
      <c r="N4473">
        <v>49.383935260672203</v>
      </c>
      <c r="O4473">
        <v>47.569352899479597</v>
      </c>
      <c r="P4473">
        <v>-7.3700162235789596E-2</v>
      </c>
      <c r="Q4473">
        <v>0.15953098573206201</v>
      </c>
      <c r="R4473">
        <v>0.97463856530474602</v>
      </c>
      <c r="S4473" t="s">
        <v>10024</v>
      </c>
      <c r="T4473" t="s">
        <v>11100</v>
      </c>
      <c r="U4473" t="s">
        <v>11100</v>
      </c>
      <c r="V4473" t="s">
        <v>11100</v>
      </c>
      <c r="W4473" t="s">
        <v>15522</v>
      </c>
      <c r="X4473">
        <v>2</v>
      </c>
      <c r="Y4473" t="s">
        <v>20953</v>
      </c>
      <c r="Z4473" t="s">
        <v>26478</v>
      </c>
      <c r="AA4473">
        <v>0.48996664352430602</v>
      </c>
      <c r="AB4473" t="str">
        <f>HYPERLINK("Melting_Curves/meltCurve_Q99640_3_PKMYT1.pdf", "Melting_Curves/meltCurve_Q99640_3_PKMYT1.pdf")</f>
        <v>Melting_Curves/meltCurve_Q99640_3_PKMYT1.pdf</v>
      </c>
    </row>
    <row r="4474" spans="1:28" x14ac:dyDescent="0.25">
      <c r="A4474" t="s">
        <v>4478</v>
      </c>
      <c r="B4474">
        <v>0.99299721793515405</v>
      </c>
      <c r="C4474">
        <v>1.0344401624259301</v>
      </c>
      <c r="D4474">
        <v>0.81965888479589599</v>
      </c>
      <c r="E4474">
        <v>0.86450755194123896</v>
      </c>
      <c r="F4474">
        <v>0.80400036835927102</v>
      </c>
      <c r="G4474">
        <v>0.66914994072884204</v>
      </c>
      <c r="H4474">
        <v>0.46833252846670897</v>
      </c>
      <c r="I4474">
        <v>0.335435588621111</v>
      </c>
      <c r="J4474">
        <v>0.28431066417916501</v>
      </c>
      <c r="K4474">
        <v>0.220267479636333</v>
      </c>
      <c r="L4474">
        <v>493.14538986346298</v>
      </c>
      <c r="M4474">
        <v>8.6405796421372791</v>
      </c>
      <c r="N4474">
        <v>57.073179974198702</v>
      </c>
      <c r="O4474">
        <v>54.2631383258353</v>
      </c>
      <c r="P4474">
        <v>-3.9842425387863901E-2</v>
      </c>
      <c r="Q4474">
        <v>0</v>
      </c>
      <c r="R4474">
        <v>0.97131376934187896</v>
      </c>
      <c r="S4474" t="s">
        <v>10025</v>
      </c>
      <c r="T4474" t="s">
        <v>11100</v>
      </c>
      <c r="U4474" t="s">
        <v>11100</v>
      </c>
      <c r="V4474" t="s">
        <v>11100</v>
      </c>
      <c r="W4474" t="s">
        <v>15523</v>
      </c>
      <c r="X4474">
        <v>6</v>
      </c>
      <c r="Y4474" t="s">
        <v>20954</v>
      </c>
      <c r="Z4474" t="s">
        <v>26479</v>
      </c>
      <c r="AA4474">
        <v>0.66142993101054082</v>
      </c>
      <c r="AB4474" t="str">
        <f>HYPERLINK("Melting_Curves/meltCurve_Q99653_CHP1.pdf", "Melting_Curves/meltCurve_Q99653_CHP1.pdf")</f>
        <v>Melting_Curves/meltCurve_Q99653_CHP1.pdf</v>
      </c>
    </row>
    <row r="4475" spans="1:28" x14ac:dyDescent="0.25">
      <c r="A4475" t="s">
        <v>4479</v>
      </c>
      <c r="B4475">
        <v>0.99299721793515405</v>
      </c>
      <c r="C4475">
        <v>1.02413203818016</v>
      </c>
      <c r="D4475">
        <v>0.95250174051299996</v>
      </c>
      <c r="E4475">
        <v>0.78895539846158902</v>
      </c>
      <c r="F4475">
        <v>0.49842550194158203</v>
      </c>
      <c r="G4475">
        <v>0.231288181152037</v>
      </c>
      <c r="H4475">
        <v>0.18695659605126999</v>
      </c>
      <c r="I4475">
        <v>0.16345171648462101</v>
      </c>
      <c r="J4475">
        <v>0.14268727064641101</v>
      </c>
      <c r="K4475">
        <v>0.13231080443764501</v>
      </c>
      <c r="L4475">
        <v>1041.62863108846</v>
      </c>
      <c r="M4475">
        <v>21.166025664332999</v>
      </c>
      <c r="N4475">
        <v>49.965706649669897</v>
      </c>
      <c r="O4475">
        <v>48.7793426441675</v>
      </c>
      <c r="P4475">
        <v>-9.3660736963983401E-2</v>
      </c>
      <c r="Q4475">
        <v>0.13661850454989199</v>
      </c>
      <c r="R4475">
        <v>0.99812978966518495</v>
      </c>
      <c r="S4475" t="s">
        <v>10026</v>
      </c>
      <c r="T4475" t="s">
        <v>11100</v>
      </c>
      <c r="U4475" t="s">
        <v>11100</v>
      </c>
      <c r="V4475" t="s">
        <v>11100</v>
      </c>
      <c r="W4475" t="s">
        <v>15524</v>
      </c>
      <c r="X4475">
        <v>11</v>
      </c>
      <c r="Y4475" t="s">
        <v>20955</v>
      </c>
      <c r="Z4475" t="s">
        <v>26480</v>
      </c>
      <c r="AA4475">
        <v>0.49833822290414181</v>
      </c>
      <c r="AB4475" t="str">
        <f>HYPERLINK("Melting_Curves/meltCurve_Q99661_KIF2C.pdf", "Melting_Curves/meltCurve_Q99661_KIF2C.pdf")</f>
        <v>Melting_Curves/meltCurve_Q99661_KIF2C.pdf</v>
      </c>
    </row>
    <row r="4476" spans="1:28" x14ac:dyDescent="0.25">
      <c r="A4476" t="s">
        <v>4480</v>
      </c>
      <c r="B4476">
        <v>0.99299721793515405</v>
      </c>
      <c r="C4476">
        <v>0.91739918689592104</v>
      </c>
      <c r="D4476">
        <v>1.21676452978255</v>
      </c>
      <c r="E4476">
        <v>0.91373950389285397</v>
      </c>
      <c r="F4476">
        <v>0.74229341608439903</v>
      </c>
      <c r="G4476">
        <v>0.49658671467409898</v>
      </c>
      <c r="H4476">
        <v>0.31668483531277702</v>
      </c>
      <c r="I4476">
        <v>0.30214334674602</v>
      </c>
      <c r="J4476">
        <v>0.28737650569930201</v>
      </c>
      <c r="K4476">
        <v>0.18929415955242199</v>
      </c>
      <c r="L4476">
        <v>1118.0047831315301</v>
      </c>
      <c r="M4476">
        <v>21.523296345472001</v>
      </c>
      <c r="N4476">
        <v>53.579903895035102</v>
      </c>
      <c r="O4476">
        <v>51.501795130830402</v>
      </c>
      <c r="P4476">
        <v>-7.9317436100606598E-2</v>
      </c>
      <c r="Q4476">
        <v>0.24084321603134201</v>
      </c>
      <c r="R4476">
        <v>0.94600794225658102</v>
      </c>
      <c r="S4476" t="s">
        <v>10027</v>
      </c>
      <c r="T4476" t="s">
        <v>11100</v>
      </c>
      <c r="U4476" t="s">
        <v>11100</v>
      </c>
      <c r="V4476" t="s">
        <v>11100</v>
      </c>
      <c r="W4476" t="s">
        <v>15525</v>
      </c>
      <c r="X4476">
        <v>3</v>
      </c>
      <c r="Y4476" t="s">
        <v>20956</v>
      </c>
      <c r="Z4476" t="s">
        <v>26481</v>
      </c>
      <c r="AA4476">
        <v>0.62771987139067653</v>
      </c>
      <c r="AB4476" t="str">
        <f>HYPERLINK("Melting_Curves/meltCurve_Q99704_DOK1.pdf", "Melting_Curves/meltCurve_Q99704_DOK1.pdf")</f>
        <v>Melting_Curves/meltCurve_Q99704_DOK1.pdf</v>
      </c>
    </row>
    <row r="4477" spans="1:28" x14ac:dyDescent="0.25">
      <c r="A4477" t="s">
        <v>4481</v>
      </c>
      <c r="B4477">
        <v>0.99299721793515405</v>
      </c>
      <c r="C4477">
        <v>1.01337408478404</v>
      </c>
      <c r="D4477">
        <v>0.81373166474397296</v>
      </c>
      <c r="E4477">
        <v>0.53640938380445302</v>
      </c>
      <c r="F4477">
        <v>0.24328901937976999</v>
      </c>
      <c r="G4477">
        <v>0.16634924296393799</v>
      </c>
      <c r="H4477">
        <v>0.108246410919443</v>
      </c>
      <c r="I4477">
        <v>9.6005967550922999E-2</v>
      </c>
      <c r="J4477">
        <v>9.4332074829844598E-2</v>
      </c>
      <c r="K4477">
        <v>5.5860826885628698E-2</v>
      </c>
      <c r="L4477">
        <v>892.18367426119505</v>
      </c>
      <c r="M4477">
        <v>19.206146330226701</v>
      </c>
      <c r="N4477">
        <v>46.887994908623703</v>
      </c>
      <c r="O4477">
        <v>45.9582203959094</v>
      </c>
      <c r="P4477">
        <v>-9.5954581486813295E-2</v>
      </c>
      <c r="Q4477">
        <v>8.1599511358628696E-2</v>
      </c>
      <c r="R4477">
        <v>0.99644071461368</v>
      </c>
      <c r="S4477" t="s">
        <v>10028</v>
      </c>
      <c r="T4477" t="s">
        <v>11100</v>
      </c>
      <c r="U4477" t="s">
        <v>11100</v>
      </c>
      <c r="V4477" t="s">
        <v>11100</v>
      </c>
      <c r="W4477" t="s">
        <v>15526</v>
      </c>
      <c r="X4477">
        <v>9</v>
      </c>
      <c r="Y4477" t="s">
        <v>20957</v>
      </c>
      <c r="Z4477" t="s">
        <v>26482</v>
      </c>
      <c r="AA4477">
        <v>0.38400413623520913</v>
      </c>
      <c r="AB4477" t="str">
        <f>HYPERLINK("Melting_Curves/meltCurve_Q99707_MTR.pdf", "Melting_Curves/meltCurve_Q99707_MTR.pdf")</f>
        <v>Melting_Curves/meltCurve_Q99707_MTR.pdf</v>
      </c>
    </row>
    <row r="4478" spans="1:28" x14ac:dyDescent="0.25">
      <c r="A4478" t="s">
        <v>4482</v>
      </c>
      <c r="B4478">
        <v>0.99299721793515405</v>
      </c>
      <c r="C4478">
        <v>0.96703919508668801</v>
      </c>
      <c r="D4478">
        <v>0.97127518566839899</v>
      </c>
      <c r="E4478">
        <v>0.86670899275157698</v>
      </c>
      <c r="F4478">
        <v>0.81138545059407696</v>
      </c>
      <c r="G4478">
        <v>1.2355950917990399</v>
      </c>
      <c r="H4478">
        <v>0.88069731652351702</v>
      </c>
      <c r="I4478">
        <v>0.223834647979782</v>
      </c>
      <c r="J4478">
        <v>0.14728293304715401</v>
      </c>
      <c r="K4478">
        <v>0.14179803510796299</v>
      </c>
      <c r="L4478">
        <v>4103.6065658776297</v>
      </c>
      <c r="M4478">
        <v>69.616121417218906</v>
      </c>
      <c r="N4478">
        <v>59.236725168497898</v>
      </c>
      <c r="O4478">
        <v>58.897626294250699</v>
      </c>
      <c r="P4478">
        <v>-0.25276290646653199</v>
      </c>
      <c r="Q4478">
        <v>0.14461584606233799</v>
      </c>
      <c r="R4478">
        <v>0.92203296102307597</v>
      </c>
      <c r="S4478" t="s">
        <v>10029</v>
      </c>
      <c r="T4478" t="s">
        <v>11100</v>
      </c>
      <c r="U4478" t="s">
        <v>11100</v>
      </c>
      <c r="V4478" t="s">
        <v>11100</v>
      </c>
      <c r="W4478" t="s">
        <v>15527</v>
      </c>
      <c r="X4478">
        <v>12</v>
      </c>
      <c r="Y4478" t="s">
        <v>20958</v>
      </c>
      <c r="Z4478" t="s">
        <v>26483</v>
      </c>
      <c r="AA4478">
        <v>0.77150058186573922</v>
      </c>
      <c r="AB4478" t="str">
        <f>HYPERLINK("Melting_Curves/meltCurve_Q99714_HSD17B10.pdf", "Melting_Curves/meltCurve_Q99714_HSD17B10.pdf")</f>
        <v>Melting_Curves/meltCurve_Q99714_HSD17B10.pdf</v>
      </c>
    </row>
    <row r="4479" spans="1:28" x14ac:dyDescent="0.25">
      <c r="A4479" t="s">
        <v>4483</v>
      </c>
      <c r="B4479">
        <v>0.99299721793515405</v>
      </c>
      <c r="C4479">
        <v>1.0570491795582699</v>
      </c>
      <c r="D4479">
        <v>1.09053279729258</v>
      </c>
      <c r="E4479">
        <v>0.84673875913600405</v>
      </c>
      <c r="F4479">
        <v>0.67153794468383499</v>
      </c>
      <c r="G4479">
        <v>0.88480050441814395</v>
      </c>
      <c r="H4479">
        <v>0.78483600455388003</v>
      </c>
      <c r="I4479">
        <v>0.87445895697992804</v>
      </c>
      <c r="J4479">
        <v>1.0430034129316099</v>
      </c>
      <c r="K4479">
        <v>1.16725607668886</v>
      </c>
      <c r="L4479">
        <v>15000</v>
      </c>
      <c r="M4479">
        <v>232.94811794778801</v>
      </c>
      <c r="O4479">
        <v>64.387291859960897</v>
      </c>
      <c r="P4479">
        <v>0.151297390123489</v>
      </c>
      <c r="Q4479">
        <v>1.1672754721153999</v>
      </c>
      <c r="R4479">
        <v>-2.1575235878779499E-2</v>
      </c>
      <c r="S4479" t="s">
        <v>10030</v>
      </c>
      <c r="T4479" t="s">
        <v>11100</v>
      </c>
      <c r="U4479" t="s">
        <v>11100</v>
      </c>
      <c r="V4479" t="s">
        <v>11100</v>
      </c>
      <c r="W4479" t="s">
        <v>15528</v>
      </c>
      <c r="X4479">
        <v>2</v>
      </c>
      <c r="Y4479" t="s">
        <v>20959</v>
      </c>
      <c r="Z4479" t="s">
        <v>26484</v>
      </c>
      <c r="AA4479">
        <v>1.0145201211852879</v>
      </c>
      <c r="AB4479" t="str">
        <f>HYPERLINK("Melting_Curves/meltCurve_Q99720_4_SIGMAR1.pdf", "Melting_Curves/meltCurve_Q99720_4_SIGMAR1.pdf")</f>
        <v>Melting_Curves/meltCurve_Q99720_4_SIGMAR1.pdf</v>
      </c>
    </row>
    <row r="4480" spans="1:28" x14ac:dyDescent="0.25">
      <c r="A4480" t="s">
        <v>4484</v>
      </c>
      <c r="B4480">
        <v>0.99299721793515405</v>
      </c>
      <c r="C4480">
        <v>0.99175000609525299</v>
      </c>
      <c r="D4480">
        <v>0.94459416976399302</v>
      </c>
      <c r="E4480">
        <v>0.93514152155279495</v>
      </c>
      <c r="F4480">
        <v>0.82197507126624703</v>
      </c>
      <c r="G4480">
        <v>0.75680558730969405</v>
      </c>
      <c r="H4480">
        <v>0.82155042570709702</v>
      </c>
      <c r="I4480">
        <v>0.85364010103708099</v>
      </c>
      <c r="J4480">
        <v>0.78345740157252497</v>
      </c>
      <c r="K4480">
        <v>0.69245875689774306</v>
      </c>
      <c r="L4480">
        <v>789.164837545502</v>
      </c>
      <c r="M4480">
        <v>16.6066030529519</v>
      </c>
      <c r="O4480">
        <v>46.848095960981397</v>
      </c>
      <c r="P4480">
        <v>-2.0268572086557E-2</v>
      </c>
      <c r="Q4480">
        <v>0.77130068909248795</v>
      </c>
      <c r="R4480">
        <v>0.81688671537372504</v>
      </c>
      <c r="S4480" t="s">
        <v>10031</v>
      </c>
      <c r="T4480" t="s">
        <v>11100</v>
      </c>
      <c r="U4480" t="s">
        <v>11100</v>
      </c>
      <c r="V4480" t="s">
        <v>11100</v>
      </c>
      <c r="W4480" t="s">
        <v>15529</v>
      </c>
      <c r="X4480">
        <v>11</v>
      </c>
      <c r="Y4480" t="s">
        <v>20960</v>
      </c>
      <c r="Z4480" t="s">
        <v>26485</v>
      </c>
      <c r="AA4480">
        <v>0.85575529017187602</v>
      </c>
      <c r="AB4480" t="str">
        <f>HYPERLINK("Melting_Curves/meltCurve_Q99729_3_HNRNPAB.pdf", "Melting_Curves/meltCurve_Q99729_3_HNRNPAB.pdf")</f>
        <v>Melting_Curves/meltCurve_Q99729_3_HNRNPAB.pdf</v>
      </c>
    </row>
    <row r="4481" spans="1:28" x14ac:dyDescent="0.25">
      <c r="A4481" t="s">
        <v>4485</v>
      </c>
      <c r="B4481">
        <v>0.99299721793515405</v>
      </c>
      <c r="C4481">
        <v>0.98335049889140602</v>
      </c>
      <c r="D4481">
        <v>0.98659860640583597</v>
      </c>
      <c r="E4481">
        <v>0.85688001106017597</v>
      </c>
      <c r="F4481">
        <v>0.76321387709208499</v>
      </c>
      <c r="G4481">
        <v>0.68202841832888805</v>
      </c>
      <c r="H4481">
        <v>0.36851215114525698</v>
      </c>
      <c r="I4481">
        <v>0.21776495515424901</v>
      </c>
      <c r="J4481">
        <v>0.187061584266525</v>
      </c>
      <c r="K4481">
        <v>0.15473693061527899</v>
      </c>
      <c r="L4481">
        <v>681.11788493726397</v>
      </c>
      <c r="M4481">
        <v>12.3230101479647</v>
      </c>
      <c r="N4481">
        <v>55.5422011950021</v>
      </c>
      <c r="O4481">
        <v>53.876985559431297</v>
      </c>
      <c r="P4481">
        <v>-5.5529924258847597E-2</v>
      </c>
      <c r="Q4481">
        <v>2.90896831443118E-2</v>
      </c>
      <c r="R4481">
        <v>0.98651123235593796</v>
      </c>
      <c r="S4481" t="s">
        <v>10032</v>
      </c>
      <c r="T4481" t="s">
        <v>11100</v>
      </c>
      <c r="U4481" t="s">
        <v>11100</v>
      </c>
      <c r="V4481" t="s">
        <v>11100</v>
      </c>
      <c r="W4481" t="s">
        <v>15530</v>
      </c>
      <c r="X4481">
        <v>16</v>
      </c>
      <c r="Y4481" t="s">
        <v>20961</v>
      </c>
      <c r="Z4481" t="s">
        <v>26486</v>
      </c>
      <c r="AA4481">
        <v>0.63329976010119593</v>
      </c>
      <c r="AB4481" t="str">
        <f>HYPERLINK("Melting_Curves/meltCurve_Q99733_NAP1L4.pdf", "Melting_Curves/meltCurve_Q99733_NAP1L4.pdf")</f>
        <v>Melting_Curves/meltCurve_Q99733_NAP1L4.pdf</v>
      </c>
    </row>
    <row r="4482" spans="1:28" x14ac:dyDescent="0.25">
      <c r="A4482" t="s">
        <v>4486</v>
      </c>
      <c r="B4482">
        <v>0.99299721793515405</v>
      </c>
      <c r="C4482">
        <v>0.93660223163253198</v>
      </c>
      <c r="D4482">
        <v>0.80882933823108005</v>
      </c>
      <c r="E4482">
        <v>0.85573436370682299</v>
      </c>
      <c r="F4482">
        <v>0.79371358838046102</v>
      </c>
      <c r="G4482">
        <v>0.53078674421348704</v>
      </c>
      <c r="H4482">
        <v>0.497468707499649</v>
      </c>
      <c r="I4482">
        <v>0.48861667925288199</v>
      </c>
      <c r="J4482">
        <v>0.421731247159295</v>
      </c>
      <c r="K4482">
        <v>0.42256715108472098</v>
      </c>
      <c r="L4482">
        <v>429.12823172639497</v>
      </c>
      <c r="M4482">
        <v>8.2637442393582106</v>
      </c>
      <c r="N4482">
        <v>58.88328688963</v>
      </c>
      <c r="O4482">
        <v>49.154426985122903</v>
      </c>
      <c r="P4482">
        <v>-2.8962672548449701E-2</v>
      </c>
      <c r="Q4482">
        <v>0.31158588107943802</v>
      </c>
      <c r="R4482">
        <v>0.94296065016527497</v>
      </c>
      <c r="S4482" t="s">
        <v>10033</v>
      </c>
      <c r="T4482" t="s">
        <v>11100</v>
      </c>
      <c r="U4482" t="s">
        <v>11100</v>
      </c>
      <c r="V4482" t="s">
        <v>11100</v>
      </c>
      <c r="W4482" t="s">
        <v>15531</v>
      </c>
      <c r="X4482">
        <v>1</v>
      </c>
      <c r="Y4482" t="s">
        <v>20962</v>
      </c>
      <c r="Z4482" t="s">
        <v>26487</v>
      </c>
      <c r="AA4482">
        <v>0.67401524320998429</v>
      </c>
      <c r="AB4482" t="str">
        <f>HYPERLINK("Melting_Curves/meltCurve_Q99735_2_MGST2.pdf", "Melting_Curves/meltCurve_Q99735_2_MGST2.pdf")</f>
        <v>Melting_Curves/meltCurve_Q99735_2_MGST2.pdf</v>
      </c>
    </row>
    <row r="4483" spans="1:28" x14ac:dyDescent="0.25">
      <c r="A4483" t="s">
        <v>4487</v>
      </c>
      <c r="B4483">
        <v>0.99299721793515405</v>
      </c>
      <c r="C4483">
        <v>0.98743877741621799</v>
      </c>
      <c r="D4483">
        <v>0.97898498245416699</v>
      </c>
      <c r="E4483">
        <v>0.82991090029505199</v>
      </c>
      <c r="F4483">
        <v>0.69591335729477</v>
      </c>
      <c r="G4483">
        <v>0.342596297351279</v>
      </c>
      <c r="H4483">
        <v>0.265043763319885</v>
      </c>
      <c r="I4483">
        <v>0.241128966075316</v>
      </c>
      <c r="J4483">
        <v>0.18147477505920201</v>
      </c>
      <c r="K4483">
        <v>0.14714179496848501</v>
      </c>
      <c r="L4483">
        <v>920.83836222278296</v>
      </c>
      <c r="M4483">
        <v>18.056016867523201</v>
      </c>
      <c r="N4483">
        <v>52.112167752131597</v>
      </c>
      <c r="O4483">
        <v>50.385751790651298</v>
      </c>
      <c r="P4483">
        <v>-7.5257125661358698E-2</v>
      </c>
      <c r="Q4483">
        <v>0.16001348376896901</v>
      </c>
      <c r="R4483">
        <v>0.99158852638200801</v>
      </c>
      <c r="S4483" t="s">
        <v>10034</v>
      </c>
      <c r="T4483" t="s">
        <v>11100</v>
      </c>
      <c r="U4483" t="s">
        <v>11100</v>
      </c>
      <c r="V4483" t="s">
        <v>11100</v>
      </c>
      <c r="W4483" t="s">
        <v>15532</v>
      </c>
      <c r="X4483">
        <v>16</v>
      </c>
      <c r="Y4483" t="s">
        <v>20963</v>
      </c>
      <c r="Z4483" t="s">
        <v>26488</v>
      </c>
      <c r="AA4483">
        <v>0.56494369580730919</v>
      </c>
      <c r="AB4483" t="str">
        <f>HYPERLINK("Melting_Curves/meltCurve_Q99747_NAPG.pdf", "Melting_Curves/meltCurve_Q99747_NAPG.pdf")</f>
        <v>Melting_Curves/meltCurve_Q99747_NAPG.pdf</v>
      </c>
    </row>
    <row r="4484" spans="1:28" x14ac:dyDescent="0.25">
      <c r="A4484" t="s">
        <v>4488</v>
      </c>
      <c r="B4484">
        <v>0.99299721793515405</v>
      </c>
      <c r="C4484">
        <v>0.86226242322851598</v>
      </c>
      <c r="D4484">
        <v>1.0030076374133601</v>
      </c>
      <c r="E4484">
        <v>0.90948395935681003</v>
      </c>
      <c r="F4484">
        <v>0.78109529666213595</v>
      </c>
      <c r="G4484">
        <v>0.50246461249247898</v>
      </c>
      <c r="H4484">
        <v>0.45432923027220201</v>
      </c>
      <c r="I4484">
        <v>0.60640834765583995</v>
      </c>
      <c r="J4484">
        <v>0.68775454153284499</v>
      </c>
      <c r="K4484">
        <v>0.61115191918094902</v>
      </c>
      <c r="L4484">
        <v>12547.5971531459</v>
      </c>
      <c r="M4484">
        <v>250</v>
      </c>
      <c r="O4484">
        <v>50.187185977663198</v>
      </c>
      <c r="P4484">
        <v>-0.53247948454958505</v>
      </c>
      <c r="Q4484">
        <v>0.57242172807640501</v>
      </c>
      <c r="R4484">
        <v>0.82467459377837005</v>
      </c>
      <c r="S4484" t="s">
        <v>10035</v>
      </c>
      <c r="T4484" t="s">
        <v>11100</v>
      </c>
      <c r="U4484" t="s">
        <v>11100</v>
      </c>
      <c r="V4484" t="s">
        <v>11100</v>
      </c>
      <c r="W4484" t="s">
        <v>15533</v>
      </c>
      <c r="X4484">
        <v>4</v>
      </c>
      <c r="Y4484" t="s">
        <v>20964</v>
      </c>
      <c r="Z4484" t="s">
        <v>26489</v>
      </c>
      <c r="AA4484">
        <v>0.76045684290233184</v>
      </c>
      <c r="AB4484" t="str">
        <f>HYPERLINK("Melting_Curves/meltCurve_Q99757_TXN2.pdf", "Melting_Curves/meltCurve_Q99757_TXN2.pdf")</f>
        <v>Melting_Curves/meltCurve_Q99757_TXN2.pdf</v>
      </c>
    </row>
    <row r="4485" spans="1:28" x14ac:dyDescent="0.25">
      <c r="A4485" t="s">
        <v>4489</v>
      </c>
      <c r="B4485">
        <v>0.99299721793515405</v>
      </c>
      <c r="C4485">
        <v>1.19210131526185</v>
      </c>
      <c r="D4485">
        <v>0.89770352461093195</v>
      </c>
      <c r="E4485">
        <v>0.99675949829893495</v>
      </c>
      <c r="F4485">
        <v>0.81219098704883397</v>
      </c>
      <c r="G4485">
        <v>0.65028255983975103</v>
      </c>
      <c r="H4485">
        <v>0.22106490472071999</v>
      </c>
      <c r="I4485">
        <v>0.16167175310717299</v>
      </c>
      <c r="J4485">
        <v>0.13389167375761199</v>
      </c>
      <c r="K4485">
        <v>7.4691900848408294E-2</v>
      </c>
      <c r="L4485">
        <v>1219.7413539187501</v>
      </c>
      <c r="M4485">
        <v>22.473939678680299</v>
      </c>
      <c r="N4485">
        <v>54.673941268376304</v>
      </c>
      <c r="O4485">
        <v>53.849353644606403</v>
      </c>
      <c r="P4485">
        <v>-9.6423023744255404E-2</v>
      </c>
      <c r="Q4485">
        <v>7.5869911092683803E-2</v>
      </c>
      <c r="R4485">
        <v>0.96259018942740104</v>
      </c>
      <c r="S4485" t="s">
        <v>10036</v>
      </c>
      <c r="T4485" t="s">
        <v>11100</v>
      </c>
      <c r="U4485" t="s">
        <v>11100</v>
      </c>
      <c r="V4485" t="s">
        <v>11100</v>
      </c>
      <c r="W4485" t="s">
        <v>15534</v>
      </c>
      <c r="X4485">
        <v>5</v>
      </c>
      <c r="Y4485" t="s">
        <v>20965</v>
      </c>
      <c r="Z4485" t="s">
        <v>26490</v>
      </c>
      <c r="AA4485">
        <v>0.6173935971509027</v>
      </c>
      <c r="AB4485" t="str">
        <f>HYPERLINK("Melting_Curves/meltCurve_Q99766_ATP5S.pdf", "Melting_Curves/meltCurve_Q99766_ATP5S.pdf")</f>
        <v>Melting_Curves/meltCurve_Q99766_ATP5S.pdf</v>
      </c>
    </row>
    <row r="4486" spans="1:28" x14ac:dyDescent="0.25">
      <c r="A4486" t="s">
        <v>4490</v>
      </c>
      <c r="B4486">
        <v>0.99299721793515405</v>
      </c>
      <c r="C4486">
        <v>0.81876188230511104</v>
      </c>
      <c r="D4486">
        <v>0.797824791075331</v>
      </c>
      <c r="E4486">
        <v>0.73031510271958699</v>
      </c>
      <c r="F4486">
        <v>0.53278436648827199</v>
      </c>
      <c r="G4486">
        <v>0.13737436885941001</v>
      </c>
      <c r="H4486">
        <v>4.4917628961322703E-2</v>
      </c>
      <c r="I4486">
        <v>8.08080614454489E-2</v>
      </c>
      <c r="J4486">
        <v>0.13885946636544699</v>
      </c>
      <c r="K4486">
        <v>2.6968922795438201E-2</v>
      </c>
      <c r="L4486">
        <v>631.88423395201198</v>
      </c>
      <c r="M4486">
        <v>12.8701835845259</v>
      </c>
      <c r="N4486">
        <v>49.096749370003202</v>
      </c>
      <c r="O4486">
        <v>47.9567496686822</v>
      </c>
      <c r="P4486">
        <v>-6.7104984883958496E-2</v>
      </c>
      <c r="Q4486">
        <v>0</v>
      </c>
      <c r="R4486">
        <v>0.95068346217028799</v>
      </c>
      <c r="S4486" t="s">
        <v>10037</v>
      </c>
      <c r="T4486" t="s">
        <v>11100</v>
      </c>
      <c r="U4486" t="s">
        <v>11100</v>
      </c>
      <c r="V4486" t="s">
        <v>11100</v>
      </c>
      <c r="W4486" t="s">
        <v>15535</v>
      </c>
      <c r="X4486">
        <v>5</v>
      </c>
      <c r="Y4486" t="s">
        <v>20966</v>
      </c>
      <c r="Z4486" t="s">
        <v>26491</v>
      </c>
      <c r="AA4486">
        <v>0.43012008653220701</v>
      </c>
      <c r="AB4486" t="str">
        <f>HYPERLINK("Melting_Curves/meltCurve_Q99767_2_APBA2.pdf", "Melting_Curves/meltCurve_Q99767_2_APBA2.pdf")</f>
        <v>Melting_Curves/meltCurve_Q99767_2_APBA2.pdf</v>
      </c>
    </row>
    <row r="4487" spans="1:28" x14ac:dyDescent="0.25">
      <c r="A4487" t="s">
        <v>4491</v>
      </c>
      <c r="B4487">
        <v>0.99299721793515405</v>
      </c>
      <c r="C4487">
        <v>1.0207828427283401</v>
      </c>
      <c r="D4487">
        <v>1.0372568876382899</v>
      </c>
      <c r="E4487">
        <v>0.87659620682402395</v>
      </c>
      <c r="F4487">
        <v>0.68581706594262803</v>
      </c>
      <c r="G4487">
        <v>0.45494388084312498</v>
      </c>
      <c r="H4487">
        <v>0.161648148751456</v>
      </c>
      <c r="I4487">
        <v>0.145432709054195</v>
      </c>
      <c r="J4487">
        <v>0.109053168262724</v>
      </c>
      <c r="K4487">
        <v>9.6219225289870494E-2</v>
      </c>
      <c r="L4487">
        <v>965.93219223258905</v>
      </c>
      <c r="M4487">
        <v>18.521756936208899</v>
      </c>
      <c r="N4487">
        <v>52.608449112379901</v>
      </c>
      <c r="O4487">
        <v>51.554687444686699</v>
      </c>
      <c r="P4487">
        <v>-8.3142445368877396E-2</v>
      </c>
      <c r="Q4487">
        <v>7.4343816794821799E-2</v>
      </c>
      <c r="R4487">
        <v>0.99317871345439201</v>
      </c>
      <c r="S4487" t="s">
        <v>10038</v>
      </c>
      <c r="T4487" t="s">
        <v>11100</v>
      </c>
      <c r="U4487" t="s">
        <v>11100</v>
      </c>
      <c r="V4487" t="s">
        <v>11100</v>
      </c>
      <c r="W4487" t="s">
        <v>15536</v>
      </c>
      <c r="X4487">
        <v>21</v>
      </c>
      <c r="Y4487" t="s">
        <v>20967</v>
      </c>
      <c r="Z4487" t="s">
        <v>26492</v>
      </c>
      <c r="AA4487">
        <v>0.55520955217935242</v>
      </c>
      <c r="AB4487" t="str">
        <f>HYPERLINK("Melting_Curves/meltCurve_Q99797_MIPEP.pdf", "Melting_Curves/meltCurve_Q99797_MIPEP.pdf")</f>
        <v>Melting_Curves/meltCurve_Q99797_MIPEP.pdf</v>
      </c>
    </row>
    <row r="4488" spans="1:28" x14ac:dyDescent="0.25">
      <c r="A4488" t="s">
        <v>4492</v>
      </c>
      <c r="B4488">
        <v>0.99299721793515405</v>
      </c>
      <c r="C4488">
        <v>1.1099498666605501</v>
      </c>
      <c r="D4488">
        <v>2.0952982122596899</v>
      </c>
      <c r="E4488">
        <v>1.13768405202777</v>
      </c>
      <c r="F4488">
        <v>0.88596128809644603</v>
      </c>
      <c r="G4488">
        <v>1.2694052647231699</v>
      </c>
      <c r="H4488">
        <v>0.61581138132830204</v>
      </c>
      <c r="I4488">
        <v>0.24646644883801599</v>
      </c>
      <c r="J4488">
        <v>0.16118117947329899</v>
      </c>
      <c r="K4488">
        <v>0.117335922473692</v>
      </c>
      <c r="L4488">
        <v>8547.1233549505305</v>
      </c>
      <c r="M4488">
        <v>148.76649599164401</v>
      </c>
      <c r="N4488">
        <v>57.620048722145597</v>
      </c>
      <c r="O4488">
        <v>57.442901097028901</v>
      </c>
      <c r="P4488">
        <v>-0.53419381860089898</v>
      </c>
      <c r="Q4488">
        <v>0.17493137579809001</v>
      </c>
      <c r="R4488">
        <v>0.60179366987970195</v>
      </c>
      <c r="S4488" t="s">
        <v>10039</v>
      </c>
      <c r="T4488" t="s">
        <v>11100</v>
      </c>
      <c r="U4488" t="s">
        <v>11100</v>
      </c>
      <c r="V4488" t="s">
        <v>11100</v>
      </c>
      <c r="W4488" t="s">
        <v>15537</v>
      </c>
      <c r="X4488">
        <v>2</v>
      </c>
      <c r="Y4488" t="s">
        <v>20968</v>
      </c>
      <c r="Z4488" t="s">
        <v>26493</v>
      </c>
      <c r="AA4488">
        <v>0.73767843024029822</v>
      </c>
      <c r="AB4488" t="str">
        <f>HYPERLINK("Melting_Curves/meltCurve_Q99805_TM9SF2.pdf", "Melting_Curves/meltCurve_Q99805_TM9SF2.pdf")</f>
        <v>Melting_Curves/meltCurve_Q99805_TM9SF2.pdf</v>
      </c>
    </row>
    <row r="4489" spans="1:28" x14ac:dyDescent="0.25">
      <c r="A4489" t="s">
        <v>4493</v>
      </c>
      <c r="B4489">
        <v>0.99299721793515405</v>
      </c>
      <c r="C4489">
        <v>0.90371498912494597</v>
      </c>
      <c r="D4489">
        <v>0.91161775199278205</v>
      </c>
      <c r="E4489">
        <v>0.84384533836531594</v>
      </c>
      <c r="F4489">
        <v>0.74968511674960403</v>
      </c>
      <c r="G4489">
        <v>0.60419730909879399</v>
      </c>
      <c r="H4489">
        <v>0.50371083149251905</v>
      </c>
      <c r="I4489">
        <v>0.58462641695204998</v>
      </c>
      <c r="J4489">
        <v>0.46303796829724497</v>
      </c>
      <c r="K4489">
        <v>0.27343898473609901</v>
      </c>
      <c r="L4489">
        <v>328.07688915032298</v>
      </c>
      <c r="M4489">
        <v>5.4770911835683398</v>
      </c>
      <c r="N4489">
        <v>59.899838300683697</v>
      </c>
      <c r="O4489">
        <v>53.330299754025702</v>
      </c>
      <c r="P4489">
        <v>-2.5790075431458798E-2</v>
      </c>
      <c r="Q4489">
        <v>0</v>
      </c>
      <c r="R4489">
        <v>0.93958684388401603</v>
      </c>
      <c r="S4489" t="s">
        <v>10040</v>
      </c>
      <c r="T4489" t="s">
        <v>11100</v>
      </c>
      <c r="U4489" t="s">
        <v>11100</v>
      </c>
      <c r="V4489" t="s">
        <v>11100</v>
      </c>
      <c r="W4489" t="s">
        <v>15538</v>
      </c>
      <c r="X4489">
        <v>9</v>
      </c>
      <c r="Y4489" t="s">
        <v>20969</v>
      </c>
      <c r="Z4489" t="s">
        <v>26494</v>
      </c>
      <c r="AA4489">
        <v>0.68607967524469515</v>
      </c>
      <c r="AB4489" t="str">
        <f>HYPERLINK("Melting_Curves/meltCurve_Q99807_COQ7.pdf", "Melting_Curves/meltCurve_Q99807_COQ7.pdf")</f>
        <v>Melting_Curves/meltCurve_Q99807_COQ7.pdf</v>
      </c>
    </row>
    <row r="4490" spans="1:28" x14ac:dyDescent="0.25">
      <c r="A4490" t="s">
        <v>4494</v>
      </c>
      <c r="B4490">
        <v>0.99299721793515405</v>
      </c>
      <c r="C4490">
        <v>1.0546035551528401</v>
      </c>
      <c r="D4490">
        <v>0.95550829742166099</v>
      </c>
      <c r="E4490">
        <v>1.0121977410690699</v>
      </c>
      <c r="F4490">
        <v>0.81591166634604495</v>
      </c>
      <c r="G4490">
        <v>0.43078943577366702</v>
      </c>
      <c r="H4490">
        <v>0.204372540983741</v>
      </c>
      <c r="I4490">
        <v>0.11006168310933299</v>
      </c>
      <c r="J4490">
        <v>0.100968893853796</v>
      </c>
      <c r="K4490">
        <v>9.1634657759578603E-2</v>
      </c>
      <c r="L4490">
        <v>1420.2665262238099</v>
      </c>
      <c r="M4490">
        <v>26.891176772978302</v>
      </c>
      <c r="N4490">
        <v>53.222461705529902</v>
      </c>
      <c r="O4490">
        <v>52.525834340605797</v>
      </c>
      <c r="P4490">
        <v>-0.116092984224649</v>
      </c>
      <c r="Q4490">
        <v>9.2963189516964098E-2</v>
      </c>
      <c r="R4490">
        <v>0.99595267585499403</v>
      </c>
      <c r="S4490" t="s">
        <v>10041</v>
      </c>
      <c r="T4490" t="s">
        <v>11100</v>
      </c>
      <c r="U4490" t="s">
        <v>11100</v>
      </c>
      <c r="V4490" t="s">
        <v>11100</v>
      </c>
      <c r="W4490" t="s">
        <v>15539</v>
      </c>
      <c r="X4490">
        <v>3</v>
      </c>
      <c r="Y4490" t="s">
        <v>20970</v>
      </c>
      <c r="Z4490" t="s">
        <v>26495</v>
      </c>
      <c r="AA4490">
        <v>0.57818619261258819</v>
      </c>
      <c r="AB4490" t="str">
        <f>HYPERLINK("Melting_Curves/meltCurve_Q99816_TSG101.pdf", "Melting_Curves/meltCurve_Q99816_TSG101.pdf")</f>
        <v>Melting_Curves/meltCurve_Q99816_TSG101.pdf</v>
      </c>
    </row>
    <row r="4491" spans="1:28" x14ac:dyDescent="0.25">
      <c r="A4491" t="s">
        <v>4495</v>
      </c>
      <c r="B4491">
        <v>0.99299721793515405</v>
      </c>
      <c r="C4491">
        <v>0.94050275979405995</v>
      </c>
      <c r="D4491">
        <v>0.85807558608957502</v>
      </c>
      <c r="E4491">
        <v>0.78325904629971599</v>
      </c>
      <c r="F4491">
        <v>0.55636411320572299</v>
      </c>
      <c r="G4491">
        <v>0.31208495478153397</v>
      </c>
      <c r="H4491">
        <v>0.65150616243237802</v>
      </c>
      <c r="I4491">
        <v>0.627816026424452</v>
      </c>
      <c r="J4491">
        <v>0.953854312267987</v>
      </c>
      <c r="K4491">
        <v>0.35766942044068101</v>
      </c>
      <c r="L4491">
        <v>1058.91320594595</v>
      </c>
      <c r="M4491">
        <v>23.576175458983698</v>
      </c>
      <c r="O4491">
        <v>44.595147099038002</v>
      </c>
      <c r="P4491">
        <v>-5.5765441625826702E-2</v>
      </c>
      <c r="Q4491">
        <v>0.578078145523372</v>
      </c>
      <c r="R4491">
        <v>0.46976546629744598</v>
      </c>
      <c r="S4491" t="s">
        <v>10042</v>
      </c>
      <c r="T4491" t="s">
        <v>11100</v>
      </c>
      <c r="U4491" t="s">
        <v>11100</v>
      </c>
      <c r="V4491" t="s">
        <v>11100</v>
      </c>
      <c r="W4491" t="s">
        <v>15540</v>
      </c>
      <c r="X4491">
        <v>35</v>
      </c>
      <c r="Y4491" t="s">
        <v>20971</v>
      </c>
      <c r="Z4491" t="s">
        <v>26496</v>
      </c>
      <c r="AA4491">
        <v>0.69330677752998682</v>
      </c>
      <c r="AB4491" t="str">
        <f>HYPERLINK("Melting_Curves/meltCurve_Q99832_CCT7.pdf", "Melting_Curves/meltCurve_Q99832_CCT7.pdf")</f>
        <v>Melting_Curves/meltCurve_Q99832_CCT7.pdf</v>
      </c>
    </row>
    <row r="4492" spans="1:28" x14ac:dyDescent="0.25">
      <c r="A4492" t="s">
        <v>4496</v>
      </c>
      <c r="B4492">
        <v>0.99299721793515405</v>
      </c>
      <c r="C4492">
        <v>0.68713545773784102</v>
      </c>
      <c r="D4492">
        <v>1.14043934456727</v>
      </c>
      <c r="E4492">
        <v>0.65787330256524201</v>
      </c>
      <c r="F4492">
        <v>0.35699079185309501</v>
      </c>
      <c r="G4492">
        <v>0.15746544321671199</v>
      </c>
      <c r="H4492">
        <v>7.7257168768008602E-2</v>
      </c>
      <c r="I4492">
        <v>0.10032205361893499</v>
      </c>
      <c r="J4492">
        <v>5.8165488010407197E-2</v>
      </c>
      <c r="K4492">
        <v>7.8253539773007599E-2</v>
      </c>
      <c r="L4492">
        <v>1163.76638622518</v>
      </c>
      <c r="M4492">
        <v>24.148242895808199</v>
      </c>
      <c r="N4492">
        <v>48.5256711553968</v>
      </c>
      <c r="O4492">
        <v>47.865746648832101</v>
      </c>
      <c r="P4492">
        <v>-0.116494184399246</v>
      </c>
      <c r="Q4492">
        <v>7.6372539762129293E-2</v>
      </c>
      <c r="R4492">
        <v>0.91082685569629696</v>
      </c>
      <c r="S4492" t="s">
        <v>10043</v>
      </c>
      <c r="T4492" t="s">
        <v>11100</v>
      </c>
      <c r="U4492" t="s">
        <v>11100</v>
      </c>
      <c r="V4492" t="s">
        <v>11100</v>
      </c>
      <c r="W4492" t="s">
        <v>15541</v>
      </c>
      <c r="X4492">
        <v>4</v>
      </c>
      <c r="Y4492" t="s">
        <v>20972</v>
      </c>
      <c r="Z4492" t="s">
        <v>26497</v>
      </c>
      <c r="AA4492">
        <v>0.42941499941954142</v>
      </c>
      <c r="AB4492" t="str">
        <f>HYPERLINK("Melting_Curves/meltCurve_Q99856_ARID3A.pdf", "Melting_Curves/meltCurve_Q99856_ARID3A.pdf")</f>
        <v>Melting_Curves/meltCurve_Q99856_ARID3A.pdf</v>
      </c>
    </row>
    <row r="4493" spans="1:28" x14ac:dyDescent="0.25">
      <c r="A4493" t="s">
        <v>4497</v>
      </c>
      <c r="B4493">
        <v>0.99299721793515405</v>
      </c>
      <c r="C4493">
        <v>0.99911418669870899</v>
      </c>
      <c r="D4493">
        <v>0.97073319810992198</v>
      </c>
      <c r="E4493">
        <v>0.94536855589907998</v>
      </c>
      <c r="F4493">
        <v>0.60381853543137298</v>
      </c>
      <c r="G4493">
        <v>0.43273862894579401</v>
      </c>
      <c r="H4493">
        <v>0.34838450581867297</v>
      </c>
      <c r="I4493">
        <v>0.30443423275396397</v>
      </c>
      <c r="J4493">
        <v>0.37420693824595802</v>
      </c>
      <c r="K4493">
        <v>0.32121806454337998</v>
      </c>
      <c r="L4493">
        <v>1479.9978555073801</v>
      </c>
      <c r="M4493">
        <v>29.7573047205268</v>
      </c>
      <c r="N4493">
        <v>51.693735697775999</v>
      </c>
      <c r="O4493">
        <v>49.512624654012399</v>
      </c>
      <c r="P4493">
        <v>-9.9462684365150905E-2</v>
      </c>
      <c r="Q4493">
        <v>0.33802802946261801</v>
      </c>
      <c r="R4493">
        <v>0.99377172505536304</v>
      </c>
      <c r="S4493" t="s">
        <v>10044</v>
      </c>
      <c r="T4493" t="s">
        <v>11100</v>
      </c>
      <c r="U4493" t="s">
        <v>11100</v>
      </c>
      <c r="V4493" t="s">
        <v>11100</v>
      </c>
      <c r="W4493" t="s">
        <v>15542</v>
      </c>
      <c r="X4493">
        <v>6</v>
      </c>
      <c r="Y4493" t="s">
        <v>20973</v>
      </c>
      <c r="Z4493" t="s">
        <v>26498</v>
      </c>
      <c r="AA4493">
        <v>0.62315816542649172</v>
      </c>
      <c r="AB4493" t="str">
        <f>HYPERLINK("Melting_Curves/meltCurve_Q99878_HIST1H2AJ.pdf", "Melting_Curves/meltCurve_Q99878_HIST1H2AJ.pdf")</f>
        <v>Melting_Curves/meltCurve_Q99878_HIST1H2AJ.pdf</v>
      </c>
    </row>
    <row r="4494" spans="1:28" x14ac:dyDescent="0.25">
      <c r="A4494" t="s">
        <v>4498</v>
      </c>
      <c r="B4494">
        <v>0.99299721793515405</v>
      </c>
      <c r="C4494">
        <v>0.82512602215018604</v>
      </c>
      <c r="D4494">
        <v>0.98925325371162898</v>
      </c>
      <c r="E4494">
        <v>0.90155993773570697</v>
      </c>
      <c r="F4494">
        <v>0.69876081957764402</v>
      </c>
      <c r="G4494">
        <v>0.51095218651422103</v>
      </c>
      <c r="H4494">
        <v>0.51864528471984594</v>
      </c>
      <c r="I4494">
        <v>0.70825485073955197</v>
      </c>
      <c r="J4494">
        <v>0.802705690264925</v>
      </c>
      <c r="K4494">
        <v>0.88894538878698803</v>
      </c>
      <c r="L4494">
        <v>2995.5651571059002</v>
      </c>
      <c r="M4494">
        <v>63.502014316076703</v>
      </c>
      <c r="O4494">
        <v>47.126043892444898</v>
      </c>
      <c r="P4494">
        <v>-0.105475152583359</v>
      </c>
      <c r="Q4494">
        <v>0.68689970054386795</v>
      </c>
      <c r="R4494">
        <v>0.465148817189798</v>
      </c>
      <c r="S4494" t="s">
        <v>10045</v>
      </c>
      <c r="T4494" t="s">
        <v>11100</v>
      </c>
      <c r="U4494" t="s">
        <v>11100</v>
      </c>
      <c r="V4494" t="s">
        <v>11100</v>
      </c>
      <c r="W4494" t="s">
        <v>15543</v>
      </c>
      <c r="X4494">
        <v>3</v>
      </c>
      <c r="Y4494" t="s">
        <v>20974</v>
      </c>
      <c r="Z4494" t="s">
        <v>26499</v>
      </c>
      <c r="AA4494">
        <v>0.79347253257719752</v>
      </c>
      <c r="AB4494" t="str">
        <f>HYPERLINK("Melting_Curves/meltCurve_Q99952_2_PTPN18.pdf", "Melting_Curves/meltCurve_Q99952_2_PTPN18.pdf")</f>
        <v>Melting_Curves/meltCurve_Q99952_2_PTPN18.pdf</v>
      </c>
    </row>
    <row r="4495" spans="1:28" x14ac:dyDescent="0.25">
      <c r="A4495" t="s">
        <v>4499</v>
      </c>
      <c r="B4495">
        <v>0.99299721793515405</v>
      </c>
      <c r="C4495">
        <v>1.0239242896162399</v>
      </c>
      <c r="D4495">
        <v>0.81335707649391498</v>
      </c>
      <c r="E4495">
        <v>0.81065150536340702</v>
      </c>
      <c r="F4495">
        <v>0.41699687424913701</v>
      </c>
      <c r="G4495">
        <v>0.21588484149263201</v>
      </c>
      <c r="H4495">
        <v>0.167556396397368</v>
      </c>
      <c r="I4495">
        <v>0.131938241217642</v>
      </c>
      <c r="J4495">
        <v>0.13867449257626899</v>
      </c>
      <c r="K4495">
        <v>0.14647239452852101</v>
      </c>
      <c r="L4495">
        <v>963.41477931403404</v>
      </c>
      <c r="M4495">
        <v>19.7958885433784</v>
      </c>
      <c r="N4495">
        <v>49.379985817623798</v>
      </c>
      <c r="O4495">
        <v>48.178945298500103</v>
      </c>
      <c r="P4495">
        <v>-8.9961557718924806E-2</v>
      </c>
      <c r="Q4495">
        <v>0.124241180541302</v>
      </c>
      <c r="R4495">
        <v>0.98217730505535805</v>
      </c>
      <c r="S4495" t="s">
        <v>10046</v>
      </c>
      <c r="T4495" t="s">
        <v>11100</v>
      </c>
      <c r="U4495" t="s">
        <v>11100</v>
      </c>
      <c r="V4495" t="s">
        <v>11100</v>
      </c>
      <c r="W4495" t="s">
        <v>15544</v>
      </c>
      <c r="X4495">
        <v>6</v>
      </c>
      <c r="Y4495" t="s">
        <v>20975</v>
      </c>
      <c r="Z4495" t="s">
        <v>26500</v>
      </c>
      <c r="AA4495">
        <v>0.47658615664612691</v>
      </c>
      <c r="AB4495" t="str">
        <f>HYPERLINK("Melting_Curves/meltCurve_Q99956_DUSP9.pdf", "Melting_Curves/meltCurve_Q99956_DUSP9.pdf")</f>
        <v>Melting_Curves/meltCurve_Q99956_DUSP9.pdf</v>
      </c>
    </row>
    <row r="4496" spans="1:28" x14ac:dyDescent="0.25">
      <c r="A4496" t="s">
        <v>4500</v>
      </c>
      <c r="B4496">
        <v>0.99299721793515405</v>
      </c>
      <c r="C4496">
        <v>1.0227671059285299</v>
      </c>
      <c r="D4496">
        <v>1.0487971670027501</v>
      </c>
      <c r="E4496">
        <v>0.94475944956752</v>
      </c>
      <c r="F4496">
        <v>0.77059697811252503</v>
      </c>
      <c r="G4496">
        <v>0.232762906896986</v>
      </c>
      <c r="H4496">
        <v>0.16063615823074501</v>
      </c>
      <c r="I4496">
        <v>0.13945748164729499</v>
      </c>
      <c r="J4496">
        <v>0.13633149687015</v>
      </c>
      <c r="K4496">
        <v>0.113315550521283</v>
      </c>
      <c r="L4496">
        <v>2194.2030449041699</v>
      </c>
      <c r="M4496">
        <v>42.7264080392426</v>
      </c>
      <c r="N4496">
        <v>51.729274996190703</v>
      </c>
      <c r="O4496">
        <v>51.242628802535101</v>
      </c>
      <c r="P4496">
        <v>-0.18071894206723399</v>
      </c>
      <c r="Q4496">
        <v>0.13304241233365699</v>
      </c>
      <c r="R4496">
        <v>0.99648737030337398</v>
      </c>
      <c r="S4496" t="s">
        <v>10047</v>
      </c>
      <c r="T4496" t="s">
        <v>11100</v>
      </c>
      <c r="U4496" t="s">
        <v>11100</v>
      </c>
      <c r="V4496" t="s">
        <v>11100</v>
      </c>
      <c r="W4496" t="s">
        <v>15545</v>
      </c>
      <c r="X4496">
        <v>24</v>
      </c>
      <c r="Y4496" t="s">
        <v>20976</v>
      </c>
      <c r="Z4496" t="s">
        <v>26501</v>
      </c>
      <c r="AA4496">
        <v>0.55056591631313012</v>
      </c>
      <c r="AB4496" t="str">
        <f>HYPERLINK("Melting_Curves/meltCurve_Q99961_SH3GL1.pdf", "Melting_Curves/meltCurve_Q99961_SH3GL1.pdf")</f>
        <v>Melting_Curves/meltCurve_Q99961_SH3GL1.pdf</v>
      </c>
    </row>
    <row r="4497" spans="1:28" x14ac:dyDescent="0.25">
      <c r="A4497" t="s">
        <v>4501</v>
      </c>
      <c r="B4497">
        <v>0.99299721793515405</v>
      </c>
      <c r="C4497">
        <v>1.0211748759962</v>
      </c>
      <c r="D4497">
        <v>0.87867245272449201</v>
      </c>
      <c r="E4497">
        <v>0.80695755068360198</v>
      </c>
      <c r="F4497">
        <v>0.39681298283318001</v>
      </c>
      <c r="G4497">
        <v>0.173116223256983</v>
      </c>
      <c r="H4497">
        <v>0.172501163287923</v>
      </c>
      <c r="I4497">
        <v>0.132727511385271</v>
      </c>
      <c r="J4497">
        <v>0.14769477078398799</v>
      </c>
      <c r="K4497">
        <v>0.106123246025153</v>
      </c>
      <c r="L4497">
        <v>1197.2524145416301</v>
      </c>
      <c r="M4497">
        <v>24.6241816907316</v>
      </c>
      <c r="N4497">
        <v>49.202609598023201</v>
      </c>
      <c r="O4497">
        <v>48.303740345913297</v>
      </c>
      <c r="P4497">
        <v>-0.111353696647622</v>
      </c>
      <c r="Q4497">
        <v>0.12626972950402601</v>
      </c>
      <c r="R4497">
        <v>0.99163269146508404</v>
      </c>
      <c r="S4497" t="s">
        <v>10048</v>
      </c>
      <c r="T4497" t="s">
        <v>11100</v>
      </c>
      <c r="U4497" t="s">
        <v>11100</v>
      </c>
      <c r="V4497" t="s">
        <v>11100</v>
      </c>
      <c r="W4497" t="s">
        <v>15546</v>
      </c>
      <c r="X4497">
        <v>8</v>
      </c>
      <c r="Y4497" t="s">
        <v>20977</v>
      </c>
      <c r="Z4497" t="s">
        <v>26502</v>
      </c>
      <c r="AA4497">
        <v>0.4724611412353445</v>
      </c>
      <c r="AB4497" t="str">
        <f>HYPERLINK("Melting_Curves/meltCurve_Q99963_4_SH3GL3.pdf", "Melting_Curves/meltCurve_Q99963_4_SH3GL3.pdf")</f>
        <v>Melting_Curves/meltCurve_Q99963_4_SH3GL3.pdf</v>
      </c>
    </row>
    <row r="4498" spans="1:28" x14ac:dyDescent="0.25">
      <c r="A4498" t="s">
        <v>4502</v>
      </c>
      <c r="B4498">
        <v>0.99299721793515405</v>
      </c>
      <c r="C4498">
        <v>0.93277306878016097</v>
      </c>
      <c r="D4498">
        <v>1.00517003961701</v>
      </c>
      <c r="E4498">
        <v>0.92429797363899302</v>
      </c>
      <c r="F4498">
        <v>0.57585772641583099</v>
      </c>
      <c r="G4498">
        <v>0.44657861993261999</v>
      </c>
      <c r="H4498">
        <v>0.260243254119158</v>
      </c>
      <c r="I4498">
        <v>0.25440328240908699</v>
      </c>
      <c r="J4498">
        <v>0.180436685202742</v>
      </c>
      <c r="K4498">
        <v>0.106420529241605</v>
      </c>
      <c r="L4498">
        <v>852.10706055198602</v>
      </c>
      <c r="M4498">
        <v>16.614210929280901</v>
      </c>
      <c r="N4498">
        <v>52.355810310132398</v>
      </c>
      <c r="O4498">
        <v>50.562090338604499</v>
      </c>
      <c r="P4498">
        <v>-7.0345798251212899E-2</v>
      </c>
      <c r="Q4498">
        <v>0.143723344841373</v>
      </c>
      <c r="R4498">
        <v>0.98257466376476899</v>
      </c>
      <c r="S4498" t="s">
        <v>10049</v>
      </c>
      <c r="T4498" t="s">
        <v>11100</v>
      </c>
      <c r="U4498" t="s">
        <v>11100</v>
      </c>
      <c r="V4498" t="s">
        <v>11100</v>
      </c>
      <c r="W4498" t="s">
        <v>15547</v>
      </c>
      <c r="X4498">
        <v>3</v>
      </c>
      <c r="Y4498" t="s">
        <v>20978</v>
      </c>
      <c r="Z4498" t="s">
        <v>26503</v>
      </c>
      <c r="AA4498">
        <v>0.56637400711803076</v>
      </c>
      <c r="AB4498" t="str">
        <f>HYPERLINK("Melting_Curves/meltCurve_Q99986_VRK1.pdf", "Melting_Curves/meltCurve_Q99986_VRK1.pdf")</f>
        <v>Melting_Curves/meltCurve_Q99986_VRK1.pdf</v>
      </c>
    </row>
    <row r="4499" spans="1:28" x14ac:dyDescent="0.25">
      <c r="A4499" t="s">
        <v>4503</v>
      </c>
      <c r="B4499">
        <v>0.99299721793515405</v>
      </c>
      <c r="C4499">
        <v>0.90010165774772</v>
      </c>
      <c r="D4499">
        <v>1.2392069179832901</v>
      </c>
      <c r="E4499">
        <v>0.78848797692003303</v>
      </c>
      <c r="F4499">
        <v>0.69140316057312501</v>
      </c>
      <c r="G4499">
        <v>0.60630092838277405</v>
      </c>
      <c r="H4499">
        <v>0.40090757607768301</v>
      </c>
      <c r="I4499">
        <v>0.21624308341381901</v>
      </c>
      <c r="J4499">
        <v>0.156651134307462</v>
      </c>
      <c r="K4499">
        <v>0.23535823953806001</v>
      </c>
      <c r="L4499">
        <v>721.36954073459901</v>
      </c>
      <c r="M4499">
        <v>13.488420458495501</v>
      </c>
      <c r="N4499">
        <v>54.633527684442001</v>
      </c>
      <c r="O4499">
        <v>52.346194942878</v>
      </c>
      <c r="P4499">
        <v>-5.6449315360021401E-2</v>
      </c>
      <c r="Q4499">
        <v>0.123854488093849</v>
      </c>
      <c r="R4499">
        <v>0.91024187412865198</v>
      </c>
      <c r="S4499" t="s">
        <v>10050</v>
      </c>
      <c r="T4499" t="s">
        <v>11100</v>
      </c>
      <c r="U4499" t="s">
        <v>11100</v>
      </c>
      <c r="V4499" t="s">
        <v>11100</v>
      </c>
      <c r="W4499" t="s">
        <v>15548</v>
      </c>
      <c r="X4499">
        <v>11</v>
      </c>
      <c r="Y4499" t="s">
        <v>20979</v>
      </c>
      <c r="Z4499" t="s">
        <v>26504</v>
      </c>
      <c r="AA4499">
        <v>0.62138589180748993</v>
      </c>
      <c r="AB4499" t="str">
        <f>HYPERLINK("Melting_Curves/meltCurve_Q9BPU6_DPYSL5.pdf", "Melting_Curves/meltCurve_Q9BPU6_DPYSL5.pdf")</f>
        <v>Melting_Curves/meltCurve_Q9BPU6_DPYSL5.pdf</v>
      </c>
    </row>
    <row r="4500" spans="1:28" x14ac:dyDescent="0.25">
      <c r="A4500" t="s">
        <v>4504</v>
      </c>
      <c r="B4500">
        <v>0.99299721793515405</v>
      </c>
      <c r="C4500">
        <v>1.04457418018913</v>
      </c>
      <c r="D4500">
        <v>0.99534592159772095</v>
      </c>
      <c r="E4500">
        <v>0.96227710175983106</v>
      </c>
      <c r="F4500">
        <v>0.72619642536559104</v>
      </c>
      <c r="G4500">
        <v>0.81436891226129304</v>
      </c>
      <c r="H4500">
        <v>0.43477426814345699</v>
      </c>
      <c r="I4500">
        <v>0.24245439694367399</v>
      </c>
      <c r="J4500">
        <v>0.15942768710498301</v>
      </c>
      <c r="K4500">
        <v>0.125542020293375</v>
      </c>
      <c r="L4500">
        <v>791.74530883694297</v>
      </c>
      <c r="M4500">
        <v>13.9468769577113</v>
      </c>
      <c r="N4500">
        <v>56.768645445098898</v>
      </c>
      <c r="O4500">
        <v>55.639752696659102</v>
      </c>
      <c r="P4500">
        <v>-6.2674389230070099E-2</v>
      </c>
      <c r="Q4500">
        <v>0</v>
      </c>
      <c r="R4500">
        <v>0.96801594401699498</v>
      </c>
      <c r="S4500" t="s">
        <v>10051</v>
      </c>
      <c r="T4500" t="s">
        <v>11100</v>
      </c>
      <c r="U4500" t="s">
        <v>11100</v>
      </c>
      <c r="V4500" t="s">
        <v>11100</v>
      </c>
      <c r="W4500" t="s">
        <v>15549</v>
      </c>
      <c r="X4500">
        <v>13</v>
      </c>
      <c r="Y4500" t="s">
        <v>20980</v>
      </c>
      <c r="Z4500" t="s">
        <v>26505</v>
      </c>
      <c r="AA4500">
        <v>0.66729727059254396</v>
      </c>
      <c r="AB4500" t="str">
        <f>HYPERLINK("Melting_Curves/meltCurve_Q9BPW8_NIPSNAP1.pdf", "Melting_Curves/meltCurve_Q9BPW8_NIPSNAP1.pdf")</f>
        <v>Melting_Curves/meltCurve_Q9BPW8_NIPSNAP1.pdf</v>
      </c>
    </row>
    <row r="4501" spans="1:28" x14ac:dyDescent="0.25">
      <c r="A4501" t="s">
        <v>4505</v>
      </c>
      <c r="B4501">
        <v>0.99299721793515405</v>
      </c>
      <c r="C4501">
        <v>1.10416877736445</v>
      </c>
      <c r="D4501">
        <v>0.94104868047009704</v>
      </c>
      <c r="E4501">
        <v>0.98427491974478798</v>
      </c>
      <c r="F4501">
        <v>0.79089479518846995</v>
      </c>
      <c r="G4501">
        <v>0.40649660313542202</v>
      </c>
      <c r="H4501">
        <v>0.38560469426831001</v>
      </c>
      <c r="I4501">
        <v>0.32901385998723898</v>
      </c>
      <c r="J4501">
        <v>0.17948050644531099</v>
      </c>
      <c r="K4501">
        <v>0.14022136296425</v>
      </c>
      <c r="L4501">
        <v>1061.30350945906</v>
      </c>
      <c r="M4501">
        <v>20.266052857863802</v>
      </c>
      <c r="N4501">
        <v>53.697906750203501</v>
      </c>
      <c r="O4501">
        <v>51.866636637247801</v>
      </c>
      <c r="P4501">
        <v>-7.8417374995397707E-2</v>
      </c>
      <c r="Q4501">
        <v>0.19725466360161101</v>
      </c>
      <c r="R4501">
        <v>0.965790555176405</v>
      </c>
      <c r="S4501" t="s">
        <v>10052</v>
      </c>
      <c r="T4501" t="s">
        <v>11100</v>
      </c>
      <c r="U4501" t="s">
        <v>11100</v>
      </c>
      <c r="V4501" t="s">
        <v>11100</v>
      </c>
      <c r="W4501" t="s">
        <v>15550</v>
      </c>
      <c r="X4501">
        <v>3</v>
      </c>
      <c r="Y4501" t="s">
        <v>20981</v>
      </c>
      <c r="Z4501" t="s">
        <v>26506</v>
      </c>
      <c r="AA4501">
        <v>0.61857019221271281</v>
      </c>
      <c r="AB4501" t="str">
        <f>HYPERLINK("Melting_Curves/meltCurve_Q9BPX3_NCAPG.pdf", "Melting_Curves/meltCurve_Q9BPX3_NCAPG.pdf")</f>
        <v>Melting_Curves/meltCurve_Q9BPX3_NCAPG.pdf</v>
      </c>
    </row>
    <row r="4502" spans="1:28" x14ac:dyDescent="0.25">
      <c r="A4502" t="s">
        <v>4506</v>
      </c>
      <c r="B4502">
        <v>0.99299721793515405</v>
      </c>
      <c r="C4502">
        <v>1.0476255224197699</v>
      </c>
      <c r="D4502">
        <v>0.88722662218263904</v>
      </c>
      <c r="E4502">
        <v>0.91651881161297899</v>
      </c>
      <c r="F4502">
        <v>0.86991432736124696</v>
      </c>
      <c r="G4502">
        <v>0.719864850759389</v>
      </c>
      <c r="H4502">
        <v>0.76191213892046294</v>
      </c>
      <c r="I4502">
        <v>0.89525163702355304</v>
      </c>
      <c r="J4502">
        <v>1.0189335101004899</v>
      </c>
      <c r="K4502">
        <v>1.2964230457150601</v>
      </c>
      <c r="L4502">
        <v>15000</v>
      </c>
      <c r="M4502">
        <v>231.32383922538099</v>
      </c>
      <c r="O4502">
        <v>64.839313555763894</v>
      </c>
      <c r="P4502">
        <v>0.26453803245222302</v>
      </c>
      <c r="Q4502">
        <v>1.2965965699478801</v>
      </c>
      <c r="R4502">
        <v>0.22270047203960899</v>
      </c>
      <c r="S4502" t="s">
        <v>10053</v>
      </c>
      <c r="T4502" t="s">
        <v>11100</v>
      </c>
      <c r="U4502" t="s">
        <v>11100</v>
      </c>
      <c r="V4502" t="s">
        <v>11100</v>
      </c>
      <c r="W4502" t="s">
        <v>15551</v>
      </c>
      <c r="X4502">
        <v>3</v>
      </c>
      <c r="Y4502" t="s">
        <v>20982</v>
      </c>
      <c r="Z4502" t="s">
        <v>26507</v>
      </c>
      <c r="AA4502">
        <v>1.021276149507109</v>
      </c>
      <c r="AB4502" t="str">
        <f>HYPERLINK("Melting_Curves/meltCurve_Q9BPX5_ARPC5L.pdf", "Melting_Curves/meltCurve_Q9BPX5_ARPC5L.pdf")</f>
        <v>Melting_Curves/meltCurve_Q9BPX5_ARPC5L.pdf</v>
      </c>
    </row>
    <row r="4503" spans="1:28" x14ac:dyDescent="0.25">
      <c r="A4503" t="s">
        <v>4507</v>
      </c>
      <c r="B4503">
        <v>0.99299721793515405</v>
      </c>
      <c r="C4503">
        <v>0.90150221767653005</v>
      </c>
      <c r="D4503">
        <v>0.78515314574072503</v>
      </c>
      <c r="E4503">
        <v>0.82353768001533001</v>
      </c>
      <c r="F4503">
        <v>0.617909950402321</v>
      </c>
      <c r="G4503">
        <v>0.22306197039121101</v>
      </c>
      <c r="H4503">
        <v>0.22757603862578499</v>
      </c>
      <c r="I4503">
        <v>0.29791481694918998</v>
      </c>
      <c r="J4503">
        <v>0.28849110407857198</v>
      </c>
      <c r="K4503">
        <v>0.23830445664925801</v>
      </c>
      <c r="L4503">
        <v>776.243759346552</v>
      </c>
      <c r="M4503">
        <v>15.8962479135648</v>
      </c>
      <c r="N4503">
        <v>50.6670841150409</v>
      </c>
      <c r="O4503">
        <v>48.078684157937403</v>
      </c>
      <c r="P4503">
        <v>-6.4571812782856494E-2</v>
      </c>
      <c r="Q4503">
        <v>0.21886515773711901</v>
      </c>
      <c r="R4503">
        <v>0.92604560920308698</v>
      </c>
      <c r="S4503" t="s">
        <v>10054</v>
      </c>
      <c r="T4503" t="s">
        <v>11100</v>
      </c>
      <c r="U4503" t="s">
        <v>11100</v>
      </c>
      <c r="V4503" t="s">
        <v>11100</v>
      </c>
      <c r="W4503" t="s">
        <v>15552</v>
      </c>
      <c r="X4503">
        <v>1</v>
      </c>
      <c r="Y4503" t="s">
        <v>20983</v>
      </c>
      <c r="Z4503" t="s">
        <v>26508</v>
      </c>
      <c r="AA4503">
        <v>0.54230496207516998</v>
      </c>
      <c r="AB4503" t="str">
        <f>HYPERLINK("Melting_Curves/meltCurve_Q9BPX7_C7orf25.pdf", "Melting_Curves/meltCurve_Q9BPX7_C7orf25.pdf")</f>
        <v>Melting_Curves/meltCurve_Q9BPX7_C7orf25.pdf</v>
      </c>
    </row>
    <row r="4504" spans="1:28" x14ac:dyDescent="0.25">
      <c r="A4504" t="s">
        <v>4508</v>
      </c>
      <c r="B4504">
        <v>0.99299721793515405</v>
      </c>
      <c r="C4504">
        <v>0.98247584945737998</v>
      </c>
      <c r="D4504">
        <v>1.09663007622508</v>
      </c>
      <c r="E4504">
        <v>0.99719755067707305</v>
      </c>
      <c r="F4504">
        <v>0.79120315042220102</v>
      </c>
      <c r="G4504">
        <v>0.38150145957917497</v>
      </c>
      <c r="H4504">
        <v>0.18682321660408299</v>
      </c>
      <c r="I4504">
        <v>0.15053137180163301</v>
      </c>
      <c r="J4504">
        <v>0.135779497407261</v>
      </c>
      <c r="K4504">
        <v>0.12358525663991</v>
      </c>
      <c r="L4504">
        <v>1588.94103140634</v>
      </c>
      <c r="M4504">
        <v>30.457519497834799</v>
      </c>
      <c r="N4504">
        <v>52.703771153760897</v>
      </c>
      <c r="O4504">
        <v>51.9457429206009</v>
      </c>
      <c r="P4504">
        <v>-0.127102031912769</v>
      </c>
      <c r="Q4504">
        <v>0.132907857051342</v>
      </c>
      <c r="R4504">
        <v>0.99341686601102397</v>
      </c>
      <c r="S4504" t="s">
        <v>10055</v>
      </c>
      <c r="T4504" t="s">
        <v>11100</v>
      </c>
      <c r="U4504" t="s">
        <v>11100</v>
      </c>
      <c r="V4504" t="s">
        <v>11100</v>
      </c>
      <c r="W4504" t="s">
        <v>15553</v>
      </c>
      <c r="X4504">
        <v>5</v>
      </c>
      <c r="Y4504" t="s">
        <v>20984</v>
      </c>
      <c r="Z4504" t="s">
        <v>26509</v>
      </c>
      <c r="AA4504">
        <v>0.57666546007996489</v>
      </c>
      <c r="AB4504" t="str">
        <f>HYPERLINK("Melting_Curves/meltCurve_Q9BPZ3_PAIP2.pdf", "Melting_Curves/meltCurve_Q9BPZ3_PAIP2.pdf")</f>
        <v>Melting_Curves/meltCurve_Q9BPZ3_PAIP2.pdf</v>
      </c>
    </row>
    <row r="4505" spans="1:28" x14ac:dyDescent="0.25">
      <c r="A4505" t="s">
        <v>4509</v>
      </c>
      <c r="B4505">
        <v>0.99299721793515405</v>
      </c>
      <c r="C4505">
        <v>1.02009914636388</v>
      </c>
      <c r="D4505">
        <v>0.89606264378761202</v>
      </c>
      <c r="E4505">
        <v>0.90162874928591596</v>
      </c>
      <c r="F4505">
        <v>0.75808676221257298</v>
      </c>
      <c r="G4505">
        <v>0.69158026831501895</v>
      </c>
      <c r="H4505">
        <v>0.83417937584941304</v>
      </c>
      <c r="I4505">
        <v>0.94880575554353896</v>
      </c>
      <c r="J4505">
        <v>0.96541779826887197</v>
      </c>
      <c r="K4505">
        <v>0.63769942229531795</v>
      </c>
      <c r="L4505">
        <v>1121.1266306993</v>
      </c>
      <c r="M4505">
        <v>25.577157789030402</v>
      </c>
      <c r="O4505">
        <v>43.5678055002222</v>
      </c>
      <c r="P4505">
        <v>-2.77346301119238E-2</v>
      </c>
      <c r="Q4505">
        <v>0.81103105493968497</v>
      </c>
      <c r="R4505">
        <v>0.36968952181777198</v>
      </c>
      <c r="S4505" t="s">
        <v>10056</v>
      </c>
      <c r="T4505" t="s">
        <v>11100</v>
      </c>
      <c r="U4505" t="s">
        <v>11100</v>
      </c>
      <c r="V4505" t="s">
        <v>11100</v>
      </c>
      <c r="W4505" t="s">
        <v>15554</v>
      </c>
      <c r="X4505">
        <v>43</v>
      </c>
      <c r="Y4505" t="s">
        <v>20985</v>
      </c>
      <c r="Z4505" t="s">
        <v>26510</v>
      </c>
      <c r="AA4505">
        <v>0.85555174980006754</v>
      </c>
      <c r="AB4505" t="str">
        <f>HYPERLINK("Melting_Curves/meltCurve_Q9BQ52_ELAC2.pdf", "Melting_Curves/meltCurve_Q9BQ52_ELAC2.pdf")</f>
        <v>Melting_Curves/meltCurve_Q9BQ52_ELAC2.pdf</v>
      </c>
    </row>
    <row r="4506" spans="1:28" x14ac:dyDescent="0.25">
      <c r="A4506" t="s">
        <v>4510</v>
      </c>
      <c r="B4506">
        <v>0.99299721793515405</v>
      </c>
      <c r="C4506">
        <v>0.90802990205741096</v>
      </c>
      <c r="D4506">
        <v>1.06868444674959</v>
      </c>
      <c r="E4506">
        <v>0.82840055739349705</v>
      </c>
      <c r="F4506">
        <v>0.73123278533258196</v>
      </c>
      <c r="G4506">
        <v>0.62270632258468706</v>
      </c>
      <c r="H4506">
        <v>0.65849398634268697</v>
      </c>
      <c r="I4506">
        <v>0.80307645152971197</v>
      </c>
      <c r="J4506">
        <v>0.96167601677687797</v>
      </c>
      <c r="K4506">
        <v>0.88555962888798501</v>
      </c>
      <c r="L4506">
        <v>11593.7103161247</v>
      </c>
      <c r="M4506">
        <v>250</v>
      </c>
      <c r="O4506">
        <v>46.3718810027529</v>
      </c>
      <c r="P4506">
        <v>-0.300391951762913</v>
      </c>
      <c r="Q4506">
        <v>0.77712419837584201</v>
      </c>
      <c r="R4506">
        <v>0.47596790193647198</v>
      </c>
      <c r="S4506" t="s">
        <v>10057</v>
      </c>
      <c r="T4506" t="s">
        <v>11100</v>
      </c>
      <c r="U4506" t="s">
        <v>11100</v>
      </c>
      <c r="V4506" t="s">
        <v>11100</v>
      </c>
      <c r="W4506" t="s">
        <v>15555</v>
      </c>
      <c r="X4506">
        <v>12</v>
      </c>
      <c r="Y4506" t="s">
        <v>20986</v>
      </c>
      <c r="Z4506" t="s">
        <v>26511</v>
      </c>
      <c r="AA4506">
        <v>0.84678984632730758</v>
      </c>
      <c r="AB4506" t="str">
        <f>HYPERLINK("Melting_Curves/meltCurve_Q9BQ61_C19orf43.pdf", "Melting_Curves/meltCurve_Q9BQ61_C19orf43.pdf")</f>
        <v>Melting_Curves/meltCurve_Q9BQ61_C19orf43.pdf</v>
      </c>
    </row>
    <row r="4507" spans="1:28" x14ac:dyDescent="0.25">
      <c r="A4507" t="s">
        <v>4511</v>
      </c>
      <c r="B4507">
        <v>0.99299721793515405</v>
      </c>
      <c r="C4507">
        <v>0.93830272529685899</v>
      </c>
      <c r="D4507">
        <v>0.92772314996123595</v>
      </c>
      <c r="E4507">
        <v>0.85141113635599397</v>
      </c>
      <c r="F4507">
        <v>0.62909393868702501</v>
      </c>
      <c r="G4507">
        <v>0.17976175798455099</v>
      </c>
      <c r="H4507">
        <v>0.12288111049440099</v>
      </c>
      <c r="I4507">
        <v>0.108197215180973</v>
      </c>
      <c r="J4507">
        <v>0.10700594487931001</v>
      </c>
      <c r="K4507">
        <v>9.5905517812379895E-2</v>
      </c>
      <c r="L4507">
        <v>1317.0711405249699</v>
      </c>
      <c r="M4507">
        <v>26.104916106714299</v>
      </c>
      <c r="N4507">
        <v>50.830489191289203</v>
      </c>
      <c r="O4507">
        <v>50.159720543316197</v>
      </c>
      <c r="P4507">
        <v>-0.11864542935503999</v>
      </c>
      <c r="Q4507">
        <v>8.8117598060719601E-2</v>
      </c>
      <c r="R4507">
        <v>0.98817853366132102</v>
      </c>
      <c r="S4507" t="s">
        <v>10058</v>
      </c>
      <c r="T4507" t="s">
        <v>11100</v>
      </c>
      <c r="U4507" t="s">
        <v>11100</v>
      </c>
      <c r="V4507" t="s">
        <v>11100</v>
      </c>
      <c r="W4507" t="s">
        <v>15556</v>
      </c>
      <c r="X4507">
        <v>15</v>
      </c>
      <c r="Y4507" t="s">
        <v>20987</v>
      </c>
      <c r="Z4507" t="s">
        <v>26512</v>
      </c>
      <c r="AA4507">
        <v>0.50441523514861253</v>
      </c>
      <c r="AB4507" t="str">
        <f>HYPERLINK("Melting_Curves/meltCurve_Q9BQ69_MACROD1.pdf", "Melting_Curves/meltCurve_Q9BQ69_MACROD1.pdf")</f>
        <v>Melting_Curves/meltCurve_Q9BQ69_MACROD1.pdf</v>
      </c>
    </row>
    <row r="4508" spans="1:28" x14ac:dyDescent="0.25">
      <c r="A4508" t="s">
        <v>4512</v>
      </c>
      <c r="B4508">
        <v>0.99299721793515405</v>
      </c>
      <c r="C4508">
        <v>0.93076411331026199</v>
      </c>
      <c r="D4508">
        <v>1.19555852804503</v>
      </c>
      <c r="E4508">
        <v>0.880934661676681</v>
      </c>
      <c r="F4508">
        <v>0.61584934192617202</v>
      </c>
      <c r="G4508">
        <v>0.35712729669912502</v>
      </c>
      <c r="H4508">
        <v>0.17257710719827499</v>
      </c>
      <c r="I4508">
        <v>0.19899781658823901</v>
      </c>
      <c r="J4508">
        <v>0.17116738088033201</v>
      </c>
      <c r="K4508">
        <v>0.174899154362921</v>
      </c>
      <c r="L4508">
        <v>1265.30851123144</v>
      </c>
      <c r="M4508">
        <v>25.003989085227701</v>
      </c>
      <c r="N4508">
        <v>51.462790451074603</v>
      </c>
      <c r="O4508">
        <v>50.2839203453373</v>
      </c>
      <c r="P4508">
        <v>-0.103115980218258</v>
      </c>
      <c r="Q4508">
        <v>0.170531514306513</v>
      </c>
      <c r="R4508">
        <v>0.96495676221375604</v>
      </c>
      <c r="S4508" t="s">
        <v>10059</v>
      </c>
      <c r="T4508" t="s">
        <v>11100</v>
      </c>
      <c r="U4508" t="s">
        <v>11100</v>
      </c>
      <c r="V4508" t="s">
        <v>11100</v>
      </c>
      <c r="W4508" t="s">
        <v>15557</v>
      </c>
      <c r="X4508">
        <v>4</v>
      </c>
      <c r="Y4508" t="s">
        <v>20988</v>
      </c>
      <c r="Z4508" t="s">
        <v>26513</v>
      </c>
      <c r="AA4508">
        <v>0.55396903497433625</v>
      </c>
      <c r="AB4508" t="str">
        <f>HYPERLINK("Melting_Curves/meltCurve_Q9BQ70_TCF25.pdf", "Melting_Curves/meltCurve_Q9BQ70_TCF25.pdf")</f>
        <v>Melting_Curves/meltCurve_Q9BQ70_TCF25.pdf</v>
      </c>
    </row>
    <row r="4509" spans="1:28" x14ac:dyDescent="0.25">
      <c r="A4509" t="s">
        <v>4513</v>
      </c>
      <c r="B4509">
        <v>0.99299721793515405</v>
      </c>
      <c r="C4509">
        <v>1.03742841100426</v>
      </c>
      <c r="D4509">
        <v>0.96674538972024304</v>
      </c>
      <c r="E4509">
        <v>0.99293319128309299</v>
      </c>
      <c r="F4509">
        <v>0.771286916365299</v>
      </c>
      <c r="G4509">
        <v>1.03757785312853</v>
      </c>
      <c r="H4509">
        <v>1.0996549339274</v>
      </c>
      <c r="I4509">
        <v>0.94915340557041405</v>
      </c>
      <c r="J4509">
        <v>0.499086127692699</v>
      </c>
      <c r="K4509">
        <v>0.27715023404089101</v>
      </c>
      <c r="L4509">
        <v>4308.4916474474203</v>
      </c>
      <c r="M4509">
        <v>67.952008687802106</v>
      </c>
      <c r="N4509">
        <v>64.091478439673494</v>
      </c>
      <c r="O4509">
        <v>63.350072114176598</v>
      </c>
      <c r="P4509">
        <v>-0.19882988317846501</v>
      </c>
      <c r="Q4509">
        <v>0.25854233553606898</v>
      </c>
      <c r="R4509">
        <v>0.89831968793588102</v>
      </c>
      <c r="S4509" t="s">
        <v>10060</v>
      </c>
      <c r="T4509" t="s">
        <v>11100</v>
      </c>
      <c r="U4509" t="s">
        <v>11100</v>
      </c>
      <c r="V4509" t="s">
        <v>11100</v>
      </c>
      <c r="W4509" t="s">
        <v>15558</v>
      </c>
      <c r="X4509">
        <v>5</v>
      </c>
      <c r="Y4509" t="s">
        <v>20989</v>
      </c>
      <c r="Z4509" t="s">
        <v>26514</v>
      </c>
      <c r="AA4509">
        <v>0.91158149510155484</v>
      </c>
      <c r="AB4509" t="str">
        <f>HYPERLINK("Melting_Curves/meltCurve_Q9BQ95_ECSIT.pdf", "Melting_Curves/meltCurve_Q9BQ95_ECSIT.pdf")</f>
        <v>Melting_Curves/meltCurve_Q9BQ95_ECSIT.pdf</v>
      </c>
    </row>
    <row r="4510" spans="1:28" x14ac:dyDescent="0.25">
      <c r="A4510" t="s">
        <v>4514</v>
      </c>
      <c r="B4510">
        <v>0.99299721793515405</v>
      </c>
      <c r="C4510">
        <v>0.87774898859197503</v>
      </c>
      <c r="D4510">
        <v>0.97167651038843295</v>
      </c>
      <c r="E4510">
        <v>0.919860940523757</v>
      </c>
      <c r="F4510">
        <v>0.786730916757163</v>
      </c>
      <c r="G4510">
        <v>0.67456196941748603</v>
      </c>
      <c r="H4510">
        <v>0.48231984605591699</v>
      </c>
      <c r="I4510">
        <v>0.35830517545996998</v>
      </c>
      <c r="J4510">
        <v>0.27215925483040099</v>
      </c>
      <c r="K4510">
        <v>0.209183538300236</v>
      </c>
      <c r="L4510">
        <v>541.58298801090496</v>
      </c>
      <c r="M4510">
        <v>9.4380346440958096</v>
      </c>
      <c r="N4510">
        <v>57.383004259904602</v>
      </c>
      <c r="O4510">
        <v>54.983854970218999</v>
      </c>
      <c r="P4510">
        <v>-4.29387783781865E-2</v>
      </c>
      <c r="Q4510">
        <v>0</v>
      </c>
      <c r="R4510">
        <v>0.98425135141587605</v>
      </c>
      <c r="S4510" t="s">
        <v>10061</v>
      </c>
      <c r="T4510" t="s">
        <v>11100</v>
      </c>
      <c r="U4510" t="s">
        <v>11100</v>
      </c>
      <c r="V4510" t="s">
        <v>11100</v>
      </c>
      <c r="W4510" t="s">
        <v>15559</v>
      </c>
      <c r="X4510">
        <v>10</v>
      </c>
      <c r="Y4510" t="s">
        <v>20990</v>
      </c>
      <c r="Z4510" t="s">
        <v>26515</v>
      </c>
      <c r="AA4510">
        <v>0.67325531117543846</v>
      </c>
      <c r="AB4510" t="str">
        <f>HYPERLINK("Melting_Curves/meltCurve_Q9BQC3_DPH2.pdf", "Melting_Curves/meltCurve_Q9BQC3_DPH2.pdf")</f>
        <v>Melting_Curves/meltCurve_Q9BQC3_DPH2.pdf</v>
      </c>
    </row>
    <row r="4511" spans="1:28" x14ac:dyDescent="0.25">
      <c r="A4511" t="s">
        <v>4515</v>
      </c>
      <c r="B4511">
        <v>0.99299721793515405</v>
      </c>
      <c r="C4511">
        <v>1.0329983470406801</v>
      </c>
      <c r="D4511">
        <v>1.07589454538026</v>
      </c>
      <c r="E4511">
        <v>0.89891039140569295</v>
      </c>
      <c r="F4511">
        <v>0.59720828043848295</v>
      </c>
      <c r="G4511">
        <v>0.212820733269143</v>
      </c>
      <c r="H4511">
        <v>0.170629022362833</v>
      </c>
      <c r="I4511">
        <v>0.12000652470487599</v>
      </c>
      <c r="J4511">
        <v>9.2558869345147399E-2</v>
      </c>
      <c r="K4511">
        <v>8.7739882562856794E-2</v>
      </c>
      <c r="L4511">
        <v>1434.8822325476699</v>
      </c>
      <c r="M4511">
        <v>28.433912065850699</v>
      </c>
      <c r="N4511">
        <v>50.882226417683597</v>
      </c>
      <c r="O4511">
        <v>50.216150914388301</v>
      </c>
      <c r="P4511">
        <v>-0.12680022877345401</v>
      </c>
      <c r="Q4511">
        <v>0.104257499252235</v>
      </c>
      <c r="R4511">
        <v>0.99337733805864403</v>
      </c>
      <c r="S4511" t="s">
        <v>10062</v>
      </c>
      <c r="T4511" t="s">
        <v>11100</v>
      </c>
      <c r="U4511" t="s">
        <v>11100</v>
      </c>
      <c r="V4511" t="s">
        <v>11100</v>
      </c>
      <c r="W4511" t="s">
        <v>15560</v>
      </c>
      <c r="X4511">
        <v>7</v>
      </c>
      <c r="Y4511" t="s">
        <v>20991</v>
      </c>
      <c r="Z4511" t="s">
        <v>26516</v>
      </c>
      <c r="AA4511">
        <v>0.51240811215417115</v>
      </c>
      <c r="AB4511" t="str">
        <f>HYPERLINK("Melting_Curves/meltCurve_Q9BQG0_MYBBP1A.pdf", "Melting_Curves/meltCurve_Q9BQG0_MYBBP1A.pdf")</f>
        <v>Melting_Curves/meltCurve_Q9BQG0_MYBBP1A.pdf</v>
      </c>
    </row>
    <row r="4512" spans="1:28" x14ac:dyDescent="0.25">
      <c r="A4512" t="s">
        <v>4516</v>
      </c>
      <c r="B4512">
        <v>0.99299721793515405</v>
      </c>
      <c r="C4512">
        <v>0.85902129969503904</v>
      </c>
      <c r="D4512">
        <v>0.90584054293097405</v>
      </c>
      <c r="E4512">
        <v>0.85285332533510405</v>
      </c>
      <c r="F4512">
        <v>0.74495508050946102</v>
      </c>
      <c r="G4512">
        <v>0.46440806526119199</v>
      </c>
      <c r="H4512">
        <v>0.34596939007426297</v>
      </c>
      <c r="I4512">
        <v>0.30171409810589001</v>
      </c>
      <c r="J4512">
        <v>0.32181261324830701</v>
      </c>
      <c r="K4512">
        <v>0.20052679216209099</v>
      </c>
      <c r="L4512">
        <v>593.40834289557699</v>
      </c>
      <c r="M4512">
        <v>11.3755070486443</v>
      </c>
      <c r="N4512">
        <v>54.106611103239999</v>
      </c>
      <c r="O4512">
        <v>50.631372989520997</v>
      </c>
      <c r="P4512">
        <v>-4.6771136292102097E-2</v>
      </c>
      <c r="Q4512">
        <v>0.16755004037803201</v>
      </c>
      <c r="R4512">
        <v>0.96460149789862304</v>
      </c>
      <c r="S4512" t="s">
        <v>10063</v>
      </c>
      <c r="T4512" t="s">
        <v>11100</v>
      </c>
      <c r="U4512" t="s">
        <v>11100</v>
      </c>
      <c r="V4512" t="s">
        <v>11100</v>
      </c>
      <c r="W4512" t="s">
        <v>15561</v>
      </c>
      <c r="X4512">
        <v>2</v>
      </c>
      <c r="Y4512" t="s">
        <v>20992</v>
      </c>
      <c r="Z4512" t="s">
        <v>26517</v>
      </c>
      <c r="AA4512">
        <v>0.60853760819464431</v>
      </c>
      <c r="AB4512" t="str">
        <f>HYPERLINK("Melting_Curves/meltCurve_Q9BQI3_2_EIF2AK1.pdf", "Melting_Curves/meltCurve_Q9BQI3_2_EIF2AK1.pdf")</f>
        <v>Melting_Curves/meltCurve_Q9BQI3_2_EIF2AK1.pdf</v>
      </c>
    </row>
    <row r="4513" spans="1:28" x14ac:dyDescent="0.25">
      <c r="A4513" t="s">
        <v>4517</v>
      </c>
      <c r="B4513">
        <v>0.99299721793515405</v>
      </c>
      <c r="C4513">
        <v>0.98436924159678896</v>
      </c>
      <c r="D4513">
        <v>0.93287763137989499</v>
      </c>
      <c r="E4513">
        <v>0.92333070390914695</v>
      </c>
      <c r="F4513">
        <v>0.76698480933411295</v>
      </c>
      <c r="G4513">
        <v>0.48373860950963798</v>
      </c>
      <c r="H4513">
        <v>0.46566706421763299</v>
      </c>
      <c r="I4513">
        <v>0.33255538239253002</v>
      </c>
      <c r="J4513">
        <v>0.198622732156714</v>
      </c>
      <c r="K4513">
        <v>9.3053280872751901E-2</v>
      </c>
      <c r="L4513">
        <v>575.81853869236704</v>
      </c>
      <c r="M4513">
        <v>10.376709040170599</v>
      </c>
      <c r="N4513">
        <v>55.491427090400997</v>
      </c>
      <c r="O4513">
        <v>53.549190995828603</v>
      </c>
      <c r="P4513">
        <v>-4.8465203599255303E-2</v>
      </c>
      <c r="Q4513">
        <v>0</v>
      </c>
      <c r="R4513">
        <v>0.98121956147473299</v>
      </c>
      <c r="S4513" t="s">
        <v>10064</v>
      </c>
      <c r="T4513" t="s">
        <v>11100</v>
      </c>
      <c r="U4513" t="s">
        <v>11100</v>
      </c>
      <c r="V4513" t="s">
        <v>11100</v>
      </c>
      <c r="W4513" t="s">
        <v>15562</v>
      </c>
      <c r="X4513">
        <v>7</v>
      </c>
      <c r="Y4513" t="s">
        <v>20993</v>
      </c>
      <c r="Z4513" t="s">
        <v>26518</v>
      </c>
      <c r="AA4513">
        <v>0.62639732527068992</v>
      </c>
      <c r="AB4513" t="str">
        <f>HYPERLINK("Melting_Curves/meltCurve_Q9BQP7_MGME1.pdf", "Melting_Curves/meltCurve_Q9BQP7_MGME1.pdf")</f>
        <v>Melting_Curves/meltCurve_Q9BQP7_MGME1.pdf</v>
      </c>
    </row>
    <row r="4514" spans="1:28" x14ac:dyDescent="0.25">
      <c r="A4514" t="s">
        <v>4518</v>
      </c>
      <c r="B4514">
        <v>0.99299721793515405</v>
      </c>
      <c r="C4514">
        <v>0.89051762052153505</v>
      </c>
      <c r="D4514">
        <v>0.86114047228032897</v>
      </c>
      <c r="E4514">
        <v>0.81822448137425097</v>
      </c>
      <c r="F4514">
        <v>0.79983360963304895</v>
      </c>
      <c r="G4514">
        <v>0.40453889823047401</v>
      </c>
      <c r="H4514">
        <v>0.28356126730034198</v>
      </c>
      <c r="I4514">
        <v>0.26805960782098298</v>
      </c>
      <c r="J4514">
        <v>0.221524361966315</v>
      </c>
      <c r="K4514">
        <v>0.14746177150402401</v>
      </c>
      <c r="L4514">
        <v>593.227130376334</v>
      </c>
      <c r="M4514">
        <v>11.280431650447399</v>
      </c>
      <c r="N4514">
        <v>53.437882236706699</v>
      </c>
      <c r="O4514">
        <v>51.017624783158503</v>
      </c>
      <c r="P4514">
        <v>-5.0758602440463499E-2</v>
      </c>
      <c r="Q4514">
        <v>8.2024241376046095E-2</v>
      </c>
      <c r="R4514">
        <v>0.95680391620733796</v>
      </c>
      <c r="S4514" t="s">
        <v>10065</v>
      </c>
      <c r="T4514" t="s">
        <v>11100</v>
      </c>
      <c r="U4514" t="s">
        <v>11100</v>
      </c>
      <c r="V4514" t="s">
        <v>11100</v>
      </c>
      <c r="W4514" t="s">
        <v>15563</v>
      </c>
      <c r="X4514">
        <v>12</v>
      </c>
      <c r="Y4514" t="s">
        <v>20994</v>
      </c>
      <c r="Z4514" t="s">
        <v>26519</v>
      </c>
      <c r="AA4514">
        <v>0.58019130495601223</v>
      </c>
      <c r="AB4514" t="str">
        <f>HYPERLINK("Melting_Curves/meltCurve_Q9BQS8_FYCO1.pdf", "Melting_Curves/meltCurve_Q9BQS8_FYCO1.pdf")</f>
        <v>Melting_Curves/meltCurve_Q9BQS8_FYCO1.pdf</v>
      </c>
    </row>
    <row r="4515" spans="1:28" x14ac:dyDescent="0.25">
      <c r="A4515" t="s">
        <v>4519</v>
      </c>
      <c r="B4515">
        <v>0.99299721793515405</v>
      </c>
      <c r="C4515">
        <v>1.09238879660322</v>
      </c>
      <c r="D4515">
        <v>0.72814102289207105</v>
      </c>
      <c r="E4515">
        <v>0.93015158400348097</v>
      </c>
      <c r="F4515">
        <v>0.85230794589072501</v>
      </c>
      <c r="G4515">
        <v>0.42424161786974801</v>
      </c>
      <c r="H4515">
        <v>0.78870925996681895</v>
      </c>
      <c r="I4515">
        <v>0.75961185980113399</v>
      </c>
      <c r="J4515">
        <v>0.65252935359596798</v>
      </c>
      <c r="K4515">
        <v>0.91731897624995895</v>
      </c>
      <c r="L4515">
        <v>815.39598296537304</v>
      </c>
      <c r="M4515">
        <v>18.657032515140301</v>
      </c>
      <c r="O4515">
        <v>43.2116677707672</v>
      </c>
      <c r="P4515">
        <v>-2.8570337886230399E-2</v>
      </c>
      <c r="Q4515">
        <v>0.73532359568313499</v>
      </c>
      <c r="R4515">
        <v>0.34102316784365599</v>
      </c>
      <c r="S4515" t="s">
        <v>10066</v>
      </c>
      <c r="T4515" t="s">
        <v>11100</v>
      </c>
      <c r="U4515" t="s">
        <v>11100</v>
      </c>
      <c r="V4515" t="s">
        <v>11100</v>
      </c>
      <c r="W4515" t="s">
        <v>15564</v>
      </c>
      <c r="X4515">
        <v>2</v>
      </c>
      <c r="Y4515" t="s">
        <v>20995</v>
      </c>
      <c r="Z4515" t="s">
        <v>26520</v>
      </c>
      <c r="AA4515">
        <v>0.79864374923541637</v>
      </c>
      <c r="AB4515" t="str">
        <f>HYPERLINK("Melting_Curves/meltCurve_Q9BQT8_2_SLC25A21.pdf", "Melting_Curves/meltCurve_Q9BQT8_2_SLC25A21.pdf")</f>
        <v>Melting_Curves/meltCurve_Q9BQT8_2_SLC25A21.pdf</v>
      </c>
    </row>
    <row r="4516" spans="1:28" x14ac:dyDescent="0.25">
      <c r="A4516" t="s">
        <v>4520</v>
      </c>
      <c r="B4516">
        <v>0.99299721793515405</v>
      </c>
      <c r="C4516">
        <v>0.98148909769121295</v>
      </c>
      <c r="D4516">
        <v>0.909650493872455</v>
      </c>
      <c r="E4516">
        <v>0.87278442125382405</v>
      </c>
      <c r="F4516">
        <v>0.52632004806249599</v>
      </c>
      <c r="G4516">
        <v>0.19673310283911499</v>
      </c>
      <c r="H4516">
        <v>0.14387823030762101</v>
      </c>
      <c r="I4516">
        <v>0.14714106367539501</v>
      </c>
      <c r="J4516">
        <v>0.137396314627211</v>
      </c>
      <c r="K4516">
        <v>0.11162719692178601</v>
      </c>
      <c r="L4516">
        <v>1305.940746171</v>
      </c>
      <c r="M4516">
        <v>26.253626115127901</v>
      </c>
      <c r="N4516">
        <v>50.2755038480922</v>
      </c>
      <c r="O4516">
        <v>49.457335378920803</v>
      </c>
      <c r="P4516">
        <v>-0.116608019586924</v>
      </c>
      <c r="Q4516">
        <v>0.12133159141776299</v>
      </c>
      <c r="R4516">
        <v>0.99423054933237398</v>
      </c>
      <c r="S4516" t="s">
        <v>10067</v>
      </c>
      <c r="T4516" t="s">
        <v>11100</v>
      </c>
      <c r="U4516" t="s">
        <v>11100</v>
      </c>
      <c r="V4516" t="s">
        <v>11100</v>
      </c>
      <c r="W4516" t="s">
        <v>15565</v>
      </c>
      <c r="X4516">
        <v>6</v>
      </c>
      <c r="Y4516" t="s">
        <v>20996</v>
      </c>
      <c r="Z4516" t="s">
        <v>26521</v>
      </c>
      <c r="AA4516">
        <v>0.50154112956745278</v>
      </c>
      <c r="AB4516" t="str">
        <f>HYPERLINK("Melting_Curves/meltCurve_Q9BR61_ACBD6.pdf", "Melting_Curves/meltCurve_Q9BR61_ACBD6.pdf")</f>
        <v>Melting_Curves/meltCurve_Q9BR61_ACBD6.pdf</v>
      </c>
    </row>
    <row r="4517" spans="1:28" x14ac:dyDescent="0.25">
      <c r="A4517" t="s">
        <v>4521</v>
      </c>
      <c r="B4517">
        <v>0.99299721793515405</v>
      </c>
      <c r="C4517">
        <v>0.91211181563738897</v>
      </c>
      <c r="D4517">
        <v>1.0022152893213001</v>
      </c>
      <c r="E4517">
        <v>0.838620891368555</v>
      </c>
      <c r="F4517">
        <v>0.74210020799253096</v>
      </c>
      <c r="G4517">
        <v>0.46491495008792999</v>
      </c>
      <c r="H4517">
        <v>0.199447375583342</v>
      </c>
      <c r="I4517">
        <v>0.16383562412755501</v>
      </c>
      <c r="J4517">
        <v>0.16706510010598899</v>
      </c>
      <c r="K4517">
        <v>0.13287435954329599</v>
      </c>
      <c r="L4517">
        <v>916.97371913217603</v>
      </c>
      <c r="M4517">
        <v>17.556569105778902</v>
      </c>
      <c r="N4517">
        <v>52.945353480880001</v>
      </c>
      <c r="O4517">
        <v>51.566174430069601</v>
      </c>
      <c r="P4517">
        <v>-7.6129923106410494E-2</v>
      </c>
      <c r="Q4517">
        <v>0.105630450584992</v>
      </c>
      <c r="R4517">
        <v>0.98541811157722203</v>
      </c>
      <c r="S4517" t="s">
        <v>10068</v>
      </c>
      <c r="T4517" t="s">
        <v>11100</v>
      </c>
      <c r="U4517" t="s">
        <v>11100</v>
      </c>
      <c r="V4517" t="s">
        <v>11100</v>
      </c>
      <c r="W4517" t="s">
        <v>15566</v>
      </c>
      <c r="X4517">
        <v>14</v>
      </c>
      <c r="Y4517" t="s">
        <v>20997</v>
      </c>
      <c r="Z4517" t="s">
        <v>26522</v>
      </c>
      <c r="AA4517">
        <v>0.57355210747315943</v>
      </c>
      <c r="AB4517" t="str">
        <f>HYPERLINK("Melting_Curves/meltCurve_Q9BR76_CORO1B.pdf", "Melting_Curves/meltCurve_Q9BR76_CORO1B.pdf")</f>
        <v>Melting_Curves/meltCurve_Q9BR76_CORO1B.pdf</v>
      </c>
    </row>
    <row r="4518" spans="1:28" x14ac:dyDescent="0.25">
      <c r="A4518" t="s">
        <v>4522</v>
      </c>
      <c r="B4518">
        <v>0.99299721793515405</v>
      </c>
      <c r="C4518">
        <v>0.99296094186524597</v>
      </c>
      <c r="D4518">
        <v>0.95636511292271398</v>
      </c>
      <c r="E4518">
        <v>0.80178585850177697</v>
      </c>
      <c r="F4518">
        <v>0.60605485009495297</v>
      </c>
      <c r="G4518">
        <v>0.49672895775319198</v>
      </c>
      <c r="H4518">
        <v>0.26095159446295202</v>
      </c>
      <c r="I4518">
        <v>0.23265964391631699</v>
      </c>
      <c r="J4518">
        <v>0.223641317427902</v>
      </c>
      <c r="K4518">
        <v>0.191658652969386</v>
      </c>
      <c r="L4518">
        <v>690.643517653922</v>
      </c>
      <c r="M4518">
        <v>13.530872174875901</v>
      </c>
      <c r="N4518">
        <v>52.499105983181799</v>
      </c>
      <c r="O4518">
        <v>49.965872242165503</v>
      </c>
      <c r="P4518">
        <v>-5.7111452436066697E-2</v>
      </c>
      <c r="Q4518">
        <v>0.156538554455109</v>
      </c>
      <c r="R4518">
        <v>0.99284140489954698</v>
      </c>
      <c r="S4518" t="s">
        <v>10069</v>
      </c>
      <c r="T4518" t="s">
        <v>11100</v>
      </c>
      <c r="U4518" t="s">
        <v>11100</v>
      </c>
      <c r="V4518" t="s">
        <v>11100</v>
      </c>
      <c r="W4518" t="s">
        <v>15567</v>
      </c>
      <c r="X4518">
        <v>11</v>
      </c>
      <c r="Y4518" t="s">
        <v>20998</v>
      </c>
      <c r="Z4518" t="s">
        <v>26523</v>
      </c>
      <c r="AA4518">
        <v>0.57057814854024225</v>
      </c>
      <c r="AB4518" t="str">
        <f>HYPERLINK("Melting_Curves/meltCurve_Q9BRA2_TXNDC17.pdf", "Melting_Curves/meltCurve_Q9BRA2_TXNDC17.pdf")</f>
        <v>Melting_Curves/meltCurve_Q9BRA2_TXNDC17.pdf</v>
      </c>
    </row>
    <row r="4519" spans="1:28" x14ac:dyDescent="0.25">
      <c r="A4519" t="s">
        <v>4523</v>
      </c>
      <c r="B4519">
        <v>0.99299721793515405</v>
      </c>
      <c r="C4519">
        <v>0.894101853429903</v>
      </c>
      <c r="D4519">
        <v>1.0158387480576201</v>
      </c>
      <c r="E4519">
        <v>0.82536329270035902</v>
      </c>
      <c r="F4519">
        <v>0.76167684128027202</v>
      </c>
      <c r="G4519">
        <v>0.64102097813582404</v>
      </c>
      <c r="H4519">
        <v>0.49234207164215898</v>
      </c>
      <c r="I4519">
        <v>0.46708613277809002</v>
      </c>
      <c r="J4519">
        <v>0.489580603818765</v>
      </c>
      <c r="K4519">
        <v>0.44010113659802502</v>
      </c>
      <c r="L4519">
        <v>636.29090822400701</v>
      </c>
      <c r="M4519">
        <v>12.4449153349822</v>
      </c>
      <c r="N4519">
        <v>59.503017623375001</v>
      </c>
      <c r="O4519">
        <v>49.862230758374203</v>
      </c>
      <c r="P4519">
        <v>-3.6619267173143302E-2</v>
      </c>
      <c r="Q4519">
        <v>0.413242540165774</v>
      </c>
      <c r="R4519">
        <v>0.96082472425433296</v>
      </c>
      <c r="S4519" t="s">
        <v>10070</v>
      </c>
      <c r="T4519" t="s">
        <v>11100</v>
      </c>
      <c r="U4519" t="s">
        <v>11100</v>
      </c>
      <c r="V4519" t="s">
        <v>11100</v>
      </c>
      <c r="W4519" t="s">
        <v>15568</v>
      </c>
      <c r="X4519">
        <v>1</v>
      </c>
      <c r="Y4519" t="s">
        <v>20999</v>
      </c>
      <c r="Z4519" t="s">
        <v>26524</v>
      </c>
      <c r="AA4519">
        <v>0.70415483581341698</v>
      </c>
      <c r="AB4519" t="str">
        <f>HYPERLINK("Melting_Curves/meltCurve_Q9BRD0_2_BUD13.pdf", "Melting_Curves/meltCurve_Q9BRD0_2_BUD13.pdf")</f>
        <v>Melting_Curves/meltCurve_Q9BRD0_2_BUD13.pdf</v>
      </c>
    </row>
    <row r="4520" spans="1:28" x14ac:dyDescent="0.25">
      <c r="A4520" t="s">
        <v>4524</v>
      </c>
      <c r="B4520">
        <v>0.99299721793515405</v>
      </c>
      <c r="C4520">
        <v>0.61960127392668296</v>
      </c>
      <c r="D4520">
        <v>0.99992632219636102</v>
      </c>
      <c r="E4520">
        <v>0.71599565054282799</v>
      </c>
      <c r="F4520">
        <v>0.75850389429423504</v>
      </c>
      <c r="G4520">
        <v>0.64127179347807295</v>
      </c>
      <c r="H4520">
        <v>0.56299956969865805</v>
      </c>
      <c r="I4520">
        <v>0.67024801097769504</v>
      </c>
      <c r="J4520">
        <v>0.73166133965679903</v>
      </c>
      <c r="K4520">
        <v>0.58015731758207001</v>
      </c>
      <c r="L4520">
        <v>275.80476252777601</v>
      </c>
      <c r="M4520">
        <v>6.2762129441408199</v>
      </c>
      <c r="O4520">
        <v>40.115289655621602</v>
      </c>
      <c r="P4520">
        <v>-1.6412382529752301E-2</v>
      </c>
      <c r="Q4520">
        <v>0.58154519256037296</v>
      </c>
      <c r="R4520">
        <v>0.40599574130624999</v>
      </c>
      <c r="S4520" t="s">
        <v>10071</v>
      </c>
      <c r="T4520" t="s">
        <v>11100</v>
      </c>
      <c r="U4520" t="s">
        <v>11100</v>
      </c>
      <c r="V4520" t="s">
        <v>11100</v>
      </c>
      <c r="W4520" t="s">
        <v>15569</v>
      </c>
      <c r="X4520">
        <v>2</v>
      </c>
      <c r="Y4520" t="s">
        <v>21000</v>
      </c>
      <c r="Z4520" t="s">
        <v>26525</v>
      </c>
      <c r="AA4520">
        <v>0.72085835053682623</v>
      </c>
      <c r="AB4520" t="str">
        <f>HYPERLINK("Melting_Curves/meltCurve_Q9BRF8_CPPED1.pdf", "Melting_Curves/meltCurve_Q9BRF8_CPPED1.pdf")</f>
        <v>Melting_Curves/meltCurve_Q9BRF8_CPPED1.pdf</v>
      </c>
    </row>
    <row r="4521" spans="1:28" x14ac:dyDescent="0.25">
      <c r="A4521" t="s">
        <v>4525</v>
      </c>
      <c r="B4521">
        <v>0.99299721793515405</v>
      </c>
      <c r="C4521">
        <v>0.82826865193574295</v>
      </c>
      <c r="D4521">
        <v>0.94599765054858698</v>
      </c>
      <c r="E4521">
        <v>0.73934504441674098</v>
      </c>
      <c r="F4521">
        <v>0.58955655030272702</v>
      </c>
      <c r="G4521">
        <v>0.44713248130760203</v>
      </c>
      <c r="H4521">
        <v>0.23224678829878001</v>
      </c>
      <c r="I4521">
        <v>0.13754120602204301</v>
      </c>
      <c r="J4521">
        <v>0.17593913505197101</v>
      </c>
      <c r="K4521">
        <v>8.2803609748334006E-2</v>
      </c>
      <c r="L4521">
        <v>518.87741968906096</v>
      </c>
      <c r="M4521">
        <v>10.017566779585801</v>
      </c>
      <c r="N4521">
        <v>51.796751709164901</v>
      </c>
      <c r="O4521">
        <v>49.859593205015102</v>
      </c>
      <c r="P4521">
        <v>-5.0253148768644701E-2</v>
      </c>
      <c r="Q4521">
        <v>0</v>
      </c>
      <c r="R4521">
        <v>0.97548103200783698</v>
      </c>
      <c r="S4521" t="s">
        <v>10072</v>
      </c>
      <c r="T4521" t="s">
        <v>11100</v>
      </c>
      <c r="U4521" t="s">
        <v>11100</v>
      </c>
      <c r="V4521" t="s">
        <v>11100</v>
      </c>
      <c r="W4521" t="s">
        <v>15570</v>
      </c>
      <c r="X4521">
        <v>4</v>
      </c>
      <c r="Y4521" t="s">
        <v>21001</v>
      </c>
      <c r="Z4521" t="s">
        <v>26526</v>
      </c>
      <c r="AA4521">
        <v>0.52066954477373861</v>
      </c>
      <c r="AB4521" t="str">
        <f>HYPERLINK("Melting_Curves/meltCurve_Q9BRG1_VPS25.pdf", "Melting_Curves/meltCurve_Q9BRG1_VPS25.pdf")</f>
        <v>Melting_Curves/meltCurve_Q9BRG1_VPS25.pdf</v>
      </c>
    </row>
    <row r="4522" spans="1:28" x14ac:dyDescent="0.25">
      <c r="A4522" t="s">
        <v>4526</v>
      </c>
      <c r="B4522">
        <v>0.99299721793515405</v>
      </c>
      <c r="C4522">
        <v>0.99394038580321598</v>
      </c>
      <c r="D4522">
        <v>0.95259608004212404</v>
      </c>
      <c r="E4522">
        <v>0.82887340023118194</v>
      </c>
      <c r="F4522">
        <v>0.408022939115883</v>
      </c>
      <c r="G4522">
        <v>0.33889611886732202</v>
      </c>
      <c r="H4522">
        <v>0.25665714892075397</v>
      </c>
      <c r="I4522">
        <v>0.22256717918524099</v>
      </c>
      <c r="J4522">
        <v>0.18172283788194901</v>
      </c>
      <c r="K4522">
        <v>0.169249103502492</v>
      </c>
      <c r="L4522">
        <v>1171.22492675591</v>
      </c>
      <c r="M4522">
        <v>24.081954253278798</v>
      </c>
      <c r="N4522">
        <v>49.738170086929202</v>
      </c>
      <c r="O4522">
        <v>48.303319735985397</v>
      </c>
      <c r="P4522">
        <v>-9.8850794413511106E-2</v>
      </c>
      <c r="Q4522">
        <v>0.20691701444935401</v>
      </c>
      <c r="R4522">
        <v>0.99042429517890196</v>
      </c>
      <c r="S4522" t="s">
        <v>10073</v>
      </c>
      <c r="T4522" t="s">
        <v>11100</v>
      </c>
      <c r="U4522" t="s">
        <v>11100</v>
      </c>
      <c r="V4522" t="s">
        <v>11100</v>
      </c>
      <c r="W4522" t="s">
        <v>15571</v>
      </c>
      <c r="X4522">
        <v>3</v>
      </c>
      <c r="Y4522" t="s">
        <v>21002</v>
      </c>
      <c r="Z4522" t="s">
        <v>26527</v>
      </c>
      <c r="AA4522">
        <v>0.52183584516785064</v>
      </c>
      <c r="AB4522" t="str">
        <f>HYPERLINK("Melting_Curves/meltCurve_Q9BRJ2_MRPL45.pdf", "Melting_Curves/meltCurve_Q9BRJ2_MRPL45.pdf")</f>
        <v>Melting_Curves/meltCurve_Q9BRJ2_MRPL45.pdf</v>
      </c>
    </row>
    <row r="4523" spans="1:28" x14ac:dyDescent="0.25">
      <c r="A4523" t="s">
        <v>4527</v>
      </c>
      <c r="B4523">
        <v>0.99299721793515405</v>
      </c>
      <c r="C4523">
        <v>0.95095562849280302</v>
      </c>
      <c r="D4523">
        <v>1.05250837532359</v>
      </c>
      <c r="E4523">
        <v>0.88346624467656598</v>
      </c>
      <c r="F4523">
        <v>0.70973459667526795</v>
      </c>
      <c r="G4523">
        <v>0.54474024803437804</v>
      </c>
      <c r="H4523">
        <v>0.36805579442771202</v>
      </c>
      <c r="I4523">
        <v>0.37359146230082901</v>
      </c>
      <c r="J4523">
        <v>0.43593885213133099</v>
      </c>
      <c r="K4523">
        <v>0.34373751804842201</v>
      </c>
      <c r="L4523">
        <v>1040.8693539292001</v>
      </c>
      <c r="M4523">
        <v>20.548010248350099</v>
      </c>
      <c r="N4523">
        <v>54.118861733821497</v>
      </c>
      <c r="O4523">
        <v>50.183028033880099</v>
      </c>
      <c r="P4523">
        <v>-6.4925998226355294E-2</v>
      </c>
      <c r="Q4523">
        <v>0.36576090035276498</v>
      </c>
      <c r="R4523">
        <v>0.97855814252746698</v>
      </c>
      <c r="S4523" t="s">
        <v>10074</v>
      </c>
      <c r="T4523" t="s">
        <v>11100</v>
      </c>
      <c r="U4523" t="s">
        <v>11100</v>
      </c>
      <c r="V4523" t="s">
        <v>11100</v>
      </c>
      <c r="W4523" t="s">
        <v>15572</v>
      </c>
      <c r="X4523">
        <v>9</v>
      </c>
      <c r="Y4523" t="s">
        <v>21003</v>
      </c>
      <c r="Z4523" t="s">
        <v>26528</v>
      </c>
      <c r="AA4523">
        <v>0.66240635615699495</v>
      </c>
      <c r="AB4523" t="str">
        <f>HYPERLINK("Melting_Curves/meltCurve_Q9BRK5_SDF4.pdf", "Melting_Curves/meltCurve_Q9BRK5_SDF4.pdf")</f>
        <v>Melting_Curves/meltCurve_Q9BRK5_SDF4.pdf</v>
      </c>
    </row>
    <row r="4524" spans="1:28" x14ac:dyDescent="0.25">
      <c r="A4524" t="s">
        <v>4528</v>
      </c>
      <c r="B4524">
        <v>0.99299721793515405</v>
      </c>
      <c r="C4524">
        <v>0.96859768267427204</v>
      </c>
      <c r="D4524">
        <v>1.15095877527767</v>
      </c>
      <c r="E4524">
        <v>0.88235445272759705</v>
      </c>
      <c r="F4524">
        <v>0.77734008731998905</v>
      </c>
      <c r="G4524">
        <v>0.38742376553449798</v>
      </c>
      <c r="H4524">
        <v>0.25428324051191198</v>
      </c>
      <c r="I4524">
        <v>0.198282768306691</v>
      </c>
      <c r="J4524">
        <v>0.17030205184746999</v>
      </c>
      <c r="K4524">
        <v>0.167407339700712</v>
      </c>
      <c r="L4524">
        <v>1296.5977256327001</v>
      </c>
      <c r="M4524">
        <v>25.000314360645</v>
      </c>
      <c r="N4524">
        <v>52.7418753481669</v>
      </c>
      <c r="O4524">
        <v>51.534838046102301</v>
      </c>
      <c r="P4524">
        <v>-0.10062424663780201</v>
      </c>
      <c r="Q4524">
        <v>0.17031691224038301</v>
      </c>
      <c r="R4524">
        <v>0.97710532786503201</v>
      </c>
      <c r="S4524" t="s">
        <v>10075</v>
      </c>
      <c r="T4524" t="s">
        <v>11100</v>
      </c>
      <c r="U4524" t="s">
        <v>11100</v>
      </c>
      <c r="V4524" t="s">
        <v>11100</v>
      </c>
      <c r="W4524" t="s">
        <v>15573</v>
      </c>
      <c r="X4524">
        <v>6</v>
      </c>
      <c r="Y4524" t="s">
        <v>21004</v>
      </c>
      <c r="Z4524" t="s">
        <v>26529</v>
      </c>
      <c r="AA4524">
        <v>0.58872522489672952</v>
      </c>
      <c r="AB4524" t="str">
        <f>HYPERLINK("Melting_Curves/meltCurve_Q9BRP1_PDCD2L.pdf", "Melting_Curves/meltCurve_Q9BRP1_PDCD2L.pdf")</f>
        <v>Melting_Curves/meltCurve_Q9BRP1_PDCD2L.pdf</v>
      </c>
    </row>
    <row r="4525" spans="1:28" x14ac:dyDescent="0.25">
      <c r="A4525" t="s">
        <v>4529</v>
      </c>
      <c r="B4525">
        <v>0.99299721793515405</v>
      </c>
      <c r="C4525">
        <v>0.94383753108110702</v>
      </c>
      <c r="D4525">
        <v>0.90096760712286295</v>
      </c>
      <c r="E4525">
        <v>0.82923844819923298</v>
      </c>
      <c r="F4525">
        <v>0.71523055865080698</v>
      </c>
      <c r="G4525">
        <v>0.56906765608121301</v>
      </c>
      <c r="H4525">
        <v>0.54922989270775502</v>
      </c>
      <c r="I4525">
        <v>0.85658748926694706</v>
      </c>
      <c r="J4525">
        <v>0.71997049947584602</v>
      </c>
      <c r="K4525">
        <v>0.20958659524926199</v>
      </c>
      <c r="L4525">
        <v>250.14323350813501</v>
      </c>
      <c r="M4525">
        <v>3.8055169200763501</v>
      </c>
      <c r="N4525">
        <v>65.731739254133203</v>
      </c>
      <c r="O4525">
        <v>53.088950784499097</v>
      </c>
      <c r="P4525">
        <v>-1.8190416919528701E-2</v>
      </c>
      <c r="Q4525">
        <v>0</v>
      </c>
      <c r="R4525">
        <v>0.55541197582730595</v>
      </c>
      <c r="S4525" t="s">
        <v>10076</v>
      </c>
      <c r="T4525" t="s">
        <v>11100</v>
      </c>
      <c r="U4525" t="s">
        <v>11100</v>
      </c>
      <c r="V4525" t="s">
        <v>11100</v>
      </c>
      <c r="W4525" t="s">
        <v>15574</v>
      </c>
      <c r="X4525">
        <v>7</v>
      </c>
      <c r="Y4525" t="s">
        <v>21005</v>
      </c>
      <c r="Z4525" t="s">
        <v>26530</v>
      </c>
      <c r="AA4525">
        <v>0.7275003111812457</v>
      </c>
      <c r="AB4525" t="str">
        <f>HYPERLINK("Melting_Curves/meltCurve_Q9BRP4_PAAF1.pdf", "Melting_Curves/meltCurve_Q9BRP4_PAAF1.pdf")</f>
        <v>Melting_Curves/meltCurve_Q9BRP4_PAAF1.pdf</v>
      </c>
    </row>
    <row r="4526" spans="1:28" x14ac:dyDescent="0.25">
      <c r="A4526" t="s">
        <v>4530</v>
      </c>
      <c r="B4526">
        <v>0.99299721793515405</v>
      </c>
      <c r="C4526">
        <v>0.99360859775176402</v>
      </c>
      <c r="D4526">
        <v>1.0939202253987399</v>
      </c>
      <c r="E4526">
        <v>0.91957561806112398</v>
      </c>
      <c r="F4526">
        <v>0.779162460687015</v>
      </c>
      <c r="G4526">
        <v>0.46889464416558102</v>
      </c>
      <c r="H4526">
        <v>0.52976333202102599</v>
      </c>
      <c r="I4526">
        <v>0.60842437253714099</v>
      </c>
      <c r="J4526">
        <v>0.65379312749063101</v>
      </c>
      <c r="K4526">
        <v>0.50808656015962905</v>
      </c>
      <c r="L4526">
        <v>12551.019876173399</v>
      </c>
      <c r="M4526">
        <v>250</v>
      </c>
      <c r="O4526">
        <v>50.200867456059299</v>
      </c>
      <c r="P4526">
        <v>-0.55552775311839897</v>
      </c>
      <c r="Q4526">
        <v>0.55379240492174997</v>
      </c>
      <c r="R4526">
        <v>0.92056847538326203</v>
      </c>
      <c r="S4526" t="s">
        <v>10077</v>
      </c>
      <c r="T4526" t="s">
        <v>11100</v>
      </c>
      <c r="U4526" t="s">
        <v>11100</v>
      </c>
      <c r="V4526" t="s">
        <v>11100</v>
      </c>
      <c r="W4526" t="s">
        <v>15575</v>
      </c>
      <c r="X4526">
        <v>9</v>
      </c>
      <c r="Y4526" t="s">
        <v>21006</v>
      </c>
      <c r="Z4526" t="s">
        <v>26531</v>
      </c>
      <c r="AA4526">
        <v>0.75022373780345575</v>
      </c>
      <c r="AB4526" t="str">
        <f>HYPERLINK("Melting_Curves/meltCurve_Q9BRP8_2_WIBG.pdf", "Melting_Curves/meltCurve_Q9BRP8_2_WIBG.pdf")</f>
        <v>Melting_Curves/meltCurve_Q9BRP8_2_WIBG.pdf</v>
      </c>
    </row>
    <row r="4527" spans="1:28" x14ac:dyDescent="0.25">
      <c r="A4527" t="s">
        <v>4531</v>
      </c>
      <c r="B4527">
        <v>0.99299721793515405</v>
      </c>
      <c r="C4527">
        <v>0.87189527863039096</v>
      </c>
      <c r="D4527">
        <v>1.0884261028328499</v>
      </c>
      <c r="E4527">
        <v>0.79476383454506705</v>
      </c>
      <c r="F4527">
        <v>0.76584332602583205</v>
      </c>
      <c r="G4527">
        <v>0.66129801816551204</v>
      </c>
      <c r="H4527">
        <v>0.50091619442040103</v>
      </c>
      <c r="I4527">
        <v>0.43848505835183299</v>
      </c>
      <c r="J4527">
        <v>0.222947680264104</v>
      </c>
      <c r="K4527">
        <v>0.120304584517793</v>
      </c>
      <c r="L4527">
        <v>541.58190889758896</v>
      </c>
      <c r="M4527">
        <v>9.4910945782683296</v>
      </c>
      <c r="N4527">
        <v>57.062093441649601</v>
      </c>
      <c r="O4527">
        <v>54.701168784109903</v>
      </c>
      <c r="P4527">
        <v>-4.3402773884632297E-2</v>
      </c>
      <c r="Q4527">
        <v>0</v>
      </c>
      <c r="R4527">
        <v>0.94000289126787695</v>
      </c>
      <c r="S4527" t="s">
        <v>10078</v>
      </c>
      <c r="T4527" t="s">
        <v>11100</v>
      </c>
      <c r="U4527" t="s">
        <v>11100</v>
      </c>
      <c r="V4527" t="s">
        <v>11100</v>
      </c>
      <c r="W4527" t="s">
        <v>15576</v>
      </c>
      <c r="X4527">
        <v>5</v>
      </c>
      <c r="Y4527" t="s">
        <v>17490</v>
      </c>
      <c r="Z4527" t="s">
        <v>26532</v>
      </c>
      <c r="AA4527">
        <v>0.6653819446506708</v>
      </c>
      <c r="AB4527" t="str">
        <f>HYPERLINK("Melting_Curves/meltCurve_Q9BRR6_2_ADPGK.pdf", "Melting_Curves/meltCurve_Q9BRR6_2_ADPGK.pdf")</f>
        <v>Melting_Curves/meltCurve_Q9BRR6_2_ADPGK.pdf</v>
      </c>
    </row>
    <row r="4528" spans="1:28" x14ac:dyDescent="0.25">
      <c r="A4528" t="s">
        <v>4532</v>
      </c>
      <c r="B4528">
        <v>0.99299721793515405</v>
      </c>
      <c r="C4528">
        <v>0.80951051140026398</v>
      </c>
      <c r="D4528">
        <v>0.90239817739924999</v>
      </c>
      <c r="E4528">
        <v>0.90780050174250704</v>
      </c>
      <c r="F4528">
        <v>0.57097196881399703</v>
      </c>
      <c r="G4528">
        <v>0.34229101158146003</v>
      </c>
      <c r="H4528">
        <v>0.23795249745659799</v>
      </c>
      <c r="I4528">
        <v>0.189501782671948</v>
      </c>
      <c r="J4528">
        <v>0.186729455037486</v>
      </c>
      <c r="K4528">
        <v>9.6871007426904104E-2</v>
      </c>
      <c r="L4528">
        <v>824.93676702534901</v>
      </c>
      <c r="M4528">
        <v>16.292387379064198</v>
      </c>
      <c r="N4528">
        <v>51.513500968011599</v>
      </c>
      <c r="O4528">
        <v>49.888886952312099</v>
      </c>
      <c r="P4528">
        <v>-7.1728823963279495E-2</v>
      </c>
      <c r="Q4528">
        <v>0.12150141699526699</v>
      </c>
      <c r="R4528">
        <v>0.95913287442487105</v>
      </c>
      <c r="S4528" t="s">
        <v>10079</v>
      </c>
      <c r="T4528" t="s">
        <v>11100</v>
      </c>
      <c r="U4528" t="s">
        <v>11100</v>
      </c>
      <c r="V4528" t="s">
        <v>11100</v>
      </c>
      <c r="W4528" t="s">
        <v>15577</v>
      </c>
      <c r="X4528">
        <v>8</v>
      </c>
      <c r="Y4528" t="s">
        <v>21007</v>
      </c>
      <c r="Z4528" t="s">
        <v>26533</v>
      </c>
      <c r="AA4528">
        <v>0.53670082325857282</v>
      </c>
      <c r="AB4528" t="str">
        <f>HYPERLINK("Melting_Curves/meltCurve_Q9BRS2_RIOK1.pdf", "Melting_Curves/meltCurve_Q9BRS2_RIOK1.pdf")</f>
        <v>Melting_Curves/meltCurve_Q9BRS2_RIOK1.pdf</v>
      </c>
    </row>
    <row r="4529" spans="1:28" x14ac:dyDescent="0.25">
      <c r="A4529" t="s">
        <v>4533</v>
      </c>
      <c r="B4529">
        <v>0.99299721793515405</v>
      </c>
      <c r="C4529">
        <v>0.98997416526443904</v>
      </c>
      <c r="D4529">
        <v>0.90967433806995701</v>
      </c>
      <c r="E4529">
        <v>0.96353785088395505</v>
      </c>
      <c r="F4529">
        <v>0.75924051453175601</v>
      </c>
      <c r="G4529">
        <v>0.60099132095268104</v>
      </c>
      <c r="H4529">
        <v>0.59391358139066797</v>
      </c>
      <c r="I4529">
        <v>0.55906551735511301</v>
      </c>
      <c r="J4529">
        <v>0.43403513274683297</v>
      </c>
      <c r="K4529">
        <v>0.304795241227169</v>
      </c>
      <c r="L4529">
        <v>406.930979924025</v>
      </c>
      <c r="M4529">
        <v>6.85423554781371</v>
      </c>
      <c r="N4529">
        <v>60.440148449726202</v>
      </c>
      <c r="O4529">
        <v>54.931865194158597</v>
      </c>
      <c r="P4529">
        <v>-2.9469488839128401E-2</v>
      </c>
      <c r="Q4529">
        <v>5.7179242658809498E-2</v>
      </c>
      <c r="R4529">
        <v>0.95274477371838195</v>
      </c>
      <c r="S4529" t="s">
        <v>10080</v>
      </c>
      <c r="T4529" t="s">
        <v>11100</v>
      </c>
      <c r="U4529" t="s">
        <v>11100</v>
      </c>
      <c r="V4529" t="s">
        <v>11100</v>
      </c>
      <c r="W4529" t="s">
        <v>15578</v>
      </c>
      <c r="X4529">
        <v>9</v>
      </c>
      <c r="Y4529" t="s">
        <v>21008</v>
      </c>
      <c r="Z4529" t="s">
        <v>26534</v>
      </c>
      <c r="AA4529">
        <v>0.71442248201384406</v>
      </c>
      <c r="AB4529" t="str">
        <f>HYPERLINK("Melting_Curves/meltCurve_Q9BRT2_MNF1.pdf", "Melting_Curves/meltCurve_Q9BRT2_MNF1.pdf")</f>
        <v>Melting_Curves/meltCurve_Q9BRT2_MNF1.pdf</v>
      </c>
    </row>
    <row r="4530" spans="1:28" x14ac:dyDescent="0.25">
      <c r="A4530" t="s">
        <v>4534</v>
      </c>
      <c r="B4530">
        <v>0.99299721793515405</v>
      </c>
      <c r="C4530">
        <v>1.0101900554288601</v>
      </c>
      <c r="D4530">
        <v>0.94299115880556095</v>
      </c>
      <c r="E4530">
        <v>0.97947153620332295</v>
      </c>
      <c r="F4530">
        <v>0.73319450424717103</v>
      </c>
      <c r="G4530">
        <v>0.44142868299745702</v>
      </c>
      <c r="H4530">
        <v>0.20933854312894301</v>
      </c>
      <c r="I4530">
        <v>0.17995777974858901</v>
      </c>
      <c r="J4530">
        <v>0.15408245704304399</v>
      </c>
      <c r="K4530">
        <v>0.11135662250806699</v>
      </c>
      <c r="L4530">
        <v>1169.5320529251401</v>
      </c>
      <c r="M4530">
        <v>22.382287821922699</v>
      </c>
      <c r="N4530">
        <v>52.941035011394803</v>
      </c>
      <c r="O4530">
        <v>51.840811620044803</v>
      </c>
      <c r="P4530">
        <v>-9.4310098060331499E-2</v>
      </c>
      <c r="Q4530">
        <v>0.12627139647178601</v>
      </c>
      <c r="R4530">
        <v>0.99585440251206903</v>
      </c>
      <c r="S4530" t="s">
        <v>10081</v>
      </c>
      <c r="T4530" t="s">
        <v>11100</v>
      </c>
      <c r="U4530" t="s">
        <v>11100</v>
      </c>
      <c r="V4530" t="s">
        <v>11100</v>
      </c>
      <c r="W4530" t="s">
        <v>15579</v>
      </c>
      <c r="X4530">
        <v>10</v>
      </c>
      <c r="Y4530" t="s">
        <v>21009</v>
      </c>
      <c r="Z4530" t="s">
        <v>26535</v>
      </c>
      <c r="AA4530">
        <v>0.57986219302775588</v>
      </c>
      <c r="AB4530" t="str">
        <f>HYPERLINK("Melting_Curves/meltCurve_Q9BRT9_GINS4.pdf", "Melting_Curves/meltCurve_Q9BRT9_GINS4.pdf")</f>
        <v>Melting_Curves/meltCurve_Q9BRT9_GINS4.pdf</v>
      </c>
    </row>
    <row r="4531" spans="1:28" x14ac:dyDescent="0.25">
      <c r="A4531" t="s">
        <v>4535</v>
      </c>
      <c r="B4531">
        <v>0.99299721793515405</v>
      </c>
      <c r="C4531">
        <v>0.98190767459028705</v>
      </c>
      <c r="D4531">
        <v>0.97068398796545097</v>
      </c>
      <c r="E4531">
        <v>0.93590527414773395</v>
      </c>
      <c r="F4531">
        <v>0.79570517542448005</v>
      </c>
      <c r="G4531">
        <v>0.52380602607403903</v>
      </c>
      <c r="H4531">
        <v>0.473792357370939</v>
      </c>
      <c r="I4531">
        <v>0.44065158817022698</v>
      </c>
      <c r="J4531">
        <v>0.39939851023399398</v>
      </c>
      <c r="K4531">
        <v>0.32220268576022898</v>
      </c>
      <c r="L4531">
        <v>1011.76688839899</v>
      </c>
      <c r="M4531">
        <v>19.583966854863299</v>
      </c>
      <c r="N4531">
        <v>55.480525682575703</v>
      </c>
      <c r="O4531">
        <v>51.133389392095403</v>
      </c>
      <c r="P4531">
        <v>-6.0318514374556202E-2</v>
      </c>
      <c r="Q4531">
        <v>0.370060003029621</v>
      </c>
      <c r="R4531">
        <v>0.98725575210469696</v>
      </c>
      <c r="S4531" t="s">
        <v>10082</v>
      </c>
      <c r="T4531" t="s">
        <v>11100</v>
      </c>
      <c r="U4531" t="s">
        <v>11100</v>
      </c>
      <c r="V4531" t="s">
        <v>11100</v>
      </c>
      <c r="W4531" t="s">
        <v>15580</v>
      </c>
      <c r="X4531">
        <v>6</v>
      </c>
      <c r="Y4531" t="s">
        <v>21010</v>
      </c>
      <c r="Z4531" t="s">
        <v>26536</v>
      </c>
      <c r="AA4531">
        <v>0.68641359624340115</v>
      </c>
      <c r="AB4531" t="str">
        <f>HYPERLINK("Melting_Curves/meltCurve_Q9BRV8_SIKE1.pdf", "Melting_Curves/meltCurve_Q9BRV8_SIKE1.pdf")</f>
        <v>Melting_Curves/meltCurve_Q9BRV8_SIKE1.pdf</v>
      </c>
    </row>
    <row r="4532" spans="1:28" x14ac:dyDescent="0.25">
      <c r="A4532" t="s">
        <v>4536</v>
      </c>
      <c r="B4532">
        <v>0.99299721793515405</v>
      </c>
      <c r="C4532">
        <v>1.0477832290132201</v>
      </c>
      <c r="D4532">
        <v>1.0826035476296201</v>
      </c>
      <c r="E4532">
        <v>0.82051916817332704</v>
      </c>
      <c r="F4532">
        <v>0.45393702512796402</v>
      </c>
      <c r="G4532">
        <v>0.23341146985299399</v>
      </c>
      <c r="H4532">
        <v>0.17884008585370301</v>
      </c>
      <c r="I4532">
        <v>0.137347211748202</v>
      </c>
      <c r="J4532">
        <v>0.13310343688308801</v>
      </c>
      <c r="K4532">
        <v>0.11819423247961799</v>
      </c>
      <c r="L4532">
        <v>1310.3497675894901</v>
      </c>
      <c r="M4532">
        <v>26.631984113365299</v>
      </c>
      <c r="N4532">
        <v>49.804810911638</v>
      </c>
      <c r="O4532">
        <v>48.927192185902399</v>
      </c>
      <c r="P4532">
        <v>-0.11733549337051</v>
      </c>
      <c r="Q4532">
        <v>0.13775290445937399</v>
      </c>
      <c r="R4532">
        <v>0.99089483718982796</v>
      </c>
      <c r="S4532" t="s">
        <v>10083</v>
      </c>
      <c r="T4532" t="s">
        <v>11100</v>
      </c>
      <c r="U4532" t="s">
        <v>11100</v>
      </c>
      <c r="V4532" t="s">
        <v>11100</v>
      </c>
      <c r="W4532" t="s">
        <v>15581</v>
      </c>
      <c r="X4532">
        <v>16</v>
      </c>
      <c r="Y4532" t="s">
        <v>21011</v>
      </c>
      <c r="Z4532" t="s">
        <v>26537</v>
      </c>
      <c r="AA4532">
        <v>0.49506487189542753</v>
      </c>
      <c r="AB4532" t="str">
        <f>HYPERLINK("Melting_Curves/meltCurve_Q9BRX2_PELO.pdf", "Melting_Curves/meltCurve_Q9BRX2_PELO.pdf")</f>
        <v>Melting_Curves/meltCurve_Q9BRX2_PELO.pdf</v>
      </c>
    </row>
    <row r="4533" spans="1:28" x14ac:dyDescent="0.25">
      <c r="A4533" t="s">
        <v>4537</v>
      </c>
      <c r="B4533">
        <v>0.99299721793515405</v>
      </c>
      <c r="C4533">
        <v>1.03009632384088</v>
      </c>
      <c r="D4533">
        <v>0.88483975604364795</v>
      </c>
      <c r="E4533">
        <v>0.96392392271415805</v>
      </c>
      <c r="F4533">
        <v>0.79265731233009495</v>
      </c>
      <c r="G4533">
        <v>0.58706157500143696</v>
      </c>
      <c r="H4533">
        <v>0.326338205423574</v>
      </c>
      <c r="I4533">
        <v>0.23835287221031501</v>
      </c>
      <c r="J4533">
        <v>0.22085672350037799</v>
      </c>
      <c r="K4533">
        <v>0.176645603076</v>
      </c>
      <c r="L4533">
        <v>948.05931092707397</v>
      </c>
      <c r="M4533">
        <v>17.703001806332999</v>
      </c>
      <c r="N4533">
        <v>54.7193036063709</v>
      </c>
      <c r="O4533">
        <v>52.884257933270597</v>
      </c>
      <c r="P4533">
        <v>-7.0544850719063107E-2</v>
      </c>
      <c r="Q4533">
        <v>0.157088592308847</v>
      </c>
      <c r="R4533">
        <v>0.98711897941287197</v>
      </c>
      <c r="S4533" t="s">
        <v>10084</v>
      </c>
      <c r="T4533" t="s">
        <v>11100</v>
      </c>
      <c r="U4533" t="s">
        <v>11100</v>
      </c>
      <c r="V4533" t="s">
        <v>11100</v>
      </c>
      <c r="W4533" t="s">
        <v>15582</v>
      </c>
      <c r="X4533">
        <v>10</v>
      </c>
      <c r="Y4533" t="s">
        <v>21012</v>
      </c>
      <c r="Z4533" t="s">
        <v>26538</v>
      </c>
      <c r="AA4533">
        <v>0.63432941496381112</v>
      </c>
      <c r="AB4533" t="str">
        <f>HYPERLINK("Melting_Curves/meltCurve_Q9BRX5_GINS3.pdf", "Melting_Curves/meltCurve_Q9BRX5_GINS3.pdf")</f>
        <v>Melting_Curves/meltCurve_Q9BRX5_GINS3.pdf</v>
      </c>
    </row>
    <row r="4534" spans="1:28" x14ac:dyDescent="0.25">
      <c r="A4534" t="s">
        <v>4538</v>
      </c>
      <c r="B4534">
        <v>0.99299721793515405</v>
      </c>
      <c r="C4534">
        <v>1.00590990204279</v>
      </c>
      <c r="D4534">
        <v>0.92139753705065297</v>
      </c>
      <c r="E4534">
        <v>0.93876635186424895</v>
      </c>
      <c r="F4534">
        <v>0.780089102611635</v>
      </c>
      <c r="G4534">
        <v>0.57243439212263203</v>
      </c>
      <c r="H4534">
        <v>0.34224342087249898</v>
      </c>
      <c r="I4534">
        <v>0.207835600765439</v>
      </c>
      <c r="J4534">
        <v>0.150920219411217</v>
      </c>
      <c r="K4534">
        <v>0.140928861200915</v>
      </c>
      <c r="L4534">
        <v>825.52988121088094</v>
      </c>
      <c r="M4534">
        <v>15.264232572165399</v>
      </c>
      <c r="N4534">
        <v>54.706690349194297</v>
      </c>
      <c r="O4534">
        <v>53.1798843918072</v>
      </c>
      <c r="P4534">
        <v>-6.6029905031422795E-2</v>
      </c>
      <c r="Q4534">
        <v>7.9906224824393704E-2</v>
      </c>
      <c r="R4534">
        <v>0.99615232817101795</v>
      </c>
      <c r="S4534" t="s">
        <v>10085</v>
      </c>
      <c r="T4534" t="s">
        <v>11100</v>
      </c>
      <c r="U4534" t="s">
        <v>11100</v>
      </c>
      <c r="V4534" t="s">
        <v>11100</v>
      </c>
      <c r="W4534" t="s">
        <v>15583</v>
      </c>
      <c r="X4534">
        <v>21</v>
      </c>
      <c r="Y4534" t="s">
        <v>21013</v>
      </c>
      <c r="Z4534" t="s">
        <v>26539</v>
      </c>
      <c r="AA4534">
        <v>0.61840403128791499</v>
      </c>
      <c r="AB4534" t="str">
        <f>HYPERLINK("Melting_Curves/meltCurve_Q9BS26_ERP44.pdf", "Melting_Curves/meltCurve_Q9BS26_ERP44.pdf")</f>
        <v>Melting_Curves/meltCurve_Q9BS26_ERP44.pdf</v>
      </c>
    </row>
    <row r="4535" spans="1:28" x14ac:dyDescent="0.25">
      <c r="A4535" t="s">
        <v>4539</v>
      </c>
      <c r="B4535">
        <v>0.99299721793515405</v>
      </c>
      <c r="C4535">
        <v>1.0830752361124301</v>
      </c>
      <c r="D4535">
        <v>0.94368136660936897</v>
      </c>
      <c r="E4535">
        <v>1.0169263107468101</v>
      </c>
      <c r="F4535">
        <v>0.80576153310151399</v>
      </c>
      <c r="G4535">
        <v>0.59893183346668899</v>
      </c>
      <c r="H4535">
        <v>0.37127574311618999</v>
      </c>
      <c r="I4535">
        <v>0.233176917405017</v>
      </c>
      <c r="J4535">
        <v>0.233749284799801</v>
      </c>
      <c r="K4535">
        <v>0.19238239173416299</v>
      </c>
      <c r="L4535">
        <v>1053.85280176742</v>
      </c>
      <c r="M4535">
        <v>19.601945976619401</v>
      </c>
      <c r="N4535">
        <v>55.0282137159044</v>
      </c>
      <c r="O4535">
        <v>53.212498755896704</v>
      </c>
      <c r="P4535">
        <v>-7.5385748047159098E-2</v>
      </c>
      <c r="Q4535">
        <v>0.18144397968515999</v>
      </c>
      <c r="R4535">
        <v>0.98764937987789203</v>
      </c>
      <c r="S4535" t="s">
        <v>10086</v>
      </c>
      <c r="T4535" t="s">
        <v>11100</v>
      </c>
      <c r="U4535" t="s">
        <v>11100</v>
      </c>
      <c r="V4535" t="s">
        <v>11100</v>
      </c>
      <c r="W4535" t="s">
        <v>15584</v>
      </c>
      <c r="X4535">
        <v>6</v>
      </c>
      <c r="Y4535" t="s">
        <v>21014</v>
      </c>
      <c r="Z4535" t="s">
        <v>26540</v>
      </c>
      <c r="AA4535">
        <v>0.64909674592551447</v>
      </c>
      <c r="AB4535" t="str">
        <f>HYPERLINK("Melting_Curves/meltCurve_Q9BS40_LXN.pdf", "Melting_Curves/meltCurve_Q9BS40_LXN.pdf")</f>
        <v>Melting_Curves/meltCurve_Q9BS40_LXN.pdf</v>
      </c>
    </row>
    <row r="4536" spans="1:28" x14ac:dyDescent="0.25">
      <c r="A4536" t="s">
        <v>4540</v>
      </c>
      <c r="B4536">
        <v>0.99299721793515405</v>
      </c>
      <c r="C4536">
        <v>0.88062363004599498</v>
      </c>
      <c r="D4536">
        <v>1.1065758329058599</v>
      </c>
      <c r="E4536">
        <v>0.90796566235891396</v>
      </c>
      <c r="F4536">
        <v>0.68536314515906405</v>
      </c>
      <c r="G4536">
        <v>0.60242982770446596</v>
      </c>
      <c r="H4536">
        <v>0.44803122303812798</v>
      </c>
      <c r="I4536">
        <v>0.57050763413375905</v>
      </c>
      <c r="J4536">
        <v>0.65585399197151595</v>
      </c>
      <c r="K4536">
        <v>0.68019033859072997</v>
      </c>
      <c r="L4536">
        <v>1842.8022924515799</v>
      </c>
      <c r="M4536">
        <v>38.072899543185798</v>
      </c>
      <c r="O4536">
        <v>48.268989212553301</v>
      </c>
      <c r="P4536">
        <v>-8.06842898217148E-2</v>
      </c>
      <c r="Q4536">
        <v>0.59083344554124495</v>
      </c>
      <c r="R4536">
        <v>0.846474335317284</v>
      </c>
      <c r="S4536" t="s">
        <v>10087</v>
      </c>
      <c r="T4536" t="s">
        <v>11100</v>
      </c>
      <c r="U4536" t="s">
        <v>11100</v>
      </c>
      <c r="V4536" t="s">
        <v>11100</v>
      </c>
      <c r="W4536" t="s">
        <v>15585</v>
      </c>
      <c r="X4536">
        <v>5</v>
      </c>
      <c r="Y4536" t="s">
        <v>21015</v>
      </c>
      <c r="Z4536" t="s">
        <v>26541</v>
      </c>
      <c r="AA4536">
        <v>0.74785524873718534</v>
      </c>
      <c r="AB4536" t="str">
        <f>HYPERLINK("Melting_Curves/meltCurve_Q9BSB4_ATG101.pdf", "Melting_Curves/meltCurve_Q9BSB4_ATG101.pdf")</f>
        <v>Melting_Curves/meltCurve_Q9BSB4_ATG101.pdf</v>
      </c>
    </row>
    <row r="4537" spans="1:28" x14ac:dyDescent="0.25">
      <c r="A4537" t="s">
        <v>4541</v>
      </c>
      <c r="B4537">
        <v>0.99299721793515405</v>
      </c>
      <c r="C4537">
        <v>0.97321070690104805</v>
      </c>
      <c r="D4537">
        <v>0.93081456230755499</v>
      </c>
      <c r="E4537">
        <v>0.83038385073788001</v>
      </c>
      <c r="F4537">
        <v>0.69289184303037099</v>
      </c>
      <c r="G4537">
        <v>0.47665215721795601</v>
      </c>
      <c r="H4537">
        <v>0.257009260347001</v>
      </c>
      <c r="I4537">
        <v>0.18429195082400701</v>
      </c>
      <c r="J4537">
        <v>0.12872428746843501</v>
      </c>
      <c r="K4537">
        <v>9.7089422267329306E-2</v>
      </c>
      <c r="L4537">
        <v>656.85914990738399</v>
      </c>
      <c r="M4537">
        <v>12.414485339169399</v>
      </c>
      <c r="N4537">
        <v>53.1178050926164</v>
      </c>
      <c r="O4537">
        <v>51.5940552741014</v>
      </c>
      <c r="P4537">
        <v>-5.8745946777816901E-2</v>
      </c>
      <c r="Q4537">
        <v>2.36240440652042E-2</v>
      </c>
      <c r="R4537">
        <v>0.99780600418067</v>
      </c>
      <c r="S4537" t="s">
        <v>10088</v>
      </c>
      <c r="T4537" t="s">
        <v>11100</v>
      </c>
      <c r="U4537" t="s">
        <v>11100</v>
      </c>
      <c r="V4537" t="s">
        <v>11100</v>
      </c>
      <c r="W4537" t="s">
        <v>15586</v>
      </c>
      <c r="X4537">
        <v>16</v>
      </c>
      <c r="Y4537" t="s">
        <v>21016</v>
      </c>
      <c r="Z4537" t="s">
        <v>26542</v>
      </c>
      <c r="AA4537">
        <v>0.56187498450291928</v>
      </c>
      <c r="AB4537" t="str">
        <f>HYPERLINK("Melting_Curves/meltCurve_Q9BSD7_NTPCR.pdf", "Melting_Curves/meltCurve_Q9BSD7_NTPCR.pdf")</f>
        <v>Melting_Curves/meltCurve_Q9BSD7_NTPCR.pdf</v>
      </c>
    </row>
    <row r="4538" spans="1:28" x14ac:dyDescent="0.25">
      <c r="A4538" t="s">
        <v>4542</v>
      </c>
      <c r="B4538">
        <v>0.99299721793515405</v>
      </c>
      <c r="C4538">
        <v>0.89306642222102095</v>
      </c>
      <c r="D4538">
        <v>0.95702740584368395</v>
      </c>
      <c r="E4538">
        <v>0.741732469682849</v>
      </c>
      <c r="F4538">
        <v>0.73291485481832497</v>
      </c>
      <c r="G4538">
        <v>0.72171007175893298</v>
      </c>
      <c r="H4538">
        <v>0.48598219781739899</v>
      </c>
      <c r="I4538">
        <v>0.331214503180016</v>
      </c>
      <c r="J4538">
        <v>0.25512899438346198</v>
      </c>
      <c r="K4538">
        <v>0.218647325856379</v>
      </c>
      <c r="L4538">
        <v>443.76943275038701</v>
      </c>
      <c r="M4538">
        <v>7.8265174710559302</v>
      </c>
      <c r="N4538">
        <v>56.700752753731997</v>
      </c>
      <c r="O4538">
        <v>53.356513684159196</v>
      </c>
      <c r="P4538">
        <v>-3.6715870785716503E-2</v>
      </c>
      <c r="Q4538">
        <v>0</v>
      </c>
      <c r="R4538">
        <v>0.95610527550244595</v>
      </c>
      <c r="S4538" t="s">
        <v>10089</v>
      </c>
      <c r="T4538" t="s">
        <v>11100</v>
      </c>
      <c r="U4538" t="s">
        <v>11100</v>
      </c>
      <c r="V4538" t="s">
        <v>11100</v>
      </c>
      <c r="W4538" t="s">
        <v>15587</v>
      </c>
      <c r="X4538">
        <v>4</v>
      </c>
      <c r="Y4538" t="s">
        <v>21017</v>
      </c>
      <c r="Z4538" t="s">
        <v>26543</v>
      </c>
      <c r="AA4538">
        <v>0.64748805225051287</v>
      </c>
      <c r="AB4538" t="str">
        <f>HYPERLINK("Melting_Curves/meltCurve_Q9BSF4_C19orf52.pdf", "Melting_Curves/meltCurve_Q9BSF4_C19orf52.pdf")</f>
        <v>Melting_Curves/meltCurve_Q9BSF4_C19orf52.pdf</v>
      </c>
    </row>
    <row r="4539" spans="1:28" x14ac:dyDescent="0.25">
      <c r="A4539" t="s">
        <v>4543</v>
      </c>
      <c r="B4539">
        <v>0.99299721793515405</v>
      </c>
      <c r="C4539">
        <v>1.0238395633617601</v>
      </c>
      <c r="D4539">
        <v>1.01979623397634</v>
      </c>
      <c r="E4539">
        <v>0.94555895126602996</v>
      </c>
      <c r="F4539">
        <v>0.559371355481184</v>
      </c>
      <c r="G4539">
        <v>0.20857212143211401</v>
      </c>
      <c r="H4539">
        <v>0.14651094903164899</v>
      </c>
      <c r="I4539">
        <v>0.13541259692778099</v>
      </c>
      <c r="J4539">
        <v>0.13002563905761699</v>
      </c>
      <c r="K4539">
        <v>0.10626661390547899</v>
      </c>
      <c r="L4539">
        <v>1720.02523327172</v>
      </c>
      <c r="M4539">
        <v>34.268901951622802</v>
      </c>
      <c r="N4539">
        <v>50.622005830512897</v>
      </c>
      <c r="O4539">
        <v>50.022023335298599</v>
      </c>
      <c r="P4539">
        <v>-0.14964312497010401</v>
      </c>
      <c r="Q4539">
        <v>0.12627226248442699</v>
      </c>
      <c r="R4539">
        <v>0.99894678595031705</v>
      </c>
      <c r="S4539" t="s">
        <v>10090</v>
      </c>
      <c r="T4539" t="s">
        <v>11100</v>
      </c>
      <c r="U4539" t="s">
        <v>11100</v>
      </c>
      <c r="V4539" t="s">
        <v>11100</v>
      </c>
      <c r="W4539" t="s">
        <v>15588</v>
      </c>
      <c r="X4539">
        <v>12</v>
      </c>
      <c r="Y4539" t="s">
        <v>21018</v>
      </c>
      <c r="Z4539" t="s">
        <v>26544</v>
      </c>
      <c r="AA4539">
        <v>0.51460939104702763</v>
      </c>
      <c r="AB4539" t="str">
        <f>HYPERLINK("Melting_Curves/meltCurve_Q9BSH4_TACO1.pdf", "Melting_Curves/meltCurve_Q9BSH4_TACO1.pdf")</f>
        <v>Melting_Curves/meltCurve_Q9BSH4_TACO1.pdf</v>
      </c>
    </row>
    <row r="4540" spans="1:28" x14ac:dyDescent="0.25">
      <c r="A4540" t="s">
        <v>4544</v>
      </c>
      <c r="B4540">
        <v>0.99299721793515405</v>
      </c>
      <c r="C4540">
        <v>0.91168089180141298</v>
      </c>
      <c r="D4540">
        <v>0.91906834793479397</v>
      </c>
      <c r="E4540">
        <v>0.77046787788598903</v>
      </c>
      <c r="F4540">
        <v>0.70401524638724899</v>
      </c>
      <c r="G4540">
        <v>0.53159153248338098</v>
      </c>
      <c r="H4540">
        <v>0.46353735478647201</v>
      </c>
      <c r="I4540">
        <v>0.52507428832201197</v>
      </c>
      <c r="J4540">
        <v>0.453613762492665</v>
      </c>
      <c r="K4540">
        <v>0.21312009147012101</v>
      </c>
      <c r="L4540">
        <v>338.04408831802999</v>
      </c>
      <c r="M4540">
        <v>5.9950830835181597</v>
      </c>
      <c r="N4540">
        <v>57.550560588411102</v>
      </c>
      <c r="O4540">
        <v>51.072656162942202</v>
      </c>
      <c r="P4540">
        <v>-2.7760667885423598E-2</v>
      </c>
      <c r="Q4540">
        <v>5.7079778876720201E-2</v>
      </c>
      <c r="R4540">
        <v>0.93131031625985405</v>
      </c>
      <c r="S4540" t="s">
        <v>10091</v>
      </c>
      <c r="T4540" t="s">
        <v>11100</v>
      </c>
      <c r="U4540" t="s">
        <v>11100</v>
      </c>
      <c r="V4540" t="s">
        <v>11100</v>
      </c>
      <c r="W4540" t="s">
        <v>15589</v>
      </c>
      <c r="X4540">
        <v>9</v>
      </c>
      <c r="Y4540" t="s">
        <v>21019</v>
      </c>
      <c r="Z4540" t="s">
        <v>26545</v>
      </c>
      <c r="AA4540">
        <v>0.64649994795913224</v>
      </c>
      <c r="AB4540" t="str">
        <f>HYPERLINK("Melting_Curves/meltCurve_Q9BSH5_HDHD3.pdf", "Melting_Curves/meltCurve_Q9BSH5_HDHD3.pdf")</f>
        <v>Melting_Curves/meltCurve_Q9BSH5_HDHD3.pdf</v>
      </c>
    </row>
    <row r="4541" spans="1:28" x14ac:dyDescent="0.25">
      <c r="A4541" t="s">
        <v>4545</v>
      </c>
      <c r="B4541">
        <v>0.99299721793515405</v>
      </c>
      <c r="C4541">
        <v>0.97669359842500103</v>
      </c>
      <c r="D4541">
        <v>0.90474141888963799</v>
      </c>
      <c r="E4541">
        <v>0.82497153523605105</v>
      </c>
      <c r="F4541">
        <v>0.55707819841212003</v>
      </c>
      <c r="G4541">
        <v>0.32154369070762501</v>
      </c>
      <c r="H4541">
        <v>0.22847983647120801</v>
      </c>
      <c r="I4541">
        <v>0.242377353171916</v>
      </c>
      <c r="J4541">
        <v>0.205772802172697</v>
      </c>
      <c r="K4541">
        <v>0.16027134745780799</v>
      </c>
      <c r="L4541">
        <v>882.08820225233796</v>
      </c>
      <c r="M4541">
        <v>17.7695646899389</v>
      </c>
      <c r="N4541">
        <v>50.889489732435599</v>
      </c>
      <c r="O4541">
        <v>49.024514617160499</v>
      </c>
      <c r="P4541">
        <v>-7.4603949547543694E-2</v>
      </c>
      <c r="Q4541">
        <v>0.17674234046923101</v>
      </c>
      <c r="R4541">
        <v>0.99481603644913896</v>
      </c>
      <c r="S4541" t="s">
        <v>10092</v>
      </c>
      <c r="T4541" t="s">
        <v>11100</v>
      </c>
      <c r="U4541" t="s">
        <v>11100</v>
      </c>
      <c r="V4541" t="s">
        <v>11100</v>
      </c>
      <c r="W4541" t="s">
        <v>15590</v>
      </c>
      <c r="X4541">
        <v>12</v>
      </c>
      <c r="Y4541" t="s">
        <v>21020</v>
      </c>
      <c r="Z4541" t="s">
        <v>26546</v>
      </c>
      <c r="AA4541">
        <v>0.53692432999896456</v>
      </c>
      <c r="AB4541" t="str">
        <f>HYPERLINK("Melting_Curves/meltCurve_Q9BSJ2_TUBGCP2.pdf", "Melting_Curves/meltCurve_Q9BSJ2_TUBGCP2.pdf")</f>
        <v>Melting_Curves/meltCurve_Q9BSJ2_TUBGCP2.pdf</v>
      </c>
    </row>
    <row r="4542" spans="1:28" x14ac:dyDescent="0.25">
      <c r="A4542" t="s">
        <v>4546</v>
      </c>
      <c r="B4542">
        <v>0.99299721793515405</v>
      </c>
      <c r="C4542">
        <v>1.29594064679707</v>
      </c>
      <c r="D4542">
        <v>1.1628274854949801</v>
      </c>
      <c r="E4542">
        <v>0.98286781182290095</v>
      </c>
      <c r="F4542">
        <v>0.78712958986412995</v>
      </c>
      <c r="G4542">
        <v>0.60082116187674695</v>
      </c>
      <c r="H4542">
        <v>0.54739885302918501</v>
      </c>
      <c r="I4542">
        <v>0.49413786669066301</v>
      </c>
      <c r="J4542">
        <v>0.39570197856943001</v>
      </c>
      <c r="K4542">
        <v>0.30414714437442603</v>
      </c>
      <c r="L4542">
        <v>932.36104770919303</v>
      </c>
      <c r="M4542">
        <v>17.5849361610607</v>
      </c>
      <c r="N4542">
        <v>57.315159411782403</v>
      </c>
      <c r="O4542">
        <v>52.349036520144601</v>
      </c>
      <c r="P4542">
        <v>-5.3235652341784498E-2</v>
      </c>
      <c r="Q4542">
        <v>0.36612018856143203</v>
      </c>
      <c r="R4542">
        <v>0.86785061021440402</v>
      </c>
      <c r="S4542" t="s">
        <v>10093</v>
      </c>
      <c r="T4542" t="s">
        <v>11100</v>
      </c>
      <c r="U4542" t="s">
        <v>11100</v>
      </c>
      <c r="V4542" t="s">
        <v>11100</v>
      </c>
      <c r="W4542" t="s">
        <v>15591</v>
      </c>
      <c r="X4542">
        <v>2</v>
      </c>
      <c r="Y4542" t="s">
        <v>21021</v>
      </c>
      <c r="Z4542" t="s">
        <v>26547</v>
      </c>
      <c r="AA4542">
        <v>0.71410367520317308</v>
      </c>
      <c r="AB4542" t="str">
        <f>HYPERLINK("Melting_Curves/meltCurve_Q9BSJ5_3_C17orf80.pdf", "Melting_Curves/meltCurve_Q9BSJ5_3_C17orf80.pdf")</f>
        <v>Melting_Curves/meltCurve_Q9BSJ5_3_C17orf80.pdf</v>
      </c>
    </row>
    <row r="4543" spans="1:28" x14ac:dyDescent="0.25">
      <c r="A4543" t="s">
        <v>4547</v>
      </c>
      <c r="B4543">
        <v>0.99299721793515405</v>
      </c>
      <c r="C4543">
        <v>1.0137444654660499</v>
      </c>
      <c r="D4543">
        <v>1.0187169373804501</v>
      </c>
      <c r="E4543">
        <v>0.89360886746046098</v>
      </c>
      <c r="F4543">
        <v>0.47647538946624901</v>
      </c>
      <c r="G4543">
        <v>0.19762003331919001</v>
      </c>
      <c r="H4543">
        <v>0.14349402750597301</v>
      </c>
      <c r="I4543">
        <v>0.12510402181739599</v>
      </c>
      <c r="J4543">
        <v>0.11923416699342</v>
      </c>
      <c r="K4543">
        <v>9.0389848644735302E-2</v>
      </c>
      <c r="L4543">
        <v>1507.2127140241701</v>
      </c>
      <c r="M4543">
        <v>30.374283268625302</v>
      </c>
      <c r="N4543">
        <v>50.054618909709802</v>
      </c>
      <c r="O4543">
        <v>49.407755080390103</v>
      </c>
      <c r="P4543">
        <v>-0.13592610974313499</v>
      </c>
      <c r="Q4543">
        <v>0.115599063199088</v>
      </c>
      <c r="R4543">
        <v>0.99880102168842799</v>
      </c>
      <c r="S4543" t="s">
        <v>10094</v>
      </c>
      <c r="T4543" t="s">
        <v>11100</v>
      </c>
      <c r="U4543" t="s">
        <v>11100</v>
      </c>
      <c r="V4543" t="s">
        <v>11100</v>
      </c>
      <c r="W4543" t="s">
        <v>15592</v>
      </c>
      <c r="X4543">
        <v>22</v>
      </c>
      <c r="Y4543" t="s">
        <v>21022</v>
      </c>
      <c r="Z4543" t="s">
        <v>26548</v>
      </c>
      <c r="AA4543">
        <v>0.49293800103366342</v>
      </c>
      <c r="AB4543" t="str">
        <f>HYPERLINK("Melting_Curves/meltCurve_Q9BSJ8_ESYT1.pdf", "Melting_Curves/meltCurve_Q9BSJ8_ESYT1.pdf")</f>
        <v>Melting_Curves/meltCurve_Q9BSJ8_ESYT1.pdf</v>
      </c>
    </row>
    <row r="4544" spans="1:28" x14ac:dyDescent="0.25">
      <c r="A4544" t="s">
        <v>4548</v>
      </c>
      <c r="B4544">
        <v>0.99299721793515405</v>
      </c>
      <c r="C4544">
        <v>0.88389863571027805</v>
      </c>
      <c r="D4544">
        <v>1.08966854518826</v>
      </c>
      <c r="E4544">
        <v>0.67641899383733095</v>
      </c>
      <c r="F4544">
        <v>0.62698180649195301</v>
      </c>
      <c r="G4544">
        <v>0.73578768122143501</v>
      </c>
      <c r="H4544">
        <v>0.53538948555884203</v>
      </c>
      <c r="I4544">
        <v>0.33750935480636302</v>
      </c>
      <c r="J4544">
        <v>0.443166274071703</v>
      </c>
      <c r="K4544">
        <v>0.200519619776344</v>
      </c>
      <c r="L4544">
        <v>374.00374823074702</v>
      </c>
      <c r="M4544">
        <v>6.49890242205002</v>
      </c>
      <c r="N4544">
        <v>57.548750358179397</v>
      </c>
      <c r="O4544">
        <v>52.827690342567699</v>
      </c>
      <c r="P4544">
        <v>-3.0829931425211302E-2</v>
      </c>
      <c r="Q4544">
        <v>0</v>
      </c>
      <c r="R4544">
        <v>0.84966011626179305</v>
      </c>
      <c r="S4544" t="s">
        <v>10095</v>
      </c>
      <c r="T4544" t="s">
        <v>11100</v>
      </c>
      <c r="U4544" t="s">
        <v>11100</v>
      </c>
      <c r="V4544" t="s">
        <v>11100</v>
      </c>
      <c r="W4544" t="s">
        <v>15593</v>
      </c>
      <c r="X4544">
        <v>2</v>
      </c>
      <c r="Y4544" t="s">
        <v>21023</v>
      </c>
      <c r="Z4544" t="s">
        <v>26549</v>
      </c>
      <c r="AA4544">
        <v>0.65503662315057054</v>
      </c>
      <c r="AB4544" t="str">
        <f>HYPERLINK("Melting_Curves/meltCurve_Q9BSK2_SLC25A33.pdf", "Melting_Curves/meltCurve_Q9BSK2_SLC25A33.pdf")</f>
        <v>Melting_Curves/meltCurve_Q9BSK2_SLC25A33.pdf</v>
      </c>
    </row>
    <row r="4545" spans="1:28" x14ac:dyDescent="0.25">
      <c r="A4545" t="s">
        <v>4549</v>
      </c>
      <c r="B4545">
        <v>0.99299721793515405</v>
      </c>
      <c r="C4545">
        <v>1.0588333737418201</v>
      </c>
      <c r="D4545">
        <v>0.892790424030941</v>
      </c>
      <c r="E4545">
        <v>0.88236992562538497</v>
      </c>
      <c r="F4545">
        <v>0.69284433838945403</v>
      </c>
      <c r="G4545">
        <v>0.52062656744907498</v>
      </c>
      <c r="H4545">
        <v>0.45104558765035901</v>
      </c>
      <c r="I4545">
        <v>0.31207288224816299</v>
      </c>
      <c r="J4545">
        <v>0.39641333281320901</v>
      </c>
      <c r="K4545">
        <v>0.31412179540429302</v>
      </c>
      <c r="L4545">
        <v>737.70382763734403</v>
      </c>
      <c r="M4545">
        <v>14.465193366231899</v>
      </c>
      <c r="N4545">
        <v>54.640761652110001</v>
      </c>
      <c r="O4545">
        <v>50.053594365930003</v>
      </c>
      <c r="P4545">
        <v>-4.99036450119009E-2</v>
      </c>
      <c r="Q4545">
        <v>0.30935849512833902</v>
      </c>
      <c r="R4545">
        <v>0.97772690854269195</v>
      </c>
      <c r="S4545" t="s">
        <v>10096</v>
      </c>
      <c r="T4545" t="s">
        <v>11100</v>
      </c>
      <c r="U4545" t="s">
        <v>11100</v>
      </c>
      <c r="V4545" t="s">
        <v>11100</v>
      </c>
      <c r="W4545" t="s">
        <v>15594</v>
      </c>
      <c r="X4545">
        <v>3</v>
      </c>
      <c r="Y4545" t="s">
        <v>21024</v>
      </c>
      <c r="Z4545" t="s">
        <v>26550</v>
      </c>
      <c r="AA4545">
        <v>0.64619285007781657</v>
      </c>
      <c r="AB4545" t="str">
        <f>HYPERLINK("Melting_Curves/meltCurve_Q9BSK4_FEM1A.pdf", "Melting_Curves/meltCurve_Q9BSK4_FEM1A.pdf")</f>
        <v>Melting_Curves/meltCurve_Q9BSK4_FEM1A.pdf</v>
      </c>
    </row>
    <row r="4546" spans="1:28" x14ac:dyDescent="0.25">
      <c r="A4546" t="s">
        <v>4550</v>
      </c>
      <c r="B4546">
        <v>0.99299721793515405</v>
      </c>
      <c r="C4546">
        <v>0.89376856957967299</v>
      </c>
      <c r="D4546">
        <v>0.90120690322297903</v>
      </c>
      <c r="E4546">
        <v>0.81568510330171295</v>
      </c>
      <c r="F4546">
        <v>0.75793561629286998</v>
      </c>
      <c r="G4546">
        <v>0.49830182527276401</v>
      </c>
      <c r="H4546">
        <v>0.33791622484930001</v>
      </c>
      <c r="I4546">
        <v>0.28875262094456</v>
      </c>
      <c r="J4546">
        <v>0.31058021933019397</v>
      </c>
      <c r="K4546">
        <v>0.219774631163526</v>
      </c>
      <c r="L4546">
        <v>560.57184998622597</v>
      </c>
      <c r="M4546">
        <v>10.6861573250328</v>
      </c>
      <c r="N4546">
        <v>54.2802442046778</v>
      </c>
      <c r="O4546">
        <v>50.720802654056499</v>
      </c>
      <c r="P4546">
        <v>-4.4748605516329198E-2</v>
      </c>
      <c r="Q4546">
        <v>0.15074073530047</v>
      </c>
      <c r="R4546">
        <v>0.97501105461878101</v>
      </c>
      <c r="S4546" t="s">
        <v>10097</v>
      </c>
      <c r="T4546" t="s">
        <v>11100</v>
      </c>
      <c r="U4546" t="s">
        <v>11100</v>
      </c>
      <c r="V4546" t="s">
        <v>11100</v>
      </c>
      <c r="W4546" t="s">
        <v>15595</v>
      </c>
      <c r="X4546">
        <v>7</v>
      </c>
      <c r="Y4546" t="s">
        <v>21025</v>
      </c>
      <c r="Z4546" t="s">
        <v>26551</v>
      </c>
      <c r="AA4546">
        <v>0.60881262148637183</v>
      </c>
      <c r="AB4546" t="str">
        <f>HYPERLINK("Melting_Curves/meltCurve_Q9BSL1_UBAC1.pdf", "Melting_Curves/meltCurve_Q9BSL1_UBAC1.pdf")</f>
        <v>Melting_Curves/meltCurve_Q9BSL1_UBAC1.pdf</v>
      </c>
    </row>
    <row r="4547" spans="1:28" x14ac:dyDescent="0.25">
      <c r="A4547" t="s">
        <v>4551</v>
      </c>
      <c r="B4547">
        <v>0.99299721793515405</v>
      </c>
      <c r="C4547">
        <v>1.13575916786203</v>
      </c>
      <c r="D4547">
        <v>0.98789238100764099</v>
      </c>
      <c r="E4547">
        <v>0.89063223717473905</v>
      </c>
      <c r="F4547">
        <v>0.85218581832736595</v>
      </c>
      <c r="G4547">
        <v>0.51903116860339804</v>
      </c>
      <c r="H4547">
        <v>0.594299692981343</v>
      </c>
      <c r="I4547">
        <v>0.75113354025655499</v>
      </c>
      <c r="J4547">
        <v>0.67079291443943401</v>
      </c>
      <c r="K4547">
        <v>0.55977037757352599</v>
      </c>
      <c r="L4547">
        <v>12572.8839493426</v>
      </c>
      <c r="M4547">
        <v>250</v>
      </c>
      <c r="O4547">
        <v>50.288317449345797</v>
      </c>
      <c r="P4547">
        <v>-0.47351264026103501</v>
      </c>
      <c r="Q4547">
        <v>0.61900553675437597</v>
      </c>
      <c r="R4547">
        <v>0.83545530464984397</v>
      </c>
      <c r="S4547" t="s">
        <v>10098</v>
      </c>
      <c r="T4547" t="s">
        <v>11100</v>
      </c>
      <c r="U4547" t="s">
        <v>11100</v>
      </c>
      <c r="V4547" t="s">
        <v>11100</v>
      </c>
      <c r="W4547" t="s">
        <v>15596</v>
      </c>
      <c r="X4547">
        <v>1</v>
      </c>
      <c r="Y4547" t="s">
        <v>21026</v>
      </c>
      <c r="Z4547" t="s">
        <v>26552</v>
      </c>
      <c r="AA4547">
        <v>0.78783921521532452</v>
      </c>
      <c r="AB4547" t="str">
        <f>HYPERLINK("Melting_Curves/meltCurve_Q9BSR8_YIPF4.pdf", "Melting_Curves/meltCurve_Q9BSR8_YIPF4.pdf")</f>
        <v>Melting_Curves/meltCurve_Q9BSR8_YIPF4.pdf</v>
      </c>
    </row>
    <row r="4548" spans="1:28" x14ac:dyDescent="0.25">
      <c r="A4548" t="s">
        <v>4552</v>
      </c>
      <c r="B4548">
        <v>0.99299721793515405</v>
      </c>
      <c r="C4548">
        <v>0.88342927383404002</v>
      </c>
      <c r="D4548">
        <v>0.77316180091333597</v>
      </c>
      <c r="E4548">
        <v>0.72726674480361098</v>
      </c>
      <c r="F4548">
        <v>0.566606705502816</v>
      </c>
      <c r="G4548">
        <v>0.17003662822756799</v>
      </c>
      <c r="H4548">
        <v>0.102074849611118</v>
      </c>
      <c r="I4548">
        <v>0.10846351834424101</v>
      </c>
      <c r="J4548">
        <v>8.8524447781734003E-2</v>
      </c>
      <c r="K4548">
        <v>6.87580875890558E-2</v>
      </c>
      <c r="L4548">
        <v>590.31888770739897</v>
      </c>
      <c r="M4548">
        <v>11.9348159663659</v>
      </c>
      <c r="N4548">
        <v>49.461942586498601</v>
      </c>
      <c r="O4548">
        <v>48.134628282295601</v>
      </c>
      <c r="P4548">
        <v>-6.2001912542296901E-2</v>
      </c>
      <c r="Q4548">
        <v>0</v>
      </c>
      <c r="R4548">
        <v>0.96661854913888601</v>
      </c>
      <c r="S4548" t="s">
        <v>10099</v>
      </c>
      <c r="T4548" t="s">
        <v>11100</v>
      </c>
      <c r="U4548" t="s">
        <v>11100</v>
      </c>
      <c r="V4548" t="s">
        <v>11100</v>
      </c>
      <c r="W4548" t="s">
        <v>15597</v>
      </c>
      <c r="X4548">
        <v>2</v>
      </c>
      <c r="Y4548" t="s">
        <v>21027</v>
      </c>
      <c r="Z4548" t="s">
        <v>26553</v>
      </c>
      <c r="AA4548">
        <v>0.44454008204093531</v>
      </c>
      <c r="AB4548" t="str">
        <f>HYPERLINK("Melting_Curves/meltCurve_Q9BST9_2_RTKN.pdf", "Melting_Curves/meltCurve_Q9BST9_2_RTKN.pdf")</f>
        <v>Melting_Curves/meltCurve_Q9BST9_2_RTKN.pdf</v>
      </c>
    </row>
    <row r="4549" spans="1:28" x14ac:dyDescent="0.25">
      <c r="A4549" t="s">
        <v>4553</v>
      </c>
      <c r="B4549">
        <v>0.99299721793515405</v>
      </c>
      <c r="C4549">
        <v>1.11260253192349</v>
      </c>
      <c r="D4549">
        <v>0.89551326267390696</v>
      </c>
      <c r="E4549">
        <v>1.0766923211947399</v>
      </c>
      <c r="F4549">
        <v>0.88890409200592502</v>
      </c>
      <c r="G4549">
        <v>0.64141237040752097</v>
      </c>
      <c r="H4549">
        <v>0.42174369173453202</v>
      </c>
      <c r="I4549">
        <v>0.22431887424994301</v>
      </c>
      <c r="J4549">
        <v>9.7656203051702306E-2</v>
      </c>
      <c r="K4549">
        <v>6.6144606644463894E-2</v>
      </c>
      <c r="L4549">
        <v>986.89801955381301</v>
      </c>
      <c r="M4549">
        <v>17.622216552608201</v>
      </c>
      <c r="N4549">
        <v>56.114992939946497</v>
      </c>
      <c r="O4549">
        <v>55.2968213189464</v>
      </c>
      <c r="P4549">
        <v>-7.8299299971264405E-2</v>
      </c>
      <c r="Q4549">
        <v>1.72701556142511E-2</v>
      </c>
      <c r="R4549">
        <v>0.97618124137037099</v>
      </c>
      <c r="S4549" t="s">
        <v>10100</v>
      </c>
      <c r="T4549" t="s">
        <v>11100</v>
      </c>
      <c r="U4549" t="s">
        <v>11100</v>
      </c>
      <c r="V4549" t="s">
        <v>11100</v>
      </c>
      <c r="W4549" t="s">
        <v>15598</v>
      </c>
      <c r="X4549">
        <v>3</v>
      </c>
      <c r="Y4549" t="s">
        <v>21028</v>
      </c>
      <c r="Z4549" t="s">
        <v>26554</v>
      </c>
      <c r="AA4549">
        <v>0.65070626140092369</v>
      </c>
      <c r="AB4549" t="str">
        <f>HYPERLINK("Melting_Curves/meltCurve_Q9BSU1_C16orf70.pdf", "Melting_Curves/meltCurve_Q9BSU1_C16orf70.pdf")</f>
        <v>Melting_Curves/meltCurve_Q9BSU1_C16orf70.pdf</v>
      </c>
    </row>
    <row r="4550" spans="1:28" x14ac:dyDescent="0.25">
      <c r="A4550" t="s">
        <v>4554</v>
      </c>
      <c r="B4550">
        <v>0.99299721793515405</v>
      </c>
      <c r="C4550">
        <v>0.98019407728236696</v>
      </c>
      <c r="D4550">
        <v>0.99017114957802799</v>
      </c>
      <c r="E4550">
        <v>0.95105517487491897</v>
      </c>
      <c r="F4550">
        <v>0.55807221788275196</v>
      </c>
      <c r="G4550">
        <v>0.30848755779767401</v>
      </c>
      <c r="H4550">
        <v>0.157499190765542</v>
      </c>
      <c r="I4550">
        <v>0.12912274680529301</v>
      </c>
      <c r="J4550">
        <v>9.1723113729848996E-2</v>
      </c>
      <c r="K4550">
        <v>0.12679758831992</v>
      </c>
      <c r="L4550">
        <v>1273.0159476179699</v>
      </c>
      <c r="M4550">
        <v>25.1875952974341</v>
      </c>
      <c r="N4550">
        <v>51.0743345361442</v>
      </c>
      <c r="O4550">
        <v>50.2260336161456</v>
      </c>
      <c r="P4550">
        <v>-0.110884563473401</v>
      </c>
      <c r="Q4550">
        <v>0.11556168289907</v>
      </c>
      <c r="R4550">
        <v>0.99607298791705701</v>
      </c>
      <c r="S4550" t="s">
        <v>10101</v>
      </c>
      <c r="T4550" t="s">
        <v>11100</v>
      </c>
      <c r="U4550" t="s">
        <v>11100</v>
      </c>
      <c r="V4550" t="s">
        <v>11100</v>
      </c>
      <c r="W4550" t="s">
        <v>15599</v>
      </c>
      <c r="X4550">
        <v>5</v>
      </c>
      <c r="Y4550" t="s">
        <v>21029</v>
      </c>
      <c r="Z4550" t="s">
        <v>26555</v>
      </c>
      <c r="AA4550">
        <v>0.52244568516111245</v>
      </c>
      <c r="AB4550" t="str">
        <f>HYPERLINK("Melting_Curves/meltCurve_Q9BSV6_TSEN34.pdf", "Melting_Curves/meltCurve_Q9BSV6_TSEN34.pdf")</f>
        <v>Melting_Curves/meltCurve_Q9BSV6_TSEN34.pdf</v>
      </c>
    </row>
    <row r="4551" spans="1:28" x14ac:dyDescent="0.25">
      <c r="A4551" t="s">
        <v>4555</v>
      </c>
      <c r="B4551">
        <v>0.99299721793515405</v>
      </c>
      <c r="C4551">
        <v>0.97494802354333998</v>
      </c>
      <c r="D4551">
        <v>0.93916072462590505</v>
      </c>
      <c r="E4551">
        <v>0.94726024631512695</v>
      </c>
      <c r="F4551">
        <v>0.77583932735993</v>
      </c>
      <c r="G4551">
        <v>0.47625533848858997</v>
      </c>
      <c r="H4551">
        <v>0.27942743733776298</v>
      </c>
      <c r="I4551">
        <v>0.28912493723608901</v>
      </c>
      <c r="J4551">
        <v>0.39732934869585901</v>
      </c>
      <c r="K4551">
        <v>0.27893987560488398</v>
      </c>
      <c r="L4551">
        <v>1492.0443549550901</v>
      </c>
      <c r="M4551">
        <v>28.995256961668399</v>
      </c>
      <c r="N4551">
        <v>53.180673899729797</v>
      </c>
      <c r="O4551">
        <v>51.215318578265801</v>
      </c>
      <c r="P4551">
        <v>-9.8437107897750398E-2</v>
      </c>
      <c r="Q4551">
        <v>0.30451382062655902</v>
      </c>
      <c r="R4551">
        <v>0.98058134004351605</v>
      </c>
      <c r="S4551" t="s">
        <v>10102</v>
      </c>
      <c r="T4551" t="s">
        <v>11100</v>
      </c>
      <c r="U4551" t="s">
        <v>11100</v>
      </c>
      <c r="V4551" t="s">
        <v>11100</v>
      </c>
      <c r="W4551" t="s">
        <v>15600</v>
      </c>
      <c r="X4551">
        <v>7</v>
      </c>
      <c r="Y4551" t="s">
        <v>21030</v>
      </c>
      <c r="Z4551" t="s">
        <v>26556</v>
      </c>
      <c r="AA4551">
        <v>0.64435276070076219</v>
      </c>
      <c r="AB4551" t="str">
        <f>HYPERLINK("Melting_Curves/meltCurve_Q9BSY4_CHCHD5.pdf", "Melting_Curves/meltCurve_Q9BSY4_CHCHD5.pdf")</f>
        <v>Melting_Curves/meltCurve_Q9BSY4_CHCHD5.pdf</v>
      </c>
    </row>
    <row r="4552" spans="1:28" x14ac:dyDescent="0.25">
      <c r="A4552" t="s">
        <v>4556</v>
      </c>
      <c r="B4552">
        <v>0.99299721793515405</v>
      </c>
      <c r="C4552">
        <v>1.0111553640433799</v>
      </c>
      <c r="D4552">
        <v>1.0226570523664</v>
      </c>
      <c r="E4552">
        <v>0.99242474039944895</v>
      </c>
      <c r="F4552">
        <v>0.81037408888513296</v>
      </c>
      <c r="G4552">
        <v>0.663767919389876</v>
      </c>
      <c r="H4552">
        <v>0.60090398268146905</v>
      </c>
      <c r="I4552">
        <v>0.72329869291261595</v>
      </c>
      <c r="J4552">
        <v>0.82708656510067602</v>
      </c>
      <c r="K4552">
        <v>0.65059168763165298</v>
      </c>
      <c r="L4552">
        <v>12525.864174725601</v>
      </c>
      <c r="M4552">
        <v>250</v>
      </c>
      <c r="O4552">
        <v>50.100252378044601</v>
      </c>
      <c r="P4552">
        <v>-0.38282023259053699</v>
      </c>
      <c r="Q4552">
        <v>0.69312976811554505</v>
      </c>
      <c r="R4552">
        <v>0.87538362068646902</v>
      </c>
      <c r="S4552" t="s">
        <v>10103</v>
      </c>
      <c r="T4552" t="s">
        <v>11100</v>
      </c>
      <c r="U4552" t="s">
        <v>11100</v>
      </c>
      <c r="V4552" t="s">
        <v>11100</v>
      </c>
      <c r="W4552" t="s">
        <v>15601</v>
      </c>
      <c r="X4552">
        <v>13</v>
      </c>
      <c r="Y4552" t="s">
        <v>21031</v>
      </c>
      <c r="Z4552" t="s">
        <v>26557</v>
      </c>
      <c r="AA4552">
        <v>0.82719211131246007</v>
      </c>
      <c r="AB4552" t="str">
        <f>HYPERLINK("Melting_Curves/meltCurve_Q9BT09_CNPY3.pdf", "Melting_Curves/meltCurve_Q9BT09_CNPY3.pdf")</f>
        <v>Melting_Curves/meltCurve_Q9BT09_CNPY3.pdf</v>
      </c>
    </row>
    <row r="4553" spans="1:28" x14ac:dyDescent="0.25">
      <c r="A4553" t="s">
        <v>4557</v>
      </c>
      <c r="B4553">
        <v>0.99299721793515405</v>
      </c>
      <c r="C4553">
        <v>0.96112408390649595</v>
      </c>
      <c r="D4553">
        <v>1.1459126963039299</v>
      </c>
      <c r="E4553">
        <v>0.80914259780453801</v>
      </c>
      <c r="F4553">
        <v>0.71655023320418898</v>
      </c>
      <c r="G4553">
        <v>0.49212794400346199</v>
      </c>
      <c r="H4553">
        <v>0.32498734102715499</v>
      </c>
      <c r="I4553">
        <v>0.23707848282234201</v>
      </c>
      <c r="J4553">
        <v>0.23817847383631199</v>
      </c>
      <c r="K4553">
        <v>0.222885390689707</v>
      </c>
      <c r="L4553">
        <v>877.91779314135704</v>
      </c>
      <c r="M4553">
        <v>16.956413053906001</v>
      </c>
      <c r="N4553">
        <v>53.388920265644998</v>
      </c>
      <c r="O4553">
        <v>51.070941266999</v>
      </c>
      <c r="P4553">
        <v>-6.6363575998835106E-2</v>
      </c>
      <c r="Q4553">
        <v>0.20052933239283499</v>
      </c>
      <c r="R4553">
        <v>0.96606089482125201</v>
      </c>
      <c r="S4553" t="s">
        <v>10104</v>
      </c>
      <c r="T4553" t="s">
        <v>11100</v>
      </c>
      <c r="U4553" t="s">
        <v>11100</v>
      </c>
      <c r="V4553" t="s">
        <v>11100</v>
      </c>
      <c r="W4553" t="s">
        <v>15602</v>
      </c>
      <c r="X4553">
        <v>7</v>
      </c>
      <c r="Y4553" t="s">
        <v>21032</v>
      </c>
      <c r="Z4553" t="s">
        <v>26558</v>
      </c>
      <c r="AA4553">
        <v>0.6075103707356192</v>
      </c>
      <c r="AB4553" t="str">
        <f>HYPERLINK("Melting_Curves/meltCurve_Q9BT17_MTG1.pdf", "Melting_Curves/meltCurve_Q9BT17_MTG1.pdf")</f>
        <v>Melting_Curves/meltCurve_Q9BT17_MTG1.pdf</v>
      </c>
    </row>
    <row r="4554" spans="1:28" x14ac:dyDescent="0.25">
      <c r="A4554" t="s">
        <v>4558</v>
      </c>
      <c r="B4554">
        <v>0.99299721793515405</v>
      </c>
      <c r="C4554">
        <v>0.86962300739056297</v>
      </c>
      <c r="D4554">
        <v>1.04765121011111</v>
      </c>
      <c r="E4554">
        <v>0.81879402292283299</v>
      </c>
      <c r="F4554">
        <v>0.75228915593823398</v>
      </c>
      <c r="G4554">
        <v>0.57266936863601703</v>
      </c>
      <c r="H4554">
        <v>0.30752208078600701</v>
      </c>
      <c r="I4554">
        <v>0.19550738942492699</v>
      </c>
      <c r="J4554">
        <v>0.18086695748478801</v>
      </c>
      <c r="K4554">
        <v>0.180146385127682</v>
      </c>
      <c r="L4554">
        <v>735.28608052329605</v>
      </c>
      <c r="M4554">
        <v>13.777037623887701</v>
      </c>
      <c r="N4554">
        <v>54.206245687780999</v>
      </c>
      <c r="O4554">
        <v>52.283646106519498</v>
      </c>
      <c r="P4554">
        <v>-5.9580792642119997E-2</v>
      </c>
      <c r="Q4554">
        <v>9.5694640251715202E-2</v>
      </c>
      <c r="R4554">
        <v>0.96978748771397505</v>
      </c>
      <c r="S4554" t="s">
        <v>10105</v>
      </c>
      <c r="T4554" t="s">
        <v>11100</v>
      </c>
      <c r="U4554" t="s">
        <v>11100</v>
      </c>
      <c r="V4554" t="s">
        <v>11100</v>
      </c>
      <c r="W4554" t="s">
        <v>15603</v>
      </c>
      <c r="X4554">
        <v>9</v>
      </c>
      <c r="Y4554" t="s">
        <v>21033</v>
      </c>
      <c r="Z4554" t="s">
        <v>26559</v>
      </c>
      <c r="AA4554">
        <v>0.60587560215927327</v>
      </c>
      <c r="AB4554" t="str">
        <f>HYPERLINK("Melting_Curves/meltCurve_Q9BT22_ALG1.pdf", "Melting_Curves/meltCurve_Q9BT22_ALG1.pdf")</f>
        <v>Melting_Curves/meltCurve_Q9BT22_ALG1.pdf</v>
      </c>
    </row>
    <row r="4555" spans="1:28" x14ac:dyDescent="0.25">
      <c r="A4555" t="s">
        <v>4559</v>
      </c>
      <c r="B4555">
        <v>0.99299721793515405</v>
      </c>
      <c r="C4555">
        <v>0.86359316772804595</v>
      </c>
      <c r="D4555">
        <v>1.0410681815384799</v>
      </c>
      <c r="E4555">
        <v>0.85686938195226303</v>
      </c>
      <c r="F4555">
        <v>0.73920895638235795</v>
      </c>
      <c r="G4555">
        <v>0.55629926925940698</v>
      </c>
      <c r="H4555">
        <v>0.51544031111772404</v>
      </c>
      <c r="I4555">
        <v>0.504738762833983</v>
      </c>
      <c r="J4555">
        <v>0.52397731853794804</v>
      </c>
      <c r="K4555">
        <v>0.36186096906903797</v>
      </c>
      <c r="L4555">
        <v>769.33210448441105</v>
      </c>
      <c r="M4555">
        <v>15.2704599105701</v>
      </c>
      <c r="N4555">
        <v>58.125080349474302</v>
      </c>
      <c r="O4555">
        <v>49.540129333580403</v>
      </c>
      <c r="P4555">
        <v>-4.3571550278639598E-2</v>
      </c>
      <c r="Q4555">
        <v>0.43463734651679498</v>
      </c>
      <c r="R4555">
        <v>0.92498142863921196</v>
      </c>
      <c r="S4555" t="s">
        <v>10106</v>
      </c>
      <c r="T4555" t="s">
        <v>11100</v>
      </c>
      <c r="U4555" t="s">
        <v>11100</v>
      </c>
      <c r="V4555" t="s">
        <v>11100</v>
      </c>
      <c r="W4555" t="s">
        <v>15604</v>
      </c>
      <c r="X4555">
        <v>5</v>
      </c>
      <c r="Y4555" t="s">
        <v>21034</v>
      </c>
      <c r="Z4555" t="s">
        <v>26560</v>
      </c>
      <c r="AA4555">
        <v>0.69817176567312267</v>
      </c>
      <c r="AB4555" t="str">
        <f>HYPERLINK("Melting_Curves/meltCurve_Q9BT23_LIMD2.pdf", "Melting_Curves/meltCurve_Q9BT23_LIMD2.pdf")</f>
        <v>Melting_Curves/meltCurve_Q9BT23_LIMD2.pdf</v>
      </c>
    </row>
    <row r="4556" spans="1:28" x14ac:dyDescent="0.25">
      <c r="A4556" t="s">
        <v>4560</v>
      </c>
      <c r="B4556">
        <v>0.99299721793515405</v>
      </c>
      <c r="C4556">
        <v>0.86811673975322001</v>
      </c>
      <c r="D4556">
        <v>0.85081973927626497</v>
      </c>
      <c r="E4556">
        <v>0.85894499545482905</v>
      </c>
      <c r="F4556">
        <v>0.65682185267381599</v>
      </c>
      <c r="G4556">
        <v>0.47002517503341701</v>
      </c>
      <c r="H4556">
        <v>0.32274398355161898</v>
      </c>
      <c r="I4556">
        <v>0.26388190966942698</v>
      </c>
      <c r="J4556">
        <v>0.326885284802996</v>
      </c>
      <c r="K4556">
        <v>0.23014482970623601</v>
      </c>
      <c r="L4556">
        <v>543.40411711787897</v>
      </c>
      <c r="M4556">
        <v>10.6047828818858</v>
      </c>
      <c r="N4556">
        <v>53.350942726477399</v>
      </c>
      <c r="O4556">
        <v>49.520038664838303</v>
      </c>
      <c r="P4556">
        <v>-4.4386573802749602E-2</v>
      </c>
      <c r="Q4556">
        <v>0.171252613380385</v>
      </c>
      <c r="R4556">
        <v>0.96647033421959405</v>
      </c>
      <c r="S4556" t="s">
        <v>10107</v>
      </c>
      <c r="T4556" t="s">
        <v>11100</v>
      </c>
      <c r="U4556" t="s">
        <v>11100</v>
      </c>
      <c r="V4556" t="s">
        <v>11100</v>
      </c>
      <c r="W4556" t="s">
        <v>15605</v>
      </c>
      <c r="X4556">
        <v>3</v>
      </c>
      <c r="Y4556" t="s">
        <v>21035</v>
      </c>
      <c r="Z4556" t="s">
        <v>26561</v>
      </c>
      <c r="AA4556">
        <v>0.58817499354151181</v>
      </c>
      <c r="AB4556" t="str">
        <f>HYPERLINK("Melting_Curves/meltCurve_Q9BT30_ALKBH7.pdf", "Melting_Curves/meltCurve_Q9BT30_ALKBH7.pdf")</f>
        <v>Melting_Curves/meltCurve_Q9BT30_ALKBH7.pdf</v>
      </c>
    </row>
    <row r="4557" spans="1:28" x14ac:dyDescent="0.25">
      <c r="A4557" t="s">
        <v>4561</v>
      </c>
      <c r="B4557">
        <v>0.99299721793515405</v>
      </c>
      <c r="C4557">
        <v>0.97641582860826504</v>
      </c>
      <c r="D4557">
        <v>0.85715413872883905</v>
      </c>
      <c r="E4557">
        <v>0.87897185758833696</v>
      </c>
      <c r="F4557">
        <v>0.86393581571935296</v>
      </c>
      <c r="G4557">
        <v>0.81187140262546098</v>
      </c>
      <c r="H4557">
        <v>0.79414305995627699</v>
      </c>
      <c r="I4557">
        <v>0.881636306260698</v>
      </c>
      <c r="J4557">
        <v>0.96186514518980804</v>
      </c>
      <c r="K4557">
        <v>0.58026917327102701</v>
      </c>
      <c r="L4557">
        <v>156.94564922091399</v>
      </c>
      <c r="M4557">
        <v>1.1959701675543399</v>
      </c>
      <c r="O4557">
        <v>54.211542683085298</v>
      </c>
      <c r="P4557">
        <v>-6.9791296100087004E-3</v>
      </c>
      <c r="Q4557">
        <v>0</v>
      </c>
      <c r="R4557">
        <v>0.35430556323635398</v>
      </c>
      <c r="S4557" t="s">
        <v>10108</v>
      </c>
      <c r="T4557" t="s">
        <v>11100</v>
      </c>
      <c r="U4557" t="s">
        <v>11100</v>
      </c>
      <c r="V4557" t="s">
        <v>11100</v>
      </c>
      <c r="W4557" t="s">
        <v>15606</v>
      </c>
      <c r="X4557">
        <v>2</v>
      </c>
      <c r="Y4557" t="s">
        <v>21036</v>
      </c>
      <c r="Z4557" t="s">
        <v>26562</v>
      </c>
      <c r="AA4557">
        <v>0.85964679395069055</v>
      </c>
      <c r="AB4557" t="str">
        <f>HYPERLINK("Melting_Curves/meltCurve_Q9BT73_PSMG3.pdf", "Melting_Curves/meltCurve_Q9BT73_PSMG3.pdf")</f>
        <v>Melting_Curves/meltCurve_Q9BT73_PSMG3.pdf</v>
      </c>
    </row>
    <row r="4558" spans="1:28" x14ac:dyDescent="0.25">
      <c r="A4558" t="s">
        <v>4562</v>
      </c>
      <c r="B4558">
        <v>0.99299721793515405</v>
      </c>
      <c r="C4558">
        <v>0.97247562377855801</v>
      </c>
      <c r="D4558">
        <v>0.90608712041990302</v>
      </c>
      <c r="E4558">
        <v>0.94026993205190701</v>
      </c>
      <c r="F4558">
        <v>0.73915073232621198</v>
      </c>
      <c r="G4558">
        <v>1.4505375401807801</v>
      </c>
      <c r="H4558">
        <v>1.86615650016083</v>
      </c>
      <c r="I4558">
        <v>0.73399198162940504</v>
      </c>
      <c r="J4558">
        <v>0.26598528237849001</v>
      </c>
      <c r="K4558">
        <v>0.21934900774491101</v>
      </c>
      <c r="L4558">
        <v>11257.3404893403</v>
      </c>
      <c r="M4558">
        <v>183.93252519992799</v>
      </c>
      <c r="N4558">
        <v>61.42533803213</v>
      </c>
      <c r="O4558">
        <v>61.196407418817998</v>
      </c>
      <c r="P4558">
        <v>-0.569138026015229</v>
      </c>
      <c r="Q4558">
        <v>0.24256566766878099</v>
      </c>
      <c r="R4558">
        <v>0.522805682083471</v>
      </c>
      <c r="S4558" t="s">
        <v>10109</v>
      </c>
      <c r="T4558" t="s">
        <v>11100</v>
      </c>
      <c r="U4558" t="s">
        <v>11100</v>
      </c>
      <c r="V4558" t="s">
        <v>11100</v>
      </c>
      <c r="W4558" t="s">
        <v>15607</v>
      </c>
      <c r="X4558">
        <v>7</v>
      </c>
      <c r="Y4558" t="s">
        <v>21037</v>
      </c>
      <c r="Z4558" t="s">
        <v>26563</v>
      </c>
      <c r="AA4558">
        <v>0.85380498394403193</v>
      </c>
      <c r="AB4558" t="str">
        <f>HYPERLINK("Melting_Curves/meltCurve_Q9BT78_COPS4.pdf", "Melting_Curves/meltCurve_Q9BT78_COPS4.pdf")</f>
        <v>Melting_Curves/meltCurve_Q9BT78_COPS4.pdf</v>
      </c>
    </row>
    <row r="4559" spans="1:28" x14ac:dyDescent="0.25">
      <c r="A4559" t="s">
        <v>4563</v>
      </c>
      <c r="B4559">
        <v>0.99299721793515405</v>
      </c>
      <c r="C4559">
        <v>0.747914517489639</v>
      </c>
      <c r="D4559">
        <v>0.97914900891732404</v>
      </c>
      <c r="E4559">
        <v>0.60063477343452998</v>
      </c>
      <c r="F4559">
        <v>0.784530972600747</v>
      </c>
      <c r="G4559">
        <v>0.47166799813725901</v>
      </c>
      <c r="H4559">
        <v>0.33050626723083798</v>
      </c>
      <c r="I4559">
        <v>0.26029029908422502</v>
      </c>
      <c r="J4559">
        <v>0.21340101860531199</v>
      </c>
      <c r="K4559">
        <v>0.15242893554161799</v>
      </c>
      <c r="L4559">
        <v>404.68576650161401</v>
      </c>
      <c r="M4559">
        <v>7.6029238847648601</v>
      </c>
      <c r="N4559">
        <v>53.227649337846799</v>
      </c>
      <c r="O4559">
        <v>49.919725680913501</v>
      </c>
      <c r="P4559">
        <v>-3.8127812384674199E-2</v>
      </c>
      <c r="Q4559">
        <v>0</v>
      </c>
      <c r="R4559">
        <v>0.88722775035267298</v>
      </c>
      <c r="S4559" t="s">
        <v>10110</v>
      </c>
      <c r="T4559" t="s">
        <v>11100</v>
      </c>
      <c r="U4559" t="s">
        <v>11100</v>
      </c>
      <c r="V4559" t="s">
        <v>11100</v>
      </c>
      <c r="W4559" t="s">
        <v>15608</v>
      </c>
      <c r="X4559">
        <v>1</v>
      </c>
      <c r="Y4559" t="s">
        <v>21038</v>
      </c>
      <c r="Z4559" t="s">
        <v>26564</v>
      </c>
      <c r="AA4559">
        <v>0.5605465045054141</v>
      </c>
      <c r="AB4559" t="str">
        <f>HYPERLINK("Melting_Curves/meltCurve_Q9BTA9_5_WAC.pdf", "Melting_Curves/meltCurve_Q9BTA9_5_WAC.pdf")</f>
        <v>Melting_Curves/meltCurve_Q9BTA9_5_WAC.pdf</v>
      </c>
    </row>
    <row r="4560" spans="1:28" x14ac:dyDescent="0.25">
      <c r="A4560" t="s">
        <v>4564</v>
      </c>
      <c r="B4560">
        <v>0.99299721793515405</v>
      </c>
      <c r="C4560">
        <v>0.88426274320266296</v>
      </c>
      <c r="D4560">
        <v>0.94819313595240495</v>
      </c>
      <c r="E4560">
        <v>0.74944463904650904</v>
      </c>
      <c r="F4560">
        <v>0.64473630928154302</v>
      </c>
      <c r="G4560">
        <v>0.35750430029950198</v>
      </c>
      <c r="H4560">
        <v>0.37140776516912899</v>
      </c>
      <c r="I4560">
        <v>0.36909751149610798</v>
      </c>
      <c r="J4560">
        <v>0.40416973235479198</v>
      </c>
      <c r="K4560">
        <v>0.27846549379956897</v>
      </c>
      <c r="L4560">
        <v>748.48141452557104</v>
      </c>
      <c r="M4560">
        <v>15.3997215825454</v>
      </c>
      <c r="N4560">
        <v>52.025497481003399</v>
      </c>
      <c r="O4560">
        <v>47.806125413305601</v>
      </c>
      <c r="P4560">
        <v>-5.4894207761922997E-2</v>
      </c>
      <c r="Q4560">
        <v>0.31841911021700198</v>
      </c>
      <c r="R4560">
        <v>0.95678937936112796</v>
      </c>
      <c r="S4560" t="s">
        <v>10111</v>
      </c>
      <c r="T4560" t="s">
        <v>11100</v>
      </c>
      <c r="U4560" t="s">
        <v>11100</v>
      </c>
      <c r="V4560" t="s">
        <v>11100</v>
      </c>
      <c r="W4560" t="s">
        <v>15609</v>
      </c>
      <c r="X4560">
        <v>11</v>
      </c>
      <c r="Y4560" t="s">
        <v>21039</v>
      </c>
      <c r="Z4560" t="s">
        <v>26565</v>
      </c>
      <c r="AA4560">
        <v>0.59623050495912766</v>
      </c>
      <c r="AB4560" t="str">
        <f>HYPERLINK("Melting_Curves/meltCurve_Q9BTC0_DIDO1.pdf", "Melting_Curves/meltCurve_Q9BTC0_DIDO1.pdf")</f>
        <v>Melting_Curves/meltCurve_Q9BTC0_DIDO1.pdf</v>
      </c>
    </row>
    <row r="4561" spans="1:28" x14ac:dyDescent="0.25">
      <c r="A4561" t="s">
        <v>4565</v>
      </c>
      <c r="B4561">
        <v>0.99299721793515405</v>
      </c>
      <c r="C4561">
        <v>0.99935742829422403</v>
      </c>
      <c r="D4561">
        <v>0.93196998946734</v>
      </c>
      <c r="E4561">
        <v>0.91698374694400597</v>
      </c>
      <c r="F4561">
        <v>0.66799503759559997</v>
      </c>
      <c r="G4561">
        <v>0.230636134386487</v>
      </c>
      <c r="H4561">
        <v>0.13715522080255299</v>
      </c>
      <c r="I4561">
        <v>0.116438588935815</v>
      </c>
      <c r="J4561">
        <v>0.10865934750300101</v>
      </c>
      <c r="K4561">
        <v>7.45572759608637E-2</v>
      </c>
      <c r="L4561">
        <v>1491.35889807678</v>
      </c>
      <c r="M4561">
        <v>29.259816546635498</v>
      </c>
      <c r="N4561">
        <v>51.338535445707301</v>
      </c>
      <c r="O4561">
        <v>50.733224322607498</v>
      </c>
      <c r="P4561">
        <v>-0.13051177180020801</v>
      </c>
      <c r="Q4561">
        <v>9.4835707727557395E-2</v>
      </c>
      <c r="R4561">
        <v>0.99562826995473497</v>
      </c>
      <c r="S4561" t="s">
        <v>10112</v>
      </c>
      <c r="T4561" t="s">
        <v>11100</v>
      </c>
      <c r="U4561" t="s">
        <v>11100</v>
      </c>
      <c r="V4561" t="s">
        <v>11100</v>
      </c>
      <c r="W4561" t="s">
        <v>15610</v>
      </c>
      <c r="X4561">
        <v>22</v>
      </c>
      <c r="Y4561" t="s">
        <v>21040</v>
      </c>
      <c r="Z4561" t="s">
        <v>26566</v>
      </c>
      <c r="AA4561">
        <v>0.52224382039116246</v>
      </c>
      <c r="AB4561" t="str">
        <f>HYPERLINK("Melting_Curves/meltCurve_Q9BTE3_2_MCMBP.pdf", "Melting_Curves/meltCurve_Q9BTE3_2_MCMBP.pdf")</f>
        <v>Melting_Curves/meltCurve_Q9BTE3_2_MCMBP.pdf</v>
      </c>
    </row>
    <row r="4562" spans="1:28" x14ac:dyDescent="0.25">
      <c r="A4562" t="s">
        <v>4566</v>
      </c>
      <c r="B4562">
        <v>0.99299721793515405</v>
      </c>
      <c r="C4562">
        <v>0.94355161280097799</v>
      </c>
      <c r="D4562">
        <v>1.00102327776536</v>
      </c>
      <c r="E4562">
        <v>0.89868848240243204</v>
      </c>
      <c r="F4562">
        <v>0.68034189871347395</v>
      </c>
      <c r="G4562">
        <v>0.36297190913752703</v>
      </c>
      <c r="H4562">
        <v>0.22481594936499</v>
      </c>
      <c r="I4562">
        <v>0.19423089361215401</v>
      </c>
      <c r="J4562">
        <v>0.177905613485139</v>
      </c>
      <c r="K4562">
        <v>0.14723142036887299</v>
      </c>
      <c r="L4562">
        <v>1125.1341389199199</v>
      </c>
      <c r="M4562">
        <v>21.984441979714202</v>
      </c>
      <c r="N4562">
        <v>52.076600958168697</v>
      </c>
      <c r="O4562">
        <v>50.760858086461603</v>
      </c>
      <c r="P4562">
        <v>-9.11960778939261E-2</v>
      </c>
      <c r="Q4562">
        <v>0.15775236798092701</v>
      </c>
      <c r="R4562">
        <v>0.99666345840752701</v>
      </c>
      <c r="S4562" t="s">
        <v>10113</v>
      </c>
      <c r="T4562" t="s">
        <v>11100</v>
      </c>
      <c r="U4562" t="s">
        <v>11100</v>
      </c>
      <c r="V4562" t="s">
        <v>11100</v>
      </c>
      <c r="W4562" t="s">
        <v>15611</v>
      </c>
      <c r="X4562">
        <v>18</v>
      </c>
      <c r="Y4562" t="s">
        <v>21041</v>
      </c>
      <c r="Z4562" t="s">
        <v>26567</v>
      </c>
      <c r="AA4562">
        <v>0.56519107452374595</v>
      </c>
      <c r="AB4562" t="str">
        <f>HYPERLINK("Melting_Curves/meltCurve_Q9BTE6_AARSD1.pdf", "Melting_Curves/meltCurve_Q9BTE6_AARSD1.pdf")</f>
        <v>Melting_Curves/meltCurve_Q9BTE6_AARSD1.pdf</v>
      </c>
    </row>
    <row r="4563" spans="1:28" x14ac:dyDescent="0.25">
      <c r="A4563" t="s">
        <v>4567</v>
      </c>
      <c r="B4563">
        <v>0.99299721793515405</v>
      </c>
      <c r="C4563">
        <v>1.0707116349533301</v>
      </c>
      <c r="D4563">
        <v>0.94552114018689803</v>
      </c>
      <c r="E4563">
        <v>0.82936250434850001</v>
      </c>
      <c r="F4563">
        <v>0.32354439709954902</v>
      </c>
      <c r="G4563">
        <v>0.17207684614003599</v>
      </c>
      <c r="H4563">
        <v>0.14728646163009701</v>
      </c>
      <c r="I4563">
        <v>0.132610449520149</v>
      </c>
      <c r="J4563">
        <v>0.118816601514266</v>
      </c>
      <c r="K4563">
        <v>0.109338946085152</v>
      </c>
      <c r="L4563">
        <v>1640.58016258373</v>
      </c>
      <c r="M4563">
        <v>33.861810383091402</v>
      </c>
      <c r="N4563">
        <v>48.875644146693702</v>
      </c>
      <c r="O4563">
        <v>48.281237313576597</v>
      </c>
      <c r="P4563">
        <v>-0.15291398468752601</v>
      </c>
      <c r="Q4563">
        <v>0.127885211199598</v>
      </c>
      <c r="R4563">
        <v>0.99487515421885797</v>
      </c>
      <c r="S4563" t="s">
        <v>10114</v>
      </c>
      <c r="T4563" t="s">
        <v>11100</v>
      </c>
      <c r="U4563" t="s">
        <v>11100</v>
      </c>
      <c r="V4563" t="s">
        <v>11100</v>
      </c>
      <c r="W4563" t="s">
        <v>15612</v>
      </c>
      <c r="X4563">
        <v>6</v>
      </c>
      <c r="Y4563" t="s">
        <v>21042</v>
      </c>
      <c r="Z4563" t="s">
        <v>26568</v>
      </c>
      <c r="AA4563">
        <v>0.46480573570284778</v>
      </c>
      <c r="AB4563" t="str">
        <f>HYPERLINK("Melting_Curves/meltCurve_Q9BTE7_DCUN1D5.pdf", "Melting_Curves/meltCurve_Q9BTE7_DCUN1D5.pdf")</f>
        <v>Melting_Curves/meltCurve_Q9BTE7_DCUN1D5.pdf</v>
      </c>
    </row>
    <row r="4564" spans="1:28" x14ac:dyDescent="0.25">
      <c r="A4564" t="s">
        <v>4568</v>
      </c>
      <c r="B4564">
        <v>0.99299721793515405</v>
      </c>
      <c r="C4564">
        <v>1.0715677986447401</v>
      </c>
      <c r="D4564">
        <v>1.00036083685185</v>
      </c>
      <c r="E4564">
        <v>1.0217256583933101</v>
      </c>
      <c r="F4564">
        <v>0.804333469424796</v>
      </c>
      <c r="G4564">
        <v>0.71362848493470699</v>
      </c>
      <c r="H4564">
        <v>0.70692719365773504</v>
      </c>
      <c r="I4564">
        <v>0.56956576374857404</v>
      </c>
      <c r="J4564">
        <v>0.46904815131358502</v>
      </c>
      <c r="K4564">
        <v>0.48310348831442401</v>
      </c>
      <c r="L4564">
        <v>677.74678756423805</v>
      </c>
      <c r="M4564">
        <v>12.2771776611112</v>
      </c>
      <c r="N4564">
        <v>64.696692807334699</v>
      </c>
      <c r="O4564">
        <v>53.800477638615703</v>
      </c>
      <c r="P4564">
        <v>-3.32405396156897E-2</v>
      </c>
      <c r="Q4564">
        <v>0.41746793829311002</v>
      </c>
      <c r="R4564">
        <v>0.95020125872783301</v>
      </c>
      <c r="S4564" t="s">
        <v>10115</v>
      </c>
      <c r="T4564" t="s">
        <v>11100</v>
      </c>
      <c r="U4564" t="s">
        <v>11100</v>
      </c>
      <c r="V4564" t="s">
        <v>11100</v>
      </c>
      <c r="W4564" t="s">
        <v>15613</v>
      </c>
      <c r="X4564">
        <v>2</v>
      </c>
      <c r="Y4564" t="s">
        <v>21043</v>
      </c>
      <c r="Z4564" t="s">
        <v>26569</v>
      </c>
      <c r="AA4564">
        <v>0.77880564124781892</v>
      </c>
      <c r="AB4564" t="str">
        <f>HYPERLINK("Melting_Curves/meltCurve_Q9BTL3_FAM103A1.pdf", "Melting_Curves/meltCurve_Q9BTL3_FAM103A1.pdf")</f>
        <v>Melting_Curves/meltCurve_Q9BTL3_FAM103A1.pdf</v>
      </c>
    </row>
    <row r="4565" spans="1:28" x14ac:dyDescent="0.25">
      <c r="A4565" t="s">
        <v>4569</v>
      </c>
      <c r="B4565">
        <v>0.99299721793515405</v>
      </c>
      <c r="C4565">
        <v>0.99358160606770995</v>
      </c>
      <c r="D4565">
        <v>1.07585038061045</v>
      </c>
      <c r="E4565">
        <v>0.97395723663069</v>
      </c>
      <c r="F4565">
        <v>0.46193789930208701</v>
      </c>
      <c r="G4565">
        <v>0.25495728475099899</v>
      </c>
      <c r="H4565">
        <v>0.20722859949429401</v>
      </c>
      <c r="I4565">
        <v>0.26622670438844298</v>
      </c>
      <c r="J4565">
        <v>0.33755981908213201</v>
      </c>
      <c r="K4565">
        <v>0.33517529677326102</v>
      </c>
      <c r="L4565">
        <v>3052.6324887545802</v>
      </c>
      <c r="M4565">
        <v>61.905393396501999</v>
      </c>
      <c r="N4565">
        <v>49.9727543831237</v>
      </c>
      <c r="O4565">
        <v>49.259872973907001</v>
      </c>
      <c r="P4565">
        <v>-0.22631417903186599</v>
      </c>
      <c r="Q4565">
        <v>0.27966188662489699</v>
      </c>
      <c r="R4565">
        <v>0.98470992419834502</v>
      </c>
      <c r="S4565" t="s">
        <v>10116</v>
      </c>
      <c r="T4565" t="s">
        <v>11100</v>
      </c>
      <c r="U4565" t="s">
        <v>11100</v>
      </c>
      <c r="V4565" t="s">
        <v>11100</v>
      </c>
      <c r="W4565" t="s">
        <v>15614</v>
      </c>
      <c r="X4565">
        <v>8</v>
      </c>
      <c r="Y4565" t="s">
        <v>21044</v>
      </c>
      <c r="Z4565" t="s">
        <v>26570</v>
      </c>
      <c r="AA4565">
        <v>0.57629083582876328</v>
      </c>
      <c r="AB4565" t="str">
        <f>HYPERLINK("Melting_Curves/meltCurve_Q9BTT0_ANP32E.pdf", "Melting_Curves/meltCurve_Q9BTT0_ANP32E.pdf")</f>
        <v>Melting_Curves/meltCurve_Q9BTT0_ANP32E.pdf</v>
      </c>
    </row>
    <row r="4566" spans="1:28" x14ac:dyDescent="0.25">
      <c r="A4566" t="s">
        <v>4570</v>
      </c>
      <c r="B4566">
        <v>0.99299721793515405</v>
      </c>
      <c r="C4566">
        <v>0.909460780467927</v>
      </c>
      <c r="D4566">
        <v>0.95741054777614598</v>
      </c>
      <c r="E4566">
        <v>0.834404572616116</v>
      </c>
      <c r="F4566">
        <v>0.74181731893374703</v>
      </c>
      <c r="G4566">
        <v>0.53508414337255905</v>
      </c>
      <c r="H4566">
        <v>0.26383147076990499</v>
      </c>
      <c r="I4566">
        <v>0.233634402726972</v>
      </c>
      <c r="J4566">
        <v>0.211138601058109</v>
      </c>
      <c r="K4566">
        <v>0.16102257392463901</v>
      </c>
      <c r="L4566">
        <v>706.99900592751806</v>
      </c>
      <c r="M4566">
        <v>13.384371417909</v>
      </c>
      <c r="N4566">
        <v>53.792669147354701</v>
      </c>
      <c r="O4566">
        <v>51.6853582840941</v>
      </c>
      <c r="P4566">
        <v>-5.7807991725815099E-2</v>
      </c>
      <c r="Q4566">
        <v>0.107210805343153</v>
      </c>
      <c r="R4566">
        <v>0.984436319600141</v>
      </c>
      <c r="S4566" t="s">
        <v>10117</v>
      </c>
      <c r="T4566" t="s">
        <v>11100</v>
      </c>
      <c r="U4566" t="s">
        <v>11100</v>
      </c>
      <c r="V4566" t="s">
        <v>11100</v>
      </c>
      <c r="W4566" t="s">
        <v>15615</v>
      </c>
      <c r="X4566">
        <v>11</v>
      </c>
      <c r="Y4566" t="s">
        <v>21045</v>
      </c>
      <c r="Z4566" t="s">
        <v>26571</v>
      </c>
      <c r="AA4566">
        <v>0.59598046939172311</v>
      </c>
      <c r="AB4566" t="str">
        <f>HYPERLINK("Melting_Curves/meltCurve_Q9BTT6_LRRC1.pdf", "Melting_Curves/meltCurve_Q9BTT6_LRRC1.pdf")</f>
        <v>Melting_Curves/meltCurve_Q9BTT6_LRRC1.pdf</v>
      </c>
    </row>
    <row r="4567" spans="1:28" x14ac:dyDescent="0.25">
      <c r="A4567" t="s">
        <v>4571</v>
      </c>
      <c r="B4567">
        <v>0.99299721793515405</v>
      </c>
      <c r="C4567">
        <v>0.93446521066698796</v>
      </c>
      <c r="D4567">
        <v>0.83789904482912902</v>
      </c>
      <c r="E4567">
        <v>0.79167187653774296</v>
      </c>
      <c r="F4567">
        <v>0.70422441227125598</v>
      </c>
      <c r="G4567">
        <v>0.59649175965427603</v>
      </c>
      <c r="H4567">
        <v>0.44737012369970702</v>
      </c>
      <c r="I4567">
        <v>0.29173670075198299</v>
      </c>
      <c r="J4567">
        <v>0.23119842631262799</v>
      </c>
      <c r="K4567">
        <v>0.18474931569574901</v>
      </c>
      <c r="L4567">
        <v>429.743754238414</v>
      </c>
      <c r="M4567">
        <v>7.79058863043399</v>
      </c>
      <c r="N4567">
        <v>55.161912169387797</v>
      </c>
      <c r="O4567">
        <v>51.881268236433201</v>
      </c>
      <c r="P4567">
        <v>-3.7587355759307897E-2</v>
      </c>
      <c r="Q4567">
        <v>0</v>
      </c>
      <c r="R4567">
        <v>0.98810325166859803</v>
      </c>
      <c r="S4567" t="s">
        <v>10118</v>
      </c>
      <c r="T4567" t="s">
        <v>11100</v>
      </c>
      <c r="U4567" t="s">
        <v>11100</v>
      </c>
      <c r="V4567" t="s">
        <v>11100</v>
      </c>
      <c r="W4567" t="s">
        <v>15616</v>
      </c>
      <c r="X4567">
        <v>8</v>
      </c>
      <c r="Y4567" t="s">
        <v>21046</v>
      </c>
      <c r="Z4567" t="s">
        <v>26572</v>
      </c>
      <c r="AA4567">
        <v>0.609938530814779</v>
      </c>
      <c r="AB4567" t="str">
        <f>HYPERLINK("Melting_Curves/meltCurve_Q9BTU6_PI4K2A.pdf", "Melting_Curves/meltCurve_Q9BTU6_PI4K2A.pdf")</f>
        <v>Melting_Curves/meltCurve_Q9BTU6_PI4K2A.pdf</v>
      </c>
    </row>
    <row r="4568" spans="1:28" x14ac:dyDescent="0.25">
      <c r="A4568" t="s">
        <v>4572</v>
      </c>
      <c r="B4568">
        <v>0.99299721793515405</v>
      </c>
      <c r="C4568">
        <v>1.10199918445011</v>
      </c>
      <c r="D4568">
        <v>1.05332307419158</v>
      </c>
      <c r="E4568">
        <v>0.96067988326353104</v>
      </c>
      <c r="F4568">
        <v>0.76395513572336604</v>
      </c>
      <c r="G4568">
        <v>0.28385079458264101</v>
      </c>
      <c r="H4568">
        <v>0.127582395557467</v>
      </c>
      <c r="I4568">
        <v>8.0311683598348907E-2</v>
      </c>
      <c r="J4568">
        <v>8.4693380807450896E-2</v>
      </c>
      <c r="K4568">
        <v>5.1173291604353299E-2</v>
      </c>
      <c r="L4568">
        <v>1659.7249719362201</v>
      </c>
      <c r="M4568">
        <v>32.018998425782598</v>
      </c>
      <c r="N4568">
        <v>52.088606082172497</v>
      </c>
      <c r="O4568">
        <v>51.6346939479292</v>
      </c>
      <c r="P4568">
        <v>-0.14386406881254599</v>
      </c>
      <c r="Q4568">
        <v>7.2008486147897996E-2</v>
      </c>
      <c r="R4568">
        <v>0.99234077049966896</v>
      </c>
      <c r="S4568" t="s">
        <v>10119</v>
      </c>
      <c r="T4568" t="s">
        <v>11100</v>
      </c>
      <c r="U4568" t="s">
        <v>11100</v>
      </c>
      <c r="V4568" t="s">
        <v>11100</v>
      </c>
      <c r="W4568" t="s">
        <v>15617</v>
      </c>
      <c r="X4568">
        <v>10</v>
      </c>
      <c r="Y4568" t="s">
        <v>21047</v>
      </c>
      <c r="Z4568" t="s">
        <v>26573</v>
      </c>
      <c r="AA4568">
        <v>0.53607169943916544</v>
      </c>
      <c r="AB4568" t="str">
        <f>HYPERLINK("Melting_Curves/meltCurve_Q9BTV5_FSD1.pdf", "Melting_Curves/meltCurve_Q9BTV5_FSD1.pdf")</f>
        <v>Melting_Curves/meltCurve_Q9BTV5_FSD1.pdf</v>
      </c>
    </row>
    <row r="4569" spans="1:28" x14ac:dyDescent="0.25">
      <c r="A4569" t="s">
        <v>4573</v>
      </c>
      <c r="B4569">
        <v>0.99299721793515405</v>
      </c>
      <c r="C4569">
        <v>0.94829394409934198</v>
      </c>
      <c r="D4569">
        <v>0.82434185915171898</v>
      </c>
      <c r="E4569">
        <v>0.726858144674002</v>
      </c>
      <c r="F4569">
        <v>0.86576516405202797</v>
      </c>
      <c r="G4569">
        <v>0.57857861777695996</v>
      </c>
      <c r="H4569">
        <v>0.629381168578101</v>
      </c>
      <c r="I4569">
        <v>0.632181998954638</v>
      </c>
      <c r="J4569">
        <v>0.50291662365017897</v>
      </c>
      <c r="K4569">
        <v>0.29391723092322097</v>
      </c>
      <c r="L4569">
        <v>281.51683100969001</v>
      </c>
      <c r="M4569">
        <v>4.52565800543635</v>
      </c>
      <c r="N4569">
        <v>62.204618832654099</v>
      </c>
      <c r="O4569">
        <v>52.948288240629203</v>
      </c>
      <c r="P4569">
        <v>-2.1551679211664499E-2</v>
      </c>
      <c r="Q4569">
        <v>0</v>
      </c>
      <c r="R4569">
        <v>0.84050315379562701</v>
      </c>
      <c r="S4569" t="s">
        <v>10120</v>
      </c>
      <c r="T4569" t="s">
        <v>11100</v>
      </c>
      <c r="U4569" t="s">
        <v>11100</v>
      </c>
      <c r="V4569" t="s">
        <v>11100</v>
      </c>
      <c r="W4569" t="s">
        <v>15618</v>
      </c>
      <c r="X4569">
        <v>3</v>
      </c>
      <c r="Y4569" t="s">
        <v>21048</v>
      </c>
      <c r="Z4569" t="s">
        <v>26574</v>
      </c>
      <c r="AA4569">
        <v>0.70252729228097144</v>
      </c>
      <c r="AB4569" t="str">
        <f>HYPERLINK("Melting_Curves/meltCurve_Q9BTY2_FUCA2.pdf", "Melting_Curves/meltCurve_Q9BTY2_FUCA2.pdf")</f>
        <v>Melting_Curves/meltCurve_Q9BTY2_FUCA2.pdf</v>
      </c>
    </row>
    <row r="4570" spans="1:28" x14ac:dyDescent="0.25">
      <c r="A4570" t="s">
        <v>4574</v>
      </c>
      <c r="B4570">
        <v>0.99299721793515405</v>
      </c>
      <c r="C4570">
        <v>0.97779865378286301</v>
      </c>
      <c r="D4570">
        <v>0.99024389993010398</v>
      </c>
      <c r="E4570">
        <v>0.915833974298914</v>
      </c>
      <c r="F4570">
        <v>0.65151397621966201</v>
      </c>
      <c r="G4570">
        <v>0.34315340602455202</v>
      </c>
      <c r="H4570">
        <v>0.24230039611181201</v>
      </c>
      <c r="I4570">
        <v>0.20569327736745399</v>
      </c>
      <c r="J4570">
        <v>0.181020944098394</v>
      </c>
      <c r="K4570">
        <v>0.16560328956388701</v>
      </c>
      <c r="L4570">
        <v>1201.4645439506701</v>
      </c>
      <c r="M4570">
        <v>23.637888404090301</v>
      </c>
      <c r="N4570">
        <v>51.790472349290702</v>
      </c>
      <c r="O4570">
        <v>50.468334237977402</v>
      </c>
      <c r="P4570">
        <v>-9.6279389999541207E-2</v>
      </c>
      <c r="Q4570">
        <v>0.177764432134106</v>
      </c>
      <c r="R4570">
        <v>0.99908666756379305</v>
      </c>
      <c r="S4570" t="s">
        <v>10121</v>
      </c>
      <c r="T4570" t="s">
        <v>11100</v>
      </c>
      <c r="U4570" t="s">
        <v>11100</v>
      </c>
      <c r="V4570" t="s">
        <v>11100</v>
      </c>
      <c r="W4570" t="s">
        <v>15619</v>
      </c>
      <c r="X4570">
        <v>7</v>
      </c>
      <c r="Y4570" t="s">
        <v>21049</v>
      </c>
      <c r="Z4570" t="s">
        <v>26575</v>
      </c>
      <c r="AA4570">
        <v>0.56479351845610859</v>
      </c>
      <c r="AB4570" t="str">
        <f>HYPERLINK("Melting_Curves/meltCurve_Q9BTY7_FAM203A.pdf", "Melting_Curves/meltCurve_Q9BTY7_FAM203A.pdf")</f>
        <v>Melting_Curves/meltCurve_Q9BTY7_FAM203A.pdf</v>
      </c>
    </row>
    <row r="4571" spans="1:28" x14ac:dyDescent="0.25">
      <c r="A4571" t="s">
        <v>4575</v>
      </c>
      <c r="B4571">
        <v>0.99299721793515405</v>
      </c>
      <c r="C4571">
        <v>0.85746888434692303</v>
      </c>
      <c r="D4571">
        <v>1.02781442218092</v>
      </c>
      <c r="E4571">
        <v>0.80361920520420105</v>
      </c>
      <c r="F4571">
        <v>0.72009581967922698</v>
      </c>
      <c r="G4571">
        <v>0.61858813186753503</v>
      </c>
      <c r="H4571">
        <v>0.445959889201478</v>
      </c>
      <c r="I4571">
        <v>0.323637101500928</v>
      </c>
      <c r="J4571">
        <v>0.23567876832082399</v>
      </c>
      <c r="K4571">
        <v>0.22742336168623001</v>
      </c>
      <c r="L4571">
        <v>468.60049225039302</v>
      </c>
      <c r="M4571">
        <v>8.3606975635999508</v>
      </c>
      <c r="N4571">
        <v>56.048013631539398</v>
      </c>
      <c r="O4571">
        <v>53.1165457822338</v>
      </c>
      <c r="P4571">
        <v>-3.9388452299226599E-2</v>
      </c>
      <c r="Q4571">
        <v>0</v>
      </c>
      <c r="R4571">
        <v>0.96800124788970598</v>
      </c>
      <c r="S4571" t="s">
        <v>10122</v>
      </c>
      <c r="T4571" t="s">
        <v>11100</v>
      </c>
      <c r="U4571" t="s">
        <v>11100</v>
      </c>
      <c r="V4571" t="s">
        <v>11100</v>
      </c>
      <c r="W4571" t="s">
        <v>15620</v>
      </c>
      <c r="X4571">
        <v>6</v>
      </c>
      <c r="Y4571" t="s">
        <v>21050</v>
      </c>
      <c r="Z4571" t="s">
        <v>26576</v>
      </c>
      <c r="AA4571">
        <v>0.63462455521667338</v>
      </c>
      <c r="AB4571" t="str">
        <f>HYPERLINK("Melting_Curves/meltCurve_Q9BTZ2_8_DHRS4.pdf", "Melting_Curves/meltCurve_Q9BTZ2_8_DHRS4.pdf")</f>
        <v>Melting_Curves/meltCurve_Q9BTZ2_8_DHRS4.pdf</v>
      </c>
    </row>
    <row r="4572" spans="1:28" x14ac:dyDescent="0.25">
      <c r="A4572" t="s">
        <v>4576</v>
      </c>
      <c r="B4572">
        <v>0.99299721793515405</v>
      </c>
      <c r="C4572">
        <v>0.91860902301557001</v>
      </c>
      <c r="D4572">
        <v>0.97677618604295202</v>
      </c>
      <c r="E4572">
        <v>0.87734275658833305</v>
      </c>
      <c r="F4572">
        <v>0.77906201007764997</v>
      </c>
      <c r="G4572">
        <v>0.50344102345394004</v>
      </c>
      <c r="H4572">
        <v>0.36256475313740899</v>
      </c>
      <c r="I4572">
        <v>0.29006563130634799</v>
      </c>
      <c r="J4572">
        <v>0.32993334447063</v>
      </c>
      <c r="K4572">
        <v>0.24235106397664599</v>
      </c>
      <c r="L4572">
        <v>894.21816822039295</v>
      </c>
      <c r="M4572">
        <v>17.193858722693101</v>
      </c>
      <c r="N4572">
        <v>54.200558935550802</v>
      </c>
      <c r="O4572">
        <v>51.319772448831202</v>
      </c>
      <c r="P4572">
        <v>-6.2772531578997495E-2</v>
      </c>
      <c r="Q4572">
        <v>0.250597158746586</v>
      </c>
      <c r="R4572">
        <v>0.98524775424542199</v>
      </c>
      <c r="S4572" t="s">
        <v>10123</v>
      </c>
      <c r="T4572" t="s">
        <v>11100</v>
      </c>
      <c r="U4572" t="s">
        <v>11100</v>
      </c>
      <c r="V4572" t="s">
        <v>11100</v>
      </c>
      <c r="W4572" t="s">
        <v>15621</v>
      </c>
      <c r="X4572">
        <v>10</v>
      </c>
      <c r="Y4572" t="s">
        <v>21051</v>
      </c>
      <c r="Z4572" t="s">
        <v>26577</v>
      </c>
      <c r="AA4572">
        <v>0.6375731622565165</v>
      </c>
      <c r="AB4572" t="str">
        <f>HYPERLINK("Melting_Curves/meltCurve_Q9BU02_THTPA.pdf", "Melting_Curves/meltCurve_Q9BU02_THTPA.pdf")</f>
        <v>Melting_Curves/meltCurve_Q9BU02_THTPA.pdf</v>
      </c>
    </row>
    <row r="4573" spans="1:28" x14ac:dyDescent="0.25">
      <c r="A4573" t="s">
        <v>4577</v>
      </c>
      <c r="B4573">
        <v>0.99299721793515405</v>
      </c>
      <c r="C4573">
        <v>0.89458239050354804</v>
      </c>
      <c r="D4573">
        <v>0.92482313086134205</v>
      </c>
      <c r="E4573">
        <v>0.744914364983984</v>
      </c>
      <c r="F4573">
        <v>0.64928154740518096</v>
      </c>
      <c r="G4573">
        <v>0.36988929252112801</v>
      </c>
      <c r="H4573">
        <v>0.17979333950905499</v>
      </c>
      <c r="I4573">
        <v>0.13475453534871901</v>
      </c>
      <c r="J4573">
        <v>0.113267291921662</v>
      </c>
      <c r="K4573">
        <v>9.4220812412846106E-2</v>
      </c>
      <c r="L4573">
        <v>624.47496306664402</v>
      </c>
      <c r="M4573">
        <v>12.155355901706701</v>
      </c>
      <c r="N4573">
        <v>51.532399903892298</v>
      </c>
      <c r="O4573">
        <v>50.043314368752199</v>
      </c>
      <c r="P4573">
        <v>-5.9627601522423898E-2</v>
      </c>
      <c r="Q4573">
        <v>1.8283499166933899E-2</v>
      </c>
      <c r="R4573">
        <v>0.98711148278044702</v>
      </c>
      <c r="S4573" t="s">
        <v>10124</v>
      </c>
      <c r="T4573" t="s">
        <v>11100</v>
      </c>
      <c r="U4573" t="s">
        <v>11100</v>
      </c>
      <c r="V4573" t="s">
        <v>11100</v>
      </c>
      <c r="W4573" t="s">
        <v>15622</v>
      </c>
      <c r="X4573">
        <v>4</v>
      </c>
      <c r="Y4573" t="s">
        <v>21052</v>
      </c>
      <c r="Z4573" t="s">
        <v>26578</v>
      </c>
      <c r="AA4573">
        <v>0.51313871739014683</v>
      </c>
      <c r="AB4573" t="str">
        <f>HYPERLINK("Melting_Curves/meltCurve_Q9BU23_3_LMF2.pdf", "Melting_Curves/meltCurve_Q9BU23_3_LMF2.pdf")</f>
        <v>Melting_Curves/meltCurve_Q9BU23_3_LMF2.pdf</v>
      </c>
    </row>
    <row r="4574" spans="1:28" x14ac:dyDescent="0.25">
      <c r="A4574" t="s">
        <v>4578</v>
      </c>
      <c r="B4574">
        <v>0.99299721793515405</v>
      </c>
      <c r="C4574">
        <v>1.0004323173279299</v>
      </c>
      <c r="D4574">
        <v>0.90664265651276399</v>
      </c>
      <c r="E4574">
        <v>0.93387412638219702</v>
      </c>
      <c r="F4574">
        <v>0.76166661141545899</v>
      </c>
      <c r="G4574">
        <v>0.66590388672918299</v>
      </c>
      <c r="H4574">
        <v>0.70362380854524098</v>
      </c>
      <c r="I4574">
        <v>0.43571581912062801</v>
      </c>
      <c r="J4574">
        <v>0.16579427411337599</v>
      </c>
      <c r="K4574">
        <v>0.117686048390024</v>
      </c>
      <c r="L4574">
        <v>644.94998304782405</v>
      </c>
      <c r="M4574">
        <v>11.0729104642175</v>
      </c>
      <c r="N4574">
        <v>58.245750805855401</v>
      </c>
      <c r="O4574">
        <v>56.4427987399621</v>
      </c>
      <c r="P4574">
        <v>-4.9060963795955197E-2</v>
      </c>
      <c r="Q4574">
        <v>0</v>
      </c>
      <c r="R4574">
        <v>0.93555541576298895</v>
      </c>
      <c r="S4574" t="s">
        <v>10125</v>
      </c>
      <c r="T4574" t="s">
        <v>11100</v>
      </c>
      <c r="U4574" t="s">
        <v>11100</v>
      </c>
      <c r="V4574" t="s">
        <v>11100</v>
      </c>
      <c r="W4574" t="s">
        <v>15623</v>
      </c>
      <c r="X4574">
        <v>7</v>
      </c>
      <c r="Y4574" t="s">
        <v>21053</v>
      </c>
      <c r="Z4574" t="s">
        <v>26579</v>
      </c>
      <c r="AA4574">
        <v>0.70217427459866988</v>
      </c>
      <c r="AB4574" t="str">
        <f>HYPERLINK("Melting_Curves/meltCurve_Q9BU61_NDUFAF3.pdf", "Melting_Curves/meltCurve_Q9BU61_NDUFAF3.pdf")</f>
        <v>Melting_Curves/meltCurve_Q9BU61_NDUFAF3.pdf</v>
      </c>
    </row>
    <row r="4575" spans="1:28" x14ac:dyDescent="0.25">
      <c r="A4575" t="s">
        <v>4579</v>
      </c>
      <c r="B4575">
        <v>0.99299721793515405</v>
      </c>
      <c r="C4575">
        <v>0.72485939653201403</v>
      </c>
      <c r="D4575">
        <v>1.2327778526650099</v>
      </c>
      <c r="E4575">
        <v>0.70998016180533696</v>
      </c>
      <c r="F4575">
        <v>0.64533298595560395</v>
      </c>
      <c r="G4575">
        <v>0.62842418278087098</v>
      </c>
      <c r="H4575">
        <v>0.35254947305999201</v>
      </c>
      <c r="I4575">
        <v>0.46324970592565001</v>
      </c>
      <c r="J4575">
        <v>0.41311032755744598</v>
      </c>
      <c r="K4575">
        <v>0.409396975951832</v>
      </c>
      <c r="L4575">
        <v>822.94522510143304</v>
      </c>
      <c r="M4575">
        <v>16.734108735964</v>
      </c>
      <c r="N4575">
        <v>54.618319656506102</v>
      </c>
      <c r="O4575">
        <v>48.491518929028899</v>
      </c>
      <c r="P4575">
        <v>-5.1285613610947703E-2</v>
      </c>
      <c r="Q4575">
        <v>0.40558427120672302</v>
      </c>
      <c r="R4575">
        <v>0.73391908820644502</v>
      </c>
      <c r="S4575" t="s">
        <v>10126</v>
      </c>
      <c r="T4575" t="s">
        <v>11100</v>
      </c>
      <c r="U4575" t="s">
        <v>11100</v>
      </c>
      <c r="V4575" t="s">
        <v>11100</v>
      </c>
      <c r="W4575" t="s">
        <v>15624</v>
      </c>
      <c r="X4575">
        <v>1</v>
      </c>
      <c r="Y4575" t="s">
        <v>21054</v>
      </c>
      <c r="Z4575" t="s">
        <v>26580</v>
      </c>
      <c r="AA4575">
        <v>0.65755097268604479</v>
      </c>
      <c r="AB4575" t="str">
        <f>HYPERLINK("Melting_Curves/meltCurve_Q9BU76_2_MMTAG2.pdf", "Melting_Curves/meltCurve_Q9BU76_2_MMTAG2.pdf")</f>
        <v>Melting_Curves/meltCurve_Q9BU76_2_MMTAG2.pdf</v>
      </c>
    </row>
    <row r="4576" spans="1:28" x14ac:dyDescent="0.25">
      <c r="A4576" t="s">
        <v>4580</v>
      </c>
      <c r="B4576">
        <v>0.99299721793515405</v>
      </c>
      <c r="C4576">
        <v>1.1104253157627699</v>
      </c>
      <c r="D4576">
        <v>0.94262572533223499</v>
      </c>
      <c r="E4576">
        <v>0.95687060463510698</v>
      </c>
      <c r="F4576">
        <v>0.55441626189904403</v>
      </c>
      <c r="G4576">
        <v>0.302025587837562</v>
      </c>
      <c r="H4576">
        <v>0.25574820190539899</v>
      </c>
      <c r="I4576">
        <v>0.21439014334027201</v>
      </c>
      <c r="J4576">
        <v>0.186925010168107</v>
      </c>
      <c r="K4576">
        <v>0.13561071470365901</v>
      </c>
      <c r="L4576">
        <v>1459.4239096864301</v>
      </c>
      <c r="M4576">
        <v>29.1602895373975</v>
      </c>
      <c r="N4576">
        <v>50.899288672356903</v>
      </c>
      <c r="O4576">
        <v>49.8147288083521</v>
      </c>
      <c r="P4576">
        <v>-0.11811133086547899</v>
      </c>
      <c r="Q4576">
        <v>0.19292416368904</v>
      </c>
      <c r="R4576">
        <v>0.98346312496017496</v>
      </c>
      <c r="S4576" t="s">
        <v>10127</v>
      </c>
      <c r="T4576" t="s">
        <v>11100</v>
      </c>
      <c r="U4576" t="s">
        <v>11100</v>
      </c>
      <c r="V4576" t="s">
        <v>11100</v>
      </c>
      <c r="W4576" t="s">
        <v>15625</v>
      </c>
      <c r="X4576">
        <v>11</v>
      </c>
      <c r="Y4576" t="s">
        <v>21055</v>
      </c>
      <c r="Z4576" t="s">
        <v>26581</v>
      </c>
      <c r="AA4576">
        <v>0.54919816459410575</v>
      </c>
      <c r="AB4576" t="str">
        <f>HYPERLINK("Melting_Curves/meltCurve_Q9BU89_DOHH.pdf", "Melting_Curves/meltCurve_Q9BU89_DOHH.pdf")</f>
        <v>Melting_Curves/meltCurve_Q9BU89_DOHH.pdf</v>
      </c>
    </row>
    <row r="4577" spans="1:28" x14ac:dyDescent="0.25">
      <c r="A4577" t="s">
        <v>4581</v>
      </c>
      <c r="B4577">
        <v>0.99299721793515405</v>
      </c>
      <c r="C4577">
        <v>0.88034830356242999</v>
      </c>
      <c r="D4577">
        <v>0.875225632111305</v>
      </c>
      <c r="E4577">
        <v>0.73935246063941396</v>
      </c>
      <c r="F4577">
        <v>0.69476207429219705</v>
      </c>
      <c r="G4577">
        <v>0.63238928475667899</v>
      </c>
      <c r="H4577">
        <v>0.49054063094776901</v>
      </c>
      <c r="I4577">
        <v>0.61739507863158805</v>
      </c>
      <c r="J4577">
        <v>0.63689032723444705</v>
      </c>
      <c r="K4577">
        <v>0.50686031722484504</v>
      </c>
      <c r="L4577">
        <v>493.67497267510703</v>
      </c>
      <c r="M4577">
        <v>10.765743152332201</v>
      </c>
      <c r="O4577">
        <v>44.358902727171603</v>
      </c>
      <c r="P4577">
        <v>-2.7786815057153899E-2</v>
      </c>
      <c r="Q4577">
        <v>0.54219936393374901</v>
      </c>
      <c r="R4577">
        <v>0.90323483744806099</v>
      </c>
      <c r="S4577" t="s">
        <v>10128</v>
      </c>
      <c r="T4577" t="s">
        <v>11100</v>
      </c>
      <c r="U4577" t="s">
        <v>11100</v>
      </c>
      <c r="V4577" t="s">
        <v>11100</v>
      </c>
      <c r="W4577" t="s">
        <v>15626</v>
      </c>
      <c r="X4577">
        <v>3</v>
      </c>
      <c r="Y4577" t="s">
        <v>21056</v>
      </c>
      <c r="Z4577" t="s">
        <v>26582</v>
      </c>
      <c r="AA4577">
        <v>0.69639562547629297</v>
      </c>
      <c r="AB4577" t="str">
        <f>HYPERLINK("Melting_Curves/meltCurve_Q9BUA3_C11orf84.pdf", "Melting_Curves/meltCurve_Q9BUA3_C11orf84.pdf")</f>
        <v>Melting_Curves/meltCurve_Q9BUA3_C11orf84.pdf</v>
      </c>
    </row>
    <row r="4578" spans="1:28" x14ac:dyDescent="0.25">
      <c r="A4578" t="s">
        <v>4582</v>
      </c>
      <c r="B4578">
        <v>0.99299721793515405</v>
      </c>
      <c r="C4578">
        <v>1.0552202959128301</v>
      </c>
      <c r="D4578">
        <v>0.87900548110700505</v>
      </c>
      <c r="E4578">
        <v>0.91958104256339002</v>
      </c>
      <c r="F4578">
        <v>0.62600600568384301</v>
      </c>
      <c r="G4578">
        <v>0.170506091205226</v>
      </c>
      <c r="H4578">
        <v>0.150017536809635</v>
      </c>
      <c r="I4578">
        <v>0.126401958847808</v>
      </c>
      <c r="J4578">
        <v>0.119798471407007</v>
      </c>
      <c r="K4578">
        <v>9.2759166105070096E-2</v>
      </c>
      <c r="L4578">
        <v>1769.15874988422</v>
      </c>
      <c r="M4578">
        <v>35.0158549036164</v>
      </c>
      <c r="N4578">
        <v>50.892678982563503</v>
      </c>
      <c r="O4578">
        <v>50.360567614568197</v>
      </c>
      <c r="P4578">
        <v>-0.15437711429957801</v>
      </c>
      <c r="Q4578">
        <v>0.11188897400015101</v>
      </c>
      <c r="R4578">
        <v>0.98629852847942001</v>
      </c>
      <c r="S4578" t="s">
        <v>10129</v>
      </c>
      <c r="T4578" t="s">
        <v>11100</v>
      </c>
      <c r="U4578" t="s">
        <v>11100</v>
      </c>
      <c r="V4578" t="s">
        <v>11100</v>
      </c>
      <c r="W4578" t="s">
        <v>15627</v>
      </c>
      <c r="X4578">
        <v>1</v>
      </c>
      <c r="Y4578" t="s">
        <v>21057</v>
      </c>
      <c r="Z4578" t="s">
        <v>26583</v>
      </c>
      <c r="AA4578">
        <v>0.51630928093194617</v>
      </c>
      <c r="AB4578" t="str">
        <f>HYPERLINK("Melting_Curves/meltCurve_Q9BUB4_ADAT1.pdf", "Melting_Curves/meltCurve_Q9BUB4_ADAT1.pdf")</f>
        <v>Melting_Curves/meltCurve_Q9BUB4_ADAT1.pdf</v>
      </c>
    </row>
    <row r="4579" spans="1:28" x14ac:dyDescent="0.25">
      <c r="A4579" t="s">
        <v>4583</v>
      </c>
      <c r="B4579">
        <v>0.99299721793515405</v>
      </c>
      <c r="C4579">
        <v>1.09384948441411</v>
      </c>
      <c r="D4579">
        <v>1.12479982814308</v>
      </c>
      <c r="E4579">
        <v>0.79547392670978501</v>
      </c>
      <c r="F4579">
        <v>0.92984855163735702</v>
      </c>
      <c r="G4579">
        <v>0.63019594375900401</v>
      </c>
      <c r="H4579">
        <v>0.37399150208072601</v>
      </c>
      <c r="I4579">
        <v>0.16533751699212201</v>
      </c>
      <c r="J4579">
        <v>0.186367449319463</v>
      </c>
      <c r="K4579">
        <v>0.14807536141357899</v>
      </c>
      <c r="L4579">
        <v>1118.70237606465</v>
      </c>
      <c r="M4579">
        <v>20.4530259601535</v>
      </c>
      <c r="N4579">
        <v>55.431417461613698</v>
      </c>
      <c r="O4579">
        <v>54.181368430181799</v>
      </c>
      <c r="P4579">
        <v>-8.3163799518883696E-2</v>
      </c>
      <c r="Q4579">
        <v>0.118801519986759</v>
      </c>
      <c r="R4579">
        <v>0.95508888498216205</v>
      </c>
      <c r="S4579" t="s">
        <v>10130</v>
      </c>
      <c r="T4579" t="s">
        <v>11100</v>
      </c>
      <c r="U4579" t="s">
        <v>11100</v>
      </c>
      <c r="V4579" t="s">
        <v>11100</v>
      </c>
      <c r="W4579" t="s">
        <v>15628</v>
      </c>
      <c r="X4579">
        <v>1</v>
      </c>
      <c r="Y4579" t="s">
        <v>21058</v>
      </c>
      <c r="Z4579" t="s">
        <v>26584</v>
      </c>
      <c r="AA4579">
        <v>0.64855502152630773</v>
      </c>
      <c r="AB4579" t="str">
        <f>HYPERLINK("Melting_Curves/meltCurve_Q9BUB7_2_TMEM70.pdf", "Melting_Curves/meltCurve_Q9BUB7_2_TMEM70.pdf")</f>
        <v>Melting_Curves/meltCurve_Q9BUB7_2_TMEM70.pdf</v>
      </c>
    </row>
    <row r="4580" spans="1:28" x14ac:dyDescent="0.25">
      <c r="A4580" t="s">
        <v>4584</v>
      </c>
      <c r="B4580">
        <v>0.99299721793515405</v>
      </c>
      <c r="C4580">
        <v>0.96091852489520402</v>
      </c>
      <c r="D4580">
        <v>0.94447002056334595</v>
      </c>
      <c r="E4580">
        <v>0.79381922784275505</v>
      </c>
      <c r="F4580">
        <v>0.63497753632839105</v>
      </c>
      <c r="G4580">
        <v>0.40824457497521299</v>
      </c>
      <c r="H4580">
        <v>0.31751924836798001</v>
      </c>
      <c r="I4580">
        <v>0.323599324536257</v>
      </c>
      <c r="J4580">
        <v>0.21938148200108201</v>
      </c>
      <c r="K4580">
        <v>0.20859892274956701</v>
      </c>
      <c r="L4580">
        <v>689.49124072463405</v>
      </c>
      <c r="M4580">
        <v>13.6661567835271</v>
      </c>
      <c r="N4580">
        <v>52.377053217270998</v>
      </c>
      <c r="O4580">
        <v>49.408934157737498</v>
      </c>
      <c r="P4580">
        <v>-5.5506991277364602E-2</v>
      </c>
      <c r="Q4580">
        <v>0.19739147003281701</v>
      </c>
      <c r="R4580">
        <v>0.99361487744483001</v>
      </c>
      <c r="S4580" t="s">
        <v>10131</v>
      </c>
      <c r="T4580" t="s">
        <v>11100</v>
      </c>
      <c r="U4580" t="s">
        <v>11100</v>
      </c>
      <c r="V4580" t="s">
        <v>11100</v>
      </c>
      <c r="W4580" t="s">
        <v>15629</v>
      </c>
      <c r="X4580">
        <v>3</v>
      </c>
      <c r="Y4580" t="s">
        <v>21059</v>
      </c>
      <c r="Z4580" t="s">
        <v>26585</v>
      </c>
      <c r="AA4580">
        <v>0.57598046078557152</v>
      </c>
      <c r="AB4580" t="str">
        <f>HYPERLINK("Melting_Curves/meltCurve_Q9BUE0_MED18.pdf", "Melting_Curves/meltCurve_Q9BUE0_MED18.pdf")</f>
        <v>Melting_Curves/meltCurve_Q9BUE0_MED18.pdf</v>
      </c>
    </row>
    <row r="4581" spans="1:28" x14ac:dyDescent="0.25">
      <c r="A4581" t="s">
        <v>4585</v>
      </c>
      <c r="B4581">
        <v>0.99299721793515405</v>
      </c>
      <c r="C4581">
        <v>1.0259365608422599</v>
      </c>
      <c r="D4581">
        <v>0.94278693681904702</v>
      </c>
      <c r="E4581">
        <v>0.96558161158915501</v>
      </c>
      <c r="F4581">
        <v>0.80595019138461899</v>
      </c>
      <c r="G4581">
        <v>0.64664565600715995</v>
      </c>
      <c r="H4581">
        <v>0.62392618140051004</v>
      </c>
      <c r="I4581">
        <v>0.419937961789843</v>
      </c>
      <c r="J4581">
        <v>0.14615212196894101</v>
      </c>
      <c r="K4581">
        <v>0.114850767287394</v>
      </c>
      <c r="L4581">
        <v>689.09490397972399</v>
      </c>
      <c r="M4581">
        <v>11.9200656910034</v>
      </c>
      <c r="N4581">
        <v>57.809656673602298</v>
      </c>
      <c r="O4581">
        <v>56.254679563036902</v>
      </c>
      <c r="P4581">
        <v>-5.2986768017750797E-2</v>
      </c>
      <c r="Q4581">
        <v>0</v>
      </c>
      <c r="R4581">
        <v>0.96618188504035296</v>
      </c>
      <c r="S4581" t="s">
        <v>10132</v>
      </c>
      <c r="T4581" t="s">
        <v>11100</v>
      </c>
      <c r="U4581" t="s">
        <v>11100</v>
      </c>
      <c r="V4581" t="s">
        <v>11100</v>
      </c>
      <c r="W4581" t="s">
        <v>15630</v>
      </c>
      <c r="X4581">
        <v>24</v>
      </c>
      <c r="Y4581" t="s">
        <v>21060</v>
      </c>
      <c r="Z4581" t="s">
        <v>26586</v>
      </c>
      <c r="AA4581">
        <v>0.69331340468706426</v>
      </c>
      <c r="AB4581" t="str">
        <f>HYPERLINK("Melting_Curves/meltCurve_Q9BUF5_TUBB6.pdf", "Melting_Curves/meltCurve_Q9BUF5_TUBB6.pdf")</f>
        <v>Melting_Curves/meltCurve_Q9BUF5_TUBB6.pdf</v>
      </c>
    </row>
    <row r="4582" spans="1:28" x14ac:dyDescent="0.25">
      <c r="A4582" t="s">
        <v>4586</v>
      </c>
      <c r="B4582">
        <v>0.99299721793515405</v>
      </c>
      <c r="C4582">
        <v>0.95204611634347902</v>
      </c>
      <c r="D4582">
        <v>0.94680639897262397</v>
      </c>
      <c r="E4582">
        <v>0.95032105358609398</v>
      </c>
      <c r="F4582">
        <v>0.75124446345929796</v>
      </c>
      <c r="G4582">
        <v>0.65402734906986404</v>
      </c>
      <c r="H4582">
        <v>0.58675837442811696</v>
      </c>
      <c r="I4582">
        <v>0.72565500763006796</v>
      </c>
      <c r="J4582">
        <v>0.78167668620004505</v>
      </c>
      <c r="K4582">
        <v>0.60879166467412105</v>
      </c>
      <c r="L4582">
        <v>1930.8543489925</v>
      </c>
      <c r="M4582">
        <v>39.692473362415697</v>
      </c>
      <c r="O4582">
        <v>48.522368634559797</v>
      </c>
      <c r="P4582">
        <v>-6.73332485411091E-2</v>
      </c>
      <c r="Q4582">
        <v>0.67075252746685698</v>
      </c>
      <c r="R4582">
        <v>0.85211562612027503</v>
      </c>
      <c r="S4582" t="s">
        <v>10133</v>
      </c>
      <c r="T4582" t="s">
        <v>11100</v>
      </c>
      <c r="U4582" t="s">
        <v>11100</v>
      </c>
      <c r="V4582" t="s">
        <v>11100</v>
      </c>
      <c r="W4582" t="s">
        <v>15631</v>
      </c>
      <c r="X4582">
        <v>13</v>
      </c>
      <c r="Y4582" t="s">
        <v>21061</v>
      </c>
      <c r="Z4582" t="s">
        <v>26587</v>
      </c>
      <c r="AA4582">
        <v>0.79968359277777523</v>
      </c>
      <c r="AB4582" t="str">
        <f>HYPERLINK("Melting_Curves/meltCurve_Q9BUH6_C9orf142.pdf", "Melting_Curves/meltCurve_Q9BUH6_C9orf142.pdf")</f>
        <v>Melting_Curves/meltCurve_Q9BUH6_C9orf142.pdf</v>
      </c>
    </row>
    <row r="4583" spans="1:28" x14ac:dyDescent="0.25">
      <c r="A4583" t="s">
        <v>4587</v>
      </c>
      <c r="B4583">
        <v>0.99299721793515405</v>
      </c>
      <c r="C4583">
        <v>0.93783265288195605</v>
      </c>
      <c r="D4583">
        <v>0.88613314145003597</v>
      </c>
      <c r="E4583">
        <v>0.81374230063109698</v>
      </c>
      <c r="F4583">
        <v>0.75151777545871101</v>
      </c>
      <c r="G4583">
        <v>0.69453301990276595</v>
      </c>
      <c r="H4583">
        <v>0.59895948285707001</v>
      </c>
      <c r="I4583">
        <v>0.40192496671153599</v>
      </c>
      <c r="J4583">
        <v>0.21331806219483401</v>
      </c>
      <c r="K4583">
        <v>0.19533639839251599</v>
      </c>
      <c r="L4583">
        <v>479.75251628460302</v>
      </c>
      <c r="M4583">
        <v>8.3356663620643801</v>
      </c>
      <c r="N4583">
        <v>57.554185817172801</v>
      </c>
      <c r="O4583">
        <v>54.527390894924203</v>
      </c>
      <c r="P4583">
        <v>-3.8254859033718301E-2</v>
      </c>
      <c r="Q4583">
        <v>0</v>
      </c>
      <c r="R4583">
        <v>0.96038292898594102</v>
      </c>
      <c r="S4583" t="s">
        <v>10134</v>
      </c>
      <c r="T4583" t="s">
        <v>11100</v>
      </c>
      <c r="U4583" t="s">
        <v>11100</v>
      </c>
      <c r="V4583" t="s">
        <v>11100</v>
      </c>
      <c r="W4583" t="s">
        <v>15632</v>
      </c>
      <c r="X4583">
        <v>5</v>
      </c>
      <c r="Y4583" t="s">
        <v>21062</v>
      </c>
      <c r="Z4583" t="s">
        <v>26588</v>
      </c>
      <c r="AA4583">
        <v>0.67114710847505632</v>
      </c>
      <c r="AB4583" t="str">
        <f>HYPERLINK("Melting_Curves/meltCurve_Q9BUI4_POLR3C.pdf", "Melting_Curves/meltCurve_Q9BUI4_POLR3C.pdf")</f>
        <v>Melting_Curves/meltCurve_Q9BUI4_POLR3C.pdf</v>
      </c>
    </row>
    <row r="4584" spans="1:28" x14ac:dyDescent="0.25">
      <c r="A4584" t="s">
        <v>4588</v>
      </c>
      <c r="B4584">
        <v>0.99299721793515405</v>
      </c>
      <c r="C4584">
        <v>0.97482707362165999</v>
      </c>
      <c r="D4584">
        <v>0.95385986695657399</v>
      </c>
      <c r="E4584">
        <v>0.84479504682089901</v>
      </c>
      <c r="F4584">
        <v>0.62755944084870896</v>
      </c>
      <c r="G4584">
        <v>0.32168670025712898</v>
      </c>
      <c r="H4584">
        <v>0.27007016117896998</v>
      </c>
      <c r="I4584">
        <v>0.251190365948459</v>
      </c>
      <c r="J4584">
        <v>0.25015638912862198</v>
      </c>
      <c r="K4584">
        <v>0.19384489438611099</v>
      </c>
      <c r="L4584">
        <v>1040.37323101731</v>
      </c>
      <c r="M4584">
        <v>20.801260221228802</v>
      </c>
      <c r="N4584">
        <v>51.414013602626703</v>
      </c>
      <c r="O4584">
        <v>49.559564549086403</v>
      </c>
      <c r="P4584">
        <v>-8.2255413603755795E-2</v>
      </c>
      <c r="Q4584">
        <v>0.21611904163677201</v>
      </c>
      <c r="R4584">
        <v>0.99461003300148798</v>
      </c>
      <c r="S4584" t="s">
        <v>10135</v>
      </c>
      <c r="T4584" t="s">
        <v>11100</v>
      </c>
      <c r="U4584" t="s">
        <v>11100</v>
      </c>
      <c r="V4584" t="s">
        <v>11100</v>
      </c>
      <c r="W4584" t="s">
        <v>15633</v>
      </c>
      <c r="X4584">
        <v>21</v>
      </c>
      <c r="Y4584" t="s">
        <v>21063</v>
      </c>
      <c r="Z4584" t="s">
        <v>26589</v>
      </c>
      <c r="AA4584">
        <v>0.56582126936748367</v>
      </c>
      <c r="AB4584" t="str">
        <f>HYPERLINK("Melting_Curves/meltCurve_Q9BUJ2_2_HNRNPUL1.pdf", "Melting_Curves/meltCurve_Q9BUJ2_2_HNRNPUL1.pdf")</f>
        <v>Melting_Curves/meltCurve_Q9BUJ2_2_HNRNPUL1.pdf</v>
      </c>
    </row>
    <row r="4585" spans="1:28" x14ac:dyDescent="0.25">
      <c r="A4585" t="s">
        <v>4589</v>
      </c>
      <c r="B4585">
        <v>0.99299721793515405</v>
      </c>
      <c r="C4585">
        <v>0.96564707233361102</v>
      </c>
      <c r="D4585">
        <v>0.89639298070578599</v>
      </c>
      <c r="E4585">
        <v>0.830699250557556</v>
      </c>
      <c r="F4585">
        <v>0.70682834779341197</v>
      </c>
      <c r="G4585">
        <v>0.39640005893257102</v>
      </c>
      <c r="H4585">
        <v>0.14784127662076099</v>
      </c>
      <c r="I4585">
        <v>0.12389438862745</v>
      </c>
      <c r="J4585">
        <v>0.135366456360655</v>
      </c>
      <c r="K4585">
        <v>0.115015211645038</v>
      </c>
      <c r="L4585">
        <v>872.597681680297</v>
      </c>
      <c r="M4585">
        <v>16.8895372091547</v>
      </c>
      <c r="N4585">
        <v>52.149148422273598</v>
      </c>
      <c r="O4585">
        <v>50.957007292618997</v>
      </c>
      <c r="P4585">
        <v>-7.6853759530107202E-2</v>
      </c>
      <c r="Q4585">
        <v>7.2564543179552604E-2</v>
      </c>
      <c r="R4585">
        <v>0.98637964584715798</v>
      </c>
      <c r="S4585" t="s">
        <v>10136</v>
      </c>
      <c r="T4585" t="s">
        <v>11100</v>
      </c>
      <c r="U4585" t="s">
        <v>11100</v>
      </c>
      <c r="V4585" t="s">
        <v>11100</v>
      </c>
      <c r="W4585" t="s">
        <v>15634</v>
      </c>
      <c r="X4585">
        <v>6</v>
      </c>
      <c r="Y4585" t="s">
        <v>21064</v>
      </c>
      <c r="Z4585" t="s">
        <v>26590</v>
      </c>
      <c r="AA4585">
        <v>0.54143254167849997</v>
      </c>
      <c r="AB4585" t="str">
        <f>HYPERLINK("Melting_Curves/meltCurve_Q9BUK6_3_MSTO1.pdf", "Melting_Curves/meltCurve_Q9BUK6_3_MSTO1.pdf")</f>
        <v>Melting_Curves/meltCurve_Q9BUK6_3_MSTO1.pdf</v>
      </c>
    </row>
    <row r="4586" spans="1:28" x14ac:dyDescent="0.25">
      <c r="A4586" t="s">
        <v>4590</v>
      </c>
      <c r="B4586">
        <v>0.99299721793515405</v>
      </c>
      <c r="C4586">
        <v>0.871702623013207</v>
      </c>
      <c r="D4586">
        <v>1.43899960023762</v>
      </c>
      <c r="E4586">
        <v>0.96498706911910104</v>
      </c>
      <c r="F4586">
        <v>0.73862246065505999</v>
      </c>
      <c r="G4586">
        <v>1.2688353514911499</v>
      </c>
      <c r="H4586">
        <v>0.72779617693417298</v>
      </c>
      <c r="I4586">
        <v>0.96673391809735398</v>
      </c>
      <c r="J4586">
        <v>0.82243074544244399</v>
      </c>
      <c r="K4586">
        <v>0.88117647676744204</v>
      </c>
      <c r="L4586">
        <v>2578.5878289705101</v>
      </c>
      <c r="M4586">
        <v>45.953617761835297</v>
      </c>
      <c r="O4586">
        <v>56.006905137264603</v>
      </c>
      <c r="P4586">
        <v>-2.79741701947832E-2</v>
      </c>
      <c r="Q4586">
        <v>0.86362386365919996</v>
      </c>
      <c r="R4586">
        <v>0.12981608815454701</v>
      </c>
      <c r="S4586" t="s">
        <v>10137</v>
      </c>
      <c r="T4586" t="s">
        <v>11100</v>
      </c>
      <c r="U4586" t="s">
        <v>11100</v>
      </c>
      <c r="V4586" t="s">
        <v>11100</v>
      </c>
      <c r="W4586" t="s">
        <v>15635</v>
      </c>
      <c r="X4586">
        <v>1</v>
      </c>
      <c r="Y4586" t="s">
        <v>21065</v>
      </c>
      <c r="Z4586" t="s">
        <v>26591</v>
      </c>
      <c r="AA4586">
        <v>0.95090360983564193</v>
      </c>
      <c r="AB4586" t="str">
        <f>HYPERLINK("Melting_Curves/meltCurve_Q9BUL9_RPP25.pdf", "Melting_Curves/meltCurve_Q9BUL9_RPP25.pdf")</f>
        <v>Melting_Curves/meltCurve_Q9BUL9_RPP25.pdf</v>
      </c>
    </row>
    <row r="4587" spans="1:28" x14ac:dyDescent="0.25">
      <c r="A4587" t="s">
        <v>4591</v>
      </c>
      <c r="B4587">
        <v>0.99299721793515405</v>
      </c>
      <c r="C4587">
        <v>0.81782533251327105</v>
      </c>
      <c r="D4587">
        <v>0.91532645299604598</v>
      </c>
      <c r="E4587">
        <v>0.79855004849711397</v>
      </c>
      <c r="F4587">
        <v>0.61635000594073996</v>
      </c>
      <c r="G4587">
        <v>0.30763141392618998</v>
      </c>
      <c r="H4587">
        <v>0.20979586321426699</v>
      </c>
      <c r="I4587">
        <v>0.16443604445768301</v>
      </c>
      <c r="J4587">
        <v>0.20728696366017399</v>
      </c>
      <c r="K4587">
        <v>0.152716745447389</v>
      </c>
      <c r="L4587">
        <v>742.53053796136601</v>
      </c>
      <c r="M4587">
        <v>14.8160214410085</v>
      </c>
      <c r="N4587">
        <v>51.112823447643301</v>
      </c>
      <c r="O4587">
        <v>49.230293887660402</v>
      </c>
      <c r="P4587">
        <v>-6.5810786062650298E-2</v>
      </c>
      <c r="Q4587">
        <v>0.12539509399648799</v>
      </c>
      <c r="R4587">
        <v>0.96516826798389699</v>
      </c>
      <c r="S4587" t="s">
        <v>10138</v>
      </c>
      <c r="T4587" t="s">
        <v>11100</v>
      </c>
      <c r="U4587" t="s">
        <v>11100</v>
      </c>
      <c r="V4587" t="s">
        <v>11100</v>
      </c>
      <c r="W4587" t="s">
        <v>15636</v>
      </c>
      <c r="X4587">
        <v>2</v>
      </c>
      <c r="Y4587" t="s">
        <v>21066</v>
      </c>
      <c r="Z4587" t="s">
        <v>26592</v>
      </c>
      <c r="AA4587">
        <v>0.52632781134121265</v>
      </c>
      <c r="AB4587" t="str">
        <f>HYPERLINK("Melting_Curves/meltCurve_Q9BUP3_3_HTATIP2.pdf", "Melting_Curves/meltCurve_Q9BUP3_3_HTATIP2.pdf")</f>
        <v>Melting_Curves/meltCurve_Q9BUP3_3_HTATIP2.pdf</v>
      </c>
    </row>
    <row r="4588" spans="1:28" x14ac:dyDescent="0.25">
      <c r="A4588" t="s">
        <v>4592</v>
      </c>
      <c r="B4588">
        <v>0.99299721793515405</v>
      </c>
      <c r="C4588">
        <v>0.96404963358127604</v>
      </c>
      <c r="D4588">
        <v>0.88767542041488801</v>
      </c>
      <c r="E4588">
        <v>0.91667130256941998</v>
      </c>
      <c r="F4588">
        <v>0.72753697061461298</v>
      </c>
      <c r="G4588">
        <v>0.59930816861740899</v>
      </c>
      <c r="H4588">
        <v>0.39960803685589802</v>
      </c>
      <c r="I4588">
        <v>0.30178223207110799</v>
      </c>
      <c r="J4588">
        <v>0.220155766656841</v>
      </c>
      <c r="K4588">
        <v>0.150616312673227</v>
      </c>
      <c r="L4588">
        <v>545.45333027756806</v>
      </c>
      <c r="M4588">
        <v>9.8136265371618698</v>
      </c>
      <c r="N4588">
        <v>55.581214005810097</v>
      </c>
      <c r="O4588">
        <v>53.420786957448598</v>
      </c>
      <c r="P4588">
        <v>-4.5950075135100098E-2</v>
      </c>
      <c r="Q4588">
        <v>0</v>
      </c>
      <c r="R4588">
        <v>0.99250098350962301</v>
      </c>
      <c r="S4588" t="s">
        <v>10139</v>
      </c>
      <c r="T4588" t="s">
        <v>11100</v>
      </c>
      <c r="U4588" t="s">
        <v>11100</v>
      </c>
      <c r="V4588" t="s">
        <v>11100</v>
      </c>
      <c r="W4588" t="s">
        <v>15637</v>
      </c>
      <c r="X4588">
        <v>10</v>
      </c>
      <c r="Y4588" t="s">
        <v>21067</v>
      </c>
      <c r="Z4588" t="s">
        <v>26593</v>
      </c>
      <c r="AA4588">
        <v>0.62763938572967803</v>
      </c>
      <c r="AB4588" t="str">
        <f>HYPERLINK("Melting_Curves/meltCurve_Q9BUR4_WRAP53.pdf", "Melting_Curves/meltCurve_Q9BUR4_WRAP53.pdf")</f>
        <v>Melting_Curves/meltCurve_Q9BUR4_WRAP53.pdf</v>
      </c>
    </row>
    <row r="4589" spans="1:28" x14ac:dyDescent="0.25">
      <c r="A4589" t="s">
        <v>4593</v>
      </c>
      <c r="B4589">
        <v>0.99299721793515405</v>
      </c>
      <c r="C4589">
        <v>1.0381399632327</v>
      </c>
      <c r="D4589">
        <v>0.91494040560857803</v>
      </c>
      <c r="E4589">
        <v>0.87656937246662503</v>
      </c>
      <c r="F4589">
        <v>0.76587576600030405</v>
      </c>
      <c r="G4589">
        <v>0.45179342174957499</v>
      </c>
      <c r="H4589">
        <v>0.134817287747766</v>
      </c>
      <c r="I4589">
        <v>8.5051973648020696E-2</v>
      </c>
      <c r="J4589">
        <v>7.4022999084706997E-2</v>
      </c>
      <c r="K4589">
        <v>5.0833933594982401E-2</v>
      </c>
      <c r="L4589">
        <v>1040.9553355426799</v>
      </c>
      <c r="M4589">
        <v>19.7182155116272</v>
      </c>
      <c r="N4589">
        <v>52.926930886673098</v>
      </c>
      <c r="O4589">
        <v>52.257578149808801</v>
      </c>
      <c r="P4589">
        <v>-9.2014884164904095E-2</v>
      </c>
      <c r="Q4589">
        <v>2.4595392190266002E-2</v>
      </c>
      <c r="R4589">
        <v>0.99025060577719204</v>
      </c>
      <c r="S4589" t="s">
        <v>10140</v>
      </c>
      <c r="T4589" t="s">
        <v>11100</v>
      </c>
      <c r="U4589" t="s">
        <v>11100</v>
      </c>
      <c r="V4589" t="s">
        <v>11100</v>
      </c>
      <c r="W4589" t="s">
        <v>15638</v>
      </c>
      <c r="X4589">
        <v>10</v>
      </c>
      <c r="Y4589" t="s">
        <v>21068</v>
      </c>
      <c r="Z4589" t="s">
        <v>26594</v>
      </c>
      <c r="AA4589">
        <v>0.55065743951029</v>
      </c>
      <c r="AB4589" t="str">
        <f>HYPERLINK("Melting_Curves/meltCurve_Q9BUT1_BDH2.pdf", "Melting_Curves/meltCurve_Q9BUT1_BDH2.pdf")</f>
        <v>Melting_Curves/meltCurve_Q9BUT1_BDH2.pdf</v>
      </c>
    </row>
    <row r="4590" spans="1:28" x14ac:dyDescent="0.25">
      <c r="A4590" t="s">
        <v>4594</v>
      </c>
      <c r="B4590">
        <v>0.99299721793515405</v>
      </c>
      <c r="C4590">
        <v>0.85845659257290197</v>
      </c>
      <c r="D4590">
        <v>0.98302935000795399</v>
      </c>
      <c r="E4590">
        <v>0.81539372308745295</v>
      </c>
      <c r="F4590">
        <v>0.62882697156572598</v>
      </c>
      <c r="G4590">
        <v>0.43577632860244397</v>
      </c>
      <c r="H4590">
        <v>0.30194498165049</v>
      </c>
      <c r="I4590">
        <v>0.25791123977909602</v>
      </c>
      <c r="J4590">
        <v>0.25704610156429902</v>
      </c>
      <c r="K4590">
        <v>0.25136508849712003</v>
      </c>
      <c r="L4590">
        <v>759.89391908789196</v>
      </c>
      <c r="M4590">
        <v>15.095445480041001</v>
      </c>
      <c r="N4590">
        <v>52.327688672048303</v>
      </c>
      <c r="O4590">
        <v>49.480655631445401</v>
      </c>
      <c r="P4590">
        <v>-5.9628960006043001E-2</v>
      </c>
      <c r="Q4590">
        <v>0.218257112444842</v>
      </c>
      <c r="R4590">
        <v>0.97884264010562205</v>
      </c>
      <c r="S4590" t="s">
        <v>10141</v>
      </c>
      <c r="T4590" t="s">
        <v>11100</v>
      </c>
      <c r="U4590" t="s">
        <v>11100</v>
      </c>
      <c r="V4590" t="s">
        <v>11100</v>
      </c>
      <c r="W4590" t="s">
        <v>15639</v>
      </c>
      <c r="X4590">
        <v>2</v>
      </c>
      <c r="Y4590" t="s">
        <v>21069</v>
      </c>
      <c r="Z4590" t="s">
        <v>26595</v>
      </c>
      <c r="AA4590">
        <v>0.58186288416415277</v>
      </c>
      <c r="AB4590" t="str">
        <f>HYPERLINK("Melting_Curves/meltCurve_Q9BUT9_FAM195A.pdf", "Melting_Curves/meltCurve_Q9BUT9_FAM195A.pdf")</f>
        <v>Melting_Curves/meltCurve_Q9BUT9_FAM195A.pdf</v>
      </c>
    </row>
    <row r="4591" spans="1:28" x14ac:dyDescent="0.25">
      <c r="A4591" t="s">
        <v>4595</v>
      </c>
      <c r="B4591">
        <v>0.99299721793515405</v>
      </c>
      <c r="C4591">
        <v>1.00090833850992</v>
      </c>
      <c r="D4591">
        <v>0.86621469079597802</v>
      </c>
      <c r="E4591">
        <v>0.91533245152946696</v>
      </c>
      <c r="F4591">
        <v>0.85349206047500803</v>
      </c>
      <c r="G4591">
        <v>0.45528507440695898</v>
      </c>
      <c r="H4591">
        <v>0.58948126132122003</v>
      </c>
      <c r="I4591">
        <v>0.68486627477481199</v>
      </c>
      <c r="J4591">
        <v>0.82917531430720604</v>
      </c>
      <c r="K4591">
        <v>0.69409940997068598</v>
      </c>
      <c r="L4591">
        <v>12566.3493950755</v>
      </c>
      <c r="M4591">
        <v>250</v>
      </c>
      <c r="O4591">
        <v>50.262180939272604</v>
      </c>
      <c r="P4591">
        <v>-0.43449483824386098</v>
      </c>
      <c r="Q4591">
        <v>0.65058146965423802</v>
      </c>
      <c r="R4591">
        <v>0.64255090280261395</v>
      </c>
      <c r="S4591" t="s">
        <v>10142</v>
      </c>
      <c r="T4591" t="s">
        <v>11100</v>
      </c>
      <c r="U4591" t="s">
        <v>11100</v>
      </c>
      <c r="V4591" t="s">
        <v>11100</v>
      </c>
      <c r="W4591" t="s">
        <v>15640</v>
      </c>
      <c r="X4591">
        <v>4</v>
      </c>
      <c r="Y4591" t="s">
        <v>21070</v>
      </c>
      <c r="Z4591" t="s">
        <v>26596</v>
      </c>
      <c r="AA4591">
        <v>0.80511815117193453</v>
      </c>
      <c r="AB4591" t="str">
        <f>HYPERLINK("Melting_Curves/meltCurve_Q9BUW7_C9orf16.pdf", "Melting_Curves/meltCurve_Q9BUW7_C9orf16.pdf")</f>
        <v>Melting_Curves/meltCurve_Q9BUW7_C9orf16.pdf</v>
      </c>
    </row>
    <row r="4592" spans="1:28" x14ac:dyDescent="0.25">
      <c r="A4592" t="s">
        <v>4596</v>
      </c>
      <c r="B4592">
        <v>0.99299721793515405</v>
      </c>
      <c r="C4592">
        <v>0.97532227153736795</v>
      </c>
      <c r="D4592">
        <v>0.95904660894470295</v>
      </c>
      <c r="E4592">
        <v>0.85647113125635899</v>
      </c>
      <c r="F4592">
        <v>0.75615742302977196</v>
      </c>
      <c r="G4592">
        <v>0.53299406191953203</v>
      </c>
      <c r="H4592">
        <v>0.36444768667735999</v>
      </c>
      <c r="I4592">
        <v>0.251111687498907</v>
      </c>
      <c r="J4592">
        <v>0.16836106068955001</v>
      </c>
      <c r="K4592">
        <v>0.118379559607161</v>
      </c>
      <c r="L4592">
        <v>616.51790498753701</v>
      </c>
      <c r="M4592">
        <v>11.3037679938819</v>
      </c>
      <c r="N4592">
        <v>54.672388208291899</v>
      </c>
      <c r="O4592">
        <v>52.917569028872499</v>
      </c>
      <c r="P4592">
        <v>-5.2702677130316199E-2</v>
      </c>
      <c r="Q4592">
        <v>1.34083817430723E-2</v>
      </c>
      <c r="R4592">
        <v>0.998757131111491</v>
      </c>
      <c r="S4592" t="s">
        <v>10143</v>
      </c>
      <c r="T4592" t="s">
        <v>11100</v>
      </c>
      <c r="U4592" t="s">
        <v>11100</v>
      </c>
      <c r="V4592" t="s">
        <v>11100</v>
      </c>
      <c r="W4592" t="s">
        <v>15641</v>
      </c>
      <c r="X4592">
        <v>19</v>
      </c>
      <c r="Y4592" t="s">
        <v>21071</v>
      </c>
      <c r="Z4592" t="s">
        <v>26597</v>
      </c>
      <c r="AA4592">
        <v>0.605838031470043</v>
      </c>
      <c r="AB4592" t="str">
        <f>HYPERLINK("Melting_Curves/meltCurve_Q9BV20_MRI1.pdf", "Melting_Curves/meltCurve_Q9BV20_MRI1.pdf")</f>
        <v>Melting_Curves/meltCurve_Q9BV20_MRI1.pdf</v>
      </c>
    </row>
    <row r="4593" spans="1:28" x14ac:dyDescent="0.25">
      <c r="A4593" t="s">
        <v>4597</v>
      </c>
      <c r="B4593">
        <v>0.99299721793515405</v>
      </c>
      <c r="C4593">
        <v>0.93600293164913395</v>
      </c>
      <c r="D4593">
        <v>0.80684260393477003</v>
      </c>
      <c r="E4593">
        <v>0.82380777871454103</v>
      </c>
      <c r="F4593">
        <v>0.53716512431138796</v>
      </c>
      <c r="G4593">
        <v>0.23452637844391699</v>
      </c>
      <c r="H4593">
        <v>0.15079038443730799</v>
      </c>
      <c r="I4593">
        <v>0.16781688395252201</v>
      </c>
      <c r="J4593">
        <v>0.16744022343940601</v>
      </c>
      <c r="K4593">
        <v>0.116227027715995</v>
      </c>
      <c r="L4593">
        <v>807.02204388121197</v>
      </c>
      <c r="M4593">
        <v>16.316126242482898</v>
      </c>
      <c r="N4593">
        <v>50.199344754533499</v>
      </c>
      <c r="O4593">
        <v>48.736533413342201</v>
      </c>
      <c r="P4593">
        <v>-7.4779127585119107E-2</v>
      </c>
      <c r="Q4593">
        <v>0.106599083502778</v>
      </c>
      <c r="R4593">
        <v>0.97484526768838697</v>
      </c>
      <c r="S4593" t="s">
        <v>10144</v>
      </c>
      <c r="T4593" t="s">
        <v>11100</v>
      </c>
      <c r="U4593" t="s">
        <v>11100</v>
      </c>
      <c r="V4593" t="s">
        <v>11100</v>
      </c>
      <c r="W4593" t="s">
        <v>15642</v>
      </c>
      <c r="X4593">
        <v>3</v>
      </c>
      <c r="Y4593" t="s">
        <v>21072</v>
      </c>
      <c r="Z4593" t="s">
        <v>26598</v>
      </c>
      <c r="AA4593">
        <v>0.49435551515934623</v>
      </c>
      <c r="AB4593" t="str">
        <f>HYPERLINK("Melting_Curves/meltCurve_Q9BV23_ABHD6.pdf", "Melting_Curves/meltCurve_Q9BV23_ABHD6.pdf")</f>
        <v>Melting_Curves/meltCurve_Q9BV23_ABHD6.pdf</v>
      </c>
    </row>
    <row r="4594" spans="1:28" x14ac:dyDescent="0.25">
      <c r="A4594" t="s">
        <v>4598</v>
      </c>
      <c r="B4594">
        <v>0.99299721793515405</v>
      </c>
      <c r="C4594">
        <v>1.0462763221643601</v>
      </c>
      <c r="D4594">
        <v>1.04610760613234</v>
      </c>
      <c r="E4594">
        <v>0.95817823827767101</v>
      </c>
      <c r="F4594">
        <v>0.72424682749399005</v>
      </c>
      <c r="G4594">
        <v>0.75332727662698395</v>
      </c>
      <c r="H4594">
        <v>0.81596589446177104</v>
      </c>
      <c r="I4594">
        <v>0.46293738564140302</v>
      </c>
      <c r="J4594">
        <v>0.28582125326861901</v>
      </c>
      <c r="K4594">
        <v>0.18314680491914601</v>
      </c>
      <c r="L4594">
        <v>689.30935713931603</v>
      </c>
      <c r="M4594">
        <v>11.452594569626999</v>
      </c>
      <c r="N4594">
        <v>60.1880519894356</v>
      </c>
      <c r="O4594">
        <v>58.440652135182098</v>
      </c>
      <c r="P4594">
        <v>-4.9006546103472597E-2</v>
      </c>
      <c r="Q4594">
        <v>0</v>
      </c>
      <c r="R4594">
        <v>0.91236307428624697</v>
      </c>
      <c r="S4594" t="s">
        <v>10145</v>
      </c>
      <c r="T4594" t="s">
        <v>11100</v>
      </c>
      <c r="U4594" t="s">
        <v>11100</v>
      </c>
      <c r="V4594" t="s">
        <v>11100</v>
      </c>
      <c r="W4594" t="s">
        <v>15643</v>
      </c>
      <c r="X4594">
        <v>13</v>
      </c>
      <c r="Y4594" t="s">
        <v>21073</v>
      </c>
      <c r="Z4594" t="s">
        <v>26599</v>
      </c>
      <c r="AA4594">
        <v>0.75247928221771432</v>
      </c>
      <c r="AB4594" t="str">
        <f>HYPERLINK("Melting_Curves/meltCurve_Q9BV38_WDR18.pdf", "Melting_Curves/meltCurve_Q9BV38_WDR18.pdf")</f>
        <v>Melting_Curves/meltCurve_Q9BV38_WDR18.pdf</v>
      </c>
    </row>
    <row r="4595" spans="1:28" x14ac:dyDescent="0.25">
      <c r="A4595" t="s">
        <v>4599</v>
      </c>
      <c r="B4595">
        <v>0.99299721793515405</v>
      </c>
      <c r="C4595">
        <v>0.97979118254145103</v>
      </c>
      <c r="D4595">
        <v>0.98762849908855399</v>
      </c>
      <c r="E4595">
        <v>0.91450961402029196</v>
      </c>
      <c r="F4595">
        <v>0.80657843072510804</v>
      </c>
      <c r="G4595">
        <v>0.48501920260041598</v>
      </c>
      <c r="H4595">
        <v>0.46235492288348701</v>
      </c>
      <c r="I4595">
        <v>0.53901913005423197</v>
      </c>
      <c r="J4595">
        <v>0.67391409615415898</v>
      </c>
      <c r="K4595">
        <v>0.54124711707046302</v>
      </c>
      <c r="L4595">
        <v>12566.0453932613</v>
      </c>
      <c r="M4595">
        <v>250</v>
      </c>
      <c r="O4595">
        <v>50.260965010992599</v>
      </c>
      <c r="P4595">
        <v>-0.57162789204589903</v>
      </c>
      <c r="Q4595">
        <v>0.54031088894733303</v>
      </c>
      <c r="R4595">
        <v>0.92139230727360999</v>
      </c>
      <c r="S4595" t="s">
        <v>10146</v>
      </c>
      <c r="T4595" t="s">
        <v>11100</v>
      </c>
      <c r="U4595" t="s">
        <v>11100</v>
      </c>
      <c r="V4595" t="s">
        <v>11100</v>
      </c>
      <c r="W4595" t="s">
        <v>15644</v>
      </c>
      <c r="X4595">
        <v>5</v>
      </c>
      <c r="Y4595" t="s">
        <v>21074</v>
      </c>
      <c r="Z4595" t="s">
        <v>26600</v>
      </c>
      <c r="AA4595">
        <v>0.74359810064200871</v>
      </c>
      <c r="AB4595" t="str">
        <f>HYPERLINK("Melting_Curves/meltCurve_Q9BV40_VAMP8.pdf", "Melting_Curves/meltCurve_Q9BV40_VAMP8.pdf")</f>
        <v>Melting_Curves/meltCurve_Q9BV40_VAMP8.pdf</v>
      </c>
    </row>
    <row r="4596" spans="1:28" x14ac:dyDescent="0.25">
      <c r="A4596" t="s">
        <v>4600</v>
      </c>
      <c r="B4596">
        <v>0.99299721793515405</v>
      </c>
      <c r="C4596">
        <v>0.93741673299219097</v>
      </c>
      <c r="D4596">
        <v>0.99304569058900705</v>
      </c>
      <c r="E4596">
        <v>0.84990980918158698</v>
      </c>
      <c r="F4596">
        <v>0.788119346918286</v>
      </c>
      <c r="G4596">
        <v>0.79653614288873098</v>
      </c>
      <c r="H4596">
        <v>0.588177063527479</v>
      </c>
      <c r="I4596">
        <v>0.385811196052667</v>
      </c>
      <c r="J4596">
        <v>0.21897208724040099</v>
      </c>
      <c r="K4596">
        <v>0.18561780413753301</v>
      </c>
      <c r="L4596">
        <v>638.969840361362</v>
      </c>
      <c r="M4596">
        <v>10.942928425598099</v>
      </c>
      <c r="N4596">
        <v>58.391119450187503</v>
      </c>
      <c r="O4596">
        <v>56.542717026176497</v>
      </c>
      <c r="P4596">
        <v>-4.8400110918173297E-2</v>
      </c>
      <c r="Q4596">
        <v>0</v>
      </c>
      <c r="R4596">
        <v>0.96849714738793002</v>
      </c>
      <c r="S4596" t="s">
        <v>10147</v>
      </c>
      <c r="T4596" t="s">
        <v>11100</v>
      </c>
      <c r="U4596" t="s">
        <v>11100</v>
      </c>
      <c r="V4596" t="s">
        <v>11100</v>
      </c>
      <c r="W4596" t="s">
        <v>15645</v>
      </c>
      <c r="X4596">
        <v>10</v>
      </c>
      <c r="Y4596" t="s">
        <v>21075</v>
      </c>
      <c r="Z4596" t="s">
        <v>26601</v>
      </c>
      <c r="AA4596">
        <v>0.70541985008762353</v>
      </c>
      <c r="AB4596" t="str">
        <f>HYPERLINK("Melting_Curves/meltCurve_Q9BV44_THUMPD3.pdf", "Melting_Curves/meltCurve_Q9BV44_THUMPD3.pdf")</f>
        <v>Melting_Curves/meltCurve_Q9BV44_THUMPD3.pdf</v>
      </c>
    </row>
    <row r="4597" spans="1:28" x14ac:dyDescent="0.25">
      <c r="A4597" t="s">
        <v>4601</v>
      </c>
      <c r="B4597">
        <v>0.99299721793515405</v>
      </c>
      <c r="C4597">
        <v>1.00658330835498</v>
      </c>
      <c r="D4597">
        <v>0.93712236387026704</v>
      </c>
      <c r="E4597">
        <v>0.90788065750476599</v>
      </c>
      <c r="F4597">
        <v>0.64120171657495495</v>
      </c>
      <c r="G4597">
        <v>0.38206867390133498</v>
      </c>
      <c r="H4597">
        <v>0.25112365294632499</v>
      </c>
      <c r="I4597">
        <v>0.16621526345121601</v>
      </c>
      <c r="J4597">
        <v>0.14786206590891901</v>
      </c>
      <c r="K4597">
        <v>0.11613467210820499</v>
      </c>
      <c r="L4597">
        <v>918.98065266796903</v>
      </c>
      <c r="M4597">
        <v>17.8784886859682</v>
      </c>
      <c r="N4597">
        <v>52.174465383630803</v>
      </c>
      <c r="O4597">
        <v>50.771331562779103</v>
      </c>
      <c r="P4597">
        <v>-7.7795447086232497E-2</v>
      </c>
      <c r="Q4597">
        <v>0.116350718033348</v>
      </c>
      <c r="R4597">
        <v>0.99766832965581398</v>
      </c>
      <c r="S4597" t="s">
        <v>10148</v>
      </c>
      <c r="T4597" t="s">
        <v>11100</v>
      </c>
      <c r="U4597" t="s">
        <v>11100</v>
      </c>
      <c r="V4597" t="s">
        <v>11100</v>
      </c>
      <c r="W4597" t="s">
        <v>15646</v>
      </c>
      <c r="X4597">
        <v>11</v>
      </c>
      <c r="Y4597" t="s">
        <v>21076</v>
      </c>
      <c r="Z4597" t="s">
        <v>26602</v>
      </c>
      <c r="AA4597">
        <v>0.55426836071220864</v>
      </c>
      <c r="AB4597" t="str">
        <f>HYPERLINK("Melting_Curves/meltCurve_Q9BV57_ADI1.pdf", "Melting_Curves/meltCurve_Q9BV57_ADI1.pdf")</f>
        <v>Melting_Curves/meltCurve_Q9BV57_ADI1.pdf</v>
      </c>
    </row>
    <row r="4598" spans="1:28" x14ac:dyDescent="0.25">
      <c r="A4598" t="s">
        <v>4602</v>
      </c>
      <c r="B4598">
        <v>0.99299721793515405</v>
      </c>
      <c r="C4598">
        <v>0.87149341665035795</v>
      </c>
      <c r="D4598">
        <v>0.85767868443786999</v>
      </c>
      <c r="E4598">
        <v>0.82638564141121296</v>
      </c>
      <c r="F4598">
        <v>0.59184499903440702</v>
      </c>
      <c r="G4598">
        <v>0.46238690466233001</v>
      </c>
      <c r="H4598">
        <v>0.432889697562859</v>
      </c>
      <c r="I4598">
        <v>0.43235100530436399</v>
      </c>
      <c r="J4598">
        <v>0.47398943846165997</v>
      </c>
      <c r="K4598">
        <v>0.38633965784899199</v>
      </c>
      <c r="L4598">
        <v>589.63373269516705</v>
      </c>
      <c r="M4598">
        <v>12.328531617292301</v>
      </c>
      <c r="N4598">
        <v>54.403772257950898</v>
      </c>
      <c r="O4598">
        <v>46.620657498312099</v>
      </c>
      <c r="P4598">
        <v>-4.0510849280858602E-2</v>
      </c>
      <c r="Q4598">
        <v>0.387361702666986</v>
      </c>
      <c r="R4598">
        <v>0.955251632116627</v>
      </c>
      <c r="S4598" t="s">
        <v>10149</v>
      </c>
      <c r="T4598" t="s">
        <v>11100</v>
      </c>
      <c r="U4598" t="s">
        <v>11100</v>
      </c>
      <c r="V4598" t="s">
        <v>11100</v>
      </c>
      <c r="W4598" t="s">
        <v>15647</v>
      </c>
      <c r="X4598">
        <v>4</v>
      </c>
      <c r="Y4598" t="s">
        <v>21077</v>
      </c>
      <c r="Z4598" t="s">
        <v>26603</v>
      </c>
      <c r="AA4598">
        <v>0.62703430112834224</v>
      </c>
      <c r="AB4598" t="str">
        <f>HYPERLINK("Melting_Curves/meltCurve_Q9BV68_2_RNF126.pdf", "Melting_Curves/meltCurve_Q9BV68_2_RNF126.pdf")</f>
        <v>Melting_Curves/meltCurve_Q9BV68_2_RNF126.pdf</v>
      </c>
    </row>
    <row r="4599" spans="1:28" x14ac:dyDescent="0.25">
      <c r="A4599" t="s">
        <v>4603</v>
      </c>
      <c r="B4599">
        <v>0.99299721793515405</v>
      </c>
      <c r="C4599">
        <v>0.99586138691688397</v>
      </c>
      <c r="D4599">
        <v>0.76914319448067403</v>
      </c>
      <c r="E4599">
        <v>0.83850757249164598</v>
      </c>
      <c r="F4599">
        <v>0.55165927564366801</v>
      </c>
      <c r="G4599">
        <v>0.29563011061580502</v>
      </c>
      <c r="H4599">
        <v>0.353755302609436</v>
      </c>
      <c r="I4599">
        <v>0.235360763852375</v>
      </c>
      <c r="J4599">
        <v>0.34183777221599398</v>
      </c>
      <c r="K4599">
        <v>0.32724105928643499</v>
      </c>
      <c r="L4599">
        <v>791.41449956831298</v>
      </c>
      <c r="M4599">
        <v>16.387625774935</v>
      </c>
      <c r="N4599">
        <v>50.818690781895398</v>
      </c>
      <c r="O4599">
        <v>47.591472098515503</v>
      </c>
      <c r="P4599">
        <v>-6.2111891171935898E-2</v>
      </c>
      <c r="Q4599">
        <v>0.27853239515529399</v>
      </c>
      <c r="R4599">
        <v>0.93910329304499196</v>
      </c>
      <c r="S4599" t="s">
        <v>10150</v>
      </c>
      <c r="T4599" t="s">
        <v>11100</v>
      </c>
      <c r="U4599" t="s">
        <v>11100</v>
      </c>
      <c r="V4599" t="s">
        <v>11100</v>
      </c>
      <c r="W4599" t="s">
        <v>15648</v>
      </c>
      <c r="X4599">
        <v>3</v>
      </c>
      <c r="Y4599" t="s">
        <v>21078</v>
      </c>
      <c r="Z4599" t="s">
        <v>26604</v>
      </c>
      <c r="AA4599">
        <v>0.56372031398876898</v>
      </c>
      <c r="AB4599" t="str">
        <f>HYPERLINK("Melting_Curves/meltCurve_Q9BV73_2_CEP250.pdf", "Melting_Curves/meltCurve_Q9BV73_2_CEP250.pdf")</f>
        <v>Melting_Curves/meltCurve_Q9BV73_2_CEP250.pdf</v>
      </c>
    </row>
    <row r="4600" spans="1:28" x14ac:dyDescent="0.25">
      <c r="A4600" t="s">
        <v>4604</v>
      </c>
      <c r="B4600">
        <v>0.99299721793515405</v>
      </c>
      <c r="C4600">
        <v>0.86375701454183695</v>
      </c>
      <c r="D4600">
        <v>0.91822389406920701</v>
      </c>
      <c r="E4600">
        <v>0.75598595894865395</v>
      </c>
      <c r="F4600">
        <v>0.68526614612086201</v>
      </c>
      <c r="G4600">
        <v>0.54504899039842003</v>
      </c>
      <c r="H4600">
        <v>0.44602479427375502</v>
      </c>
      <c r="I4600">
        <v>0.22138554907866301</v>
      </c>
      <c r="J4600">
        <v>0.16193381754356401</v>
      </c>
      <c r="K4600">
        <v>0.15238965471291799</v>
      </c>
      <c r="L4600">
        <v>466.72584792981098</v>
      </c>
      <c r="M4600">
        <v>8.6224258698018694</v>
      </c>
      <c r="N4600">
        <v>54.129304201852499</v>
      </c>
      <c r="O4600">
        <v>51.453857073438698</v>
      </c>
      <c r="P4600">
        <v>-4.1929742459598497E-2</v>
      </c>
      <c r="Q4600">
        <v>0</v>
      </c>
      <c r="R4600">
        <v>0.97614547867093804</v>
      </c>
      <c r="S4600" t="s">
        <v>10151</v>
      </c>
      <c r="T4600" t="s">
        <v>11100</v>
      </c>
      <c r="U4600" t="s">
        <v>11100</v>
      </c>
      <c r="V4600" t="s">
        <v>11100</v>
      </c>
      <c r="W4600" t="s">
        <v>15649</v>
      </c>
      <c r="X4600">
        <v>6</v>
      </c>
      <c r="Y4600" t="s">
        <v>21079</v>
      </c>
      <c r="Z4600" t="s">
        <v>26605</v>
      </c>
      <c r="AA4600">
        <v>0.58603854100152752</v>
      </c>
      <c r="AB4600" t="str">
        <f>HYPERLINK("Melting_Curves/meltCurve_Q9BV79_MECR.pdf", "Melting_Curves/meltCurve_Q9BV79_MECR.pdf")</f>
        <v>Melting_Curves/meltCurve_Q9BV79_MECR.pdf</v>
      </c>
    </row>
    <row r="4601" spans="1:28" x14ac:dyDescent="0.25">
      <c r="A4601" t="s">
        <v>4605</v>
      </c>
      <c r="B4601">
        <v>0.99299721793515405</v>
      </c>
      <c r="C4601">
        <v>1.01474384853495</v>
      </c>
      <c r="D4601">
        <v>1.3518674843248999</v>
      </c>
      <c r="E4601">
        <v>0.87057232354714797</v>
      </c>
      <c r="F4601">
        <v>0.73926180653225804</v>
      </c>
      <c r="G4601">
        <v>0.28409281855970703</v>
      </c>
      <c r="H4601">
        <v>0.12332745412410701</v>
      </c>
      <c r="I4601">
        <v>0.12361681198564201</v>
      </c>
      <c r="J4601">
        <v>9.6504479538576202E-2</v>
      </c>
      <c r="K4601">
        <v>8.3086406046326097E-2</v>
      </c>
      <c r="L4601">
        <v>1544.7052671582901</v>
      </c>
      <c r="M4601">
        <v>29.972089413146399</v>
      </c>
      <c r="N4601">
        <v>51.893050103724903</v>
      </c>
      <c r="O4601">
        <v>51.3103278202694</v>
      </c>
      <c r="P4601">
        <v>-0.13250059913450801</v>
      </c>
      <c r="Q4601">
        <v>9.2675240166358502E-2</v>
      </c>
      <c r="R4601">
        <v>0.93380075701139498</v>
      </c>
      <c r="S4601" t="s">
        <v>10152</v>
      </c>
      <c r="T4601" t="s">
        <v>11100</v>
      </c>
      <c r="U4601" t="s">
        <v>11100</v>
      </c>
      <c r="V4601" t="s">
        <v>11100</v>
      </c>
      <c r="W4601" t="s">
        <v>15650</v>
      </c>
      <c r="X4601">
        <v>9</v>
      </c>
      <c r="Y4601" t="s">
        <v>21080</v>
      </c>
      <c r="Z4601" t="s">
        <v>26606</v>
      </c>
      <c r="AA4601">
        <v>0.53807242724066973</v>
      </c>
      <c r="AB4601" t="str">
        <f>HYPERLINK("Melting_Curves/meltCurve_Q9BV86_NTMT1.pdf", "Melting_Curves/meltCurve_Q9BV86_NTMT1.pdf")</f>
        <v>Melting_Curves/meltCurve_Q9BV86_NTMT1.pdf</v>
      </c>
    </row>
    <row r="4602" spans="1:28" x14ac:dyDescent="0.25">
      <c r="A4602" t="s">
        <v>4606</v>
      </c>
      <c r="B4602">
        <v>0.99299721793515405</v>
      </c>
      <c r="C4602">
        <v>1.0849284549334499</v>
      </c>
      <c r="D4602">
        <v>0.90994393900857895</v>
      </c>
      <c r="E4602">
        <v>1.00215204418677</v>
      </c>
      <c r="F4602">
        <v>0.70277686002986395</v>
      </c>
      <c r="G4602">
        <v>0.31160118887227001</v>
      </c>
      <c r="H4602">
        <v>0.26390393170078402</v>
      </c>
      <c r="I4602">
        <v>0.25447814356363102</v>
      </c>
      <c r="J4602">
        <v>0.12592650701983099</v>
      </c>
      <c r="K4602">
        <v>0.122032587757041</v>
      </c>
      <c r="L4602">
        <v>1548.1730015963301</v>
      </c>
      <c r="M4602">
        <v>30.245802044161</v>
      </c>
      <c r="N4602">
        <v>51.938465084548099</v>
      </c>
      <c r="O4602">
        <v>50.964183648550602</v>
      </c>
      <c r="P4602">
        <v>-0.122059371451309</v>
      </c>
      <c r="Q4602">
        <v>0.17732494734917001</v>
      </c>
      <c r="R4602">
        <v>0.97797957224562604</v>
      </c>
      <c r="S4602" t="s">
        <v>10153</v>
      </c>
      <c r="T4602" t="s">
        <v>11100</v>
      </c>
      <c r="U4602" t="s">
        <v>11100</v>
      </c>
      <c r="V4602" t="s">
        <v>11100</v>
      </c>
      <c r="W4602" t="s">
        <v>15651</v>
      </c>
      <c r="X4602">
        <v>9</v>
      </c>
      <c r="Y4602" t="s">
        <v>21081</v>
      </c>
      <c r="Z4602" t="s">
        <v>26607</v>
      </c>
      <c r="AA4602">
        <v>0.57140858222929924</v>
      </c>
      <c r="AB4602" t="str">
        <f>HYPERLINK("Melting_Curves/meltCurve_Q9BVA0_KATNB1.pdf", "Melting_Curves/meltCurve_Q9BVA0_KATNB1.pdf")</f>
        <v>Melting_Curves/meltCurve_Q9BVA0_KATNB1.pdf</v>
      </c>
    </row>
    <row r="4603" spans="1:28" x14ac:dyDescent="0.25">
      <c r="A4603" t="s">
        <v>4607</v>
      </c>
      <c r="B4603">
        <v>0.99299721793515405</v>
      </c>
      <c r="C4603">
        <v>1.0428930893730699</v>
      </c>
      <c r="D4603">
        <v>0.91626833910928795</v>
      </c>
      <c r="E4603">
        <v>0.92305037518653499</v>
      </c>
      <c r="F4603">
        <v>0.78625183914018104</v>
      </c>
      <c r="G4603">
        <v>0.673036354093139</v>
      </c>
      <c r="H4603">
        <v>0.69625488299692095</v>
      </c>
      <c r="I4603">
        <v>0.59504068924275799</v>
      </c>
      <c r="J4603">
        <v>0.26833437453810999</v>
      </c>
      <c r="K4603">
        <v>9.6259060561390303E-2</v>
      </c>
      <c r="L4603">
        <v>606.78481389318301</v>
      </c>
      <c r="M4603">
        <v>10.200393676863101</v>
      </c>
      <c r="N4603">
        <v>59.486411336801901</v>
      </c>
      <c r="O4603">
        <v>57.336029328502903</v>
      </c>
      <c r="P4603">
        <v>-4.44964204186395E-2</v>
      </c>
      <c r="Q4603">
        <v>0</v>
      </c>
      <c r="R4603">
        <v>0.90888467982626497</v>
      </c>
      <c r="S4603" t="s">
        <v>10154</v>
      </c>
      <c r="T4603" t="s">
        <v>11100</v>
      </c>
      <c r="U4603" t="s">
        <v>11100</v>
      </c>
      <c r="V4603" t="s">
        <v>11100</v>
      </c>
      <c r="W4603" t="s">
        <v>15652</v>
      </c>
      <c r="X4603">
        <v>35</v>
      </c>
      <c r="Y4603" t="s">
        <v>21082</v>
      </c>
      <c r="Z4603" t="s">
        <v>26608</v>
      </c>
      <c r="AA4603">
        <v>0.72892805351005652</v>
      </c>
      <c r="AB4603" t="str">
        <f>HYPERLINK("Melting_Curves/meltCurve_Q9BVA1_TUBB2B.pdf", "Melting_Curves/meltCurve_Q9BVA1_TUBB2B.pdf")</f>
        <v>Melting_Curves/meltCurve_Q9BVA1_TUBB2B.pdf</v>
      </c>
    </row>
    <row r="4604" spans="1:28" x14ac:dyDescent="0.25">
      <c r="A4604" t="s">
        <v>4608</v>
      </c>
      <c r="B4604">
        <v>0.99299721793515405</v>
      </c>
      <c r="C4604">
        <v>0.98091196372151701</v>
      </c>
      <c r="D4604">
        <v>1.20027747213144</v>
      </c>
      <c r="E4604">
        <v>1.1139973515302499</v>
      </c>
      <c r="F4604">
        <v>0.88628587979197504</v>
      </c>
      <c r="G4604">
        <v>0.21952721562661101</v>
      </c>
      <c r="H4604">
        <v>0.18654944912767299</v>
      </c>
      <c r="I4604">
        <v>0.14247949259793999</v>
      </c>
      <c r="J4604">
        <v>0.10320563982931499</v>
      </c>
      <c r="K4604">
        <v>7.5389206903370504E-2</v>
      </c>
      <c r="L4604">
        <v>3006.2641724946998</v>
      </c>
      <c r="M4604">
        <v>57.969532183358602</v>
      </c>
      <c r="N4604">
        <v>52.119267372655401</v>
      </c>
      <c r="O4604">
        <v>51.797753428934897</v>
      </c>
      <c r="P4604">
        <v>-0.24467036864803501</v>
      </c>
      <c r="Q4604">
        <v>0.12551475889008201</v>
      </c>
      <c r="R4604">
        <v>0.97054142439697999</v>
      </c>
      <c r="S4604" t="s">
        <v>10155</v>
      </c>
      <c r="T4604" t="s">
        <v>11100</v>
      </c>
      <c r="U4604" t="s">
        <v>11100</v>
      </c>
      <c r="V4604" t="s">
        <v>11100</v>
      </c>
      <c r="W4604" t="s">
        <v>15653</v>
      </c>
      <c r="X4604">
        <v>2</v>
      </c>
      <c r="Y4604" t="s">
        <v>21083</v>
      </c>
      <c r="Z4604" t="s">
        <v>26609</v>
      </c>
      <c r="AA4604">
        <v>0.56014443009689829</v>
      </c>
      <c r="AB4604" t="str">
        <f>HYPERLINK("Melting_Curves/meltCurve_Q9BVC3_DSCC1.pdf", "Melting_Curves/meltCurve_Q9BVC3_DSCC1.pdf")</f>
        <v>Melting_Curves/meltCurve_Q9BVC3_DSCC1.pdf</v>
      </c>
    </row>
    <row r="4605" spans="1:28" x14ac:dyDescent="0.25">
      <c r="A4605" t="s">
        <v>4609</v>
      </c>
      <c r="B4605">
        <v>0.99299721793515405</v>
      </c>
      <c r="C4605">
        <v>0.97800099569557997</v>
      </c>
      <c r="D4605">
        <v>0.83423824370170097</v>
      </c>
      <c r="E4605">
        <v>0.75139869811639104</v>
      </c>
      <c r="F4605">
        <v>0.62021604816649001</v>
      </c>
      <c r="G4605">
        <v>0.34871351626888603</v>
      </c>
      <c r="H4605">
        <v>0.182718745225913</v>
      </c>
      <c r="I4605">
        <v>0.13929764783012399</v>
      </c>
      <c r="J4605">
        <v>9.5430875574268201E-2</v>
      </c>
      <c r="K4605">
        <v>6.5281705259974093E-2</v>
      </c>
      <c r="L4605">
        <v>589.11453742940603</v>
      </c>
      <c r="M4605">
        <v>11.508653755216701</v>
      </c>
      <c r="N4605">
        <v>51.188831220501797</v>
      </c>
      <c r="O4605">
        <v>49.716477327265601</v>
      </c>
      <c r="P4605">
        <v>-5.7887826395491497E-2</v>
      </c>
      <c r="Q4605">
        <v>0</v>
      </c>
      <c r="R4605">
        <v>0.99166960223154998</v>
      </c>
      <c r="S4605" t="s">
        <v>10156</v>
      </c>
      <c r="T4605" t="s">
        <v>11100</v>
      </c>
      <c r="U4605" t="s">
        <v>11100</v>
      </c>
      <c r="V4605" t="s">
        <v>11100</v>
      </c>
      <c r="W4605" t="s">
        <v>15654</v>
      </c>
      <c r="X4605">
        <v>5</v>
      </c>
      <c r="Y4605" t="s">
        <v>21084</v>
      </c>
      <c r="Z4605" t="s">
        <v>26610</v>
      </c>
      <c r="AA4605">
        <v>0.499602461046182</v>
      </c>
      <c r="AB4605" t="str">
        <f>HYPERLINK("Melting_Curves/meltCurve_Q9BVC4_MLST8.pdf", "Melting_Curves/meltCurve_Q9BVC4_MLST8.pdf")</f>
        <v>Melting_Curves/meltCurve_Q9BVC4_MLST8.pdf</v>
      </c>
    </row>
    <row r="4606" spans="1:28" x14ac:dyDescent="0.25">
      <c r="A4606" t="s">
        <v>4610</v>
      </c>
      <c r="B4606">
        <v>0.99299721793515405</v>
      </c>
      <c r="C4606">
        <v>0.91036802850833198</v>
      </c>
      <c r="D4606">
        <v>1.0424960070613001</v>
      </c>
      <c r="E4606">
        <v>0.86921244643269902</v>
      </c>
      <c r="F4606">
        <v>0.81707359853169004</v>
      </c>
      <c r="G4606">
        <v>0.74471189327542198</v>
      </c>
      <c r="H4606">
        <v>0.67309925952078398</v>
      </c>
      <c r="I4606">
        <v>0.76582718505703196</v>
      </c>
      <c r="J4606">
        <v>0.77895451730830401</v>
      </c>
      <c r="K4606">
        <v>0.96708420384495997</v>
      </c>
      <c r="L4606">
        <v>6516.7774557262301</v>
      </c>
      <c r="M4606">
        <v>140.360626647168</v>
      </c>
      <c r="O4606">
        <v>46.419400297310297</v>
      </c>
      <c r="P4606">
        <v>-0.15789748885101801</v>
      </c>
      <c r="Q4606">
        <v>0.79112361325040104</v>
      </c>
      <c r="R4606">
        <v>0.55231069409589795</v>
      </c>
      <c r="S4606" t="s">
        <v>10157</v>
      </c>
      <c r="T4606" t="s">
        <v>11100</v>
      </c>
      <c r="U4606" t="s">
        <v>11100</v>
      </c>
      <c r="V4606" t="s">
        <v>11100</v>
      </c>
      <c r="W4606" t="s">
        <v>15655</v>
      </c>
      <c r="X4606">
        <v>9</v>
      </c>
      <c r="Y4606" t="s">
        <v>21085</v>
      </c>
      <c r="Z4606" t="s">
        <v>26611</v>
      </c>
      <c r="AA4606">
        <v>0.85682618722087556</v>
      </c>
      <c r="AB4606" t="str">
        <f>HYPERLINK("Melting_Curves/meltCurve_Q9BVC6_TMEM109.pdf", "Melting_Curves/meltCurve_Q9BVC6_TMEM109.pdf")</f>
        <v>Melting_Curves/meltCurve_Q9BVC6_TMEM109.pdf</v>
      </c>
    </row>
    <row r="4607" spans="1:28" x14ac:dyDescent="0.25">
      <c r="A4607" t="s">
        <v>4611</v>
      </c>
      <c r="B4607">
        <v>0.99299721793515405</v>
      </c>
      <c r="C4607">
        <v>1.0765633961451899</v>
      </c>
      <c r="D4607">
        <v>0.916557541916178</v>
      </c>
      <c r="E4607">
        <v>0.89073090927531595</v>
      </c>
      <c r="F4607">
        <v>0.69046800207755699</v>
      </c>
      <c r="G4607">
        <v>0.47271144757283401</v>
      </c>
      <c r="H4607">
        <v>0.30198055282172598</v>
      </c>
      <c r="I4607">
        <v>0.239033925813146</v>
      </c>
      <c r="J4607">
        <v>0.21964049720283799</v>
      </c>
      <c r="K4607">
        <v>0.14603856138184601</v>
      </c>
      <c r="L4607">
        <v>788.18307056480296</v>
      </c>
      <c r="M4607">
        <v>15.127119588161801</v>
      </c>
      <c r="N4607">
        <v>53.304052972191101</v>
      </c>
      <c r="O4607">
        <v>51.218861294677403</v>
      </c>
      <c r="P4607">
        <v>-6.3185980685891902E-2</v>
      </c>
      <c r="Q4607">
        <v>0.14431888812056101</v>
      </c>
      <c r="R4607">
        <v>0.98995949548918905</v>
      </c>
      <c r="S4607" t="s">
        <v>10158</v>
      </c>
      <c r="T4607" t="s">
        <v>11100</v>
      </c>
      <c r="U4607" t="s">
        <v>11100</v>
      </c>
      <c r="V4607" t="s">
        <v>11100</v>
      </c>
      <c r="W4607" t="s">
        <v>15656</v>
      </c>
      <c r="X4607">
        <v>8</v>
      </c>
      <c r="Y4607" t="s">
        <v>21086</v>
      </c>
      <c r="Z4607" t="s">
        <v>26612</v>
      </c>
      <c r="AA4607">
        <v>0.5912412445730213</v>
      </c>
      <c r="AB4607" t="str">
        <f>HYPERLINK("Melting_Curves/meltCurve_Q9BVG4_PBDC1.pdf", "Melting_Curves/meltCurve_Q9BVG4_PBDC1.pdf")</f>
        <v>Melting_Curves/meltCurve_Q9BVG4_PBDC1.pdf</v>
      </c>
    </row>
    <row r="4608" spans="1:28" x14ac:dyDescent="0.25">
      <c r="A4608" t="s">
        <v>4612</v>
      </c>
      <c r="B4608">
        <v>0.99299721793515405</v>
      </c>
      <c r="C4608">
        <v>0.84134834135512504</v>
      </c>
      <c r="D4608">
        <v>1.0003455646839201</v>
      </c>
      <c r="E4608">
        <v>0.81323648107368496</v>
      </c>
      <c r="F4608">
        <v>0.77458708182074998</v>
      </c>
      <c r="G4608">
        <v>0.66381121521470199</v>
      </c>
      <c r="H4608">
        <v>0.486145808742042</v>
      </c>
      <c r="I4608">
        <v>0.36359608839372198</v>
      </c>
      <c r="J4608">
        <v>0.19868274466396499</v>
      </c>
      <c r="K4608">
        <v>0.150061986221774</v>
      </c>
      <c r="L4608">
        <v>538.92022634086004</v>
      </c>
      <c r="M4608">
        <v>9.5226524821103595</v>
      </c>
      <c r="N4608">
        <v>56.5934856715131</v>
      </c>
      <c r="O4608">
        <v>54.266391005375603</v>
      </c>
      <c r="P4608">
        <v>-4.3895650897845299E-2</v>
      </c>
      <c r="Q4608">
        <v>0</v>
      </c>
      <c r="R4608">
        <v>0.96150795779848297</v>
      </c>
      <c r="S4608" t="s">
        <v>10159</v>
      </c>
      <c r="T4608" t="s">
        <v>11100</v>
      </c>
      <c r="U4608" t="s">
        <v>11100</v>
      </c>
      <c r="V4608" t="s">
        <v>11100</v>
      </c>
      <c r="W4608" t="s">
        <v>15657</v>
      </c>
      <c r="X4608">
        <v>4</v>
      </c>
      <c r="Y4608" t="s">
        <v>21087</v>
      </c>
      <c r="Z4608" t="s">
        <v>26613</v>
      </c>
      <c r="AA4608">
        <v>0.65348327672488993</v>
      </c>
      <c r="AB4608" t="str">
        <f>HYPERLINK("Melting_Curves/meltCurve_Q9BVG9_PTDSS2.pdf", "Melting_Curves/meltCurve_Q9BVG9_PTDSS2.pdf")</f>
        <v>Melting_Curves/meltCurve_Q9BVG9_PTDSS2.pdf</v>
      </c>
    </row>
    <row r="4609" spans="1:28" x14ac:dyDescent="0.25">
      <c r="A4609" t="s">
        <v>4613</v>
      </c>
      <c r="B4609">
        <v>0.99299721793515405</v>
      </c>
      <c r="C4609">
        <v>0.99884906713423505</v>
      </c>
      <c r="D4609">
        <v>0.82860529691468199</v>
      </c>
      <c r="E4609">
        <v>0.85926954484489604</v>
      </c>
      <c r="F4609">
        <v>0.76870164078300296</v>
      </c>
      <c r="G4609">
        <v>0.430868418258117</v>
      </c>
      <c r="H4609">
        <v>0.56840830441194401</v>
      </c>
      <c r="I4609">
        <v>0.59638581018227399</v>
      </c>
      <c r="J4609">
        <v>0.55657239087327703</v>
      </c>
      <c r="K4609">
        <v>0.35418790221337698</v>
      </c>
      <c r="L4609">
        <v>560.59563041297895</v>
      </c>
      <c r="M4609">
        <v>11.373845328630001</v>
      </c>
      <c r="N4609">
        <v>60.9979698325035</v>
      </c>
      <c r="O4609">
        <v>47.838279197592001</v>
      </c>
      <c r="P4609">
        <v>-3.3077309878316502E-2</v>
      </c>
      <c r="Q4609">
        <v>0.44367366684590998</v>
      </c>
      <c r="R4609">
        <v>0.84063370844684204</v>
      </c>
      <c r="S4609" t="s">
        <v>10160</v>
      </c>
      <c r="T4609" t="s">
        <v>11100</v>
      </c>
      <c r="U4609" t="s">
        <v>11100</v>
      </c>
      <c r="V4609" t="s">
        <v>11100</v>
      </c>
      <c r="W4609" t="s">
        <v>15658</v>
      </c>
      <c r="X4609">
        <v>1</v>
      </c>
      <c r="Y4609" t="s">
        <v>21088</v>
      </c>
      <c r="Z4609" t="s">
        <v>26614</v>
      </c>
      <c r="AA4609">
        <v>0.68894166320013972</v>
      </c>
      <c r="AB4609" t="str">
        <f>HYPERLINK("Melting_Curves/meltCurve_Q9BVJ6_3_UTP14A.pdf", "Melting_Curves/meltCurve_Q9BVJ6_3_UTP14A.pdf")</f>
        <v>Melting_Curves/meltCurve_Q9BVJ6_3_UTP14A.pdf</v>
      </c>
    </row>
    <row r="4610" spans="1:28" x14ac:dyDescent="0.25">
      <c r="A4610" t="s">
        <v>4614</v>
      </c>
      <c r="B4610">
        <v>0.99299721793515405</v>
      </c>
      <c r="C4610">
        <v>1.04359639777611</v>
      </c>
      <c r="D4610">
        <v>1.01119170948755</v>
      </c>
      <c r="E4610">
        <v>0.94166567712112503</v>
      </c>
      <c r="F4610">
        <v>0.77348055885580502</v>
      </c>
      <c r="G4610">
        <v>0.64879388083489098</v>
      </c>
      <c r="H4610">
        <v>0.600961946352365</v>
      </c>
      <c r="I4610">
        <v>0.43280355890961703</v>
      </c>
      <c r="J4610">
        <v>0.184951513583619</v>
      </c>
      <c r="K4610">
        <v>0.134584610451599</v>
      </c>
      <c r="L4610">
        <v>633.58568808745304</v>
      </c>
      <c r="M4610">
        <v>10.960214083241</v>
      </c>
      <c r="N4610">
        <v>57.807784025455398</v>
      </c>
      <c r="O4610">
        <v>55.983316582263598</v>
      </c>
      <c r="P4610">
        <v>-4.8960853705058698E-2</v>
      </c>
      <c r="Q4610">
        <v>0</v>
      </c>
      <c r="R4610">
        <v>0.971578595203208</v>
      </c>
      <c r="S4610" t="s">
        <v>10161</v>
      </c>
      <c r="T4610" t="s">
        <v>11100</v>
      </c>
      <c r="U4610" t="s">
        <v>11100</v>
      </c>
      <c r="V4610" t="s">
        <v>11100</v>
      </c>
      <c r="W4610" t="s">
        <v>15659</v>
      </c>
      <c r="X4610">
        <v>10</v>
      </c>
      <c r="Y4610" t="s">
        <v>21089</v>
      </c>
      <c r="Z4610" t="s">
        <v>26615</v>
      </c>
      <c r="AA4610">
        <v>0.69036189600914999</v>
      </c>
      <c r="AB4610" t="str">
        <f>HYPERLINK("Melting_Curves/meltCurve_Q9BVK6_TMED9.pdf", "Melting_Curves/meltCurve_Q9BVK6_TMED9.pdf")</f>
        <v>Melting_Curves/meltCurve_Q9BVK6_TMED9.pdf</v>
      </c>
    </row>
    <row r="4611" spans="1:28" x14ac:dyDescent="0.25">
      <c r="A4611" t="s">
        <v>4615</v>
      </c>
      <c r="B4611">
        <v>0.99299721793515405</v>
      </c>
      <c r="C4611">
        <v>0.931761421953192</v>
      </c>
      <c r="D4611">
        <v>0.94785566427555101</v>
      </c>
      <c r="E4611">
        <v>0.81597737859809705</v>
      </c>
      <c r="F4611">
        <v>0.33704316343930402</v>
      </c>
      <c r="G4611">
        <v>0.242057291795329</v>
      </c>
      <c r="H4611">
        <v>0.18271234337488701</v>
      </c>
      <c r="I4611">
        <v>0.19341780818638599</v>
      </c>
      <c r="J4611">
        <v>0.19797005110507701</v>
      </c>
      <c r="K4611">
        <v>0.134946567675995</v>
      </c>
      <c r="L4611">
        <v>1600.0062310319399</v>
      </c>
      <c r="M4611">
        <v>33.192565175083097</v>
      </c>
      <c r="N4611">
        <v>48.869012245269403</v>
      </c>
      <c r="O4611">
        <v>48.029796589998298</v>
      </c>
      <c r="P4611">
        <v>-0.14136558954022799</v>
      </c>
      <c r="Q4611">
        <v>0.18177689373177899</v>
      </c>
      <c r="R4611">
        <v>0.99168873727173601</v>
      </c>
      <c r="S4611" t="s">
        <v>10162</v>
      </c>
      <c r="T4611" t="s">
        <v>11100</v>
      </c>
      <c r="U4611" t="s">
        <v>11100</v>
      </c>
      <c r="V4611" t="s">
        <v>11100</v>
      </c>
      <c r="W4611" t="s">
        <v>15660</v>
      </c>
      <c r="X4611">
        <v>13</v>
      </c>
      <c r="Y4611" t="s">
        <v>21090</v>
      </c>
      <c r="Z4611" t="s">
        <v>26616</v>
      </c>
      <c r="AA4611">
        <v>0.49131911971354519</v>
      </c>
      <c r="AB4611" t="str">
        <f>HYPERLINK("Melting_Curves/meltCurve_Q9BVL4_SELO.pdf", "Melting_Curves/meltCurve_Q9BVL4_SELO.pdf")</f>
        <v>Melting_Curves/meltCurve_Q9BVL4_SELO.pdf</v>
      </c>
    </row>
    <row r="4612" spans="1:28" x14ac:dyDescent="0.25">
      <c r="A4612" t="s">
        <v>4616</v>
      </c>
      <c r="B4612">
        <v>0.99299721793515405</v>
      </c>
      <c r="C4612">
        <v>0.86540846724426201</v>
      </c>
      <c r="D4612">
        <v>0.88310053956290802</v>
      </c>
      <c r="E4612">
        <v>0.72220545754251997</v>
      </c>
      <c r="F4612">
        <v>0.57342316318322295</v>
      </c>
      <c r="G4612">
        <v>0.29533441210422301</v>
      </c>
      <c r="H4612">
        <v>0.22309411077142799</v>
      </c>
      <c r="I4612">
        <v>0.26934280369834002</v>
      </c>
      <c r="J4612">
        <v>0.21596985616808101</v>
      </c>
      <c r="K4612">
        <v>0.181946849537065</v>
      </c>
      <c r="L4612">
        <v>623.35432617776098</v>
      </c>
      <c r="M4612">
        <v>12.7343794986957</v>
      </c>
      <c r="N4612">
        <v>50.469116210780001</v>
      </c>
      <c r="O4612">
        <v>47.790477692567599</v>
      </c>
      <c r="P4612">
        <v>-5.6024391941980903E-2</v>
      </c>
      <c r="Q4612">
        <v>0.15915180768382201</v>
      </c>
      <c r="R4612">
        <v>0.97710839350335399</v>
      </c>
      <c r="S4612" t="s">
        <v>10163</v>
      </c>
      <c r="T4612" t="s">
        <v>11100</v>
      </c>
      <c r="U4612" t="s">
        <v>11100</v>
      </c>
      <c r="V4612" t="s">
        <v>11100</v>
      </c>
      <c r="W4612" t="s">
        <v>15661</v>
      </c>
      <c r="X4612">
        <v>1</v>
      </c>
      <c r="Y4612" t="s">
        <v>21091</v>
      </c>
      <c r="Z4612" t="s">
        <v>26617</v>
      </c>
      <c r="AA4612">
        <v>0.5172106938076817</v>
      </c>
      <c r="AB4612" t="str">
        <f>HYPERLINK("Melting_Curves/meltCurve_Q9BVM2_DPCD.pdf", "Melting_Curves/meltCurve_Q9BVM2_DPCD.pdf")</f>
        <v>Melting_Curves/meltCurve_Q9BVM2_DPCD.pdf</v>
      </c>
    </row>
    <row r="4613" spans="1:28" x14ac:dyDescent="0.25">
      <c r="A4613" t="s">
        <v>4617</v>
      </c>
      <c r="B4613">
        <v>0.99299721793515405</v>
      </c>
      <c r="C4613">
        <v>1.0995497716483</v>
      </c>
      <c r="D4613">
        <v>0.74268067157386597</v>
      </c>
      <c r="E4613">
        <v>0.98273776914587496</v>
      </c>
      <c r="F4613">
        <v>0.90529422066986798</v>
      </c>
      <c r="G4613">
        <v>0.47875159619122198</v>
      </c>
      <c r="H4613">
        <v>0.35742699036577502</v>
      </c>
      <c r="I4613">
        <v>0.11483850913133201</v>
      </c>
      <c r="J4613">
        <v>0.106317898052881</v>
      </c>
      <c r="K4613">
        <v>9.6260292750987395E-2</v>
      </c>
      <c r="L4613">
        <v>1118.8652163156301</v>
      </c>
      <c r="M4613">
        <v>20.725359863610301</v>
      </c>
      <c r="N4613">
        <v>54.410217211552499</v>
      </c>
      <c r="O4613">
        <v>53.490262343208499</v>
      </c>
      <c r="P4613">
        <v>-8.9630434600957307E-2</v>
      </c>
      <c r="Q4613">
        <v>7.4714297521938894E-2</v>
      </c>
      <c r="R4613">
        <v>0.937992688548135</v>
      </c>
      <c r="S4613" t="s">
        <v>10164</v>
      </c>
      <c r="T4613" t="s">
        <v>11100</v>
      </c>
      <c r="U4613" t="s">
        <v>11100</v>
      </c>
      <c r="V4613" t="s">
        <v>11100</v>
      </c>
      <c r="W4613" t="s">
        <v>15662</v>
      </c>
      <c r="X4613">
        <v>1</v>
      </c>
      <c r="Y4613" t="s">
        <v>21092</v>
      </c>
      <c r="Z4613" t="s">
        <v>26618</v>
      </c>
      <c r="AA4613">
        <v>0.60927383544962743</v>
      </c>
      <c r="AB4613" t="str">
        <f>HYPERLINK("Melting_Curves/meltCurve_Q9BVM4_GGACT.pdf", "Melting_Curves/meltCurve_Q9BVM4_GGACT.pdf")</f>
        <v>Melting_Curves/meltCurve_Q9BVM4_GGACT.pdf</v>
      </c>
    </row>
    <row r="4614" spans="1:28" x14ac:dyDescent="0.25">
      <c r="A4614" t="s">
        <v>4618</v>
      </c>
      <c r="B4614">
        <v>0.99299721793515405</v>
      </c>
      <c r="C4614">
        <v>0.866302056278484</v>
      </c>
      <c r="D4614">
        <v>0.96283150488410796</v>
      </c>
      <c r="E4614">
        <v>0.92383238620933095</v>
      </c>
      <c r="F4614">
        <v>0.73244209321836395</v>
      </c>
      <c r="G4614">
        <v>0.44607571875546698</v>
      </c>
      <c r="H4614">
        <v>0.27652531377267098</v>
      </c>
      <c r="I4614">
        <v>0.236848103253226</v>
      </c>
      <c r="J4614">
        <v>0.175965106373697</v>
      </c>
      <c r="K4614">
        <v>0.18565352822759801</v>
      </c>
      <c r="L4614">
        <v>1001.98319929961</v>
      </c>
      <c r="M4614">
        <v>19.277909930650001</v>
      </c>
      <c r="N4614">
        <v>53.122391514883397</v>
      </c>
      <c r="O4614">
        <v>51.426149283521902</v>
      </c>
      <c r="P4614">
        <v>-7.7769060309232599E-2</v>
      </c>
      <c r="Q4614">
        <v>0.17019821995086701</v>
      </c>
      <c r="R4614">
        <v>0.98270854926449003</v>
      </c>
      <c r="S4614" t="s">
        <v>10165</v>
      </c>
      <c r="T4614" t="s">
        <v>11100</v>
      </c>
      <c r="U4614" t="s">
        <v>11100</v>
      </c>
      <c r="V4614" t="s">
        <v>11100</v>
      </c>
      <c r="W4614" t="s">
        <v>15663</v>
      </c>
      <c r="X4614">
        <v>3</v>
      </c>
      <c r="Y4614" t="s">
        <v>21093</v>
      </c>
      <c r="Z4614" t="s">
        <v>26619</v>
      </c>
      <c r="AA4614">
        <v>0.59577522400299487</v>
      </c>
      <c r="AB4614" t="str">
        <f>HYPERLINK("Melting_Curves/meltCurve_Q9BVN2_2_RUSC1.pdf", "Melting_Curves/meltCurve_Q9BVN2_2_RUSC1.pdf")</f>
        <v>Melting_Curves/meltCurve_Q9BVN2_2_RUSC1.pdf</v>
      </c>
    </row>
    <row r="4615" spans="1:28" x14ac:dyDescent="0.25">
      <c r="A4615" t="s">
        <v>4619</v>
      </c>
      <c r="B4615">
        <v>0.99299721793515405</v>
      </c>
      <c r="C4615">
        <v>0.86893894704863295</v>
      </c>
      <c r="D4615">
        <v>0.82011879583223202</v>
      </c>
      <c r="E4615">
        <v>0.52534830664598597</v>
      </c>
      <c r="F4615">
        <v>0.24506291520097001</v>
      </c>
      <c r="G4615">
        <v>0.23934245482581201</v>
      </c>
      <c r="H4615">
        <v>0.18264446070434001</v>
      </c>
      <c r="I4615">
        <v>0.21878867272074601</v>
      </c>
      <c r="J4615">
        <v>0.256075639620783</v>
      </c>
      <c r="K4615">
        <v>0.22874200108759099</v>
      </c>
      <c r="L4615">
        <v>928.74904971097305</v>
      </c>
      <c r="M4615">
        <v>20.511307737326799</v>
      </c>
      <c r="N4615">
        <v>46.512888629441001</v>
      </c>
      <c r="O4615">
        <v>44.856052951939901</v>
      </c>
      <c r="P4615">
        <v>-9.0346045599157501E-2</v>
      </c>
      <c r="Q4615">
        <v>0.209714482952675</v>
      </c>
      <c r="R4615">
        <v>0.98286852432001803</v>
      </c>
      <c r="S4615" t="s">
        <v>10166</v>
      </c>
      <c r="T4615" t="s">
        <v>11100</v>
      </c>
      <c r="U4615" t="s">
        <v>11100</v>
      </c>
      <c r="V4615" t="s">
        <v>11100</v>
      </c>
      <c r="W4615" t="s">
        <v>15664</v>
      </c>
      <c r="X4615">
        <v>2</v>
      </c>
      <c r="Y4615" t="s">
        <v>21094</v>
      </c>
      <c r="Z4615" t="s">
        <v>26620</v>
      </c>
      <c r="AA4615">
        <v>0.43765794005198622</v>
      </c>
      <c r="AB4615" t="str">
        <f>HYPERLINK("Melting_Curves/meltCurve_Q9BVP2_2_GNL3.pdf", "Melting_Curves/meltCurve_Q9BVP2_2_GNL3.pdf")</f>
        <v>Melting_Curves/meltCurve_Q9BVP2_2_GNL3.pdf</v>
      </c>
    </row>
    <row r="4616" spans="1:28" x14ac:dyDescent="0.25">
      <c r="A4616" t="s">
        <v>4620</v>
      </c>
      <c r="B4616">
        <v>0.99299721793515405</v>
      </c>
      <c r="C4616">
        <v>1.0034598167945701</v>
      </c>
      <c r="D4616">
        <v>0.94697069017408197</v>
      </c>
      <c r="E4616">
        <v>0.879006411387108</v>
      </c>
      <c r="F4616">
        <v>0.74842181982724898</v>
      </c>
      <c r="G4616">
        <v>0.478072501679915</v>
      </c>
      <c r="H4616">
        <v>0.33196730072542702</v>
      </c>
      <c r="I4616">
        <v>0.28180727720582699</v>
      </c>
      <c r="J4616">
        <v>0.22214827235895701</v>
      </c>
      <c r="K4616">
        <v>0.16301391695662101</v>
      </c>
      <c r="L4616">
        <v>773.97668252826202</v>
      </c>
      <c r="M4616">
        <v>14.7317484341325</v>
      </c>
      <c r="N4616">
        <v>53.885224415118003</v>
      </c>
      <c r="O4616">
        <v>51.598383221312901</v>
      </c>
      <c r="P4616">
        <v>-6.0387866102295698E-2</v>
      </c>
      <c r="Q4616">
        <v>0.15405026484463399</v>
      </c>
      <c r="R4616">
        <v>0.99597132085034801</v>
      </c>
      <c r="S4616" t="s">
        <v>10167</v>
      </c>
      <c r="T4616" t="s">
        <v>11100</v>
      </c>
      <c r="U4616" t="s">
        <v>11100</v>
      </c>
      <c r="V4616" t="s">
        <v>11100</v>
      </c>
      <c r="W4616" t="s">
        <v>15665</v>
      </c>
      <c r="X4616">
        <v>4</v>
      </c>
      <c r="Y4616" t="s">
        <v>21095</v>
      </c>
      <c r="Z4616" t="s">
        <v>26621</v>
      </c>
      <c r="AA4616">
        <v>0.60812783305909479</v>
      </c>
      <c r="AB4616" t="str">
        <f>HYPERLINK("Melting_Curves/meltCurve_Q9BVV7_TIMM21.pdf", "Melting_Curves/meltCurve_Q9BVV7_TIMM21.pdf")</f>
        <v>Melting_Curves/meltCurve_Q9BVV7_TIMM21.pdf</v>
      </c>
    </row>
    <row r="4617" spans="1:28" x14ac:dyDescent="0.25">
      <c r="A4617" t="s">
        <v>4621</v>
      </c>
      <c r="B4617">
        <v>0.99299721793515405</v>
      </c>
      <c r="C4617">
        <v>0.88155075145943895</v>
      </c>
      <c r="D4617">
        <v>0.97773806018915799</v>
      </c>
      <c r="E4617">
        <v>0.97849377289359096</v>
      </c>
      <c r="F4617">
        <v>0.84517420602869298</v>
      </c>
      <c r="G4617">
        <v>0.60030622680295298</v>
      </c>
      <c r="H4617">
        <v>0.479748069361702</v>
      </c>
      <c r="I4617">
        <v>0.542576238597414</v>
      </c>
      <c r="J4617">
        <v>0.64689217041587899</v>
      </c>
      <c r="K4617">
        <v>0.69107049497053596</v>
      </c>
      <c r="L4617">
        <v>3192.3825627309202</v>
      </c>
      <c r="M4617">
        <v>63.100504299795702</v>
      </c>
      <c r="O4617">
        <v>50.541291990132599</v>
      </c>
      <c r="P4617">
        <v>-0.12789411177859</v>
      </c>
      <c r="Q4617">
        <v>0.59024535779952503</v>
      </c>
      <c r="R4617">
        <v>0.87398132512092896</v>
      </c>
      <c r="S4617" t="s">
        <v>10168</v>
      </c>
      <c r="T4617" t="s">
        <v>11100</v>
      </c>
      <c r="U4617" t="s">
        <v>11100</v>
      </c>
      <c r="V4617" t="s">
        <v>11100</v>
      </c>
      <c r="W4617" t="s">
        <v>15666</v>
      </c>
      <c r="X4617">
        <v>6</v>
      </c>
      <c r="Y4617" t="s">
        <v>21096</v>
      </c>
      <c r="Z4617" t="s">
        <v>26622</v>
      </c>
      <c r="AA4617">
        <v>0.77646487048214674</v>
      </c>
      <c r="AB4617" t="str">
        <f>HYPERLINK("Melting_Curves/meltCurve_Q9BVW5_TIPIN.pdf", "Melting_Curves/meltCurve_Q9BVW5_TIPIN.pdf")</f>
        <v>Melting_Curves/meltCurve_Q9BVW5_TIPIN.pdf</v>
      </c>
    </row>
    <row r="4618" spans="1:28" x14ac:dyDescent="0.25">
      <c r="A4618" t="s">
        <v>4622</v>
      </c>
      <c r="B4618">
        <v>0.99299721793515405</v>
      </c>
      <c r="C4618">
        <v>0.93740237728373299</v>
      </c>
      <c r="D4618">
        <v>0.99803007840528402</v>
      </c>
      <c r="E4618">
        <v>0.79422229232791897</v>
      </c>
      <c r="F4618">
        <v>0.491207466594626</v>
      </c>
      <c r="G4618">
        <v>0.22777109483635299</v>
      </c>
      <c r="H4618">
        <v>0.22993465210581801</v>
      </c>
      <c r="I4618">
        <v>0.15960875942064401</v>
      </c>
      <c r="J4618">
        <v>0.16313171655182901</v>
      </c>
      <c r="K4618">
        <v>0.11586674928238</v>
      </c>
      <c r="L4618">
        <v>1080.3549600189999</v>
      </c>
      <c r="M4618">
        <v>21.969369548904201</v>
      </c>
      <c r="N4618">
        <v>49.970657323028597</v>
      </c>
      <c r="O4618">
        <v>48.773508221755499</v>
      </c>
      <c r="P4618">
        <v>-9.6000437251298004E-2</v>
      </c>
      <c r="Q4618">
        <v>0.147508897293191</v>
      </c>
      <c r="R4618">
        <v>0.99288476516888802</v>
      </c>
      <c r="S4618" t="s">
        <v>10169</v>
      </c>
      <c r="T4618" t="s">
        <v>11100</v>
      </c>
      <c r="U4618" t="s">
        <v>11100</v>
      </c>
      <c r="V4618" t="s">
        <v>11100</v>
      </c>
      <c r="W4618" t="s">
        <v>15667</v>
      </c>
      <c r="X4618">
        <v>3</v>
      </c>
      <c r="Y4618" t="s">
        <v>21097</v>
      </c>
      <c r="Z4618" t="s">
        <v>26623</v>
      </c>
      <c r="AA4618">
        <v>0.50294040832176601</v>
      </c>
      <c r="AB4618" t="str">
        <f>HYPERLINK("Melting_Curves/meltCurve_Q9BW19_KIFC1.pdf", "Melting_Curves/meltCurve_Q9BW19_KIFC1.pdf")</f>
        <v>Melting_Curves/meltCurve_Q9BW19_KIFC1.pdf</v>
      </c>
    </row>
    <row r="4619" spans="1:28" x14ac:dyDescent="0.25">
      <c r="A4619" t="s">
        <v>4623</v>
      </c>
      <c r="B4619">
        <v>0.99299721793515405</v>
      </c>
      <c r="C4619">
        <v>0.91286975609282694</v>
      </c>
      <c r="D4619">
        <v>0.849681166845769</v>
      </c>
      <c r="E4619">
        <v>0.85481878593683402</v>
      </c>
      <c r="F4619">
        <v>0.635751800215411</v>
      </c>
      <c r="G4619">
        <v>0.732970702474396</v>
      </c>
      <c r="H4619">
        <v>0.97538043696851895</v>
      </c>
      <c r="I4619">
        <v>0.56433199698840097</v>
      </c>
      <c r="J4619">
        <v>0.39188405956019401</v>
      </c>
      <c r="K4619">
        <v>0</v>
      </c>
      <c r="L4619">
        <v>1617.2978109456801</v>
      </c>
      <c r="M4619">
        <v>26.092100640099702</v>
      </c>
      <c r="N4619">
        <v>61.9841901881884</v>
      </c>
      <c r="O4619">
        <v>61.623534234069602</v>
      </c>
      <c r="P4619">
        <v>-0.105854025767621</v>
      </c>
      <c r="Q4619">
        <v>0</v>
      </c>
      <c r="R4619">
        <v>0.67778705261625405</v>
      </c>
      <c r="S4619" t="s">
        <v>10170</v>
      </c>
      <c r="T4619" t="s">
        <v>11100</v>
      </c>
      <c r="U4619" t="s">
        <v>11100</v>
      </c>
      <c r="V4619" t="s">
        <v>11100</v>
      </c>
      <c r="W4619" t="s">
        <v>15668</v>
      </c>
      <c r="X4619">
        <v>6</v>
      </c>
      <c r="Y4619" t="s">
        <v>21098</v>
      </c>
      <c r="Z4619" t="s">
        <v>26624</v>
      </c>
      <c r="AA4619">
        <v>0.82952273885242278</v>
      </c>
      <c r="AB4619" t="str">
        <f>HYPERLINK("Melting_Curves/meltCurve_Q9BW27_NUP85.pdf", "Melting_Curves/meltCurve_Q9BW27_NUP85.pdf")</f>
        <v>Melting_Curves/meltCurve_Q9BW27_NUP85.pdf</v>
      </c>
    </row>
    <row r="4620" spans="1:28" x14ac:dyDescent="0.25">
      <c r="A4620" t="s">
        <v>4624</v>
      </c>
      <c r="B4620">
        <v>0.99299721793515405</v>
      </c>
      <c r="C4620">
        <v>0.98317139874412096</v>
      </c>
      <c r="D4620">
        <v>1.2383771726108601</v>
      </c>
      <c r="E4620">
        <v>0.97167286058561197</v>
      </c>
      <c r="F4620">
        <v>0.82306521755990603</v>
      </c>
      <c r="G4620">
        <v>0.56448401069146203</v>
      </c>
      <c r="H4620">
        <v>0.55765557648245301</v>
      </c>
      <c r="I4620">
        <v>0.624860396932439</v>
      </c>
      <c r="J4620">
        <v>0.57672154925167596</v>
      </c>
      <c r="K4620">
        <v>0.57716107989650001</v>
      </c>
      <c r="L4620">
        <v>12565.9044675323</v>
      </c>
      <c r="M4620">
        <v>250</v>
      </c>
      <c r="O4620">
        <v>50.260401344652102</v>
      </c>
      <c r="P4620">
        <v>-0.52206044911601501</v>
      </c>
      <c r="Q4620">
        <v>0.58017651741812304</v>
      </c>
      <c r="R4620">
        <v>0.88681567691944196</v>
      </c>
      <c r="S4620" t="s">
        <v>10171</v>
      </c>
      <c r="T4620" t="s">
        <v>11100</v>
      </c>
      <c r="U4620" t="s">
        <v>11100</v>
      </c>
      <c r="V4620" t="s">
        <v>11100</v>
      </c>
      <c r="W4620" t="s">
        <v>15669</v>
      </c>
      <c r="X4620">
        <v>4</v>
      </c>
      <c r="Y4620" t="s">
        <v>21099</v>
      </c>
      <c r="Z4620" t="s">
        <v>26625</v>
      </c>
      <c r="AA4620">
        <v>0.76582615902713114</v>
      </c>
      <c r="AB4620" t="str">
        <f>HYPERLINK("Melting_Curves/meltCurve_Q9BW30_TPPP3.pdf", "Melting_Curves/meltCurve_Q9BW30_TPPP3.pdf")</f>
        <v>Melting_Curves/meltCurve_Q9BW30_TPPP3.pdf</v>
      </c>
    </row>
    <row r="4621" spans="1:28" x14ac:dyDescent="0.25">
      <c r="A4621" t="s">
        <v>4625</v>
      </c>
      <c r="B4621">
        <v>0.99299721793515405</v>
      </c>
      <c r="C4621">
        <v>0.88113346156415895</v>
      </c>
      <c r="D4621">
        <v>0.97918184608131897</v>
      </c>
      <c r="E4621">
        <v>0.76503328896186396</v>
      </c>
      <c r="F4621">
        <v>0.77432225444075298</v>
      </c>
      <c r="G4621">
        <v>0.340000224833094</v>
      </c>
      <c r="H4621">
        <v>0.20692678419705601</v>
      </c>
      <c r="I4621">
        <v>0.162888992922989</v>
      </c>
      <c r="J4621">
        <v>0.145852239462469</v>
      </c>
      <c r="K4621">
        <v>0.133686441581154</v>
      </c>
      <c r="L4621">
        <v>860.58074479301899</v>
      </c>
      <c r="M4621">
        <v>16.6874854985445</v>
      </c>
      <c r="N4621">
        <v>52.251253277357399</v>
      </c>
      <c r="O4621">
        <v>50.8469221400671</v>
      </c>
      <c r="P4621">
        <v>-7.4035915765362698E-2</v>
      </c>
      <c r="Q4621">
        <v>9.7707496889797699E-2</v>
      </c>
      <c r="R4621">
        <v>0.96426645351614504</v>
      </c>
      <c r="S4621" t="s">
        <v>10172</v>
      </c>
      <c r="T4621" t="s">
        <v>11100</v>
      </c>
      <c r="U4621" t="s">
        <v>11100</v>
      </c>
      <c r="V4621" t="s">
        <v>11100</v>
      </c>
      <c r="W4621" t="s">
        <v>15670</v>
      </c>
      <c r="X4621">
        <v>1</v>
      </c>
      <c r="Y4621" t="s">
        <v>21100</v>
      </c>
      <c r="Z4621" t="s">
        <v>26626</v>
      </c>
      <c r="AA4621">
        <v>0.55132476669650921</v>
      </c>
      <c r="AB4621" t="str">
        <f>HYPERLINK("Melting_Curves/meltCurve_Q9BW60_ELOVL1.pdf", "Melting_Curves/meltCurve_Q9BW60_ELOVL1.pdf")</f>
        <v>Melting_Curves/meltCurve_Q9BW60_ELOVL1.pdf</v>
      </c>
    </row>
    <row r="4622" spans="1:28" x14ac:dyDescent="0.25">
      <c r="A4622" t="s">
        <v>4626</v>
      </c>
      <c r="B4622">
        <v>0.99299721793515405</v>
      </c>
      <c r="C4622">
        <v>0.95966417533061799</v>
      </c>
      <c r="D4622">
        <v>0.94385425558154101</v>
      </c>
      <c r="E4622">
        <v>0.89083061253705398</v>
      </c>
      <c r="F4622">
        <v>0.82624281437181202</v>
      </c>
      <c r="G4622">
        <v>0.72360870498406205</v>
      </c>
      <c r="H4622">
        <v>0.62339070058096802</v>
      </c>
      <c r="I4622">
        <v>0.49410120683604503</v>
      </c>
      <c r="J4622">
        <v>0.50230950270726304</v>
      </c>
      <c r="K4622">
        <v>0.314768731989235</v>
      </c>
      <c r="L4622">
        <v>414.87368010449097</v>
      </c>
      <c r="M4622">
        <v>6.7405904637264804</v>
      </c>
      <c r="N4622">
        <v>61.548566226703898</v>
      </c>
      <c r="O4622">
        <v>56.811148888115099</v>
      </c>
      <c r="P4622">
        <v>-2.9725399688903201E-2</v>
      </c>
      <c r="Q4622">
        <v>0</v>
      </c>
      <c r="R4622">
        <v>0.98340449315871803</v>
      </c>
      <c r="S4622" t="s">
        <v>10173</v>
      </c>
      <c r="T4622" t="s">
        <v>11100</v>
      </c>
      <c r="U4622" t="s">
        <v>11100</v>
      </c>
      <c r="V4622" t="s">
        <v>11100</v>
      </c>
      <c r="W4622" t="s">
        <v>15671</v>
      </c>
      <c r="X4622">
        <v>5</v>
      </c>
      <c r="Y4622" t="s">
        <v>21101</v>
      </c>
      <c r="Z4622" t="s">
        <v>26627</v>
      </c>
      <c r="AA4622">
        <v>0.73787297139009778</v>
      </c>
      <c r="AB4622" t="str">
        <f>HYPERLINK("Melting_Curves/meltCurve_Q9BW61_DDA1.pdf", "Melting_Curves/meltCurve_Q9BW61_DDA1.pdf")</f>
        <v>Melting_Curves/meltCurve_Q9BW61_DDA1.pdf</v>
      </c>
    </row>
    <row r="4623" spans="1:28" x14ac:dyDescent="0.25">
      <c r="A4623" t="s">
        <v>4627</v>
      </c>
      <c r="B4623">
        <v>0.99299721793515405</v>
      </c>
      <c r="C4623">
        <v>1.06824146916378</v>
      </c>
      <c r="D4623">
        <v>0.89376019978003896</v>
      </c>
      <c r="E4623">
        <v>0.88293075094594498</v>
      </c>
      <c r="F4623">
        <v>0.69094401613117895</v>
      </c>
      <c r="G4623">
        <v>0.34378493643361102</v>
      </c>
      <c r="H4623">
        <v>0.25384524109435502</v>
      </c>
      <c r="I4623">
        <v>0.19671102131480001</v>
      </c>
      <c r="J4623">
        <v>0.17645790506542</v>
      </c>
      <c r="K4623">
        <v>0.15044779458251201</v>
      </c>
      <c r="L4623">
        <v>1006.15510817709</v>
      </c>
      <c r="M4623">
        <v>19.679301244857701</v>
      </c>
      <c r="N4623">
        <v>52.097355941676199</v>
      </c>
      <c r="O4623">
        <v>50.608422408572601</v>
      </c>
      <c r="P4623">
        <v>-8.2307707376293504E-2</v>
      </c>
      <c r="Q4623">
        <v>0.15336046305987</v>
      </c>
      <c r="R4623">
        <v>0.98718832763841202</v>
      </c>
      <c r="S4623" t="s">
        <v>10174</v>
      </c>
      <c r="T4623" t="s">
        <v>11100</v>
      </c>
      <c r="U4623" t="s">
        <v>11100</v>
      </c>
      <c r="V4623" t="s">
        <v>11100</v>
      </c>
      <c r="W4623" t="s">
        <v>15672</v>
      </c>
      <c r="X4623">
        <v>1</v>
      </c>
      <c r="Y4623" t="s">
        <v>21102</v>
      </c>
      <c r="Z4623" t="s">
        <v>26628</v>
      </c>
      <c r="AA4623">
        <v>0.56342875838600182</v>
      </c>
      <c r="AB4623" t="str">
        <f>HYPERLINK("Melting_Curves/meltCurve_Q9BW62_KATNAL1.pdf", "Melting_Curves/meltCurve_Q9BW62_KATNAL1.pdf")</f>
        <v>Melting_Curves/meltCurve_Q9BW62_KATNAL1.pdf</v>
      </c>
    </row>
    <row r="4624" spans="1:28" x14ac:dyDescent="0.25">
      <c r="A4624" t="s">
        <v>4628</v>
      </c>
      <c r="B4624">
        <v>0.99299721793515405</v>
      </c>
      <c r="C4624">
        <v>0.99067768612819895</v>
      </c>
      <c r="D4624">
        <v>0.95100038753469596</v>
      </c>
      <c r="E4624">
        <v>0.84903506287014596</v>
      </c>
      <c r="F4624">
        <v>0.72360249325582304</v>
      </c>
      <c r="G4624">
        <v>0.52174762767177496</v>
      </c>
      <c r="H4624">
        <v>0.33462170341126601</v>
      </c>
      <c r="I4624">
        <v>0.27993492628357503</v>
      </c>
      <c r="J4624">
        <v>0.26203866309664903</v>
      </c>
      <c r="K4624">
        <v>0.229871491663519</v>
      </c>
      <c r="L4624">
        <v>732.97309441657501</v>
      </c>
      <c r="M4624">
        <v>14.065839920340499</v>
      </c>
      <c r="N4624">
        <v>53.9787756942371</v>
      </c>
      <c r="O4624">
        <v>51.090797977456603</v>
      </c>
      <c r="P4624">
        <v>-5.5568762866097202E-2</v>
      </c>
      <c r="Q4624">
        <v>0.19274404587000499</v>
      </c>
      <c r="R4624">
        <v>0.99730890165890396</v>
      </c>
      <c r="S4624" t="s">
        <v>10175</v>
      </c>
      <c r="T4624" t="s">
        <v>11100</v>
      </c>
      <c r="U4624" t="s">
        <v>11100</v>
      </c>
      <c r="V4624" t="s">
        <v>11100</v>
      </c>
      <c r="W4624" t="s">
        <v>15673</v>
      </c>
      <c r="X4624">
        <v>15</v>
      </c>
      <c r="Y4624" t="s">
        <v>21103</v>
      </c>
      <c r="Z4624" t="s">
        <v>26629</v>
      </c>
      <c r="AA4624">
        <v>0.61578472569118936</v>
      </c>
      <c r="AB4624" t="str">
        <f>HYPERLINK("Melting_Curves/meltCurve_Q9BW71_HIRIP3.pdf", "Melting_Curves/meltCurve_Q9BW71_HIRIP3.pdf")</f>
        <v>Melting_Curves/meltCurve_Q9BW71_HIRIP3.pdf</v>
      </c>
    </row>
    <row r="4625" spans="1:28" x14ac:dyDescent="0.25">
      <c r="A4625" t="s">
        <v>4629</v>
      </c>
      <c r="B4625">
        <v>0.99299721793515405</v>
      </c>
      <c r="C4625">
        <v>1.05431628393913</v>
      </c>
      <c r="D4625">
        <v>0.988608313496536</v>
      </c>
      <c r="E4625">
        <v>0.95294690308300201</v>
      </c>
      <c r="F4625">
        <v>0.81158557756819905</v>
      </c>
      <c r="G4625">
        <v>0.55803258917410603</v>
      </c>
      <c r="H4625">
        <v>0.383716469258017</v>
      </c>
      <c r="I4625">
        <v>0.204924841707887</v>
      </c>
      <c r="J4625">
        <v>0.163386791989311</v>
      </c>
      <c r="K4625">
        <v>0.10840404532058701</v>
      </c>
      <c r="L4625">
        <v>864.43987087076505</v>
      </c>
      <c r="M4625">
        <v>15.8740289132478</v>
      </c>
      <c r="N4625">
        <v>55.008620695881</v>
      </c>
      <c r="O4625">
        <v>53.613998246062799</v>
      </c>
      <c r="P4625">
        <v>-6.8572198428988707E-2</v>
      </c>
      <c r="Q4625">
        <v>7.3673842189622807E-2</v>
      </c>
      <c r="R4625">
        <v>0.996141496873716</v>
      </c>
      <c r="S4625" t="s">
        <v>10176</v>
      </c>
      <c r="T4625" t="s">
        <v>11100</v>
      </c>
      <c r="U4625" t="s">
        <v>11100</v>
      </c>
      <c r="V4625" t="s">
        <v>11100</v>
      </c>
      <c r="W4625" t="s">
        <v>15674</v>
      </c>
      <c r="X4625">
        <v>9</v>
      </c>
      <c r="Y4625" t="s">
        <v>21104</v>
      </c>
      <c r="Z4625" t="s">
        <v>26630</v>
      </c>
      <c r="AA4625">
        <v>0.62634039247145934</v>
      </c>
      <c r="AB4625" t="str">
        <f>HYPERLINK("Melting_Curves/meltCurve_Q9BW83_IFT27.pdf", "Melting_Curves/meltCurve_Q9BW83_IFT27.pdf")</f>
        <v>Melting_Curves/meltCurve_Q9BW83_IFT27.pdf</v>
      </c>
    </row>
    <row r="4626" spans="1:28" x14ac:dyDescent="0.25">
      <c r="A4626" t="s">
        <v>4630</v>
      </c>
      <c r="B4626">
        <v>0.99299721793515405</v>
      </c>
      <c r="C4626">
        <v>0.96049103786578405</v>
      </c>
      <c r="D4626">
        <v>1.03966642533874</v>
      </c>
      <c r="E4626">
        <v>0.86437535371581298</v>
      </c>
      <c r="F4626">
        <v>0.78587641457956303</v>
      </c>
      <c r="G4626">
        <v>0.49593179030342499</v>
      </c>
      <c r="H4626">
        <v>0.33965844027401498</v>
      </c>
      <c r="I4626">
        <v>0.24903076017467399</v>
      </c>
      <c r="J4626">
        <v>0.225792816639837</v>
      </c>
      <c r="K4626">
        <v>0.157027995585861</v>
      </c>
      <c r="L4626">
        <v>854.81511292307198</v>
      </c>
      <c r="M4626">
        <v>16.166019103249099</v>
      </c>
      <c r="N4626">
        <v>54.112294713390298</v>
      </c>
      <c r="O4626">
        <v>52.088005649361598</v>
      </c>
      <c r="P4626">
        <v>-6.5624831770113801E-2</v>
      </c>
      <c r="Q4626">
        <v>0.15427302902602699</v>
      </c>
      <c r="R4626">
        <v>0.99067708241438501</v>
      </c>
      <c r="S4626" t="s">
        <v>10177</v>
      </c>
      <c r="T4626" t="s">
        <v>11100</v>
      </c>
      <c r="U4626" t="s">
        <v>11100</v>
      </c>
      <c r="V4626" t="s">
        <v>11100</v>
      </c>
      <c r="W4626" t="s">
        <v>15675</v>
      </c>
      <c r="X4626">
        <v>19</v>
      </c>
      <c r="Y4626" t="s">
        <v>21105</v>
      </c>
      <c r="Z4626" t="s">
        <v>26631</v>
      </c>
      <c r="AA4626">
        <v>0.61595495934410793</v>
      </c>
      <c r="AB4626" t="str">
        <f>HYPERLINK("Melting_Curves/meltCurve_Q9BW85_CCDC94.pdf", "Melting_Curves/meltCurve_Q9BW85_CCDC94.pdf")</f>
        <v>Melting_Curves/meltCurve_Q9BW85_CCDC94.pdf</v>
      </c>
    </row>
    <row r="4627" spans="1:28" x14ac:dyDescent="0.25">
      <c r="A4627" t="s">
        <v>4631</v>
      </c>
      <c r="B4627">
        <v>0.99299721793515405</v>
      </c>
      <c r="C4627">
        <v>1.08447315115816</v>
      </c>
      <c r="D4627">
        <v>1.1156317716997299</v>
      </c>
      <c r="E4627">
        <v>1.00500617062714</v>
      </c>
      <c r="F4627">
        <v>0.70088389341122004</v>
      </c>
      <c r="G4627">
        <v>0.423106787265907</v>
      </c>
      <c r="H4627">
        <v>0.20966827162228499</v>
      </c>
      <c r="I4627">
        <v>0.170805620833338</v>
      </c>
      <c r="J4627">
        <v>0.15170913740960801</v>
      </c>
      <c r="K4627">
        <v>0.11323877193542201</v>
      </c>
      <c r="L4627">
        <v>1267.7715393941501</v>
      </c>
      <c r="M4627">
        <v>24.391045775906601</v>
      </c>
      <c r="N4627">
        <v>52.656998326705398</v>
      </c>
      <c r="O4627">
        <v>51.6313208510999</v>
      </c>
      <c r="P4627">
        <v>-0.10214663607423</v>
      </c>
      <c r="Q4627">
        <v>0.13511088205970201</v>
      </c>
      <c r="R4627">
        <v>0.98279821743237294</v>
      </c>
      <c r="S4627" t="s">
        <v>10178</v>
      </c>
      <c r="T4627" t="s">
        <v>11100</v>
      </c>
      <c r="U4627" t="s">
        <v>11100</v>
      </c>
      <c r="V4627" t="s">
        <v>11100</v>
      </c>
      <c r="W4627" t="s">
        <v>15676</v>
      </c>
      <c r="X4627">
        <v>12</v>
      </c>
      <c r="Y4627" t="s">
        <v>21106</v>
      </c>
      <c r="Z4627" t="s">
        <v>26632</v>
      </c>
      <c r="AA4627">
        <v>0.57489767406446346</v>
      </c>
      <c r="AB4627" t="str">
        <f>HYPERLINK("Melting_Curves/meltCurve_Q9BW91_2_NUDT9.pdf", "Melting_Curves/meltCurve_Q9BW91_2_NUDT9.pdf")</f>
        <v>Melting_Curves/meltCurve_Q9BW91_2_NUDT9.pdf</v>
      </c>
    </row>
    <row r="4628" spans="1:28" x14ac:dyDescent="0.25">
      <c r="A4628" t="s">
        <v>4632</v>
      </c>
      <c r="B4628">
        <v>0.99299721793515405</v>
      </c>
      <c r="C4628">
        <v>1.00512520743627</v>
      </c>
      <c r="D4628">
        <v>0.92352967042669099</v>
      </c>
      <c r="E4628">
        <v>0.85515176909947999</v>
      </c>
      <c r="F4628">
        <v>0.69873321303229896</v>
      </c>
      <c r="G4628">
        <v>0.58719510514987705</v>
      </c>
      <c r="H4628">
        <v>0.39929448090380498</v>
      </c>
      <c r="I4628">
        <v>0.23459262718882601</v>
      </c>
      <c r="J4628">
        <v>0.162544895672841</v>
      </c>
      <c r="K4628">
        <v>0.14013788815633699</v>
      </c>
      <c r="L4628">
        <v>570.137497333135</v>
      </c>
      <c r="M4628">
        <v>10.3998045468191</v>
      </c>
      <c r="N4628">
        <v>54.821940468369398</v>
      </c>
      <c r="O4628">
        <v>52.911149488020001</v>
      </c>
      <c r="P4628">
        <v>-4.9158622789135201E-2</v>
      </c>
      <c r="Q4628">
        <v>0</v>
      </c>
      <c r="R4628">
        <v>0.995897714145763</v>
      </c>
      <c r="S4628" t="s">
        <v>10179</v>
      </c>
      <c r="T4628" t="s">
        <v>11100</v>
      </c>
      <c r="U4628" t="s">
        <v>11100</v>
      </c>
      <c r="V4628" t="s">
        <v>11100</v>
      </c>
      <c r="W4628" t="s">
        <v>15677</v>
      </c>
      <c r="X4628">
        <v>19</v>
      </c>
      <c r="Y4628" t="s">
        <v>21107</v>
      </c>
      <c r="Z4628" t="s">
        <v>26633</v>
      </c>
      <c r="AA4628">
        <v>0.60779063299075375</v>
      </c>
      <c r="AB4628" t="str">
        <f>HYPERLINK("Melting_Curves/meltCurve_Q9BW92_TARS2.pdf", "Melting_Curves/meltCurve_Q9BW92_TARS2.pdf")</f>
        <v>Melting_Curves/meltCurve_Q9BW92_TARS2.pdf</v>
      </c>
    </row>
    <row r="4629" spans="1:28" x14ac:dyDescent="0.25">
      <c r="A4629" t="s">
        <v>4633</v>
      </c>
      <c r="B4629">
        <v>0.99299721793515405</v>
      </c>
      <c r="C4629">
        <v>0.94169421171874601</v>
      </c>
      <c r="D4629">
        <v>0.95769978498497399</v>
      </c>
      <c r="E4629">
        <v>0.83266064473774604</v>
      </c>
      <c r="F4629">
        <v>0.78692620931701296</v>
      </c>
      <c r="G4629">
        <v>0.64688169806357698</v>
      </c>
      <c r="H4629">
        <v>0.73747029115129104</v>
      </c>
      <c r="I4629">
        <v>0.83213484084230305</v>
      </c>
      <c r="J4629">
        <v>0.85700535846165504</v>
      </c>
      <c r="K4629">
        <v>0.29247758965174703</v>
      </c>
      <c r="L4629">
        <v>249.35467495452099</v>
      </c>
      <c r="M4629">
        <v>3.4088608901422401</v>
      </c>
      <c r="O4629">
        <v>56.777015735295798</v>
      </c>
      <c r="P4629">
        <v>-1.53276855559338E-2</v>
      </c>
      <c r="Q4629">
        <v>0</v>
      </c>
      <c r="R4629">
        <v>0.49097007213814597</v>
      </c>
      <c r="S4629" t="s">
        <v>10180</v>
      </c>
      <c r="T4629" t="s">
        <v>11100</v>
      </c>
      <c r="U4629" t="s">
        <v>11100</v>
      </c>
      <c r="V4629" t="s">
        <v>11100</v>
      </c>
      <c r="W4629" t="s">
        <v>15678</v>
      </c>
      <c r="X4629">
        <v>20</v>
      </c>
      <c r="Y4629" t="s">
        <v>21108</v>
      </c>
      <c r="Z4629" t="s">
        <v>26634</v>
      </c>
      <c r="AA4629">
        <v>0.79052598839028887</v>
      </c>
      <c r="AB4629" t="str">
        <f>HYPERLINK("Melting_Curves/meltCurve_Q9BWD1_ACAT2.pdf", "Melting_Curves/meltCurve_Q9BWD1_ACAT2.pdf")</f>
        <v>Melting_Curves/meltCurve_Q9BWD1_ACAT2.pdf</v>
      </c>
    </row>
    <row r="4630" spans="1:28" x14ac:dyDescent="0.25">
      <c r="A4630" t="s">
        <v>4634</v>
      </c>
      <c r="B4630">
        <v>0.99299721793515405</v>
      </c>
      <c r="C4630">
        <v>1.05366155914731</v>
      </c>
      <c r="D4630">
        <v>0.99601211411484702</v>
      </c>
      <c r="E4630">
        <v>0.86932520382929901</v>
      </c>
      <c r="F4630">
        <v>0.47978122427480402</v>
      </c>
      <c r="G4630">
        <v>0.25580119678367202</v>
      </c>
      <c r="H4630">
        <v>0.17599802613716301</v>
      </c>
      <c r="I4630">
        <v>0.153879911759989</v>
      </c>
      <c r="J4630">
        <v>0.152998344125435</v>
      </c>
      <c r="K4630">
        <v>0.14034900466707001</v>
      </c>
      <c r="L4630">
        <v>1332.2904037482699</v>
      </c>
      <c r="M4630">
        <v>26.941777298245199</v>
      </c>
      <c r="N4630">
        <v>50.122244504816798</v>
      </c>
      <c r="O4630">
        <v>49.180695837845299</v>
      </c>
      <c r="P4630">
        <v>-0.11620643030183</v>
      </c>
      <c r="Q4630">
        <v>0.151495381259172</v>
      </c>
      <c r="R4630">
        <v>0.99735614721531995</v>
      </c>
      <c r="S4630" t="s">
        <v>10181</v>
      </c>
      <c r="T4630" t="s">
        <v>11100</v>
      </c>
      <c r="U4630" t="s">
        <v>11100</v>
      </c>
      <c r="V4630" t="s">
        <v>11100</v>
      </c>
      <c r="W4630" t="s">
        <v>15679</v>
      </c>
      <c r="X4630">
        <v>23</v>
      </c>
      <c r="Y4630" t="s">
        <v>21109</v>
      </c>
      <c r="Z4630" t="s">
        <v>26635</v>
      </c>
      <c r="AA4630">
        <v>0.51002205098947084</v>
      </c>
      <c r="AB4630" t="str">
        <f>HYPERLINK("Melting_Curves/meltCurve_Q9BWF3_RBM4.pdf", "Melting_Curves/meltCurve_Q9BWF3_RBM4.pdf")</f>
        <v>Melting_Curves/meltCurve_Q9BWF3_RBM4.pdf</v>
      </c>
    </row>
    <row r="4631" spans="1:28" x14ac:dyDescent="0.25">
      <c r="A4631" t="s">
        <v>4635</v>
      </c>
      <c r="B4631">
        <v>0.99299721793515405</v>
      </c>
      <c r="C4631">
        <v>1.00086517892785</v>
      </c>
      <c r="D4631">
        <v>1.00446632227378</v>
      </c>
      <c r="E4631">
        <v>0.87237716892464501</v>
      </c>
      <c r="F4631">
        <v>0.67729403700859803</v>
      </c>
      <c r="G4631">
        <v>0.59783707133736996</v>
      </c>
      <c r="H4631">
        <v>0.42492671640702301</v>
      </c>
      <c r="I4631">
        <v>0.46020576153155901</v>
      </c>
      <c r="J4631">
        <v>0.48636166545342802</v>
      </c>
      <c r="K4631">
        <v>0.53851982009261901</v>
      </c>
      <c r="L4631">
        <v>1097.27976217733</v>
      </c>
      <c r="M4631">
        <v>22.2980632142642</v>
      </c>
      <c r="N4631">
        <v>57.497860082013602</v>
      </c>
      <c r="O4631">
        <v>48.819002366928203</v>
      </c>
      <c r="P4631">
        <v>-5.9389391687038398E-2</v>
      </c>
      <c r="Q4631">
        <v>0.47990672057723999</v>
      </c>
      <c r="R4631">
        <v>0.97452772835804102</v>
      </c>
      <c r="S4631" t="s">
        <v>10182</v>
      </c>
      <c r="T4631" t="s">
        <v>11100</v>
      </c>
      <c r="U4631" t="s">
        <v>11100</v>
      </c>
      <c r="V4631" t="s">
        <v>11100</v>
      </c>
      <c r="W4631" t="s">
        <v>15680</v>
      </c>
      <c r="X4631">
        <v>2</v>
      </c>
      <c r="Y4631" t="s">
        <v>21110</v>
      </c>
      <c r="Z4631" t="s">
        <v>26636</v>
      </c>
      <c r="AA4631">
        <v>0.69718536261944586</v>
      </c>
      <c r="AB4631" t="str">
        <f>HYPERLINK("Melting_Curves/meltCurve_Q9BWG6_2_SCNM1.pdf", "Melting_Curves/meltCurve_Q9BWG6_2_SCNM1.pdf")</f>
        <v>Melting_Curves/meltCurve_Q9BWG6_2_SCNM1.pdf</v>
      </c>
    </row>
    <row r="4632" spans="1:28" x14ac:dyDescent="0.25">
      <c r="A4632" t="s">
        <v>4636</v>
      </c>
      <c r="B4632">
        <v>0.99299721793515405</v>
      </c>
      <c r="C4632">
        <v>0.99566433776892904</v>
      </c>
      <c r="D4632">
        <v>0.996461386129598</v>
      </c>
      <c r="E4632">
        <v>0.82110262174770599</v>
      </c>
      <c r="F4632">
        <v>0.70011884001973901</v>
      </c>
      <c r="G4632">
        <v>0.49798998360423402</v>
      </c>
      <c r="H4632">
        <v>0.56189378988090599</v>
      </c>
      <c r="I4632">
        <v>0.69752914239719699</v>
      </c>
      <c r="J4632">
        <v>0.73349304349808297</v>
      </c>
      <c r="K4632">
        <v>0.75821647208904397</v>
      </c>
      <c r="L4632">
        <v>1971.4293504559</v>
      </c>
      <c r="M4632">
        <v>42.338621974475899</v>
      </c>
      <c r="O4632">
        <v>46.459861362443</v>
      </c>
      <c r="P4632">
        <v>-7.8590859313007203E-2</v>
      </c>
      <c r="Q4632">
        <v>0.65503701168108697</v>
      </c>
      <c r="R4632">
        <v>0.81163450456002795</v>
      </c>
      <c r="S4632" t="s">
        <v>10183</v>
      </c>
      <c r="T4632" t="s">
        <v>11100</v>
      </c>
      <c r="U4632" t="s">
        <v>11100</v>
      </c>
      <c r="V4632" t="s">
        <v>11100</v>
      </c>
      <c r="W4632" t="s">
        <v>15681</v>
      </c>
      <c r="X4632">
        <v>4</v>
      </c>
      <c r="Y4632" t="s">
        <v>21111</v>
      </c>
      <c r="Z4632" t="s">
        <v>26637</v>
      </c>
      <c r="AA4632">
        <v>0.76599451693812548</v>
      </c>
      <c r="AB4632" t="str">
        <f>HYPERLINK("Melting_Curves/meltCurve_Q9BWH2_FUNDC2.pdf", "Melting_Curves/meltCurve_Q9BWH2_FUNDC2.pdf")</f>
        <v>Melting_Curves/meltCurve_Q9BWH2_FUNDC2.pdf</v>
      </c>
    </row>
    <row r="4633" spans="1:28" x14ac:dyDescent="0.25">
      <c r="A4633" t="s">
        <v>4637</v>
      </c>
      <c r="B4633">
        <v>0.99299721793515405</v>
      </c>
      <c r="C4633">
        <v>0.82663883617010403</v>
      </c>
      <c r="D4633">
        <v>0.83782366039945499</v>
      </c>
      <c r="E4633">
        <v>0.79009318737166601</v>
      </c>
      <c r="F4633">
        <v>0.89824087099944505</v>
      </c>
      <c r="G4633">
        <v>0.78099604767407704</v>
      </c>
      <c r="H4633">
        <v>0.44035327768895</v>
      </c>
      <c r="I4633">
        <v>0.19305687651209499</v>
      </c>
      <c r="J4633">
        <v>0.194097511446607</v>
      </c>
      <c r="K4633">
        <v>0.160405136361777</v>
      </c>
      <c r="L4633">
        <v>744.20509610241595</v>
      </c>
      <c r="M4633">
        <v>13.107706898432101</v>
      </c>
      <c r="N4633">
        <v>56.776147404993502</v>
      </c>
      <c r="O4633">
        <v>55.503407793427201</v>
      </c>
      <c r="P4633">
        <v>-5.90501789441455E-2</v>
      </c>
      <c r="Q4633">
        <v>0</v>
      </c>
      <c r="R4633">
        <v>0.89653520085716798</v>
      </c>
      <c r="S4633" t="s">
        <v>10184</v>
      </c>
      <c r="T4633" t="s">
        <v>11100</v>
      </c>
      <c r="U4633" t="s">
        <v>11100</v>
      </c>
      <c r="V4633" t="s">
        <v>11100</v>
      </c>
      <c r="W4633" t="s">
        <v>15682</v>
      </c>
      <c r="X4633">
        <v>6</v>
      </c>
      <c r="Y4633" t="s">
        <v>21112</v>
      </c>
      <c r="Z4633" t="s">
        <v>26638</v>
      </c>
      <c r="AA4633">
        <v>0.66668933859149959</v>
      </c>
      <c r="AB4633" t="str">
        <f>HYPERLINK("Melting_Curves/meltCurve_Q9BWH6_2_RPAP1.pdf", "Melting_Curves/meltCurve_Q9BWH6_2_RPAP1.pdf")</f>
        <v>Melting_Curves/meltCurve_Q9BWH6_2_RPAP1.pdf</v>
      </c>
    </row>
    <row r="4634" spans="1:28" x14ac:dyDescent="0.25">
      <c r="A4634" t="s">
        <v>4638</v>
      </c>
      <c r="B4634">
        <v>0.99299721793515405</v>
      </c>
      <c r="C4634">
        <v>0.91849898326263302</v>
      </c>
      <c r="D4634">
        <v>0.83277401960847897</v>
      </c>
      <c r="E4634">
        <v>0.98510653080598598</v>
      </c>
      <c r="F4634">
        <v>0.89391342822377895</v>
      </c>
      <c r="G4634">
        <v>0.92141848963807904</v>
      </c>
      <c r="H4634">
        <v>1.4526356691116</v>
      </c>
      <c r="I4634">
        <v>1.28336624205065</v>
      </c>
      <c r="J4634">
        <v>1.09690825701604</v>
      </c>
      <c r="K4634">
        <v>0.85219583824365996</v>
      </c>
      <c r="L4634">
        <v>4889.8119531747498</v>
      </c>
      <c r="M4634">
        <v>88.658497280859706</v>
      </c>
      <c r="O4634">
        <v>55.125290833401301</v>
      </c>
      <c r="P4634">
        <v>6.7598804066743498E-2</v>
      </c>
      <c r="Q4634">
        <v>1.1681239239916801</v>
      </c>
      <c r="R4634">
        <v>0.29238583351524</v>
      </c>
      <c r="S4634" t="s">
        <v>10185</v>
      </c>
      <c r="T4634" t="s">
        <v>11100</v>
      </c>
      <c r="U4634" t="s">
        <v>11100</v>
      </c>
      <c r="V4634" t="s">
        <v>11100</v>
      </c>
      <c r="W4634" t="s">
        <v>15683</v>
      </c>
      <c r="X4634">
        <v>3</v>
      </c>
      <c r="Y4634" t="s">
        <v>21113</v>
      </c>
      <c r="Z4634" t="s">
        <v>26639</v>
      </c>
      <c r="AA4634">
        <v>1.066260657791307</v>
      </c>
      <c r="AB4634" t="str">
        <f>HYPERLINK("Melting_Curves/meltCurve_Q9BWJ5_SF3B5.pdf", "Melting_Curves/meltCurve_Q9BWJ5_SF3B5.pdf")</f>
        <v>Melting_Curves/meltCurve_Q9BWJ5_SF3B5.pdf</v>
      </c>
    </row>
    <row r="4635" spans="1:28" x14ac:dyDescent="0.25">
      <c r="A4635" t="s">
        <v>4639</v>
      </c>
      <c r="B4635">
        <v>0.99299721793515405</v>
      </c>
      <c r="C4635">
        <v>1.0612065213561099</v>
      </c>
      <c r="D4635">
        <v>0.97591688391492204</v>
      </c>
      <c r="E4635">
        <v>1.02472254288807</v>
      </c>
      <c r="F4635">
        <v>0.78623619753551699</v>
      </c>
      <c r="G4635">
        <v>0.64416318172187104</v>
      </c>
      <c r="H4635">
        <v>0.52838744383425695</v>
      </c>
      <c r="I4635">
        <v>0.30096642635929599</v>
      </c>
      <c r="J4635">
        <v>0.19743163699954899</v>
      </c>
      <c r="K4635">
        <v>0.14104288791853201</v>
      </c>
      <c r="L4635">
        <v>697.24904942081105</v>
      </c>
      <c r="M4635">
        <v>12.2297718514513</v>
      </c>
      <c r="N4635">
        <v>57.018035706715501</v>
      </c>
      <c r="O4635">
        <v>55.552357379075303</v>
      </c>
      <c r="P4635">
        <v>-5.50164136868211E-2</v>
      </c>
      <c r="Q4635">
        <v>6.0047612236647499E-4</v>
      </c>
      <c r="R4635">
        <v>0.98413024554185702</v>
      </c>
      <c r="S4635" t="s">
        <v>10186</v>
      </c>
      <c r="T4635" t="s">
        <v>11100</v>
      </c>
      <c r="U4635" t="s">
        <v>11100</v>
      </c>
      <c r="V4635" t="s">
        <v>11100</v>
      </c>
      <c r="W4635" t="s">
        <v>15684</v>
      </c>
      <c r="X4635">
        <v>9</v>
      </c>
      <c r="Y4635" t="s">
        <v>21114</v>
      </c>
      <c r="Z4635" t="s">
        <v>26640</v>
      </c>
      <c r="AA4635">
        <v>0.67229031602278533</v>
      </c>
      <c r="AB4635" t="str">
        <f>HYPERLINK("Melting_Curves/meltCurve_Q9BWM7_SFXN3.pdf", "Melting_Curves/meltCurve_Q9BWM7_SFXN3.pdf")</f>
        <v>Melting_Curves/meltCurve_Q9BWM7_SFXN3.pdf</v>
      </c>
    </row>
    <row r="4636" spans="1:28" x14ac:dyDescent="0.25">
      <c r="A4636" t="s">
        <v>4640</v>
      </c>
      <c r="B4636">
        <v>0.99299721793515405</v>
      </c>
      <c r="C4636">
        <v>1.10916707897398</v>
      </c>
      <c r="D4636">
        <v>1.29114109034141</v>
      </c>
      <c r="E4636">
        <v>0.94225846601382901</v>
      </c>
      <c r="F4636">
        <v>0.80358035106785497</v>
      </c>
      <c r="G4636">
        <v>0.73439254805287302</v>
      </c>
      <c r="H4636">
        <v>0.45534890613198498</v>
      </c>
      <c r="I4636">
        <v>0.35104194475454598</v>
      </c>
      <c r="J4636">
        <v>0.23490718975070601</v>
      </c>
      <c r="K4636">
        <v>0.20695182696992401</v>
      </c>
      <c r="L4636">
        <v>892.53472266611698</v>
      </c>
      <c r="M4636">
        <v>16.033298222514901</v>
      </c>
      <c r="N4636">
        <v>57.007399900937699</v>
      </c>
      <c r="O4636">
        <v>54.823184919425202</v>
      </c>
      <c r="P4636">
        <v>-6.1640899687966599E-2</v>
      </c>
      <c r="Q4636">
        <v>0.156982546350662</v>
      </c>
      <c r="R4636">
        <v>0.91606843257952997</v>
      </c>
      <c r="S4636" t="s">
        <v>10187</v>
      </c>
      <c r="T4636" t="s">
        <v>11100</v>
      </c>
      <c r="U4636" t="s">
        <v>11100</v>
      </c>
      <c r="V4636" t="s">
        <v>11100</v>
      </c>
      <c r="W4636" t="s">
        <v>15685</v>
      </c>
      <c r="X4636">
        <v>1</v>
      </c>
      <c r="Y4636" t="s">
        <v>21115</v>
      </c>
      <c r="Z4636" t="s">
        <v>26641</v>
      </c>
      <c r="AA4636">
        <v>0.69187950322197878</v>
      </c>
      <c r="AB4636" t="str">
        <f>HYPERLINK("Melting_Curves/meltCurve_Q9BWT6_MND1.pdf", "Melting_Curves/meltCurve_Q9BWT6_MND1.pdf")</f>
        <v>Melting_Curves/meltCurve_Q9BWT6_MND1.pdf</v>
      </c>
    </row>
    <row r="4637" spans="1:28" x14ac:dyDescent="0.25">
      <c r="A4637" t="s">
        <v>4641</v>
      </c>
      <c r="B4637">
        <v>0.99299721793515405</v>
      </c>
      <c r="C4637">
        <v>1.0910158089594899</v>
      </c>
      <c r="D4637">
        <v>1.8553379658301501</v>
      </c>
      <c r="E4637">
        <v>1.1808460297254999</v>
      </c>
      <c r="F4637">
        <v>0.85057743587882495</v>
      </c>
      <c r="G4637">
        <v>0.73913884995388401</v>
      </c>
      <c r="H4637">
        <v>0.69770275064759701</v>
      </c>
      <c r="I4637">
        <v>0.98402690778232405</v>
      </c>
      <c r="J4637">
        <v>1.4845469060552301</v>
      </c>
      <c r="K4637">
        <v>2.0435571487476798</v>
      </c>
      <c r="L4637">
        <v>15000</v>
      </c>
      <c r="M4637">
        <v>237.44872609590001</v>
      </c>
      <c r="O4637">
        <v>63.167044248317303</v>
      </c>
      <c r="P4637">
        <v>0.469882478491295</v>
      </c>
      <c r="Q4637">
        <v>1.5</v>
      </c>
      <c r="R4637">
        <v>0.34545913915538601</v>
      </c>
      <c r="S4637" t="s">
        <v>10188</v>
      </c>
      <c r="T4637" t="s">
        <v>11100</v>
      </c>
      <c r="U4637" t="s">
        <v>11100</v>
      </c>
      <c r="V4637" t="s">
        <v>11100</v>
      </c>
      <c r="W4637" t="s">
        <v>15686</v>
      </c>
      <c r="X4637">
        <v>1</v>
      </c>
      <c r="Y4637" t="s">
        <v>21116</v>
      </c>
      <c r="Z4637" t="s">
        <v>26642</v>
      </c>
      <c r="AA4637">
        <v>1.0637463432435079</v>
      </c>
      <c r="AB4637" t="str">
        <f>HYPERLINK("Melting_Curves/meltCurve_Q9BWT7_CARD10.pdf", "Melting_Curves/meltCurve_Q9BWT7_CARD10.pdf")</f>
        <v>Melting_Curves/meltCurve_Q9BWT7_CARD10.pdf</v>
      </c>
    </row>
    <row r="4638" spans="1:28" x14ac:dyDescent="0.25">
      <c r="A4638" t="s">
        <v>4642</v>
      </c>
      <c r="B4638">
        <v>0.99299721793515405</v>
      </c>
      <c r="C4638">
        <v>0.95972728850597999</v>
      </c>
      <c r="D4638">
        <v>1.0325387635662</v>
      </c>
      <c r="E4638">
        <v>0.90718877220467198</v>
      </c>
      <c r="F4638">
        <v>0.76113248511440801</v>
      </c>
      <c r="G4638">
        <v>0.38799260130104801</v>
      </c>
      <c r="H4638">
        <v>0.29573349633402402</v>
      </c>
      <c r="I4638">
        <v>0.20409010553492299</v>
      </c>
      <c r="J4638">
        <v>0.17185129941911001</v>
      </c>
      <c r="K4638">
        <v>0.124320975237022</v>
      </c>
      <c r="L4638">
        <v>1091.1931800831401</v>
      </c>
      <c r="M4638">
        <v>20.974315034724299</v>
      </c>
      <c r="N4638">
        <v>52.9304738461787</v>
      </c>
      <c r="O4638">
        <v>51.559241909275997</v>
      </c>
      <c r="P4638">
        <v>-8.6374692586766805E-2</v>
      </c>
      <c r="Q4638">
        <v>0.150715261407153</v>
      </c>
      <c r="R4638">
        <v>0.992106887799166</v>
      </c>
      <c r="S4638" t="s">
        <v>10189</v>
      </c>
      <c r="T4638" t="s">
        <v>11100</v>
      </c>
      <c r="U4638" t="s">
        <v>11100</v>
      </c>
      <c r="V4638" t="s">
        <v>11100</v>
      </c>
      <c r="W4638" t="s">
        <v>15687</v>
      </c>
      <c r="X4638">
        <v>18</v>
      </c>
      <c r="Y4638" t="s">
        <v>21117</v>
      </c>
      <c r="Z4638" t="s">
        <v>26643</v>
      </c>
      <c r="AA4638">
        <v>0.58623478456553257</v>
      </c>
      <c r="AB4638" t="str">
        <f>HYPERLINK("Melting_Curves/meltCurve_Q9BWU0_SLC4A1AP.pdf", "Melting_Curves/meltCurve_Q9BWU0_SLC4A1AP.pdf")</f>
        <v>Melting_Curves/meltCurve_Q9BWU0_SLC4A1AP.pdf</v>
      </c>
    </row>
    <row r="4639" spans="1:28" x14ac:dyDescent="0.25">
      <c r="A4639" t="s">
        <v>4643</v>
      </c>
      <c r="B4639">
        <v>0.99299721793515405</v>
      </c>
      <c r="C4639">
        <v>0.99201096748022499</v>
      </c>
      <c r="D4639">
        <v>0.92482995754127795</v>
      </c>
      <c r="E4639">
        <v>0.90157225270196795</v>
      </c>
      <c r="F4639">
        <v>0.66542112892120697</v>
      </c>
      <c r="G4639">
        <v>0.32843918626244001</v>
      </c>
      <c r="H4639">
        <v>0.20824455181172999</v>
      </c>
      <c r="I4639">
        <v>0.18079467686005701</v>
      </c>
      <c r="J4639">
        <v>0.15411905982818899</v>
      </c>
      <c r="K4639">
        <v>0.111675833379484</v>
      </c>
      <c r="L4639">
        <v>1087.25630221714</v>
      </c>
      <c r="M4639">
        <v>21.283739722029399</v>
      </c>
      <c r="N4639">
        <v>51.823153893400097</v>
      </c>
      <c r="O4639">
        <v>50.639351593016002</v>
      </c>
      <c r="P4639">
        <v>-9.1320268804677598E-2</v>
      </c>
      <c r="Q4639">
        <v>0.13092695353671399</v>
      </c>
      <c r="R4639">
        <v>0.99555437192116203</v>
      </c>
      <c r="S4639" t="s">
        <v>10190</v>
      </c>
      <c r="T4639" t="s">
        <v>11100</v>
      </c>
      <c r="U4639" t="s">
        <v>11100</v>
      </c>
      <c r="V4639" t="s">
        <v>11100</v>
      </c>
      <c r="W4639" t="s">
        <v>15688</v>
      </c>
      <c r="X4639">
        <v>9</v>
      </c>
      <c r="Y4639" t="s">
        <v>21118</v>
      </c>
      <c r="Z4639" t="s">
        <v>26644</v>
      </c>
      <c r="AA4639">
        <v>0.54915928690444749</v>
      </c>
      <c r="AB4639" t="str">
        <f>HYPERLINK("Melting_Curves/meltCurve_Q9BX40_LSM14B.pdf", "Melting_Curves/meltCurve_Q9BX40_LSM14B.pdf")</f>
        <v>Melting_Curves/meltCurve_Q9BX40_LSM14B.pdf</v>
      </c>
    </row>
    <row r="4640" spans="1:28" x14ac:dyDescent="0.25">
      <c r="A4640" t="s">
        <v>4644</v>
      </c>
      <c r="B4640">
        <v>0.99299721793515405</v>
      </c>
      <c r="C4640">
        <v>0.93821112635227</v>
      </c>
      <c r="D4640">
        <v>0.94234771651104299</v>
      </c>
      <c r="E4640">
        <v>0.93045967330215096</v>
      </c>
      <c r="F4640">
        <v>0.61965028335769901</v>
      </c>
      <c r="G4640">
        <v>0.320215665031783</v>
      </c>
      <c r="H4640">
        <v>0.29924571065567401</v>
      </c>
      <c r="I4640">
        <v>0.29077264230203198</v>
      </c>
      <c r="J4640">
        <v>0.27855335488851601</v>
      </c>
      <c r="K4640">
        <v>0.17182162694192801</v>
      </c>
      <c r="L4640">
        <v>1432.84231899827</v>
      </c>
      <c r="M4640">
        <v>28.5919928889031</v>
      </c>
      <c r="N4640">
        <v>51.352825803912403</v>
      </c>
      <c r="O4640">
        <v>49.870177829225099</v>
      </c>
      <c r="P4640">
        <v>-0.107610178309647</v>
      </c>
      <c r="Q4640">
        <v>0.24923068219254299</v>
      </c>
      <c r="R4640">
        <v>0.98451140604659704</v>
      </c>
      <c r="S4640" t="s">
        <v>10191</v>
      </c>
      <c r="T4640" t="s">
        <v>11100</v>
      </c>
      <c r="U4640" t="s">
        <v>11100</v>
      </c>
      <c r="V4640" t="s">
        <v>11100</v>
      </c>
      <c r="W4640" t="s">
        <v>15689</v>
      </c>
      <c r="X4640">
        <v>1</v>
      </c>
      <c r="Y4640" t="s">
        <v>21119</v>
      </c>
      <c r="Z4640" t="s">
        <v>26645</v>
      </c>
      <c r="AA4640">
        <v>0.58247439179346894</v>
      </c>
      <c r="AB4640" t="str">
        <f>HYPERLINK("Melting_Curves/meltCurve_Q9BX63_BRIP1.pdf", "Melting_Curves/meltCurve_Q9BX63_BRIP1.pdf")</f>
        <v>Melting_Curves/meltCurve_Q9BX63_BRIP1.pdf</v>
      </c>
    </row>
    <row r="4641" spans="1:28" x14ac:dyDescent="0.25">
      <c r="A4641" t="s">
        <v>4645</v>
      </c>
      <c r="B4641">
        <v>0.99299721793515405</v>
      </c>
      <c r="C4641">
        <v>0.834784760721895</v>
      </c>
      <c r="D4641">
        <v>0.77134644760811699</v>
      </c>
      <c r="E4641">
        <v>0.73646650807497904</v>
      </c>
      <c r="F4641">
        <v>0.69765453499280805</v>
      </c>
      <c r="G4641">
        <v>0.449897684380834</v>
      </c>
      <c r="H4641">
        <v>0.40520395284635902</v>
      </c>
      <c r="I4641">
        <v>0.291994226375138</v>
      </c>
      <c r="J4641">
        <v>0.234461499330954</v>
      </c>
      <c r="K4641">
        <v>0.23227779446493299</v>
      </c>
      <c r="L4641">
        <v>340.11544467295499</v>
      </c>
      <c r="M4641">
        <v>6.3554640080473499</v>
      </c>
      <c r="N4641">
        <v>53.5154387187983</v>
      </c>
      <c r="O4641">
        <v>48.952142514262697</v>
      </c>
      <c r="P4641">
        <v>-3.2543041854375003E-2</v>
      </c>
      <c r="Q4641">
        <v>0</v>
      </c>
      <c r="R4641">
        <v>0.96825625712202401</v>
      </c>
      <c r="S4641" t="s">
        <v>10192</v>
      </c>
      <c r="T4641" t="s">
        <v>11100</v>
      </c>
      <c r="U4641" t="s">
        <v>11100</v>
      </c>
      <c r="V4641" t="s">
        <v>11100</v>
      </c>
      <c r="W4641" t="s">
        <v>15690</v>
      </c>
      <c r="X4641">
        <v>5</v>
      </c>
      <c r="Y4641" t="s">
        <v>21120</v>
      </c>
      <c r="Z4641" t="s">
        <v>26646</v>
      </c>
      <c r="AA4641">
        <v>0.56412394947776023</v>
      </c>
      <c r="AB4641" t="str">
        <f>HYPERLINK("Melting_Curves/meltCurve_Q9BX66_9_SORBS1.pdf", "Melting_Curves/meltCurve_Q9BX66_9_SORBS1.pdf")</f>
        <v>Melting_Curves/meltCurve_Q9BX66_9_SORBS1.pdf</v>
      </c>
    </row>
    <row r="4642" spans="1:28" x14ac:dyDescent="0.25">
      <c r="A4642" t="s">
        <v>4646</v>
      </c>
      <c r="B4642">
        <v>0.99299721793515405</v>
      </c>
      <c r="C4642">
        <v>0.85089083262964804</v>
      </c>
      <c r="D4642">
        <v>1.5427498847122101</v>
      </c>
      <c r="E4642">
        <v>0.95917950358433102</v>
      </c>
      <c r="F4642">
        <v>1.16089432687613</v>
      </c>
      <c r="G4642">
        <v>1.0485559706176</v>
      </c>
      <c r="H4642">
        <v>0.44529282016235999</v>
      </c>
      <c r="I4642">
        <v>0.65013969955463002</v>
      </c>
      <c r="J4642">
        <v>0.64786127169720098</v>
      </c>
      <c r="K4642">
        <v>0.582694564470983</v>
      </c>
      <c r="L4642">
        <v>6598.3997755832897</v>
      </c>
      <c r="M4642">
        <v>119.178325533587</v>
      </c>
      <c r="O4642">
        <v>55.350184503111301</v>
      </c>
      <c r="P4642">
        <v>-0.226102056483722</v>
      </c>
      <c r="Q4642">
        <v>0.57996421486277105</v>
      </c>
      <c r="R4642">
        <v>0.60255960504788697</v>
      </c>
      <c r="S4642" t="s">
        <v>10193</v>
      </c>
      <c r="T4642" t="s">
        <v>11100</v>
      </c>
      <c r="U4642" t="s">
        <v>11100</v>
      </c>
      <c r="V4642" t="s">
        <v>11100</v>
      </c>
      <c r="W4642" t="s">
        <v>15691</v>
      </c>
      <c r="X4642">
        <v>5</v>
      </c>
      <c r="Y4642" t="s">
        <v>21121</v>
      </c>
      <c r="Z4642" t="s">
        <v>26647</v>
      </c>
      <c r="AA4642">
        <v>0.8372866310995486</v>
      </c>
      <c r="AB4642" t="str">
        <f>HYPERLINK("Melting_Curves/meltCurve_Q9BX67_JAM3.pdf", "Melting_Curves/meltCurve_Q9BX67_JAM3.pdf")</f>
        <v>Melting_Curves/meltCurve_Q9BX67_JAM3.pdf</v>
      </c>
    </row>
    <row r="4643" spans="1:28" x14ac:dyDescent="0.25">
      <c r="A4643" t="s">
        <v>4647</v>
      </c>
      <c r="B4643">
        <v>0.99299721793515405</v>
      </c>
      <c r="C4643">
        <v>0.93936427149355395</v>
      </c>
      <c r="D4643">
        <v>0.98520214583413401</v>
      </c>
      <c r="E4643">
        <v>0.86092578273653297</v>
      </c>
      <c r="F4643">
        <v>0.76800027408731197</v>
      </c>
      <c r="G4643">
        <v>0.54345087465944497</v>
      </c>
      <c r="H4643">
        <v>0.49745091524182899</v>
      </c>
      <c r="I4643">
        <v>0.43225271747406002</v>
      </c>
      <c r="J4643">
        <v>0.29229414305929202</v>
      </c>
      <c r="K4643">
        <v>0.173794040755575</v>
      </c>
      <c r="L4643">
        <v>470.98699732780602</v>
      </c>
      <c r="M4643">
        <v>8.2749132362532603</v>
      </c>
      <c r="N4643">
        <v>56.917453366389601</v>
      </c>
      <c r="O4643">
        <v>53.883832556539403</v>
      </c>
      <c r="P4643">
        <v>-3.8430637827084502E-2</v>
      </c>
      <c r="Q4643">
        <v>0</v>
      </c>
      <c r="R4643">
        <v>0.97951720192990099</v>
      </c>
      <c r="S4643" t="s">
        <v>10194</v>
      </c>
      <c r="T4643" t="s">
        <v>11100</v>
      </c>
      <c r="U4643" t="s">
        <v>11100</v>
      </c>
      <c r="V4643" t="s">
        <v>11100</v>
      </c>
      <c r="W4643" t="s">
        <v>15692</v>
      </c>
      <c r="X4643">
        <v>7</v>
      </c>
      <c r="Y4643" t="s">
        <v>21122</v>
      </c>
      <c r="Z4643" t="s">
        <v>26648</v>
      </c>
      <c r="AA4643">
        <v>0.6555094600252549</v>
      </c>
      <c r="AB4643" t="str">
        <f>HYPERLINK("Melting_Curves/meltCurve_Q9BX68_HINT2.pdf", "Melting_Curves/meltCurve_Q9BX68_HINT2.pdf")</f>
        <v>Melting_Curves/meltCurve_Q9BX68_HINT2.pdf</v>
      </c>
    </row>
    <row r="4644" spans="1:28" x14ac:dyDescent="0.25">
      <c r="A4644" t="s">
        <v>4648</v>
      </c>
      <c r="B4644">
        <v>0.99299721793515405</v>
      </c>
      <c r="C4644">
        <v>0.83695506219514804</v>
      </c>
      <c r="D4644">
        <v>1.0063506380159399</v>
      </c>
      <c r="E4644">
        <v>0.78497121557694305</v>
      </c>
      <c r="F4644">
        <v>0.79671904359394996</v>
      </c>
      <c r="G4644">
        <v>0.66803773232284203</v>
      </c>
      <c r="H4644">
        <v>0.48480892574110801</v>
      </c>
      <c r="I4644">
        <v>0.357281130976981</v>
      </c>
      <c r="J4644">
        <v>0.119515034898053</v>
      </c>
      <c r="K4644">
        <v>0.14347080600926401</v>
      </c>
      <c r="L4644">
        <v>585.27945530246404</v>
      </c>
      <c r="M4644">
        <v>10.383259618724599</v>
      </c>
      <c r="N4644">
        <v>56.367612462682899</v>
      </c>
      <c r="O4644">
        <v>54.397034231954201</v>
      </c>
      <c r="P4644">
        <v>-4.7739886045066203E-2</v>
      </c>
      <c r="Q4644">
        <v>0</v>
      </c>
      <c r="R4644">
        <v>0.94444416432544898</v>
      </c>
      <c r="S4644" t="s">
        <v>10195</v>
      </c>
      <c r="T4644" t="s">
        <v>11100</v>
      </c>
      <c r="U4644" t="s">
        <v>11100</v>
      </c>
      <c r="V4644" t="s">
        <v>11100</v>
      </c>
      <c r="W4644" t="s">
        <v>15693</v>
      </c>
      <c r="X4644">
        <v>7</v>
      </c>
      <c r="Y4644" t="s">
        <v>21123</v>
      </c>
      <c r="Z4644" t="s">
        <v>26649</v>
      </c>
      <c r="AA4644">
        <v>0.65030134395448047</v>
      </c>
      <c r="AB4644" t="str">
        <f>HYPERLINK("Melting_Curves/meltCurve_Q9BX95_SGPP1.pdf", "Melting_Curves/meltCurve_Q9BX95_SGPP1.pdf")</f>
        <v>Melting_Curves/meltCurve_Q9BX95_SGPP1.pdf</v>
      </c>
    </row>
    <row r="4645" spans="1:28" x14ac:dyDescent="0.25">
      <c r="A4645" t="s">
        <v>4649</v>
      </c>
      <c r="B4645">
        <v>0.99299721793515405</v>
      </c>
      <c r="C4645">
        <v>0.85248597637384604</v>
      </c>
      <c r="D4645">
        <v>0.59033582830762998</v>
      </c>
      <c r="E4645">
        <v>0.57966604134159405</v>
      </c>
      <c r="F4645">
        <v>0.67857972622375395</v>
      </c>
      <c r="G4645">
        <v>0.37434503726235102</v>
      </c>
      <c r="H4645">
        <v>0.26237419845055998</v>
      </c>
      <c r="I4645">
        <v>0.15470577913894401</v>
      </c>
      <c r="J4645">
        <v>6.8037898694249893E-2</v>
      </c>
      <c r="K4645">
        <v>0</v>
      </c>
      <c r="L4645">
        <v>386.44751869842099</v>
      </c>
      <c r="M4645">
        <v>7.8276877176019104</v>
      </c>
      <c r="N4645">
        <v>49.369304347489297</v>
      </c>
      <c r="O4645">
        <v>46.458266996104697</v>
      </c>
      <c r="P4645">
        <v>-4.21738161127077E-2</v>
      </c>
      <c r="Q4645">
        <v>0</v>
      </c>
      <c r="R4645">
        <v>0.903208621021381</v>
      </c>
      <c r="S4645" t="s">
        <v>10196</v>
      </c>
      <c r="T4645" t="s">
        <v>11100</v>
      </c>
      <c r="U4645" t="s">
        <v>11100</v>
      </c>
      <c r="V4645" t="s">
        <v>11100</v>
      </c>
      <c r="W4645" t="s">
        <v>15694</v>
      </c>
      <c r="X4645">
        <v>4</v>
      </c>
      <c r="Y4645" t="s">
        <v>21124</v>
      </c>
      <c r="Z4645" t="s">
        <v>26650</v>
      </c>
      <c r="AA4645">
        <v>0.45743742107294427</v>
      </c>
      <c r="AB4645" t="str">
        <f>HYPERLINK("Melting_Curves/meltCurve_Q9BXF6_RAB11FIP5.pdf", "Melting_Curves/meltCurve_Q9BXF6_RAB11FIP5.pdf")</f>
        <v>Melting_Curves/meltCurve_Q9BXF6_RAB11FIP5.pdf</v>
      </c>
    </row>
    <row r="4646" spans="1:28" x14ac:dyDescent="0.25">
      <c r="A4646" t="s">
        <v>4650</v>
      </c>
      <c r="B4646">
        <v>0.99299721793515405</v>
      </c>
      <c r="C4646">
        <v>0.92657275125361405</v>
      </c>
      <c r="D4646">
        <v>0.93551727941233198</v>
      </c>
      <c r="E4646">
        <v>0.85421322481263195</v>
      </c>
      <c r="F4646">
        <v>0.76671253360498703</v>
      </c>
      <c r="G4646">
        <v>0.54864271252677399</v>
      </c>
      <c r="H4646">
        <v>0.50484884476254899</v>
      </c>
      <c r="I4646">
        <v>0.58605266319467098</v>
      </c>
      <c r="J4646">
        <v>0.62068624179682896</v>
      </c>
      <c r="K4646">
        <v>0.58129980172482199</v>
      </c>
      <c r="L4646">
        <v>942.17876390756896</v>
      </c>
      <c r="M4646">
        <v>19.474954882252899</v>
      </c>
      <c r="O4646">
        <v>47.877556972068803</v>
      </c>
      <c r="P4646">
        <v>-4.47215313661369E-2</v>
      </c>
      <c r="Q4646">
        <v>0.56023921887608996</v>
      </c>
      <c r="R4646">
        <v>0.92480124514121798</v>
      </c>
      <c r="S4646" t="s">
        <v>10197</v>
      </c>
      <c r="T4646" t="s">
        <v>11100</v>
      </c>
      <c r="U4646" t="s">
        <v>11100</v>
      </c>
      <c r="V4646" t="s">
        <v>11100</v>
      </c>
      <c r="W4646" t="s">
        <v>15445</v>
      </c>
      <c r="X4646">
        <v>6</v>
      </c>
      <c r="Y4646" t="s">
        <v>20876</v>
      </c>
      <c r="Z4646" t="s">
        <v>26651</v>
      </c>
      <c r="AA4646">
        <v>0.7331187251366641</v>
      </c>
      <c r="AB4646" t="str">
        <f>HYPERLINK("Melting_Curves/meltCurve_Q9BXH1_BBC3.pdf", "Melting_Curves/meltCurve_Q9BXH1_BBC3.pdf")</f>
        <v>Melting_Curves/meltCurve_Q9BXH1_BBC3.pdf</v>
      </c>
    </row>
    <row r="4647" spans="1:28" x14ac:dyDescent="0.25">
      <c r="A4647" t="s">
        <v>4651</v>
      </c>
      <c r="B4647">
        <v>0.99299721793515405</v>
      </c>
      <c r="C4647">
        <v>1.0415406653468</v>
      </c>
      <c r="D4647">
        <v>0.98043914501610896</v>
      </c>
      <c r="E4647">
        <v>0.91191788180033395</v>
      </c>
      <c r="F4647">
        <v>0.74413049475582405</v>
      </c>
      <c r="G4647">
        <v>0.73079284313995696</v>
      </c>
      <c r="H4647">
        <v>0.41074055208008398</v>
      </c>
      <c r="I4647">
        <v>0.15961837633909001</v>
      </c>
      <c r="J4647">
        <v>0.14168222665859101</v>
      </c>
      <c r="K4647">
        <v>0.11234415910525899</v>
      </c>
      <c r="L4647">
        <v>784.32825218582605</v>
      </c>
      <c r="M4647">
        <v>14.0462352237468</v>
      </c>
      <c r="N4647">
        <v>55.839037634946699</v>
      </c>
      <c r="O4647">
        <v>54.743788052192201</v>
      </c>
      <c r="P4647">
        <v>-6.4153729505506699E-2</v>
      </c>
      <c r="Q4647">
        <v>0</v>
      </c>
      <c r="R4647">
        <v>0.97969947650516698</v>
      </c>
      <c r="S4647" t="s">
        <v>10198</v>
      </c>
      <c r="T4647" t="s">
        <v>11100</v>
      </c>
      <c r="U4647" t="s">
        <v>11100</v>
      </c>
      <c r="V4647" t="s">
        <v>11100</v>
      </c>
      <c r="W4647" t="s">
        <v>15695</v>
      </c>
      <c r="X4647">
        <v>46</v>
      </c>
      <c r="Y4647" t="s">
        <v>21125</v>
      </c>
      <c r="Z4647" t="s">
        <v>26652</v>
      </c>
      <c r="AA4647">
        <v>0.63977825499350471</v>
      </c>
      <c r="AB4647" t="str">
        <f>HYPERLINK("Melting_Curves/meltCurve_Q9BXJ9_NAA15.pdf", "Melting_Curves/meltCurve_Q9BXJ9_NAA15.pdf")</f>
        <v>Melting_Curves/meltCurve_Q9BXJ9_NAA15.pdf</v>
      </c>
    </row>
    <row r="4648" spans="1:28" x14ac:dyDescent="0.25">
      <c r="A4648" t="s">
        <v>4652</v>
      </c>
      <c r="B4648">
        <v>0.99299721793515405</v>
      </c>
      <c r="C4648">
        <v>1.05933761127046</v>
      </c>
      <c r="D4648">
        <v>1.1949009074895101</v>
      </c>
      <c r="E4648">
        <v>0.87726884962264895</v>
      </c>
      <c r="F4648">
        <v>0.70037318966758699</v>
      </c>
      <c r="G4648">
        <v>0.61928021702390601</v>
      </c>
      <c r="H4648">
        <v>0.480622403150885</v>
      </c>
      <c r="I4648">
        <v>0.44230206842558101</v>
      </c>
      <c r="J4648">
        <v>0.26962106234154998</v>
      </c>
      <c r="K4648">
        <v>0.18413421654459999</v>
      </c>
      <c r="L4648">
        <v>623.44702635438102</v>
      </c>
      <c r="M4648">
        <v>11.281368379541201</v>
      </c>
      <c r="N4648">
        <v>56.746663165888897</v>
      </c>
      <c r="O4648">
        <v>53.612349377574503</v>
      </c>
      <c r="P4648">
        <v>-4.5903148945845101E-2</v>
      </c>
      <c r="Q4648">
        <v>0.12768644866707601</v>
      </c>
      <c r="R4648">
        <v>0.92779201430515401</v>
      </c>
      <c r="S4648" t="s">
        <v>10199</v>
      </c>
      <c r="T4648" t="s">
        <v>11100</v>
      </c>
      <c r="U4648" t="s">
        <v>11100</v>
      </c>
      <c r="V4648" t="s">
        <v>11100</v>
      </c>
      <c r="W4648" t="s">
        <v>15696</v>
      </c>
      <c r="X4648">
        <v>1</v>
      </c>
      <c r="Y4648" t="s">
        <v>21126</v>
      </c>
      <c r="Z4648" t="s">
        <v>26653</v>
      </c>
      <c r="AA4648">
        <v>0.66963775279415105</v>
      </c>
      <c r="AB4648" t="str">
        <f>HYPERLINK("Melting_Curves/meltCurve_Q9BXK1_KLF16.pdf", "Melting_Curves/meltCurve_Q9BXK1_KLF16.pdf")</f>
        <v>Melting_Curves/meltCurve_Q9BXK1_KLF16.pdf</v>
      </c>
    </row>
    <row r="4649" spans="1:28" x14ac:dyDescent="0.25">
      <c r="A4649" t="s">
        <v>4653</v>
      </c>
      <c r="B4649">
        <v>0.99299721793515405</v>
      </c>
      <c r="C4649">
        <v>0.99079893573204003</v>
      </c>
      <c r="D4649">
        <v>0.88575764946830504</v>
      </c>
      <c r="E4649">
        <v>0.92145091141118496</v>
      </c>
      <c r="F4649">
        <v>0.78472455092218596</v>
      </c>
      <c r="G4649">
        <v>0.68791706154329202</v>
      </c>
      <c r="H4649">
        <v>0.39404455653390003</v>
      </c>
      <c r="I4649">
        <v>0.27582737217321601</v>
      </c>
      <c r="J4649">
        <v>0.19602357576607499</v>
      </c>
      <c r="K4649">
        <v>0.119191321287952</v>
      </c>
      <c r="L4649">
        <v>661.46191791239198</v>
      </c>
      <c r="M4649">
        <v>11.7876103074145</v>
      </c>
      <c r="N4649">
        <v>56.115014102284199</v>
      </c>
      <c r="O4649">
        <v>54.573049491191099</v>
      </c>
      <c r="P4649">
        <v>-5.4013179083266402E-2</v>
      </c>
      <c r="Q4649">
        <v>0</v>
      </c>
      <c r="R4649">
        <v>0.98707778686547099</v>
      </c>
      <c r="S4649" t="s">
        <v>10200</v>
      </c>
      <c r="T4649" t="s">
        <v>11100</v>
      </c>
      <c r="U4649" t="s">
        <v>11100</v>
      </c>
      <c r="V4649" t="s">
        <v>11100</v>
      </c>
      <c r="W4649" t="s">
        <v>15697</v>
      </c>
      <c r="X4649">
        <v>8</v>
      </c>
      <c r="Y4649" t="s">
        <v>21127</v>
      </c>
      <c r="Z4649" t="s">
        <v>26654</v>
      </c>
      <c r="AA4649">
        <v>0.64612426221090014</v>
      </c>
      <c r="AB4649" t="str">
        <f>HYPERLINK("Melting_Curves/meltCurve_Q9BXP2_SLC12A9.pdf", "Melting_Curves/meltCurve_Q9BXP2_SLC12A9.pdf")</f>
        <v>Melting_Curves/meltCurve_Q9BXP2_SLC12A9.pdf</v>
      </c>
    </row>
    <row r="4650" spans="1:28" x14ac:dyDescent="0.25">
      <c r="A4650" t="s">
        <v>4654</v>
      </c>
      <c r="B4650">
        <v>0.99299721793515405</v>
      </c>
      <c r="C4650">
        <v>0.96688858783072396</v>
      </c>
      <c r="D4650">
        <v>0.98288137510644602</v>
      </c>
      <c r="E4650">
        <v>0.79527797887918095</v>
      </c>
      <c r="F4650">
        <v>0.639040133771267</v>
      </c>
      <c r="G4650">
        <v>0.210079529794266</v>
      </c>
      <c r="H4650">
        <v>0.163246983561011</v>
      </c>
      <c r="I4650">
        <v>0.16754320088437699</v>
      </c>
      <c r="J4650">
        <v>0.175831065095962</v>
      </c>
      <c r="K4650">
        <v>0.17776045194862</v>
      </c>
      <c r="L4650">
        <v>1171.1649153278399</v>
      </c>
      <c r="M4650">
        <v>23.417800620525998</v>
      </c>
      <c r="N4650">
        <v>50.776447689065797</v>
      </c>
      <c r="O4650">
        <v>49.651324420183101</v>
      </c>
      <c r="P4650">
        <v>-0.100391536593752</v>
      </c>
      <c r="Q4650">
        <v>0.14859880235450401</v>
      </c>
      <c r="R4650">
        <v>0.98381727370451</v>
      </c>
      <c r="S4650" t="s">
        <v>10201</v>
      </c>
      <c r="T4650" t="s">
        <v>11100</v>
      </c>
      <c r="U4650" t="s">
        <v>11100</v>
      </c>
      <c r="V4650" t="s">
        <v>11100</v>
      </c>
      <c r="W4650" t="s">
        <v>15698</v>
      </c>
      <c r="X4650">
        <v>15</v>
      </c>
      <c r="Y4650" t="s">
        <v>21128</v>
      </c>
      <c r="Z4650" t="s">
        <v>26655</v>
      </c>
      <c r="AA4650">
        <v>0.52629686107714024</v>
      </c>
      <c r="AB4650" t="str">
        <f>HYPERLINK("Melting_Curves/meltCurve_Q9BXP5_4_SRRT.pdf", "Melting_Curves/meltCurve_Q9BXP5_4_SRRT.pdf")</f>
        <v>Melting_Curves/meltCurve_Q9BXP5_4_SRRT.pdf</v>
      </c>
    </row>
    <row r="4651" spans="1:28" x14ac:dyDescent="0.25">
      <c r="A4651" t="s">
        <v>4655</v>
      </c>
      <c r="B4651">
        <v>0.99299721793515405</v>
      </c>
      <c r="C4651">
        <v>1.01235678094313</v>
      </c>
      <c r="D4651">
        <v>0.87930156693305295</v>
      </c>
      <c r="E4651">
        <v>0.87463918965014098</v>
      </c>
      <c r="F4651">
        <v>0.79421450131856197</v>
      </c>
      <c r="G4651">
        <v>0.65059660785393802</v>
      </c>
      <c r="H4651">
        <v>0.63852423167787398</v>
      </c>
      <c r="I4651">
        <v>0.525015894757483</v>
      </c>
      <c r="J4651">
        <v>0.250644359707211</v>
      </c>
      <c r="K4651">
        <v>0.14418158575776599</v>
      </c>
      <c r="L4651">
        <v>525.14077027874805</v>
      </c>
      <c r="M4651">
        <v>8.9629524428095806</v>
      </c>
      <c r="N4651">
        <v>58.590137629838999</v>
      </c>
      <c r="O4651">
        <v>55.893937853792004</v>
      </c>
      <c r="P4651">
        <v>-4.0118680633527297E-2</v>
      </c>
      <c r="Q4651">
        <v>0</v>
      </c>
      <c r="R4651">
        <v>0.94148930477806303</v>
      </c>
      <c r="S4651" t="s">
        <v>10202</v>
      </c>
      <c r="T4651" t="s">
        <v>11100</v>
      </c>
      <c r="U4651" t="s">
        <v>11100</v>
      </c>
      <c r="V4651" t="s">
        <v>11100</v>
      </c>
      <c r="W4651" t="s">
        <v>15699</v>
      </c>
      <c r="X4651">
        <v>8</v>
      </c>
      <c r="Y4651" t="s">
        <v>21129</v>
      </c>
      <c r="Z4651" t="s">
        <v>26656</v>
      </c>
      <c r="AA4651">
        <v>0.69989284424719012</v>
      </c>
      <c r="AB4651" t="str">
        <f>HYPERLINK("Melting_Curves/meltCurve_Q9BXR0_QTRT1.pdf", "Melting_Curves/meltCurve_Q9BXR0_QTRT1.pdf")</f>
        <v>Melting_Curves/meltCurve_Q9BXR0_QTRT1.pdf</v>
      </c>
    </row>
    <row r="4652" spans="1:28" x14ac:dyDescent="0.25">
      <c r="A4652" t="s">
        <v>4656</v>
      </c>
      <c r="B4652">
        <v>0.99299721793515405</v>
      </c>
      <c r="C4652">
        <v>0.998953575438708</v>
      </c>
      <c r="D4652">
        <v>0.81865252422271995</v>
      </c>
      <c r="E4652">
        <v>0.89741877137530901</v>
      </c>
      <c r="F4652">
        <v>0.70839289248509496</v>
      </c>
      <c r="G4652">
        <v>0.57365883981008003</v>
      </c>
      <c r="H4652">
        <v>0.48769286979061399</v>
      </c>
      <c r="I4652">
        <v>0.42642764032637998</v>
      </c>
      <c r="J4652">
        <v>0.44894889594147402</v>
      </c>
      <c r="K4652">
        <v>0.191465026316466</v>
      </c>
      <c r="L4652">
        <v>379.33179212262201</v>
      </c>
      <c r="M4652">
        <v>6.5907495274308401</v>
      </c>
      <c r="N4652">
        <v>57.555189309533098</v>
      </c>
      <c r="O4652">
        <v>52.947533765060697</v>
      </c>
      <c r="P4652">
        <v>-3.1191120493593499E-2</v>
      </c>
      <c r="Q4652">
        <v>0</v>
      </c>
      <c r="R4652">
        <v>0.94225959014405303</v>
      </c>
      <c r="S4652" t="s">
        <v>10203</v>
      </c>
      <c r="T4652" t="s">
        <v>11100</v>
      </c>
      <c r="U4652" t="s">
        <v>11100</v>
      </c>
      <c r="V4652" t="s">
        <v>11100</v>
      </c>
      <c r="W4652" t="s">
        <v>15700</v>
      </c>
      <c r="X4652">
        <v>3</v>
      </c>
      <c r="Y4652" t="s">
        <v>21130</v>
      </c>
      <c r="Z4652" t="s">
        <v>26657</v>
      </c>
      <c r="AA4652">
        <v>0.65617245828393078</v>
      </c>
      <c r="AB4652" t="str">
        <f>HYPERLINK("Melting_Curves/meltCurve_Q9BXV9_C14orf142.pdf", "Melting_Curves/meltCurve_Q9BXV9_C14orf142.pdf")</f>
        <v>Melting_Curves/meltCurve_Q9BXV9_C14orf142.pdf</v>
      </c>
    </row>
    <row r="4653" spans="1:28" x14ac:dyDescent="0.25">
      <c r="A4653" t="s">
        <v>4657</v>
      </c>
      <c r="B4653">
        <v>0.99299721793515405</v>
      </c>
      <c r="C4653">
        <v>1.0793387830925401</v>
      </c>
      <c r="D4653">
        <v>0.98328937407191797</v>
      </c>
      <c r="E4653">
        <v>0.95919114769328695</v>
      </c>
      <c r="F4653">
        <v>0.75524825273891505</v>
      </c>
      <c r="G4653">
        <v>0.40754398940887299</v>
      </c>
      <c r="H4653">
        <v>0.30477953916464601</v>
      </c>
      <c r="I4653">
        <v>0.28454105637301402</v>
      </c>
      <c r="J4653">
        <v>0.24853107792688001</v>
      </c>
      <c r="K4653">
        <v>0.214196686945089</v>
      </c>
      <c r="L4653">
        <v>1419.27661619435</v>
      </c>
      <c r="M4653">
        <v>27.577682224247798</v>
      </c>
      <c r="N4653">
        <v>52.765231188456099</v>
      </c>
      <c r="O4653">
        <v>51.196351700111499</v>
      </c>
      <c r="P4653">
        <v>-0.10145533567517399</v>
      </c>
      <c r="Q4653">
        <v>0.246623311875208</v>
      </c>
      <c r="R4653">
        <v>0.99234020979636295</v>
      </c>
      <c r="S4653" t="s">
        <v>10204</v>
      </c>
      <c r="T4653" t="s">
        <v>11100</v>
      </c>
      <c r="U4653" t="s">
        <v>11100</v>
      </c>
      <c r="V4653" t="s">
        <v>11100</v>
      </c>
      <c r="W4653" t="s">
        <v>15701</v>
      </c>
      <c r="X4653">
        <v>4</v>
      </c>
      <c r="Y4653" t="s">
        <v>21131</v>
      </c>
      <c r="Z4653" t="s">
        <v>26658</v>
      </c>
      <c r="AA4653">
        <v>0.61541831798456414</v>
      </c>
      <c r="AB4653" t="str">
        <f>HYPERLINK("Melting_Curves/meltCurve_Q9BXW6_OSBPL1A.pdf", "Melting_Curves/meltCurve_Q9BXW6_OSBPL1A.pdf")</f>
        <v>Melting_Curves/meltCurve_Q9BXW6_OSBPL1A.pdf</v>
      </c>
    </row>
    <row r="4654" spans="1:28" x14ac:dyDescent="0.25">
      <c r="A4654" t="s">
        <v>4658</v>
      </c>
      <c r="B4654">
        <v>0.99299721793515405</v>
      </c>
      <c r="C4654">
        <v>0.96292154306070699</v>
      </c>
      <c r="D4654">
        <v>0.88120620617898104</v>
      </c>
      <c r="E4654">
        <v>0.84912969905621405</v>
      </c>
      <c r="F4654">
        <v>0.63525275285312599</v>
      </c>
      <c r="G4654">
        <v>0.288747314012406</v>
      </c>
      <c r="H4654">
        <v>0.14996496971311801</v>
      </c>
      <c r="I4654">
        <v>0.133246466449262</v>
      </c>
      <c r="J4654">
        <v>0.109389489495211</v>
      </c>
      <c r="K4654">
        <v>7.8327328472299798E-2</v>
      </c>
      <c r="L4654">
        <v>915.24401269423402</v>
      </c>
      <c r="M4654">
        <v>17.998125266176899</v>
      </c>
      <c r="N4654">
        <v>51.283189222185797</v>
      </c>
      <c r="O4654">
        <v>50.2368667977737</v>
      </c>
      <c r="P4654">
        <v>-8.3283507757437397E-2</v>
      </c>
      <c r="Q4654">
        <v>7.0192795468691296E-2</v>
      </c>
      <c r="R4654">
        <v>0.99064687060735301</v>
      </c>
      <c r="S4654" t="s">
        <v>10205</v>
      </c>
      <c r="T4654" t="s">
        <v>11100</v>
      </c>
      <c r="U4654" t="s">
        <v>11100</v>
      </c>
      <c r="V4654" t="s">
        <v>11100</v>
      </c>
      <c r="W4654" t="s">
        <v>15702</v>
      </c>
      <c r="X4654">
        <v>10</v>
      </c>
      <c r="Y4654" t="s">
        <v>21132</v>
      </c>
      <c r="Z4654" t="s">
        <v>26659</v>
      </c>
      <c r="AA4654">
        <v>0.51398552366960282</v>
      </c>
      <c r="AB4654" t="str">
        <f>HYPERLINK("Melting_Curves/meltCurve_Q9BXW7_2_CECR5.pdf", "Melting_Curves/meltCurve_Q9BXW7_2_CECR5.pdf")</f>
        <v>Melting_Curves/meltCurve_Q9BXW7_2_CECR5.pdf</v>
      </c>
    </row>
    <row r="4655" spans="1:28" x14ac:dyDescent="0.25">
      <c r="A4655" t="s">
        <v>4659</v>
      </c>
      <c r="B4655">
        <v>0.99299721793515405</v>
      </c>
      <c r="C4655">
        <v>0.86626211662248997</v>
      </c>
      <c r="D4655">
        <v>0.85739688611810505</v>
      </c>
      <c r="E4655">
        <v>0.79775244458315897</v>
      </c>
      <c r="F4655">
        <v>0.57597170935822495</v>
      </c>
      <c r="G4655">
        <v>0.287693104324245</v>
      </c>
      <c r="H4655">
        <v>0.24642383019696501</v>
      </c>
      <c r="I4655">
        <v>0.22838341427938799</v>
      </c>
      <c r="J4655">
        <v>0.19760972166860499</v>
      </c>
      <c r="K4655">
        <v>0.20110978902388499</v>
      </c>
      <c r="L4655">
        <v>682.99363946480798</v>
      </c>
      <c r="M4655">
        <v>13.8303191667092</v>
      </c>
      <c r="N4655">
        <v>50.775429267492299</v>
      </c>
      <c r="O4655">
        <v>48.385688315734299</v>
      </c>
      <c r="P4655">
        <v>-6.0194852788539498E-2</v>
      </c>
      <c r="Q4655">
        <v>0.157744609408076</v>
      </c>
      <c r="R4655">
        <v>0.97448110142432098</v>
      </c>
      <c r="S4655" t="s">
        <v>10206</v>
      </c>
      <c r="T4655" t="s">
        <v>11100</v>
      </c>
      <c r="U4655" t="s">
        <v>11100</v>
      </c>
      <c r="V4655" t="s">
        <v>11100</v>
      </c>
      <c r="W4655" t="s">
        <v>15703</v>
      </c>
      <c r="X4655">
        <v>6</v>
      </c>
      <c r="Y4655" t="s">
        <v>21133</v>
      </c>
      <c r="Z4655" t="s">
        <v>26660</v>
      </c>
      <c r="AA4655">
        <v>0.52564286560262241</v>
      </c>
      <c r="AB4655" t="str">
        <f>HYPERLINK("Melting_Curves/meltCurve_Q9BXW9_2_FANCD2.pdf", "Melting_Curves/meltCurve_Q9BXW9_2_FANCD2.pdf")</f>
        <v>Melting_Curves/meltCurve_Q9BXW9_2_FANCD2.pdf</v>
      </c>
    </row>
    <row r="4656" spans="1:28" x14ac:dyDescent="0.25">
      <c r="A4656" t="s">
        <v>4660</v>
      </c>
      <c r="B4656">
        <v>0.99299721793515405</v>
      </c>
      <c r="C4656">
        <v>0.92742862121927905</v>
      </c>
      <c r="D4656">
        <v>0.78127378801631897</v>
      </c>
      <c r="E4656">
        <v>0.68859325558308404</v>
      </c>
      <c r="F4656">
        <v>0.37663205925686399</v>
      </c>
      <c r="G4656">
        <v>0.40034033077458703</v>
      </c>
      <c r="H4656">
        <v>0.20250387641863499</v>
      </c>
      <c r="I4656">
        <v>0.28786752011922701</v>
      </c>
      <c r="J4656">
        <v>0.23592021497938201</v>
      </c>
      <c r="K4656">
        <v>0.25040436943910699</v>
      </c>
      <c r="L4656">
        <v>638.55002589898504</v>
      </c>
      <c r="M4656">
        <v>13.6466137083949</v>
      </c>
      <c r="N4656">
        <v>48.907165354150301</v>
      </c>
      <c r="O4656">
        <v>45.821354631428797</v>
      </c>
      <c r="P4656">
        <v>-5.7867464911094901E-2</v>
      </c>
      <c r="Q4656">
        <v>0.22290525736834499</v>
      </c>
      <c r="R4656">
        <v>0.973050129338351</v>
      </c>
      <c r="S4656" t="s">
        <v>10207</v>
      </c>
      <c r="T4656" t="s">
        <v>11100</v>
      </c>
      <c r="U4656" t="s">
        <v>11100</v>
      </c>
      <c r="V4656" t="s">
        <v>11100</v>
      </c>
      <c r="W4656" t="s">
        <v>15704</v>
      </c>
      <c r="X4656">
        <v>3</v>
      </c>
      <c r="Y4656" t="s">
        <v>21134</v>
      </c>
      <c r="Z4656" t="s">
        <v>26661</v>
      </c>
      <c r="AA4656">
        <v>0.49733398784439342</v>
      </c>
      <c r="AB4656" t="str">
        <f>HYPERLINK("Melting_Curves/meltCurve_Q9BY27_DGCR6L.pdf", "Melting_Curves/meltCurve_Q9BY27_DGCR6L.pdf")</f>
        <v>Melting_Curves/meltCurve_Q9BY27_DGCR6L.pdf</v>
      </c>
    </row>
    <row r="4657" spans="1:28" x14ac:dyDescent="0.25">
      <c r="A4657" t="s">
        <v>4661</v>
      </c>
      <c r="B4657">
        <v>0.99299721793515405</v>
      </c>
      <c r="C4657">
        <v>1.0462895128663401</v>
      </c>
      <c r="D4657">
        <v>0.95488743777134899</v>
      </c>
      <c r="E4657">
        <v>1.0541177459953499</v>
      </c>
      <c r="F4657">
        <v>0.83776995236158003</v>
      </c>
      <c r="G4657">
        <v>0.64719863264563804</v>
      </c>
      <c r="H4657">
        <v>0.57305018469056901</v>
      </c>
      <c r="I4657">
        <v>0.67032834648517003</v>
      </c>
      <c r="J4657">
        <v>0.74593678385899898</v>
      </c>
      <c r="K4657">
        <v>0.98545892265565305</v>
      </c>
      <c r="L4657">
        <v>12532.0127738788</v>
      </c>
      <c r="M4657">
        <v>250</v>
      </c>
      <c r="O4657">
        <v>50.124838837343198</v>
      </c>
      <c r="P4657">
        <v>-0.34364873898293902</v>
      </c>
      <c r="Q4657">
        <v>0.72439457359142301</v>
      </c>
      <c r="R4657">
        <v>0.63046848986118997</v>
      </c>
      <c r="S4657" t="s">
        <v>10208</v>
      </c>
      <c r="T4657" t="s">
        <v>11100</v>
      </c>
      <c r="U4657" t="s">
        <v>11100</v>
      </c>
      <c r="V4657" t="s">
        <v>11100</v>
      </c>
      <c r="W4657" t="s">
        <v>15705</v>
      </c>
      <c r="X4657">
        <v>5</v>
      </c>
      <c r="Y4657" t="s">
        <v>21135</v>
      </c>
      <c r="Z4657" t="s">
        <v>26662</v>
      </c>
      <c r="AA4657">
        <v>0.8450242236923915</v>
      </c>
      <c r="AB4657" t="str">
        <f>HYPERLINK("Melting_Curves/meltCurve_Q9BY32_ITPA.pdf", "Melting_Curves/meltCurve_Q9BY32_ITPA.pdf")</f>
        <v>Melting_Curves/meltCurve_Q9BY32_ITPA.pdf</v>
      </c>
    </row>
    <row r="4658" spans="1:28" x14ac:dyDescent="0.25">
      <c r="A4658" t="s">
        <v>4662</v>
      </c>
      <c r="B4658">
        <v>0.99299721793515405</v>
      </c>
      <c r="C4658">
        <v>1.0030680666351699</v>
      </c>
      <c r="D4658">
        <v>1.0452356580944999</v>
      </c>
      <c r="E4658">
        <v>0.83880670024645199</v>
      </c>
      <c r="F4658">
        <v>0.613988608584492</v>
      </c>
      <c r="G4658">
        <v>0.47745201418309202</v>
      </c>
      <c r="H4658">
        <v>0.364965693351682</v>
      </c>
      <c r="I4658">
        <v>0.36540064890104401</v>
      </c>
      <c r="J4658">
        <v>0.28040652977889002</v>
      </c>
      <c r="K4658">
        <v>0.13495938364674001</v>
      </c>
      <c r="L4658">
        <v>711.93416147215601</v>
      </c>
      <c r="M4658">
        <v>13.8679075501339</v>
      </c>
      <c r="N4658">
        <v>53.346577867575903</v>
      </c>
      <c r="O4658">
        <v>50.304663542118902</v>
      </c>
      <c r="P4658">
        <v>-5.4904179887627802E-2</v>
      </c>
      <c r="Q4658">
        <v>0.20346827702133999</v>
      </c>
      <c r="R4658">
        <v>0.97091385377218398</v>
      </c>
      <c r="S4658" t="s">
        <v>10209</v>
      </c>
      <c r="T4658" t="s">
        <v>11100</v>
      </c>
      <c r="U4658" t="s">
        <v>11100</v>
      </c>
      <c r="V4658" t="s">
        <v>11100</v>
      </c>
      <c r="W4658" t="s">
        <v>15706</v>
      </c>
      <c r="X4658">
        <v>6</v>
      </c>
      <c r="Y4658" t="s">
        <v>21136</v>
      </c>
      <c r="Z4658" t="s">
        <v>26663</v>
      </c>
      <c r="AA4658">
        <v>0.60147819571521066</v>
      </c>
      <c r="AB4658" t="str">
        <f>HYPERLINK("Melting_Curves/meltCurve_Q9BY77_POLDIP3.pdf", "Melting_Curves/meltCurve_Q9BY77_POLDIP3.pdf")</f>
        <v>Melting_Curves/meltCurve_Q9BY77_POLDIP3.pdf</v>
      </c>
    </row>
    <row r="4659" spans="1:28" x14ac:dyDescent="0.25">
      <c r="A4659" t="s">
        <v>4663</v>
      </c>
      <c r="B4659">
        <v>0.99299721793515405</v>
      </c>
      <c r="C4659">
        <v>0.76708304931723703</v>
      </c>
      <c r="D4659">
        <v>0.89217863954861598</v>
      </c>
      <c r="E4659">
        <v>0.77993209630312099</v>
      </c>
      <c r="F4659">
        <v>0.72344946447422298</v>
      </c>
      <c r="G4659">
        <v>0.46058557730678501</v>
      </c>
      <c r="H4659">
        <v>0.46676650662930802</v>
      </c>
      <c r="I4659">
        <v>0.37492988659946203</v>
      </c>
      <c r="J4659">
        <v>0.31730993181164302</v>
      </c>
      <c r="K4659">
        <v>0.23621184364560199</v>
      </c>
      <c r="L4659">
        <v>333.12826747210499</v>
      </c>
      <c r="M4659">
        <v>6.0133406084140804</v>
      </c>
      <c r="N4659">
        <v>55.398189891848602</v>
      </c>
      <c r="O4659">
        <v>50.204107673575798</v>
      </c>
      <c r="P4659">
        <v>-3.0040678457044698E-2</v>
      </c>
      <c r="Q4659">
        <v>0</v>
      </c>
      <c r="R4659">
        <v>0.937549831956494</v>
      </c>
      <c r="S4659" t="s">
        <v>10210</v>
      </c>
      <c r="T4659" t="s">
        <v>11100</v>
      </c>
      <c r="U4659" t="s">
        <v>11100</v>
      </c>
      <c r="V4659" t="s">
        <v>11100</v>
      </c>
      <c r="W4659" t="s">
        <v>15707</v>
      </c>
      <c r="X4659">
        <v>4</v>
      </c>
      <c r="Y4659" t="s">
        <v>21137</v>
      </c>
      <c r="Z4659" t="s">
        <v>26664</v>
      </c>
      <c r="AA4659">
        <v>0.60421630575671548</v>
      </c>
      <c r="AB4659" t="str">
        <f>HYPERLINK("Melting_Curves/meltCurve_Q9BYB4_GNB1L.pdf", "Melting_Curves/meltCurve_Q9BYB4_GNB1L.pdf")</f>
        <v>Melting_Curves/meltCurve_Q9BYB4_GNB1L.pdf</v>
      </c>
    </row>
    <row r="4660" spans="1:28" x14ac:dyDescent="0.25">
      <c r="A4660" t="s">
        <v>4664</v>
      </c>
      <c r="B4660">
        <v>0.99299721793515405</v>
      </c>
      <c r="C4660">
        <v>0.82706429890611</v>
      </c>
      <c r="D4660">
        <v>0.85231706270908802</v>
      </c>
      <c r="E4660">
        <v>0.79247468084380401</v>
      </c>
      <c r="F4660">
        <v>0.85543668637901504</v>
      </c>
      <c r="G4660">
        <v>0.58327264886824504</v>
      </c>
      <c r="H4660">
        <v>0.20819109458044999</v>
      </c>
      <c r="I4660">
        <v>0.14390877757079601</v>
      </c>
      <c r="J4660">
        <v>0.144745853560421</v>
      </c>
      <c r="K4660">
        <v>0.15200226526736901</v>
      </c>
      <c r="S4660" t="s">
        <v>10211</v>
      </c>
      <c r="T4660" t="s">
        <v>11100</v>
      </c>
      <c r="U4660" t="s">
        <v>11101</v>
      </c>
      <c r="V4660" t="s">
        <v>11100</v>
      </c>
      <c r="W4660" t="s">
        <v>15708</v>
      </c>
      <c r="X4660">
        <v>2</v>
      </c>
      <c r="Y4660" t="s">
        <v>21138</v>
      </c>
      <c r="Z4660" t="s">
        <v>26665</v>
      </c>
      <c r="AB4660" t="str">
        <f>HYPERLINK("Melting_Curves/meltCurve_Q9BYG5_PARD6B.pdf", "Melting_Curves/meltCurve_Q9BYG5_PARD6B.pdf")</f>
        <v>Melting_Curves/meltCurve_Q9BYG5_PARD6B.pdf</v>
      </c>
    </row>
    <row r="4661" spans="1:28" x14ac:dyDescent="0.25">
      <c r="A4661" t="s">
        <v>4665</v>
      </c>
      <c r="B4661">
        <v>0.99299721793515405</v>
      </c>
      <c r="C4661">
        <v>0.87930410280619498</v>
      </c>
      <c r="D4661">
        <v>1.1475770151803899</v>
      </c>
      <c r="E4661">
        <v>0.803377590586976</v>
      </c>
      <c r="F4661">
        <v>0.69571634712371</v>
      </c>
      <c r="G4661">
        <v>0.58724154773412396</v>
      </c>
      <c r="H4661">
        <v>0.37424310772054298</v>
      </c>
      <c r="I4661">
        <v>0.36375705019204102</v>
      </c>
      <c r="J4661">
        <v>0.16230726703607801</v>
      </c>
      <c r="K4661">
        <v>0.28561900854723599</v>
      </c>
      <c r="L4661">
        <v>686.12014908163098</v>
      </c>
      <c r="M4661">
        <v>13.009617722972401</v>
      </c>
      <c r="N4661">
        <v>54.724649302622197</v>
      </c>
      <c r="O4661">
        <v>51.539999959524899</v>
      </c>
      <c r="P4661">
        <v>-5.1243392036656898E-2</v>
      </c>
      <c r="Q4661">
        <v>0.18810242940446201</v>
      </c>
      <c r="R4661">
        <v>0.92660306482001997</v>
      </c>
      <c r="S4661" t="s">
        <v>10212</v>
      </c>
      <c r="T4661" t="s">
        <v>11100</v>
      </c>
      <c r="U4661" t="s">
        <v>11100</v>
      </c>
      <c r="V4661" t="s">
        <v>11100</v>
      </c>
      <c r="W4661" t="s">
        <v>15709</v>
      </c>
      <c r="X4661">
        <v>2</v>
      </c>
      <c r="Y4661" t="s">
        <v>21139</v>
      </c>
      <c r="Z4661" t="s">
        <v>26666</v>
      </c>
      <c r="AA4661">
        <v>0.63083764158061462</v>
      </c>
      <c r="AB4661" t="str">
        <f>HYPERLINK("Melting_Curves/meltCurve_Q9BYM8_RBCK1.pdf", "Melting_Curves/meltCurve_Q9BYM8_RBCK1.pdf")</f>
        <v>Melting_Curves/meltCurve_Q9BYM8_RBCK1.pdf</v>
      </c>
    </row>
    <row r="4662" spans="1:28" x14ac:dyDescent="0.25">
      <c r="A4662" t="s">
        <v>4666</v>
      </c>
      <c r="B4662">
        <v>0.99299721793515405</v>
      </c>
      <c r="C4662">
        <v>0.89571768590706902</v>
      </c>
      <c r="D4662">
        <v>0.80857578678834996</v>
      </c>
      <c r="E4662">
        <v>0.76291966699312497</v>
      </c>
      <c r="F4662">
        <v>0.58387334840168004</v>
      </c>
      <c r="G4662">
        <v>0.52465044116499004</v>
      </c>
      <c r="H4662">
        <v>0.36838418388026301</v>
      </c>
      <c r="I4662">
        <v>0.23964715584090601</v>
      </c>
      <c r="J4662">
        <v>0.26936418590475403</v>
      </c>
      <c r="K4662">
        <v>0.227456872202108</v>
      </c>
      <c r="L4662">
        <v>390.23208546358097</v>
      </c>
      <c r="M4662">
        <v>7.4554609804261496</v>
      </c>
      <c r="N4662">
        <v>53.1905042381022</v>
      </c>
      <c r="O4662">
        <v>48.972448798146999</v>
      </c>
      <c r="P4662">
        <v>-3.5977933148321602E-2</v>
      </c>
      <c r="Q4662">
        <v>5.6079191177397798E-2</v>
      </c>
      <c r="R4662">
        <v>0.98570772232669202</v>
      </c>
      <c r="S4662" t="s">
        <v>10213</v>
      </c>
      <c r="T4662" t="s">
        <v>11100</v>
      </c>
      <c r="U4662" t="s">
        <v>11100</v>
      </c>
      <c r="V4662" t="s">
        <v>11100</v>
      </c>
      <c r="W4662" t="s">
        <v>15710</v>
      </c>
      <c r="X4662">
        <v>5</v>
      </c>
      <c r="Y4662" t="s">
        <v>21140</v>
      </c>
      <c r="Z4662" t="s">
        <v>26667</v>
      </c>
      <c r="AA4662">
        <v>0.56351606690689671</v>
      </c>
      <c r="AB4662" t="str">
        <f>HYPERLINK("Melting_Curves/meltCurve_Q9BYP7_3_WNK3.pdf", "Melting_Curves/meltCurve_Q9BYP7_3_WNK3.pdf")</f>
        <v>Melting_Curves/meltCurve_Q9BYP7_3_WNK3.pdf</v>
      </c>
    </row>
    <row r="4663" spans="1:28" x14ac:dyDescent="0.25">
      <c r="A4663" t="s">
        <v>4667</v>
      </c>
      <c r="B4663">
        <v>0.99299721793515405</v>
      </c>
      <c r="C4663">
        <v>1.04971510629236</v>
      </c>
      <c r="D4663">
        <v>0.89481223797737497</v>
      </c>
      <c r="E4663">
        <v>0.78567196898970304</v>
      </c>
      <c r="F4663">
        <v>0.54535407069819397</v>
      </c>
      <c r="G4663">
        <v>0.16631252590956799</v>
      </c>
      <c r="H4663">
        <v>4.14070578730154E-2</v>
      </c>
      <c r="I4663">
        <v>2.9768933736746599E-2</v>
      </c>
      <c r="J4663">
        <v>8.2116855486901202E-2</v>
      </c>
      <c r="K4663">
        <v>0.111006548375543</v>
      </c>
      <c r="L4663">
        <v>1063.85521181325</v>
      </c>
      <c r="M4663">
        <v>21.366107434547001</v>
      </c>
      <c r="N4663">
        <v>50.009099145897103</v>
      </c>
      <c r="O4663">
        <v>49.361712645920903</v>
      </c>
      <c r="P4663">
        <v>-0.10341570708386399</v>
      </c>
      <c r="Q4663">
        <v>4.4346741491425701E-2</v>
      </c>
      <c r="R4663">
        <v>0.98514555158770001</v>
      </c>
      <c r="S4663" t="s">
        <v>10214</v>
      </c>
      <c r="T4663" t="s">
        <v>11100</v>
      </c>
      <c r="U4663" t="s">
        <v>11100</v>
      </c>
      <c r="V4663" t="s">
        <v>11100</v>
      </c>
      <c r="W4663" t="s">
        <v>15711</v>
      </c>
      <c r="X4663">
        <v>3</v>
      </c>
      <c r="Y4663" t="s">
        <v>21141</v>
      </c>
      <c r="Z4663" t="s">
        <v>26668</v>
      </c>
      <c r="AA4663">
        <v>0.46301264366517719</v>
      </c>
      <c r="AB4663" t="str">
        <f>HYPERLINK("Melting_Curves/meltCurve_Q9BYT3_STK33.pdf", "Melting_Curves/meltCurve_Q9BYT3_STK33.pdf")</f>
        <v>Melting_Curves/meltCurve_Q9BYT3_STK33.pdf</v>
      </c>
    </row>
    <row r="4664" spans="1:28" x14ac:dyDescent="0.25">
      <c r="A4664" t="s">
        <v>4668</v>
      </c>
      <c r="B4664">
        <v>0.99299721793515405</v>
      </c>
      <c r="C4664">
        <v>1.03481038627446</v>
      </c>
      <c r="D4664">
        <v>0.91076530910873099</v>
      </c>
      <c r="E4664">
        <v>0.88853256262505498</v>
      </c>
      <c r="F4664">
        <v>0.77496091033333903</v>
      </c>
      <c r="G4664">
        <v>0.51648676958292195</v>
      </c>
      <c r="H4664">
        <v>0.46348394438442703</v>
      </c>
      <c r="I4664">
        <v>0.36869732362028201</v>
      </c>
      <c r="J4664">
        <v>0.197263511566134</v>
      </c>
      <c r="K4664">
        <v>0.13722760281813701</v>
      </c>
      <c r="L4664">
        <v>542.22586011884903</v>
      </c>
      <c r="M4664">
        <v>9.7093957263239901</v>
      </c>
      <c r="N4664">
        <v>55.845472354979798</v>
      </c>
      <c r="O4664">
        <v>53.630948058316903</v>
      </c>
      <c r="P4664">
        <v>-4.5284865336480899E-2</v>
      </c>
      <c r="Q4664">
        <v>0</v>
      </c>
      <c r="R4664">
        <v>0.98283310953778702</v>
      </c>
      <c r="S4664" t="s">
        <v>10215</v>
      </c>
      <c r="T4664" t="s">
        <v>11100</v>
      </c>
      <c r="U4664" t="s">
        <v>11100</v>
      </c>
      <c r="V4664" t="s">
        <v>11100</v>
      </c>
      <c r="W4664" t="s">
        <v>15712</v>
      </c>
      <c r="X4664">
        <v>21</v>
      </c>
      <c r="Y4664" t="s">
        <v>21142</v>
      </c>
      <c r="Z4664" t="s">
        <v>26669</v>
      </c>
      <c r="AA4664">
        <v>0.63445128024957398</v>
      </c>
      <c r="AB4664" t="str">
        <f>HYPERLINK("Melting_Curves/meltCurve_Q9BYT8_NLN.pdf", "Melting_Curves/meltCurve_Q9BYT8_NLN.pdf")</f>
        <v>Melting_Curves/meltCurve_Q9BYT8_NLN.pdf</v>
      </c>
    </row>
    <row r="4665" spans="1:28" x14ac:dyDescent="0.25">
      <c r="A4665" t="s">
        <v>4669</v>
      </c>
      <c r="B4665">
        <v>0.99299721793515405</v>
      </c>
      <c r="C4665">
        <v>1.0968022720983599</v>
      </c>
      <c r="D4665">
        <v>0.97233300003376599</v>
      </c>
      <c r="E4665">
        <v>0.98202213476399602</v>
      </c>
      <c r="F4665">
        <v>0.73906994556737304</v>
      </c>
      <c r="G4665">
        <v>0.31374125836958799</v>
      </c>
      <c r="H4665">
        <v>0.22579322493263901</v>
      </c>
      <c r="I4665">
        <v>0.224937875758976</v>
      </c>
      <c r="J4665">
        <v>0.19682675128504801</v>
      </c>
      <c r="K4665">
        <v>0.157614406998763</v>
      </c>
      <c r="L4665">
        <v>1828.2994835683801</v>
      </c>
      <c r="M4665">
        <v>35.690425631609799</v>
      </c>
      <c r="N4665">
        <v>51.946729264020398</v>
      </c>
      <c r="O4665">
        <v>51.066584410329902</v>
      </c>
      <c r="P4665">
        <v>-0.14062910010898499</v>
      </c>
      <c r="Q4665">
        <v>0.195142757271214</v>
      </c>
      <c r="R4665">
        <v>0.99120137310315404</v>
      </c>
      <c r="S4665" t="s">
        <v>10216</v>
      </c>
      <c r="T4665" t="s">
        <v>11100</v>
      </c>
      <c r="U4665" t="s">
        <v>11100</v>
      </c>
      <c r="V4665" t="s">
        <v>11100</v>
      </c>
      <c r="W4665" t="s">
        <v>15713</v>
      </c>
      <c r="X4665">
        <v>9</v>
      </c>
      <c r="Y4665" t="s">
        <v>21143</v>
      </c>
      <c r="Z4665" t="s">
        <v>26670</v>
      </c>
      <c r="AA4665">
        <v>0.58039542625438589</v>
      </c>
      <c r="AB4665" t="str">
        <f>HYPERLINK("Melting_Curves/meltCurve_Q9BYV8_CEP41.pdf", "Melting_Curves/meltCurve_Q9BYV8_CEP41.pdf")</f>
        <v>Melting_Curves/meltCurve_Q9BYV8_CEP41.pdf</v>
      </c>
    </row>
    <row r="4666" spans="1:28" x14ac:dyDescent="0.25">
      <c r="A4666" t="s">
        <v>4670</v>
      </c>
      <c r="B4666">
        <v>0.99299721793515405</v>
      </c>
      <c r="C4666">
        <v>0.87138604627312499</v>
      </c>
      <c r="D4666">
        <v>0.88626453110749703</v>
      </c>
      <c r="E4666">
        <v>0.74341763331655597</v>
      </c>
      <c r="F4666">
        <v>0.65137650062984498</v>
      </c>
      <c r="G4666">
        <v>0.52063901999875195</v>
      </c>
      <c r="H4666">
        <v>0.10364725680673</v>
      </c>
      <c r="I4666">
        <v>0.31177711056506502</v>
      </c>
      <c r="J4666">
        <v>0.28617067393934498</v>
      </c>
      <c r="K4666">
        <v>0.113980848920034</v>
      </c>
      <c r="L4666">
        <v>501.55427660886602</v>
      </c>
      <c r="M4666">
        <v>9.7323167111749402</v>
      </c>
      <c r="N4666">
        <v>52.384118732466298</v>
      </c>
      <c r="O4666">
        <v>49.500328041908702</v>
      </c>
      <c r="P4666">
        <v>-4.55903818989985E-2</v>
      </c>
      <c r="Q4666">
        <v>7.2976305726925206E-2</v>
      </c>
      <c r="R4666">
        <v>0.91838197692091905</v>
      </c>
      <c r="S4666" t="s">
        <v>10217</v>
      </c>
      <c r="T4666" t="s">
        <v>11100</v>
      </c>
      <c r="U4666" t="s">
        <v>11100</v>
      </c>
      <c r="V4666" t="s">
        <v>11100</v>
      </c>
      <c r="W4666" t="s">
        <v>15714</v>
      </c>
      <c r="X4666">
        <v>1</v>
      </c>
      <c r="Y4666" t="s">
        <v>21144</v>
      </c>
      <c r="Z4666" t="s">
        <v>26671</v>
      </c>
      <c r="AA4666">
        <v>0.54895206142514374</v>
      </c>
      <c r="AB4666" t="str">
        <f>HYPERLINK("Melting_Curves/meltCurve_Q9BYW2_SETD2.pdf", "Melting_Curves/meltCurve_Q9BYW2_SETD2.pdf")</f>
        <v>Melting_Curves/meltCurve_Q9BYW2_SETD2.pdf</v>
      </c>
    </row>
    <row r="4667" spans="1:28" x14ac:dyDescent="0.25">
      <c r="A4667" t="s">
        <v>4671</v>
      </c>
      <c r="B4667">
        <v>0.99299721793515405</v>
      </c>
      <c r="C4667">
        <v>0.91222834489382998</v>
      </c>
      <c r="D4667">
        <v>1.05100045093682</v>
      </c>
      <c r="E4667">
        <v>0.80939770204871297</v>
      </c>
      <c r="F4667">
        <v>0.72677514031001</v>
      </c>
      <c r="G4667">
        <v>0.55590089257390796</v>
      </c>
      <c r="H4667">
        <v>0.36065608425843299</v>
      </c>
      <c r="I4667">
        <v>0.303133646269793</v>
      </c>
      <c r="J4667">
        <v>0.12952850771341201</v>
      </c>
      <c r="K4667">
        <v>9.9302668724252599E-2</v>
      </c>
      <c r="L4667">
        <v>593.54028434475401</v>
      </c>
      <c r="M4667">
        <v>10.854585611140701</v>
      </c>
      <c r="N4667">
        <v>54.681057847316403</v>
      </c>
      <c r="O4667">
        <v>52.923306566631297</v>
      </c>
      <c r="P4667">
        <v>-5.1293282364391103E-2</v>
      </c>
      <c r="Q4667">
        <v>0</v>
      </c>
      <c r="R4667">
        <v>0.97872716706077401</v>
      </c>
      <c r="S4667" t="s">
        <v>10218</v>
      </c>
      <c r="T4667" t="s">
        <v>11100</v>
      </c>
      <c r="U4667" t="s">
        <v>11100</v>
      </c>
      <c r="V4667" t="s">
        <v>11100</v>
      </c>
      <c r="W4667" t="s">
        <v>15715</v>
      </c>
      <c r="X4667">
        <v>8</v>
      </c>
      <c r="Y4667" t="s">
        <v>21145</v>
      </c>
      <c r="Z4667" t="s">
        <v>26672</v>
      </c>
      <c r="AA4667">
        <v>0.60424944168713168</v>
      </c>
      <c r="AB4667" t="str">
        <f>HYPERLINK("Melting_Curves/meltCurve_Q9BZ23_3_PANK2.pdf", "Melting_Curves/meltCurve_Q9BZ23_3_PANK2.pdf")</f>
        <v>Melting_Curves/meltCurve_Q9BZ23_3_PANK2.pdf</v>
      </c>
    </row>
    <row r="4668" spans="1:28" x14ac:dyDescent="0.25">
      <c r="A4668" t="s">
        <v>4672</v>
      </c>
      <c r="B4668">
        <v>0.99299721793515405</v>
      </c>
      <c r="C4668">
        <v>0.91763547018032998</v>
      </c>
      <c r="D4668">
        <v>0.75305447739481202</v>
      </c>
      <c r="E4668">
        <v>0.87676768778860703</v>
      </c>
      <c r="F4668">
        <v>0.81909860447528005</v>
      </c>
      <c r="G4668">
        <v>0.58910102527908703</v>
      </c>
      <c r="H4668">
        <v>0.42929091396957197</v>
      </c>
      <c r="I4668">
        <v>0.29852036435051899</v>
      </c>
      <c r="J4668">
        <v>0.26235537969466899</v>
      </c>
      <c r="K4668">
        <v>0.193774373419905</v>
      </c>
      <c r="L4668">
        <v>464.21226222741802</v>
      </c>
      <c r="M4668">
        <v>8.2990380902482208</v>
      </c>
      <c r="N4668">
        <v>55.935670698566902</v>
      </c>
      <c r="O4668">
        <v>52.9701977612714</v>
      </c>
      <c r="P4668">
        <v>-3.9207044528443098E-2</v>
      </c>
      <c r="Q4668">
        <v>0</v>
      </c>
      <c r="R4668">
        <v>0.94470994272255004</v>
      </c>
      <c r="S4668" t="s">
        <v>10219</v>
      </c>
      <c r="T4668" t="s">
        <v>11100</v>
      </c>
      <c r="U4668" t="s">
        <v>11100</v>
      </c>
      <c r="V4668" t="s">
        <v>11100</v>
      </c>
      <c r="W4668" t="s">
        <v>15716</v>
      </c>
      <c r="X4668">
        <v>4</v>
      </c>
      <c r="Y4668" t="s">
        <v>21146</v>
      </c>
      <c r="Z4668" t="s">
        <v>26673</v>
      </c>
      <c r="AA4668">
        <v>0.63152866287499321</v>
      </c>
      <c r="AB4668" t="str">
        <f>HYPERLINK("Melting_Curves/meltCurve_Q9BZ67_2_FRMD8.pdf", "Melting_Curves/meltCurve_Q9BZ67_2_FRMD8.pdf")</f>
        <v>Melting_Curves/meltCurve_Q9BZ67_2_FRMD8.pdf</v>
      </c>
    </row>
    <row r="4669" spans="1:28" x14ac:dyDescent="0.25">
      <c r="A4669" t="s">
        <v>4673</v>
      </c>
      <c r="B4669">
        <v>0.99299721793515405</v>
      </c>
      <c r="C4669">
        <v>0.88992299430030597</v>
      </c>
      <c r="D4669">
        <v>1.0099514265123899</v>
      </c>
      <c r="E4669">
        <v>0.79701577157373604</v>
      </c>
      <c r="F4669">
        <v>0.34670825956384499</v>
      </c>
      <c r="G4669">
        <v>0.15940966335854301</v>
      </c>
      <c r="H4669">
        <v>0.122636100557484</v>
      </c>
      <c r="I4669">
        <v>8.9664063431343699E-2</v>
      </c>
      <c r="J4669">
        <v>8.2787973059014502E-2</v>
      </c>
      <c r="K4669">
        <v>7.9978008393637695E-2</v>
      </c>
      <c r="L4669">
        <v>1390.73245631079</v>
      </c>
      <c r="M4669">
        <v>28.6034054522238</v>
      </c>
      <c r="N4669">
        <v>48.9684964285196</v>
      </c>
      <c r="O4669">
        <v>48.385445422529003</v>
      </c>
      <c r="P4669">
        <v>-0.13422335331626201</v>
      </c>
      <c r="Q4669">
        <v>9.1800013674254E-2</v>
      </c>
      <c r="R4669">
        <v>0.99106459768440802</v>
      </c>
      <c r="S4669" t="s">
        <v>10220</v>
      </c>
      <c r="T4669" t="s">
        <v>11100</v>
      </c>
      <c r="U4669" t="s">
        <v>11100</v>
      </c>
      <c r="V4669" t="s">
        <v>11100</v>
      </c>
      <c r="W4669" t="s">
        <v>15717</v>
      </c>
      <c r="X4669">
        <v>8</v>
      </c>
      <c r="Y4669" t="s">
        <v>21147</v>
      </c>
      <c r="Z4669" t="s">
        <v>26674</v>
      </c>
      <c r="AA4669">
        <v>0.4495968475291604</v>
      </c>
      <c r="AB4669" t="str">
        <f>HYPERLINK("Melting_Curves/meltCurve_Q9BZD4_NUF2.pdf", "Melting_Curves/meltCurve_Q9BZD4_NUF2.pdf")</f>
        <v>Melting_Curves/meltCurve_Q9BZD4_NUF2.pdf</v>
      </c>
    </row>
    <row r="4670" spans="1:28" x14ac:dyDescent="0.25">
      <c r="A4670" t="s">
        <v>4674</v>
      </c>
      <c r="B4670">
        <v>0.99299721793515405</v>
      </c>
      <c r="C4670">
        <v>0.93533995468631204</v>
      </c>
      <c r="D4670">
        <v>0.86998907666852598</v>
      </c>
      <c r="E4670">
        <v>0.748915381456142</v>
      </c>
      <c r="F4670">
        <v>0.74413457642935599</v>
      </c>
      <c r="G4670">
        <v>0.84578890316646305</v>
      </c>
      <c r="H4670">
        <v>0.67462439724793</v>
      </c>
      <c r="I4670">
        <v>0.22084750490911501</v>
      </c>
      <c r="J4670">
        <v>0.20209049709441301</v>
      </c>
      <c r="K4670">
        <v>8.1759401871064605E-2</v>
      </c>
      <c r="L4670">
        <v>757.73816684415499</v>
      </c>
      <c r="M4670">
        <v>13.0975245334538</v>
      </c>
      <c r="N4670">
        <v>57.8535406920629</v>
      </c>
      <c r="O4670">
        <v>56.554727324519703</v>
      </c>
      <c r="P4670">
        <v>-5.7907502589575201E-2</v>
      </c>
      <c r="Q4670">
        <v>0</v>
      </c>
      <c r="R4670">
        <v>0.86675220649203499</v>
      </c>
      <c r="S4670" t="s">
        <v>10221</v>
      </c>
      <c r="T4670" t="s">
        <v>11100</v>
      </c>
      <c r="U4670" t="s">
        <v>11100</v>
      </c>
      <c r="V4670" t="s">
        <v>11100</v>
      </c>
      <c r="W4670" t="s">
        <v>15718</v>
      </c>
      <c r="X4670">
        <v>5</v>
      </c>
      <c r="Y4670" t="s">
        <v>21148</v>
      </c>
      <c r="Z4670" t="s">
        <v>26675</v>
      </c>
      <c r="AA4670">
        <v>0.69716499806979082</v>
      </c>
      <c r="AB4670" t="str">
        <f>HYPERLINK("Melting_Curves/meltCurve_Q9BZE2_PUS3.pdf", "Melting_Curves/meltCurve_Q9BZE2_PUS3.pdf")</f>
        <v>Melting_Curves/meltCurve_Q9BZE2_PUS3.pdf</v>
      </c>
    </row>
    <row r="4671" spans="1:28" x14ac:dyDescent="0.25">
      <c r="A4671" t="s">
        <v>4675</v>
      </c>
      <c r="B4671">
        <v>0.99299721793515405</v>
      </c>
      <c r="C4671">
        <v>0.81291157944477499</v>
      </c>
      <c r="D4671">
        <v>0.84479922761616599</v>
      </c>
      <c r="E4671">
        <v>0.788355861817439</v>
      </c>
      <c r="F4671">
        <v>0.65276449395104497</v>
      </c>
      <c r="G4671">
        <v>0.50172387394964502</v>
      </c>
      <c r="H4671">
        <v>0.33519853982060299</v>
      </c>
      <c r="I4671">
        <v>0.26481135169058601</v>
      </c>
      <c r="J4671">
        <v>0.18195136431015099</v>
      </c>
      <c r="K4671">
        <v>0.17139946279099399</v>
      </c>
      <c r="L4671">
        <v>414.758147676953</v>
      </c>
      <c r="M4671">
        <v>7.7902517251492904</v>
      </c>
      <c r="N4671">
        <v>53.240660545066099</v>
      </c>
      <c r="O4671">
        <v>50.074025608102303</v>
      </c>
      <c r="P4671">
        <v>-3.8942254687259301E-2</v>
      </c>
      <c r="Q4671">
        <v>0</v>
      </c>
      <c r="R4671">
        <v>0.97611675399603703</v>
      </c>
      <c r="S4671" t="s">
        <v>10222</v>
      </c>
      <c r="T4671" t="s">
        <v>11100</v>
      </c>
      <c r="U4671" t="s">
        <v>11100</v>
      </c>
      <c r="V4671" t="s">
        <v>11100</v>
      </c>
      <c r="W4671" t="s">
        <v>15719</v>
      </c>
      <c r="X4671">
        <v>3</v>
      </c>
      <c r="Y4671" t="s">
        <v>21149</v>
      </c>
      <c r="Z4671" t="s">
        <v>26676</v>
      </c>
      <c r="AA4671">
        <v>0.56119363200822747</v>
      </c>
      <c r="AB4671" t="str">
        <f>HYPERLINK("Melting_Curves/meltCurve_Q9BZE9_ASPSCR1.pdf", "Melting_Curves/meltCurve_Q9BZE9_ASPSCR1.pdf")</f>
        <v>Melting_Curves/meltCurve_Q9BZE9_ASPSCR1.pdf</v>
      </c>
    </row>
    <row r="4672" spans="1:28" x14ac:dyDescent="0.25">
      <c r="A4672" t="s">
        <v>4676</v>
      </c>
      <c r="B4672">
        <v>0.99299721793515405</v>
      </c>
      <c r="C4672">
        <v>0.88829683380407698</v>
      </c>
      <c r="D4672">
        <v>0.85496673361825504</v>
      </c>
      <c r="E4672">
        <v>0.81843199109751297</v>
      </c>
      <c r="F4672">
        <v>0.73177712879629697</v>
      </c>
      <c r="G4672">
        <v>0.49762690511651902</v>
      </c>
      <c r="H4672">
        <v>0.57616165694086796</v>
      </c>
      <c r="I4672">
        <v>0.59643959721965301</v>
      </c>
      <c r="J4672">
        <v>0.515680135385859</v>
      </c>
      <c r="K4672">
        <v>0.26869645768838601</v>
      </c>
      <c r="L4672">
        <v>274.16227920008902</v>
      </c>
      <c r="M4672">
        <v>4.5464761184186102</v>
      </c>
      <c r="N4672">
        <v>60.302149679039402</v>
      </c>
      <c r="O4672">
        <v>51.392169582678797</v>
      </c>
      <c r="P4672">
        <v>-2.2303501256270401E-2</v>
      </c>
      <c r="Q4672">
        <v>0</v>
      </c>
      <c r="R4672">
        <v>0.87326496751456195</v>
      </c>
      <c r="S4672" t="s">
        <v>10223</v>
      </c>
      <c r="T4672" t="s">
        <v>11100</v>
      </c>
      <c r="U4672" t="s">
        <v>11100</v>
      </c>
      <c r="V4672" t="s">
        <v>11100</v>
      </c>
      <c r="W4672" t="s">
        <v>15720</v>
      </c>
      <c r="X4672">
        <v>5</v>
      </c>
      <c r="Y4672" t="s">
        <v>21150</v>
      </c>
      <c r="Z4672" t="s">
        <v>26677</v>
      </c>
      <c r="AA4672">
        <v>0.67327044839112138</v>
      </c>
      <c r="AB4672" t="str">
        <f>HYPERLINK("Melting_Curves/meltCurve_Q9BZK7_TBL1XR1.pdf", "Melting_Curves/meltCurve_Q9BZK7_TBL1XR1.pdf")</f>
        <v>Melting_Curves/meltCurve_Q9BZK7_TBL1XR1.pdf</v>
      </c>
    </row>
    <row r="4673" spans="1:28" x14ac:dyDescent="0.25">
      <c r="A4673" t="s">
        <v>4677</v>
      </c>
      <c r="B4673">
        <v>0.99299721793515405</v>
      </c>
      <c r="C4673">
        <v>0.96362689989795403</v>
      </c>
      <c r="D4673">
        <v>0.95572134327277303</v>
      </c>
      <c r="E4673">
        <v>0.91246949076953598</v>
      </c>
      <c r="F4673">
        <v>0.736979006045131</v>
      </c>
      <c r="G4673">
        <v>0.35308738049317401</v>
      </c>
      <c r="H4673">
        <v>0.22723141249169501</v>
      </c>
      <c r="I4673">
        <v>0.20734468404824699</v>
      </c>
      <c r="J4673">
        <v>0.17015619089070899</v>
      </c>
      <c r="K4673">
        <v>0.13426932125890301</v>
      </c>
      <c r="L4673">
        <v>1252.3534187574601</v>
      </c>
      <c r="M4673">
        <v>24.308986225486201</v>
      </c>
      <c r="N4673">
        <v>52.3367930706168</v>
      </c>
      <c r="O4673">
        <v>51.173282369013997</v>
      </c>
      <c r="P4673">
        <v>-9.9977313631047504E-2</v>
      </c>
      <c r="Q4673">
        <v>0.15815651702142</v>
      </c>
      <c r="R4673">
        <v>0.99477691284285596</v>
      </c>
      <c r="S4673" t="s">
        <v>10224</v>
      </c>
      <c r="T4673" t="s">
        <v>11100</v>
      </c>
      <c r="U4673" t="s">
        <v>11100</v>
      </c>
      <c r="V4673" t="s">
        <v>11100</v>
      </c>
      <c r="W4673" t="s">
        <v>15721</v>
      </c>
      <c r="X4673">
        <v>8</v>
      </c>
      <c r="Y4673" t="s">
        <v>21151</v>
      </c>
      <c r="Z4673" t="s">
        <v>26678</v>
      </c>
      <c r="AA4673">
        <v>0.57339382806629113</v>
      </c>
      <c r="AB4673" t="str">
        <f>HYPERLINK("Melting_Curves/meltCurve_Q9BZL1_UBL5.pdf", "Melting_Curves/meltCurve_Q9BZL1_UBL5.pdf")</f>
        <v>Melting_Curves/meltCurve_Q9BZL1_UBL5.pdf</v>
      </c>
    </row>
    <row r="4674" spans="1:28" x14ac:dyDescent="0.25">
      <c r="A4674" t="s">
        <v>4678</v>
      </c>
      <c r="B4674">
        <v>0.99299721793515405</v>
      </c>
      <c r="C4674">
        <v>0.86519728767872495</v>
      </c>
      <c r="D4674">
        <v>0.94759615130859198</v>
      </c>
      <c r="E4674">
        <v>0.93802726843004303</v>
      </c>
      <c r="F4674">
        <v>0.66626261448983104</v>
      </c>
      <c r="G4674">
        <v>0.48654090949553003</v>
      </c>
      <c r="H4674">
        <v>0.58286734762530901</v>
      </c>
      <c r="I4674">
        <v>0.60410215641971499</v>
      </c>
      <c r="J4674">
        <v>0.78302210386028004</v>
      </c>
      <c r="K4674">
        <v>0.65248132922218505</v>
      </c>
      <c r="L4674">
        <v>2569.0153106656298</v>
      </c>
      <c r="M4674">
        <v>53.478208690128298</v>
      </c>
      <c r="O4674">
        <v>47.971512087008499</v>
      </c>
      <c r="P4674">
        <v>-0.105019352667283</v>
      </c>
      <c r="Q4674">
        <v>0.62317856238061398</v>
      </c>
      <c r="R4674">
        <v>0.75831379916245001</v>
      </c>
      <c r="S4674" t="s">
        <v>10225</v>
      </c>
      <c r="T4674" t="s">
        <v>11100</v>
      </c>
      <c r="U4674" t="s">
        <v>11100</v>
      </c>
      <c r="V4674" t="s">
        <v>11100</v>
      </c>
      <c r="W4674" t="s">
        <v>15722</v>
      </c>
      <c r="X4674">
        <v>3</v>
      </c>
      <c r="Y4674" t="s">
        <v>21152</v>
      </c>
      <c r="Z4674" t="s">
        <v>26679</v>
      </c>
      <c r="AA4674">
        <v>0.76252806648170768</v>
      </c>
      <c r="AB4674" t="str">
        <f>HYPERLINK("Melting_Curves/meltCurve_Q9BZM1_PLA2G12A.pdf", "Melting_Curves/meltCurve_Q9BZM1_PLA2G12A.pdf")</f>
        <v>Melting_Curves/meltCurve_Q9BZM1_PLA2G12A.pdf</v>
      </c>
    </row>
    <row r="4675" spans="1:28" x14ac:dyDescent="0.25">
      <c r="A4675" t="s">
        <v>4679</v>
      </c>
      <c r="B4675">
        <v>0.99299721793515405</v>
      </c>
      <c r="C4675">
        <v>1.0667094961384</v>
      </c>
      <c r="D4675">
        <v>0.88649535021113302</v>
      </c>
      <c r="E4675">
        <v>0.93962631724243995</v>
      </c>
      <c r="F4675">
        <v>0.624321717020204</v>
      </c>
      <c r="G4675">
        <v>0.64649657515965098</v>
      </c>
      <c r="H4675">
        <v>0.56892918857707098</v>
      </c>
      <c r="I4675">
        <v>0.49730389556570698</v>
      </c>
      <c r="J4675">
        <v>0.35490778043534399</v>
      </c>
      <c r="K4675">
        <v>0.34349256354690599</v>
      </c>
      <c r="L4675">
        <v>479.89658239451597</v>
      </c>
      <c r="M4675">
        <v>8.8436895295219298</v>
      </c>
      <c r="N4675">
        <v>58.538335750545201</v>
      </c>
      <c r="O4675">
        <v>51.704552724291403</v>
      </c>
      <c r="P4675">
        <v>-3.2615239185436101E-2</v>
      </c>
      <c r="Q4675">
        <v>0.237852662534973</v>
      </c>
      <c r="R4675">
        <v>0.93540903386442698</v>
      </c>
      <c r="S4675" t="s">
        <v>10226</v>
      </c>
      <c r="T4675" t="s">
        <v>11100</v>
      </c>
      <c r="U4675" t="s">
        <v>11100</v>
      </c>
      <c r="V4675" t="s">
        <v>11100</v>
      </c>
      <c r="W4675" t="s">
        <v>15723</v>
      </c>
      <c r="X4675">
        <v>2</v>
      </c>
      <c r="Y4675" t="s">
        <v>21153</v>
      </c>
      <c r="Z4675" t="s">
        <v>26680</v>
      </c>
      <c r="AA4675">
        <v>0.68757406880404282</v>
      </c>
      <c r="AB4675" t="str">
        <f>HYPERLINK("Melting_Curves/meltCurve_Q9BZM4_ULBP3.pdf", "Melting_Curves/meltCurve_Q9BZM4_ULBP3.pdf")</f>
        <v>Melting_Curves/meltCurve_Q9BZM4_ULBP3.pdf</v>
      </c>
    </row>
    <row r="4676" spans="1:28" x14ac:dyDescent="0.25">
      <c r="A4676" t="s">
        <v>4680</v>
      </c>
      <c r="B4676">
        <v>0.99299721793515405</v>
      </c>
      <c r="C4676">
        <v>1.43150023865</v>
      </c>
      <c r="D4676">
        <v>1.0778543191341701</v>
      </c>
      <c r="E4676">
        <v>0.73083507729394803</v>
      </c>
      <c r="F4676">
        <v>0.84159240822703196</v>
      </c>
      <c r="G4676">
        <v>0.682095197924522</v>
      </c>
      <c r="H4676">
        <v>0.74708064328900503</v>
      </c>
      <c r="I4676">
        <v>0.85278009506197905</v>
      </c>
      <c r="J4676">
        <v>0.68523970251898403</v>
      </c>
      <c r="K4676">
        <v>0.569336478012332</v>
      </c>
      <c r="L4676">
        <v>11395.956315945799</v>
      </c>
      <c r="M4676">
        <v>250</v>
      </c>
      <c r="O4676">
        <v>45.580888657566902</v>
      </c>
      <c r="P4676">
        <v>-0.370650740777345</v>
      </c>
      <c r="Q4676">
        <v>0.72968644129759497</v>
      </c>
      <c r="R4676">
        <v>0.55964322732638605</v>
      </c>
      <c r="S4676" t="s">
        <v>10227</v>
      </c>
      <c r="T4676" t="s">
        <v>11100</v>
      </c>
      <c r="U4676" t="s">
        <v>11100</v>
      </c>
      <c r="V4676" t="s">
        <v>11100</v>
      </c>
      <c r="W4676" t="s">
        <v>15724</v>
      </c>
      <c r="X4676">
        <v>1</v>
      </c>
      <c r="Y4676" t="s">
        <v>21154</v>
      </c>
      <c r="Z4676" t="s">
        <v>26681</v>
      </c>
      <c r="AA4676">
        <v>0.80705221123042792</v>
      </c>
      <c r="AB4676" t="str">
        <f>HYPERLINK("Melting_Curves/meltCurve_Q9BZM5_ULBP2.pdf", "Melting_Curves/meltCurve_Q9BZM5_ULBP2.pdf")</f>
        <v>Melting_Curves/meltCurve_Q9BZM5_ULBP2.pdf</v>
      </c>
    </row>
    <row r="4677" spans="1:28" x14ac:dyDescent="0.25">
      <c r="A4677" t="s">
        <v>4681</v>
      </c>
      <c r="B4677">
        <v>0.99299721793515405</v>
      </c>
      <c r="C4677">
        <v>0.94513682644541397</v>
      </c>
      <c r="D4677">
        <v>0.90536589241176602</v>
      </c>
      <c r="E4677">
        <v>0.84680996194661795</v>
      </c>
      <c r="F4677">
        <v>0.65847410822281505</v>
      </c>
      <c r="G4677">
        <v>0.49539650253543499</v>
      </c>
      <c r="H4677">
        <v>0.31312077928471699</v>
      </c>
      <c r="I4677">
        <v>0.28594320231231801</v>
      </c>
      <c r="J4677">
        <v>0.183365255960553</v>
      </c>
      <c r="K4677">
        <v>0.123331555978573</v>
      </c>
      <c r="L4677">
        <v>535.30805007937295</v>
      </c>
      <c r="M4677">
        <v>10.0268772582693</v>
      </c>
      <c r="N4677">
        <v>53.682180740424698</v>
      </c>
      <c r="O4677">
        <v>51.3941519329682</v>
      </c>
      <c r="P4677">
        <v>-4.74903503557235E-2</v>
      </c>
      <c r="Q4677">
        <v>2.67949725579631E-2</v>
      </c>
      <c r="R4677">
        <v>0.99496815419895002</v>
      </c>
      <c r="S4677" t="s">
        <v>10228</v>
      </c>
      <c r="T4677" t="s">
        <v>11100</v>
      </c>
      <c r="U4677" t="s">
        <v>11100</v>
      </c>
      <c r="V4677" t="s">
        <v>11100</v>
      </c>
      <c r="W4677" t="s">
        <v>15725</v>
      </c>
      <c r="X4677">
        <v>15</v>
      </c>
      <c r="Y4677" t="s">
        <v>21155</v>
      </c>
      <c r="Z4677" t="s">
        <v>26682</v>
      </c>
      <c r="AA4677">
        <v>0.57845257742350165</v>
      </c>
      <c r="AB4677" t="str">
        <f>HYPERLINK("Melting_Curves/meltCurve_Q9BZX2_UCK2.pdf", "Melting_Curves/meltCurve_Q9BZX2_UCK2.pdf")</f>
        <v>Melting_Curves/meltCurve_Q9BZX2_UCK2.pdf</v>
      </c>
    </row>
    <row r="4678" spans="1:28" x14ac:dyDescent="0.25">
      <c r="A4678" t="s">
        <v>4682</v>
      </c>
      <c r="B4678">
        <v>0.99299721793515405</v>
      </c>
      <c r="C4678">
        <v>1.09710927461468</v>
      </c>
      <c r="D4678">
        <v>0.94205270613283998</v>
      </c>
      <c r="E4678">
        <v>1.06492629746309</v>
      </c>
      <c r="F4678">
        <v>0.70102361462520502</v>
      </c>
      <c r="G4678">
        <v>0.73985818684104498</v>
      </c>
      <c r="H4678">
        <v>0.70124694606514304</v>
      </c>
      <c r="I4678">
        <v>0.18247685214176201</v>
      </c>
      <c r="J4678">
        <v>0.17075168151800699</v>
      </c>
      <c r="K4678">
        <v>0.13045468496880899</v>
      </c>
      <c r="L4678">
        <v>821.44934989218905</v>
      </c>
      <c r="M4678">
        <v>14.2422782968885</v>
      </c>
      <c r="N4678">
        <v>57.676822088012003</v>
      </c>
      <c r="O4678">
        <v>56.575471044818002</v>
      </c>
      <c r="P4678">
        <v>-6.2942652038865607E-2</v>
      </c>
      <c r="Q4678">
        <v>0</v>
      </c>
      <c r="R4678">
        <v>0.91483463617067795</v>
      </c>
      <c r="S4678" t="s">
        <v>10229</v>
      </c>
      <c r="T4678" t="s">
        <v>11100</v>
      </c>
      <c r="U4678" t="s">
        <v>11100</v>
      </c>
      <c r="V4678" t="s">
        <v>11100</v>
      </c>
      <c r="W4678" t="s">
        <v>15726</v>
      </c>
      <c r="X4678">
        <v>18</v>
      </c>
      <c r="Y4678" t="s">
        <v>21156</v>
      </c>
      <c r="Z4678" t="s">
        <v>26683</v>
      </c>
      <c r="AA4678">
        <v>0.69394702618472348</v>
      </c>
      <c r="AB4678" t="str">
        <f>HYPERLINK("Melting_Curves/meltCurve_Q9BZZ5_API5.pdf", "Melting_Curves/meltCurve_Q9BZZ5_API5.pdf")</f>
        <v>Melting_Curves/meltCurve_Q9BZZ5_API5.pdf</v>
      </c>
    </row>
    <row r="4679" spans="1:28" x14ac:dyDescent="0.25">
      <c r="A4679" t="s">
        <v>4683</v>
      </c>
      <c r="B4679">
        <v>0.99299721793515405</v>
      </c>
      <c r="C4679">
        <v>1.0252029750653999</v>
      </c>
      <c r="D4679">
        <v>1.0959754902177701</v>
      </c>
      <c r="E4679">
        <v>0.97797922700126705</v>
      </c>
      <c r="F4679">
        <v>0.76082782046943997</v>
      </c>
      <c r="G4679">
        <v>0.76280149215136706</v>
      </c>
      <c r="H4679">
        <v>0.53884294854735404</v>
      </c>
      <c r="I4679">
        <v>0.208638430307101</v>
      </c>
      <c r="J4679">
        <v>0.169157281446111</v>
      </c>
      <c r="K4679">
        <v>0.118466135956854</v>
      </c>
      <c r="L4679">
        <v>834.90712926048104</v>
      </c>
      <c r="M4679">
        <v>14.6181735292173</v>
      </c>
      <c r="N4679">
        <v>57.114326278145498</v>
      </c>
      <c r="O4679">
        <v>56.0774224106259</v>
      </c>
      <c r="P4679">
        <v>-6.5176885196349996E-2</v>
      </c>
      <c r="Q4679">
        <v>0</v>
      </c>
      <c r="R4679">
        <v>0.97083019706880902</v>
      </c>
      <c r="S4679" t="s">
        <v>10230</v>
      </c>
      <c r="T4679" t="s">
        <v>11100</v>
      </c>
      <c r="U4679" t="s">
        <v>11100</v>
      </c>
      <c r="V4679" t="s">
        <v>11100</v>
      </c>
      <c r="W4679" t="s">
        <v>15727</v>
      </c>
      <c r="X4679">
        <v>19</v>
      </c>
      <c r="Y4679" t="s">
        <v>21156</v>
      </c>
      <c r="Z4679" t="s">
        <v>26684</v>
      </c>
      <c r="AA4679">
        <v>0.67797491284917344</v>
      </c>
      <c r="AB4679" t="str">
        <f>HYPERLINK("Melting_Curves/meltCurve_Q9BZZ5_2_API5.pdf", "Melting_Curves/meltCurve_Q9BZZ5_2_API5.pdf")</f>
        <v>Melting_Curves/meltCurve_Q9BZZ5_2_API5.pdf</v>
      </c>
    </row>
    <row r="4680" spans="1:28" x14ac:dyDescent="0.25">
      <c r="A4680" t="s">
        <v>4684</v>
      </c>
      <c r="B4680">
        <v>0.99299721793515405</v>
      </c>
      <c r="C4680">
        <v>0.93169634786955102</v>
      </c>
      <c r="D4680">
        <v>1.0909410266586701</v>
      </c>
      <c r="E4680">
        <v>0.97081428430838401</v>
      </c>
      <c r="F4680">
        <v>0.88049094111670101</v>
      </c>
      <c r="G4680">
        <v>1.2835147249842001</v>
      </c>
      <c r="H4680">
        <v>0.81171240814899104</v>
      </c>
      <c r="I4680">
        <v>1.1315823442761399</v>
      </c>
      <c r="J4680">
        <v>1.32927546977641</v>
      </c>
      <c r="K4680">
        <v>1.16280775087007</v>
      </c>
      <c r="L4680">
        <v>15000</v>
      </c>
      <c r="M4680">
        <v>246.04108306917701</v>
      </c>
      <c r="O4680">
        <v>60.961392431720903</v>
      </c>
      <c r="P4680">
        <v>0.24825684121443301</v>
      </c>
      <c r="Q4680">
        <v>1.24604158751548</v>
      </c>
      <c r="R4680">
        <v>0.39739139356201802</v>
      </c>
      <c r="S4680" t="s">
        <v>10231</v>
      </c>
      <c r="T4680" t="s">
        <v>11100</v>
      </c>
      <c r="U4680" t="s">
        <v>11100</v>
      </c>
      <c r="V4680" t="s">
        <v>11100</v>
      </c>
      <c r="W4680" t="s">
        <v>15728</v>
      </c>
      <c r="X4680">
        <v>6</v>
      </c>
      <c r="Y4680" t="s">
        <v>21157</v>
      </c>
      <c r="Z4680" t="s">
        <v>26685</v>
      </c>
      <c r="AA4680">
        <v>1.0494646746702929</v>
      </c>
      <c r="AB4680" t="str">
        <f>HYPERLINK("Melting_Curves/meltCurve_Q9C005_DPY30.pdf", "Melting_Curves/meltCurve_Q9C005_DPY30.pdf")</f>
        <v>Melting_Curves/meltCurve_Q9C005_DPY30.pdf</v>
      </c>
    </row>
    <row r="4681" spans="1:28" x14ac:dyDescent="0.25">
      <c r="A4681" t="s">
        <v>4685</v>
      </c>
      <c r="B4681">
        <v>0.99299721793515405</v>
      </c>
      <c r="C4681">
        <v>1.0533674074257799</v>
      </c>
      <c r="D4681">
        <v>0.90329183076717401</v>
      </c>
      <c r="E4681">
        <v>0.84835521422978</v>
      </c>
      <c r="F4681">
        <v>0.68925659555580199</v>
      </c>
      <c r="G4681">
        <v>0.27100799327563801</v>
      </c>
      <c r="H4681">
        <v>0.33349685936394402</v>
      </c>
      <c r="I4681">
        <v>0.31715537742699101</v>
      </c>
      <c r="J4681">
        <v>0.38523695085694198</v>
      </c>
      <c r="K4681">
        <v>0.29487040961344402</v>
      </c>
      <c r="L4681">
        <v>1379.25998025434</v>
      </c>
      <c r="M4681">
        <v>27.723291033909199</v>
      </c>
      <c r="N4681">
        <v>51.548711196701298</v>
      </c>
      <c r="O4681">
        <v>49.494246806690398</v>
      </c>
      <c r="P4681">
        <v>-9.6643031247617903E-2</v>
      </c>
      <c r="Q4681">
        <v>0.309860955076603</v>
      </c>
      <c r="R4681">
        <v>0.95734499658134198</v>
      </c>
      <c r="S4681" t="s">
        <v>10232</v>
      </c>
      <c r="T4681" t="s">
        <v>11100</v>
      </c>
      <c r="U4681" t="s">
        <v>11100</v>
      </c>
      <c r="V4681" t="s">
        <v>11100</v>
      </c>
      <c r="W4681" t="s">
        <v>15729</v>
      </c>
      <c r="X4681">
        <v>3</v>
      </c>
      <c r="Y4681" t="s">
        <v>21158</v>
      </c>
      <c r="Z4681" t="s">
        <v>26686</v>
      </c>
      <c r="AA4681">
        <v>0.6081179671781648</v>
      </c>
      <c r="AB4681" t="str">
        <f>HYPERLINK("Melting_Curves/meltCurve_Q9C037_2_TRIM4.pdf", "Melting_Curves/meltCurve_Q9C037_2_TRIM4.pdf")</f>
        <v>Melting_Curves/meltCurve_Q9C037_2_TRIM4.pdf</v>
      </c>
    </row>
    <row r="4682" spans="1:28" x14ac:dyDescent="0.25">
      <c r="A4682" t="s">
        <v>4686</v>
      </c>
      <c r="B4682">
        <v>0.99299721793515405</v>
      </c>
      <c r="C4682">
        <v>0.98067977668609696</v>
      </c>
      <c r="D4682">
        <v>1.0197093680092599</v>
      </c>
      <c r="E4682">
        <v>0.839378912603164</v>
      </c>
      <c r="F4682">
        <v>0.71350506039329697</v>
      </c>
      <c r="G4682">
        <v>0.48692279616895201</v>
      </c>
      <c r="H4682">
        <v>0.25000225803682102</v>
      </c>
      <c r="I4682">
        <v>0.28662573771641903</v>
      </c>
      <c r="J4682">
        <v>0.21263507889256</v>
      </c>
      <c r="K4682">
        <v>0.223407905732801</v>
      </c>
      <c r="L4682">
        <v>892.19492192349696</v>
      </c>
      <c r="M4682">
        <v>17.299848878418199</v>
      </c>
      <c r="N4682">
        <v>53.113139448308402</v>
      </c>
      <c r="O4682">
        <v>50.898113165834502</v>
      </c>
      <c r="P4682">
        <v>-6.8212413346448494E-2</v>
      </c>
      <c r="Q4682">
        <v>0.197291859407634</v>
      </c>
      <c r="R4682">
        <v>0.988853437711947</v>
      </c>
      <c r="S4682" t="s">
        <v>10233</v>
      </c>
      <c r="T4682" t="s">
        <v>11100</v>
      </c>
      <c r="U4682" t="s">
        <v>11100</v>
      </c>
      <c r="V4682" t="s">
        <v>11100</v>
      </c>
      <c r="W4682" t="s">
        <v>15730</v>
      </c>
      <c r="X4682">
        <v>4</v>
      </c>
      <c r="Y4682" t="s">
        <v>21159</v>
      </c>
      <c r="Z4682" t="s">
        <v>26687</v>
      </c>
      <c r="AA4682">
        <v>0.60022165339994182</v>
      </c>
      <c r="AB4682" t="str">
        <f>HYPERLINK("Melting_Curves/meltCurve_Q9C040_TRIM2.pdf", "Melting_Curves/meltCurve_Q9C040_TRIM2.pdf")</f>
        <v>Melting_Curves/meltCurve_Q9C040_TRIM2.pdf</v>
      </c>
    </row>
    <row r="4683" spans="1:28" x14ac:dyDescent="0.25">
      <c r="A4683" t="s">
        <v>4687</v>
      </c>
      <c r="B4683">
        <v>0.99299721793515405</v>
      </c>
      <c r="C4683">
        <v>0.92526730649159195</v>
      </c>
      <c r="D4683">
        <v>0.89663923967299697</v>
      </c>
      <c r="E4683">
        <v>0.76458795555682002</v>
      </c>
      <c r="F4683">
        <v>0.68726761861614805</v>
      </c>
      <c r="G4683">
        <v>0.44571417799609803</v>
      </c>
      <c r="H4683">
        <v>0.431714520041522</v>
      </c>
      <c r="I4683">
        <v>0.440353481229455</v>
      </c>
      <c r="J4683">
        <v>0.41612411173952601</v>
      </c>
      <c r="K4683">
        <v>0.34618834411013399</v>
      </c>
      <c r="L4683">
        <v>582.17264164815094</v>
      </c>
      <c r="M4683">
        <v>11.8869284632116</v>
      </c>
      <c r="N4683">
        <v>54.450337866546597</v>
      </c>
      <c r="O4683">
        <v>47.651476197340898</v>
      </c>
      <c r="P4683">
        <v>-4.06298882840141E-2</v>
      </c>
      <c r="Q4683">
        <v>0.34866601584688001</v>
      </c>
      <c r="R4683">
        <v>0.97664914642426803</v>
      </c>
      <c r="S4683" t="s">
        <v>10234</v>
      </c>
      <c r="T4683" t="s">
        <v>11100</v>
      </c>
      <c r="U4683" t="s">
        <v>11100</v>
      </c>
      <c r="V4683" t="s">
        <v>11100</v>
      </c>
      <c r="W4683" t="s">
        <v>15731</v>
      </c>
      <c r="X4683">
        <v>6</v>
      </c>
      <c r="Y4683" t="s">
        <v>21160</v>
      </c>
      <c r="Z4683" t="s">
        <v>26688</v>
      </c>
      <c r="AA4683">
        <v>0.62830300024361918</v>
      </c>
      <c r="AB4683" t="str">
        <f>HYPERLINK("Melting_Curves/meltCurve_Q9C0B0_UNK.pdf", "Melting_Curves/meltCurve_Q9C0B0_UNK.pdf")</f>
        <v>Melting_Curves/meltCurve_Q9C0B0_UNK.pdf</v>
      </c>
    </row>
    <row r="4684" spans="1:28" x14ac:dyDescent="0.25">
      <c r="A4684" t="s">
        <v>4688</v>
      </c>
      <c r="B4684">
        <v>0.99299721793515405</v>
      </c>
      <c r="C4684">
        <v>0.96925650286196796</v>
      </c>
      <c r="D4684">
        <v>0.93460126817436096</v>
      </c>
      <c r="E4684">
        <v>0.95239028909822598</v>
      </c>
      <c r="F4684">
        <v>0.75307988085765798</v>
      </c>
      <c r="G4684">
        <v>0.56799532331139102</v>
      </c>
      <c r="H4684">
        <v>0.52952128720414204</v>
      </c>
      <c r="I4684">
        <v>0.58409861203678803</v>
      </c>
      <c r="J4684">
        <v>0.58888909298831205</v>
      </c>
      <c r="K4684">
        <v>0.45659153745131298</v>
      </c>
      <c r="L4684">
        <v>1509.0757205600901</v>
      </c>
      <c r="M4684">
        <v>30.2408017584787</v>
      </c>
      <c r="O4684">
        <v>49.685283987946299</v>
      </c>
      <c r="P4684">
        <v>-7.0802642177924896E-2</v>
      </c>
      <c r="Q4684">
        <v>0.53469128105357699</v>
      </c>
      <c r="R4684">
        <v>0.95884491735203503</v>
      </c>
      <c r="S4684" t="s">
        <v>10235</v>
      </c>
      <c r="T4684" t="s">
        <v>11100</v>
      </c>
      <c r="U4684" t="s">
        <v>11100</v>
      </c>
      <c r="V4684" t="s">
        <v>11100</v>
      </c>
      <c r="W4684" t="s">
        <v>15732</v>
      </c>
      <c r="X4684">
        <v>24</v>
      </c>
      <c r="Y4684" t="s">
        <v>21161</v>
      </c>
      <c r="Z4684" t="s">
        <v>26689</v>
      </c>
      <c r="AA4684">
        <v>0.7376103494384999</v>
      </c>
      <c r="AB4684" t="str">
        <f>HYPERLINK("Melting_Curves/meltCurve_Q9C0B1_FTO.pdf", "Melting_Curves/meltCurve_Q9C0B1_FTO.pdf")</f>
        <v>Melting_Curves/meltCurve_Q9C0B1_FTO.pdf</v>
      </c>
    </row>
    <row r="4685" spans="1:28" x14ac:dyDescent="0.25">
      <c r="A4685" t="s">
        <v>4689</v>
      </c>
      <c r="B4685">
        <v>0.99299721793515405</v>
      </c>
      <c r="C4685">
        <v>1.0395414334422799</v>
      </c>
      <c r="D4685">
        <v>0.83397326174280295</v>
      </c>
      <c r="E4685">
        <v>0.79994116567648899</v>
      </c>
      <c r="F4685">
        <v>0.69099242503807601</v>
      </c>
      <c r="G4685">
        <v>0.478214237234384</v>
      </c>
      <c r="H4685">
        <v>0.70007078184689098</v>
      </c>
      <c r="I4685">
        <v>0.79187510072878997</v>
      </c>
      <c r="J4685">
        <v>0.81877625427673695</v>
      </c>
      <c r="K4685">
        <v>0.589774746053358</v>
      </c>
      <c r="L4685">
        <v>1106.89333520584</v>
      </c>
      <c r="M4685">
        <v>25.2066975844313</v>
      </c>
      <c r="O4685">
        <v>43.639082881640697</v>
      </c>
      <c r="P4685">
        <v>-4.6012635714518503E-2</v>
      </c>
      <c r="Q4685">
        <v>0.68136673412146198</v>
      </c>
      <c r="R4685">
        <v>0.64472170739561996</v>
      </c>
      <c r="S4685" t="s">
        <v>10236</v>
      </c>
      <c r="T4685" t="s">
        <v>11100</v>
      </c>
      <c r="U4685" t="s">
        <v>11100</v>
      </c>
      <c r="V4685" t="s">
        <v>11100</v>
      </c>
      <c r="W4685" t="s">
        <v>15733</v>
      </c>
      <c r="X4685">
        <v>6</v>
      </c>
      <c r="Y4685" t="s">
        <v>21162</v>
      </c>
      <c r="Z4685" t="s">
        <v>26690</v>
      </c>
      <c r="AA4685">
        <v>0.75735950626982007</v>
      </c>
      <c r="AB4685" t="str">
        <f>HYPERLINK("Melting_Curves/meltCurve_Q9C0B5_2_ZDHHC5.pdf", "Melting_Curves/meltCurve_Q9C0B5_2_ZDHHC5.pdf")</f>
        <v>Melting_Curves/meltCurve_Q9C0B5_2_ZDHHC5.pdf</v>
      </c>
    </row>
    <row r="4686" spans="1:28" x14ac:dyDescent="0.25">
      <c r="A4686" t="s">
        <v>4690</v>
      </c>
      <c r="B4686">
        <v>0.99299721793515405</v>
      </c>
      <c r="C4686">
        <v>0.88687047589917001</v>
      </c>
      <c r="D4686">
        <v>0.77296430544653305</v>
      </c>
      <c r="E4686">
        <v>0.87654898763466704</v>
      </c>
      <c r="F4686">
        <v>0.83997764400908703</v>
      </c>
      <c r="G4686">
        <v>0.37321028458025501</v>
      </c>
      <c r="H4686">
        <v>0.35438058739780298</v>
      </c>
      <c r="I4686">
        <v>0.27261222191280499</v>
      </c>
      <c r="J4686">
        <v>0.13917942715220599</v>
      </c>
      <c r="K4686">
        <v>0.15617259921128299</v>
      </c>
      <c r="L4686">
        <v>525.87951423686604</v>
      </c>
      <c r="M4686">
        <v>9.7488696410107192</v>
      </c>
      <c r="N4686">
        <v>53.942614497298699</v>
      </c>
      <c r="O4686">
        <v>51.819716279171999</v>
      </c>
      <c r="P4686">
        <v>-4.7057836608335603E-2</v>
      </c>
      <c r="Q4686">
        <v>0</v>
      </c>
      <c r="R4686">
        <v>0.92127711480344399</v>
      </c>
      <c r="S4686" t="s">
        <v>10237</v>
      </c>
      <c r="T4686" t="s">
        <v>11100</v>
      </c>
      <c r="U4686" t="s">
        <v>11100</v>
      </c>
      <c r="V4686" t="s">
        <v>11100</v>
      </c>
      <c r="W4686" t="s">
        <v>15734</v>
      </c>
      <c r="X4686">
        <v>3</v>
      </c>
      <c r="Y4686" t="s">
        <v>21163</v>
      </c>
      <c r="Z4686" t="s">
        <v>26691</v>
      </c>
      <c r="AA4686">
        <v>0.58245665393183799</v>
      </c>
      <c r="AB4686" t="str">
        <f>HYPERLINK("Melting_Curves/meltCurve_Q9C0B7_TANGO6.pdf", "Melting_Curves/meltCurve_Q9C0B7_TANGO6.pdf")</f>
        <v>Melting_Curves/meltCurve_Q9C0B7_TANGO6.pdf</v>
      </c>
    </row>
    <row r="4687" spans="1:28" x14ac:dyDescent="0.25">
      <c r="A4687" t="s">
        <v>4691</v>
      </c>
      <c r="B4687">
        <v>0.99299721793515405</v>
      </c>
      <c r="C4687">
        <v>0.892880534320871</v>
      </c>
      <c r="D4687">
        <v>0.95276767367279402</v>
      </c>
      <c r="E4687">
        <v>0.82873558911624801</v>
      </c>
      <c r="F4687">
        <v>0.75653505588130798</v>
      </c>
      <c r="G4687">
        <v>0.81337552436655902</v>
      </c>
      <c r="H4687">
        <v>1.3447545227233599</v>
      </c>
      <c r="I4687">
        <v>1.5813377373052699</v>
      </c>
      <c r="J4687">
        <v>1.82012678595852</v>
      </c>
      <c r="K4687">
        <v>1.7892551462448201</v>
      </c>
      <c r="L4687">
        <v>14304.204870298699</v>
      </c>
      <c r="M4687">
        <v>250</v>
      </c>
      <c r="O4687">
        <v>57.2131580045207</v>
      </c>
      <c r="P4687">
        <v>0.54620302632529305</v>
      </c>
      <c r="Q4687">
        <v>1.5</v>
      </c>
      <c r="R4687">
        <v>0.79053917516260497</v>
      </c>
      <c r="S4687" t="s">
        <v>10238</v>
      </c>
      <c r="T4687" t="s">
        <v>11100</v>
      </c>
      <c r="U4687" t="s">
        <v>11100</v>
      </c>
      <c r="V4687" t="s">
        <v>11100</v>
      </c>
      <c r="W4687" t="s">
        <v>15735</v>
      </c>
      <c r="X4687">
        <v>53</v>
      </c>
      <c r="Y4687" t="s">
        <v>21164</v>
      </c>
      <c r="Z4687" t="s">
        <v>26692</v>
      </c>
      <c r="AA4687">
        <v>1.1630028013329019</v>
      </c>
      <c r="AB4687" t="str">
        <f>HYPERLINK("Melting_Curves/meltCurve_Q9C0C2_TNKS1BP1.pdf", "Melting_Curves/meltCurve_Q9C0C2_TNKS1BP1.pdf")</f>
        <v>Melting_Curves/meltCurve_Q9C0C2_TNKS1BP1.pdf</v>
      </c>
    </row>
    <row r="4688" spans="1:28" x14ac:dyDescent="0.25">
      <c r="A4688" t="s">
        <v>4692</v>
      </c>
      <c r="B4688">
        <v>0.99299721793515405</v>
      </c>
      <c r="C4688">
        <v>0.89676529751398104</v>
      </c>
      <c r="D4688">
        <v>0.89229321820491903</v>
      </c>
      <c r="E4688">
        <v>0.73426646936287598</v>
      </c>
      <c r="F4688">
        <v>0.77402948430990204</v>
      </c>
      <c r="G4688">
        <v>0.44269809832003698</v>
      </c>
      <c r="H4688">
        <v>0.48257229231818799</v>
      </c>
      <c r="I4688">
        <v>0.34068777199192801</v>
      </c>
      <c r="J4688">
        <v>0.212174275351214</v>
      </c>
      <c r="K4688">
        <v>0.23254906177500401</v>
      </c>
      <c r="L4688">
        <v>396.41417577754902</v>
      </c>
      <c r="M4688">
        <v>7.2086619916879702</v>
      </c>
      <c r="N4688">
        <v>54.991380028827599</v>
      </c>
      <c r="O4688">
        <v>51.232096815810301</v>
      </c>
      <c r="P4688">
        <v>-3.5235041681121203E-2</v>
      </c>
      <c r="Q4688">
        <v>0</v>
      </c>
      <c r="R4688">
        <v>0.95749922795887299</v>
      </c>
      <c r="S4688" t="s">
        <v>10239</v>
      </c>
      <c r="T4688" t="s">
        <v>11100</v>
      </c>
      <c r="U4688" t="s">
        <v>11100</v>
      </c>
      <c r="V4688" t="s">
        <v>11100</v>
      </c>
      <c r="W4688" t="s">
        <v>15736</v>
      </c>
      <c r="X4688">
        <v>1</v>
      </c>
      <c r="Y4688" t="s">
        <v>21165</v>
      </c>
      <c r="Z4688" t="s">
        <v>26693</v>
      </c>
      <c r="AA4688">
        <v>0.60297560429500607</v>
      </c>
      <c r="AB4688" t="str">
        <f>HYPERLINK("Melting_Curves/meltCurve_Q9C0C4_SEMA4C.pdf", "Melting_Curves/meltCurve_Q9C0C4_SEMA4C.pdf")</f>
        <v>Melting_Curves/meltCurve_Q9C0C4_SEMA4C.pdf</v>
      </c>
    </row>
    <row r="4689" spans="1:28" x14ac:dyDescent="0.25">
      <c r="A4689" t="s">
        <v>4693</v>
      </c>
      <c r="B4689">
        <v>0.99299721793515405</v>
      </c>
      <c r="C4689">
        <v>0.93611441514347205</v>
      </c>
      <c r="D4689">
        <v>0.89157805516080302</v>
      </c>
      <c r="E4689">
        <v>0.80333594415805698</v>
      </c>
      <c r="F4689">
        <v>0.61816295835949497</v>
      </c>
      <c r="G4689">
        <v>0.83832906265807405</v>
      </c>
      <c r="H4689">
        <v>0.498665725852042</v>
      </c>
      <c r="I4689">
        <v>0.31307526473089597</v>
      </c>
      <c r="J4689">
        <v>0.18721959302157801</v>
      </c>
      <c r="K4689">
        <v>0.155142308738801</v>
      </c>
      <c r="L4689">
        <v>497.464295886976</v>
      </c>
      <c r="M4689">
        <v>8.8086071807749207</v>
      </c>
      <c r="N4689">
        <v>56.474793789801303</v>
      </c>
      <c r="O4689">
        <v>53.791147064133597</v>
      </c>
      <c r="P4689">
        <v>-4.0971167767623599E-2</v>
      </c>
      <c r="Q4689">
        <v>0</v>
      </c>
      <c r="R4689">
        <v>0.90311889150909297</v>
      </c>
      <c r="S4689" t="s">
        <v>10240</v>
      </c>
      <c r="T4689" t="s">
        <v>11100</v>
      </c>
      <c r="U4689" t="s">
        <v>11100</v>
      </c>
      <c r="V4689" t="s">
        <v>11100</v>
      </c>
      <c r="W4689" t="s">
        <v>15737</v>
      </c>
      <c r="X4689">
        <v>1</v>
      </c>
      <c r="Y4689" t="s">
        <v>21166</v>
      </c>
      <c r="Z4689" t="s">
        <v>26694</v>
      </c>
      <c r="AA4689">
        <v>0.64743388759998921</v>
      </c>
      <c r="AB4689" t="str">
        <f>HYPERLINK("Melting_Curves/meltCurve_Q9C0C7_4_AMBRA1.pdf", "Melting_Curves/meltCurve_Q9C0C7_4_AMBRA1.pdf")</f>
        <v>Melting_Curves/meltCurve_Q9C0C7_4_AMBRA1.pdf</v>
      </c>
    </row>
    <row r="4690" spans="1:28" x14ac:dyDescent="0.25">
      <c r="A4690" t="s">
        <v>4694</v>
      </c>
      <c r="B4690">
        <v>0.99299721793515405</v>
      </c>
      <c r="C4690">
        <v>0.89341209067699701</v>
      </c>
      <c r="D4690">
        <v>0.94304449714237404</v>
      </c>
      <c r="E4690">
        <v>0.80693206699768805</v>
      </c>
      <c r="F4690">
        <v>0.77475678694645</v>
      </c>
      <c r="G4690">
        <v>0.59328618612906003</v>
      </c>
      <c r="H4690">
        <v>0.29774676572835901</v>
      </c>
      <c r="I4690">
        <v>0.230495414600983</v>
      </c>
      <c r="J4690">
        <v>0.19619890384039099</v>
      </c>
      <c r="K4690">
        <v>0.17788724668568301</v>
      </c>
      <c r="L4690">
        <v>606.35226661404101</v>
      </c>
      <c r="M4690">
        <v>11.222073019493999</v>
      </c>
      <c r="N4690">
        <v>54.536262015241597</v>
      </c>
      <c r="O4690">
        <v>52.401554281595701</v>
      </c>
      <c r="P4690">
        <v>-5.0916718118424298E-2</v>
      </c>
      <c r="Q4690">
        <v>4.9272779065701003E-2</v>
      </c>
      <c r="R4690">
        <v>0.97469878412379196</v>
      </c>
      <c r="S4690" t="s">
        <v>10241</v>
      </c>
      <c r="T4690" t="s">
        <v>11100</v>
      </c>
      <c r="U4690" t="s">
        <v>11100</v>
      </c>
      <c r="V4690" t="s">
        <v>11100</v>
      </c>
      <c r="W4690" t="s">
        <v>15738</v>
      </c>
      <c r="X4690">
        <v>31</v>
      </c>
      <c r="Y4690" t="s">
        <v>17693</v>
      </c>
      <c r="Z4690" t="s">
        <v>26695</v>
      </c>
      <c r="AA4690">
        <v>0.60602993979560871</v>
      </c>
      <c r="AB4690" t="str">
        <f>HYPERLINK("Melting_Curves/meltCurve_Q9C0C9_UBE2O.pdf", "Melting_Curves/meltCurve_Q9C0C9_UBE2O.pdf")</f>
        <v>Melting_Curves/meltCurve_Q9C0C9_UBE2O.pdf</v>
      </c>
    </row>
    <row r="4691" spans="1:28" x14ac:dyDescent="0.25">
      <c r="A4691" t="s">
        <v>4695</v>
      </c>
      <c r="B4691">
        <v>0.99299721793515405</v>
      </c>
      <c r="C4691">
        <v>1.0847647521451</v>
      </c>
      <c r="D4691">
        <v>1.02574782219089</v>
      </c>
      <c r="E4691">
        <v>0.79663327595558597</v>
      </c>
      <c r="F4691">
        <v>0.87798720121564</v>
      </c>
      <c r="G4691">
        <v>0.81562952244953502</v>
      </c>
      <c r="H4691">
        <v>0.61577562247667395</v>
      </c>
      <c r="I4691">
        <v>0.57274454731753</v>
      </c>
      <c r="J4691">
        <v>0.347913705797601</v>
      </c>
      <c r="K4691">
        <v>0.28130490042582001</v>
      </c>
      <c r="L4691">
        <v>559.18937223091302</v>
      </c>
      <c r="M4691">
        <v>9.1723755677475296</v>
      </c>
      <c r="N4691">
        <v>60.964493420657803</v>
      </c>
      <c r="O4691">
        <v>58.276576243659399</v>
      </c>
      <c r="P4691">
        <v>-3.9375059005789401E-2</v>
      </c>
      <c r="Q4691">
        <v>0</v>
      </c>
      <c r="R4691">
        <v>0.93897042662971297</v>
      </c>
      <c r="S4691" t="s">
        <v>10242</v>
      </c>
      <c r="T4691" t="s">
        <v>11100</v>
      </c>
      <c r="U4691" t="s">
        <v>11100</v>
      </c>
      <c r="V4691" t="s">
        <v>11100</v>
      </c>
      <c r="W4691" t="s">
        <v>15739</v>
      </c>
      <c r="X4691">
        <v>3</v>
      </c>
      <c r="Y4691" t="s">
        <v>21167</v>
      </c>
      <c r="Z4691" t="s">
        <v>26696</v>
      </c>
      <c r="AA4691">
        <v>0.75496163365188174</v>
      </c>
      <c r="AB4691" t="str">
        <f>HYPERLINK("Melting_Curves/meltCurve_Q9C0D3_ZYG11B.pdf", "Melting_Curves/meltCurve_Q9C0D3_ZYG11B.pdf")</f>
        <v>Melting_Curves/meltCurve_Q9C0D3_ZYG11B.pdf</v>
      </c>
    </row>
    <row r="4692" spans="1:28" x14ac:dyDescent="0.25">
      <c r="A4692" t="s">
        <v>4696</v>
      </c>
      <c r="B4692">
        <v>0.99299721793515405</v>
      </c>
      <c r="C4692">
        <v>0.98283301426473901</v>
      </c>
      <c r="D4692">
        <v>1.0400233872947</v>
      </c>
      <c r="E4692">
        <v>0.85684480893093695</v>
      </c>
      <c r="F4692">
        <v>0.71302248633047105</v>
      </c>
      <c r="G4692">
        <v>0.46805445542325103</v>
      </c>
      <c r="H4692">
        <v>0.313322262005296</v>
      </c>
      <c r="I4692">
        <v>0.26766943660588799</v>
      </c>
      <c r="J4692">
        <v>0.280165502928301</v>
      </c>
      <c r="K4692">
        <v>0.25579063830226301</v>
      </c>
      <c r="L4692">
        <v>972.65128411951002</v>
      </c>
      <c r="M4692">
        <v>18.986683358656599</v>
      </c>
      <c r="N4692">
        <v>53.112709744587903</v>
      </c>
      <c r="O4692">
        <v>50.6699490137689</v>
      </c>
      <c r="P4692">
        <v>-7.0720997088203799E-2</v>
      </c>
      <c r="Q4692">
        <v>0.245094878711305</v>
      </c>
      <c r="R4692">
        <v>0.99313286969008696</v>
      </c>
      <c r="S4692" t="s">
        <v>10243</v>
      </c>
      <c r="T4692" t="s">
        <v>11100</v>
      </c>
      <c r="U4692" t="s">
        <v>11100</v>
      </c>
      <c r="V4692" t="s">
        <v>11100</v>
      </c>
      <c r="W4692" t="s">
        <v>15740</v>
      </c>
      <c r="X4692">
        <v>4</v>
      </c>
      <c r="Y4692" t="s">
        <v>21168</v>
      </c>
      <c r="Z4692" t="s">
        <v>26697</v>
      </c>
      <c r="AA4692">
        <v>0.61384783911549523</v>
      </c>
      <c r="AB4692" t="str">
        <f>HYPERLINK("Melting_Curves/meltCurve_Q9C0D5_2_TANC1.pdf", "Melting_Curves/meltCurve_Q9C0D5_2_TANC1.pdf")</f>
        <v>Melting_Curves/meltCurve_Q9C0D5_2_TANC1.pdf</v>
      </c>
    </row>
    <row r="4693" spans="1:28" x14ac:dyDescent="0.25">
      <c r="A4693" t="s">
        <v>4697</v>
      </c>
      <c r="B4693">
        <v>0.99299721793515405</v>
      </c>
      <c r="C4693">
        <v>0.91044926194306697</v>
      </c>
      <c r="D4693">
        <v>0.97071032171245597</v>
      </c>
      <c r="E4693">
        <v>0.83676842565863896</v>
      </c>
      <c r="F4693">
        <v>0.62005794562606698</v>
      </c>
      <c r="G4693">
        <v>0.19632200873587599</v>
      </c>
      <c r="H4693">
        <v>0.15900883552100101</v>
      </c>
      <c r="I4693">
        <v>9.66939518577066E-2</v>
      </c>
      <c r="J4693">
        <v>0.110715371683601</v>
      </c>
      <c r="K4693">
        <v>6.7672595612585096E-2</v>
      </c>
      <c r="L4693">
        <v>1149.91591352829</v>
      </c>
      <c r="M4693">
        <v>22.794092965173999</v>
      </c>
      <c r="N4693">
        <v>50.835709463023797</v>
      </c>
      <c r="O4693">
        <v>50.064507501036999</v>
      </c>
      <c r="P4693">
        <v>-0.104743653818944</v>
      </c>
      <c r="Q4693">
        <v>7.9790062958534996E-2</v>
      </c>
      <c r="R4693">
        <v>0.98788476689696803</v>
      </c>
      <c r="S4693" t="s">
        <v>10244</v>
      </c>
      <c r="T4693" t="s">
        <v>11100</v>
      </c>
      <c r="U4693" t="s">
        <v>11100</v>
      </c>
      <c r="V4693" t="s">
        <v>11100</v>
      </c>
      <c r="W4693" t="s">
        <v>15741</v>
      </c>
      <c r="X4693">
        <v>4</v>
      </c>
      <c r="Y4693" t="s">
        <v>21169</v>
      </c>
      <c r="Z4693" t="s">
        <v>26698</v>
      </c>
      <c r="AA4693">
        <v>0.5018838440063923</v>
      </c>
      <c r="AB4693" t="str">
        <f>HYPERLINK("Melting_Curves/meltCurve_Q9C0F1_CEP44.pdf", "Melting_Curves/meltCurve_Q9C0F1_CEP44.pdf")</f>
        <v>Melting_Curves/meltCurve_Q9C0F1_CEP44.pdf</v>
      </c>
    </row>
    <row r="4694" spans="1:28" x14ac:dyDescent="0.25">
      <c r="A4694" t="s">
        <v>4698</v>
      </c>
      <c r="B4694">
        <v>0.99299721793515405</v>
      </c>
      <c r="C4694">
        <v>1.0580688230642501</v>
      </c>
      <c r="D4694">
        <v>0.82763715273930405</v>
      </c>
      <c r="E4694">
        <v>0.85233561936727797</v>
      </c>
      <c r="F4694">
        <v>0.816787404154517</v>
      </c>
      <c r="G4694">
        <v>0.53600056539718699</v>
      </c>
      <c r="H4694">
        <v>0.58774594874485997</v>
      </c>
      <c r="I4694">
        <v>0.60411027128487904</v>
      </c>
      <c r="J4694">
        <v>0.57420045658104901</v>
      </c>
      <c r="K4694">
        <v>0.44931802033204099</v>
      </c>
      <c r="L4694">
        <v>553.51884338772197</v>
      </c>
      <c r="M4694">
        <v>11.097700005483301</v>
      </c>
      <c r="O4694">
        <v>48.339541371842103</v>
      </c>
      <c r="P4694">
        <v>-2.9498053120339499E-2</v>
      </c>
      <c r="Q4694">
        <v>0.48621518468964597</v>
      </c>
      <c r="R4694">
        <v>0.88040477856341104</v>
      </c>
      <c r="S4694" t="s">
        <v>10245</v>
      </c>
      <c r="T4694" t="s">
        <v>11100</v>
      </c>
      <c r="U4694" t="s">
        <v>11100</v>
      </c>
      <c r="V4694" t="s">
        <v>11100</v>
      </c>
      <c r="W4694" t="s">
        <v>15742</v>
      </c>
      <c r="X4694">
        <v>2</v>
      </c>
      <c r="Y4694" t="s">
        <v>21170</v>
      </c>
      <c r="Z4694" t="s">
        <v>26699</v>
      </c>
      <c r="AA4694">
        <v>0.72259608644285678</v>
      </c>
      <c r="AB4694" t="str">
        <f>HYPERLINK("Melting_Curves/meltCurve_Q9C0H2_2_TTYH3.pdf", "Melting_Curves/meltCurve_Q9C0H2_2_TTYH3.pdf")</f>
        <v>Melting_Curves/meltCurve_Q9C0H2_2_TTYH3.pdf</v>
      </c>
    </row>
    <row r="4695" spans="1:28" x14ac:dyDescent="0.25">
      <c r="A4695" t="s">
        <v>4699</v>
      </c>
      <c r="B4695">
        <v>0.99299721793515405</v>
      </c>
      <c r="C4695">
        <v>0.84350979444641205</v>
      </c>
      <c r="D4695">
        <v>0.76853547891391205</v>
      </c>
      <c r="E4695">
        <v>0.75737192745889204</v>
      </c>
      <c r="F4695">
        <v>0.62355707763967705</v>
      </c>
      <c r="G4695">
        <v>0.57192116356882605</v>
      </c>
      <c r="H4695">
        <v>0.59222789742892801</v>
      </c>
      <c r="I4695">
        <v>0.69017323035643097</v>
      </c>
      <c r="J4695">
        <v>0.59043737911997896</v>
      </c>
      <c r="K4695">
        <v>0.556553494547392</v>
      </c>
      <c r="L4695">
        <v>533.88785758424103</v>
      </c>
      <c r="M4695">
        <v>12.498461081580899</v>
      </c>
      <c r="O4695">
        <v>41.666981240909202</v>
      </c>
      <c r="P4695">
        <v>-3.0751391319610501E-2</v>
      </c>
      <c r="Q4695">
        <v>0.59001227028650904</v>
      </c>
      <c r="R4695">
        <v>0.89007361654231199</v>
      </c>
      <c r="S4695" t="s">
        <v>10246</v>
      </c>
      <c r="T4695" t="s">
        <v>11100</v>
      </c>
      <c r="U4695" t="s">
        <v>11100</v>
      </c>
      <c r="V4695" t="s">
        <v>11100</v>
      </c>
      <c r="W4695" t="s">
        <v>15743</v>
      </c>
      <c r="X4695">
        <v>7</v>
      </c>
      <c r="Y4695" t="s">
        <v>21171</v>
      </c>
      <c r="Z4695" t="s">
        <v>26700</v>
      </c>
      <c r="AA4695">
        <v>0.68424944160492107</v>
      </c>
      <c r="AB4695" t="str">
        <f>HYPERLINK("Melting_Curves/meltCurve_Q9C0I1_3_MTMR12.pdf", "Melting_Curves/meltCurve_Q9C0I1_3_MTMR12.pdf")</f>
        <v>Melting_Curves/meltCurve_Q9C0I1_3_MTMR12.pdf</v>
      </c>
    </row>
    <row r="4696" spans="1:28" x14ac:dyDescent="0.25">
      <c r="A4696" t="s">
        <v>4700</v>
      </c>
      <c r="B4696">
        <v>0.99299721793515405</v>
      </c>
      <c r="C4696">
        <v>0.89053776066401202</v>
      </c>
      <c r="D4696">
        <v>0.95654517811763295</v>
      </c>
      <c r="E4696">
        <v>0.77755941313522903</v>
      </c>
      <c r="F4696">
        <v>0.745110918653204</v>
      </c>
      <c r="G4696">
        <v>0.59523577381580295</v>
      </c>
      <c r="H4696">
        <v>0.56560587179562605</v>
      </c>
      <c r="I4696">
        <v>0.54155749955184496</v>
      </c>
      <c r="J4696">
        <v>0.47245653375199198</v>
      </c>
      <c r="K4696">
        <v>0.32785082549585298</v>
      </c>
      <c r="L4696">
        <v>309.217201957746</v>
      </c>
      <c r="M4696">
        <v>5.1823984537825298</v>
      </c>
      <c r="N4696">
        <v>60.450606355059499</v>
      </c>
      <c r="O4696">
        <v>52.501948027774603</v>
      </c>
      <c r="P4696">
        <v>-2.4004677505551901E-2</v>
      </c>
      <c r="Q4696">
        <v>3.2493154998654197E-2</v>
      </c>
      <c r="R4696">
        <v>0.95488926599916202</v>
      </c>
      <c r="S4696" t="s">
        <v>10247</v>
      </c>
      <c r="T4696" t="s">
        <v>11100</v>
      </c>
      <c r="U4696" t="s">
        <v>11100</v>
      </c>
      <c r="V4696" t="s">
        <v>11100</v>
      </c>
      <c r="W4696" t="s">
        <v>15744</v>
      </c>
      <c r="X4696">
        <v>8</v>
      </c>
      <c r="Y4696" t="s">
        <v>21172</v>
      </c>
      <c r="Z4696" t="s">
        <v>26701</v>
      </c>
      <c r="AA4696">
        <v>0.68684084103877641</v>
      </c>
      <c r="AB4696" t="str">
        <f>HYPERLINK("Melting_Curves/meltCurve_Q9GZL7_WDR12.pdf", "Melting_Curves/meltCurve_Q9GZL7_WDR12.pdf")</f>
        <v>Melting_Curves/meltCurve_Q9GZL7_WDR12.pdf</v>
      </c>
    </row>
    <row r="4697" spans="1:28" x14ac:dyDescent="0.25">
      <c r="A4697" t="s">
        <v>4701</v>
      </c>
      <c r="B4697">
        <v>0.99299721793515405</v>
      </c>
      <c r="C4697">
        <v>1.0014071602168899</v>
      </c>
      <c r="D4697">
        <v>0.85315556353204203</v>
      </c>
      <c r="E4697">
        <v>0.83838859760226003</v>
      </c>
      <c r="F4697">
        <v>0.67967918291513396</v>
      </c>
      <c r="G4697">
        <v>0.30346740775435799</v>
      </c>
      <c r="H4697">
        <v>0.24700011247893799</v>
      </c>
      <c r="I4697">
        <v>0.27844388645828599</v>
      </c>
      <c r="J4697">
        <v>0.189722067539846</v>
      </c>
      <c r="K4697">
        <v>0.197724424084989</v>
      </c>
      <c r="L4697">
        <v>893.02400644474096</v>
      </c>
      <c r="M4697">
        <v>17.742061248681299</v>
      </c>
      <c r="N4697">
        <v>51.680549534447202</v>
      </c>
      <c r="O4697">
        <v>49.707322077782202</v>
      </c>
      <c r="P4697">
        <v>-7.2718997827525098E-2</v>
      </c>
      <c r="Q4697">
        <v>0.185104954931297</v>
      </c>
      <c r="R4697">
        <v>0.97365528026469605</v>
      </c>
      <c r="S4697" t="s">
        <v>10248</v>
      </c>
      <c r="T4697" t="s">
        <v>11100</v>
      </c>
      <c r="U4697" t="s">
        <v>11100</v>
      </c>
      <c r="V4697" t="s">
        <v>11100</v>
      </c>
      <c r="W4697" t="s">
        <v>15745</v>
      </c>
      <c r="X4697">
        <v>1</v>
      </c>
      <c r="Y4697" t="s">
        <v>21173</v>
      </c>
      <c r="Z4697" t="s">
        <v>26702</v>
      </c>
      <c r="AA4697">
        <v>0.56037387194992694</v>
      </c>
      <c r="AB4697" t="str">
        <f>HYPERLINK("Melting_Curves/meltCurve_Q9GZN1_ACTR6.pdf", "Melting_Curves/meltCurve_Q9GZN1_ACTR6.pdf")</f>
        <v>Melting_Curves/meltCurve_Q9GZN1_ACTR6.pdf</v>
      </c>
    </row>
    <row r="4698" spans="1:28" x14ac:dyDescent="0.25">
      <c r="A4698" t="s">
        <v>4702</v>
      </c>
      <c r="B4698">
        <v>0.99299721793515405</v>
      </c>
      <c r="C4698">
        <v>1.0660174970119001</v>
      </c>
      <c r="D4698">
        <v>0.844333402318728</v>
      </c>
      <c r="E4698">
        <v>0.79390742116672997</v>
      </c>
      <c r="F4698">
        <v>0.79122409986114794</v>
      </c>
      <c r="G4698">
        <v>0.54585853320076205</v>
      </c>
      <c r="H4698">
        <v>0.429305350030385</v>
      </c>
      <c r="I4698">
        <v>0.30556775941676001</v>
      </c>
      <c r="J4698">
        <v>0.16275673159335199</v>
      </c>
      <c r="K4698">
        <v>0.13701212035562499</v>
      </c>
      <c r="L4698">
        <v>531.16718730311698</v>
      </c>
      <c r="M4698">
        <v>9.6305186617969607</v>
      </c>
      <c r="N4698">
        <v>55.154576408277997</v>
      </c>
      <c r="O4698">
        <v>52.933843473091699</v>
      </c>
      <c r="P4698">
        <v>-4.5509297008031399E-2</v>
      </c>
      <c r="Q4698">
        <v>0</v>
      </c>
      <c r="R4698">
        <v>0.97185060454689698</v>
      </c>
      <c r="S4698" t="s">
        <v>10249</v>
      </c>
      <c r="T4698" t="s">
        <v>11100</v>
      </c>
      <c r="U4698" t="s">
        <v>11100</v>
      </c>
      <c r="V4698" t="s">
        <v>11100</v>
      </c>
      <c r="W4698" t="s">
        <v>15746</v>
      </c>
      <c r="X4698">
        <v>2</v>
      </c>
      <c r="Y4698" t="s">
        <v>21174</v>
      </c>
      <c r="Z4698" t="s">
        <v>26703</v>
      </c>
      <c r="AA4698">
        <v>0.61568352559240702</v>
      </c>
      <c r="AB4698" t="str">
        <f>HYPERLINK("Melting_Curves/meltCurve_Q9GZN8_2_C20orf27.pdf", "Melting_Curves/meltCurve_Q9GZN8_2_C20orf27.pdf")</f>
        <v>Melting_Curves/meltCurve_Q9GZN8_2_C20orf27.pdf</v>
      </c>
    </row>
    <row r="4699" spans="1:28" x14ac:dyDescent="0.25">
      <c r="A4699" t="s">
        <v>4703</v>
      </c>
      <c r="B4699">
        <v>0.99299721793515405</v>
      </c>
      <c r="C4699">
        <v>0.87740329862076205</v>
      </c>
      <c r="D4699">
        <v>0.88878915936756397</v>
      </c>
      <c r="E4699">
        <v>0.76475718479622201</v>
      </c>
      <c r="F4699">
        <v>0.79863458372715002</v>
      </c>
      <c r="G4699">
        <v>0.60576096430941595</v>
      </c>
      <c r="H4699">
        <v>0.485276148092735</v>
      </c>
      <c r="I4699">
        <v>0.51182494903577502</v>
      </c>
      <c r="J4699">
        <v>0.59837183219322398</v>
      </c>
      <c r="K4699">
        <v>0.51965251666601497</v>
      </c>
      <c r="L4699">
        <v>440.98708693227201</v>
      </c>
      <c r="M4699">
        <v>9.0668300107401993</v>
      </c>
      <c r="O4699">
        <v>46.446449193937298</v>
      </c>
      <c r="P4699">
        <v>-2.5798535055047402E-2</v>
      </c>
      <c r="Q4699">
        <v>0.471742727259093</v>
      </c>
      <c r="R4699">
        <v>0.89982950852851395</v>
      </c>
      <c r="S4699" t="s">
        <v>10250</v>
      </c>
      <c r="T4699" t="s">
        <v>11100</v>
      </c>
      <c r="U4699" t="s">
        <v>11100</v>
      </c>
      <c r="V4699" t="s">
        <v>11100</v>
      </c>
      <c r="W4699" t="s">
        <v>15747</v>
      </c>
      <c r="X4699">
        <v>5</v>
      </c>
      <c r="Y4699" t="s">
        <v>21175</v>
      </c>
      <c r="Z4699" t="s">
        <v>26704</v>
      </c>
      <c r="AA4699">
        <v>0.69920970062099153</v>
      </c>
      <c r="AB4699" t="str">
        <f>HYPERLINK("Melting_Curves/meltCurve_Q9GZP4_PITHD1.pdf", "Melting_Curves/meltCurve_Q9GZP4_PITHD1.pdf")</f>
        <v>Melting_Curves/meltCurve_Q9GZP4_PITHD1.pdf</v>
      </c>
    </row>
    <row r="4700" spans="1:28" x14ac:dyDescent="0.25">
      <c r="A4700" t="s">
        <v>4704</v>
      </c>
      <c r="B4700">
        <v>0.99299721793515405</v>
      </c>
      <c r="C4700">
        <v>1.0124684411321401</v>
      </c>
      <c r="D4700">
        <v>0.84656834519726998</v>
      </c>
      <c r="E4700">
        <v>1.0761113158514499</v>
      </c>
      <c r="F4700">
        <v>0.79061849249312299</v>
      </c>
      <c r="G4700">
        <v>0.62503481703151298</v>
      </c>
      <c r="H4700">
        <v>0.63819893809109196</v>
      </c>
      <c r="I4700">
        <v>0.54015571674999796</v>
      </c>
      <c r="J4700">
        <v>0.385249030359259</v>
      </c>
      <c r="K4700">
        <v>0.21962134001495101</v>
      </c>
      <c r="L4700">
        <v>504.748850555319</v>
      </c>
      <c r="M4700">
        <v>8.4137530167060692</v>
      </c>
      <c r="N4700">
        <v>59.9909196480872</v>
      </c>
      <c r="O4700">
        <v>56.889367060767299</v>
      </c>
      <c r="P4700">
        <v>-3.7008807331771698E-2</v>
      </c>
      <c r="Q4700">
        <v>0</v>
      </c>
      <c r="R4700">
        <v>0.90920259220080601</v>
      </c>
      <c r="S4700" t="s">
        <v>10251</v>
      </c>
      <c r="T4700" t="s">
        <v>11100</v>
      </c>
      <c r="U4700" t="s">
        <v>11100</v>
      </c>
      <c r="V4700" t="s">
        <v>11100</v>
      </c>
      <c r="W4700" t="s">
        <v>15748</v>
      </c>
      <c r="X4700">
        <v>2</v>
      </c>
      <c r="Y4700" t="s">
        <v>21176</v>
      </c>
      <c r="Z4700" t="s">
        <v>26705</v>
      </c>
      <c r="AA4700">
        <v>0.7271352734405806</v>
      </c>
      <c r="AB4700" t="str">
        <f>HYPERLINK("Melting_Curves/meltCurve_Q9GZP9_DERL2.pdf", "Melting_Curves/meltCurve_Q9GZP9_DERL2.pdf")</f>
        <v>Melting_Curves/meltCurve_Q9GZP9_DERL2.pdf</v>
      </c>
    </row>
    <row r="4701" spans="1:28" x14ac:dyDescent="0.25">
      <c r="A4701" t="s">
        <v>4705</v>
      </c>
      <c r="B4701">
        <v>0.99299721793515405</v>
      </c>
      <c r="C4701">
        <v>1.0062745193785101</v>
      </c>
      <c r="D4701">
        <v>0.91162549689133499</v>
      </c>
      <c r="E4701">
        <v>0.90894006487496104</v>
      </c>
      <c r="F4701">
        <v>0.84420570656412397</v>
      </c>
      <c r="G4701">
        <v>0.92377713893876401</v>
      </c>
      <c r="H4701">
        <v>1.12036121159989</v>
      </c>
      <c r="I4701">
        <v>0.74572037335263897</v>
      </c>
      <c r="J4701">
        <v>0.42497860521338099</v>
      </c>
      <c r="K4701">
        <v>0.367563847835915</v>
      </c>
      <c r="L4701">
        <v>5381.4448722397201</v>
      </c>
      <c r="M4701">
        <v>87.861243660827299</v>
      </c>
      <c r="N4701">
        <v>62.319305831066302</v>
      </c>
      <c r="O4701">
        <v>61.217649451361403</v>
      </c>
      <c r="P4701">
        <v>-0.219096098825136</v>
      </c>
      <c r="Q4701">
        <v>0.38937595564014099</v>
      </c>
      <c r="R4701">
        <v>0.88656903294301403</v>
      </c>
      <c r="S4701" t="s">
        <v>10252</v>
      </c>
      <c r="T4701" t="s">
        <v>11100</v>
      </c>
      <c r="U4701" t="s">
        <v>11100</v>
      </c>
      <c r="V4701" t="s">
        <v>11100</v>
      </c>
      <c r="W4701" t="s">
        <v>15749</v>
      </c>
      <c r="X4701">
        <v>5</v>
      </c>
      <c r="Y4701" t="s">
        <v>21177</v>
      </c>
      <c r="Z4701" t="s">
        <v>26706</v>
      </c>
      <c r="AA4701">
        <v>0.88347369174609092</v>
      </c>
      <c r="AB4701" t="str">
        <f>HYPERLINK("Melting_Curves/meltCurve_Q9GZS3_WDR61.pdf", "Melting_Curves/meltCurve_Q9GZS3_WDR61.pdf")</f>
        <v>Melting_Curves/meltCurve_Q9GZS3_WDR61.pdf</v>
      </c>
    </row>
    <row r="4702" spans="1:28" x14ac:dyDescent="0.25">
      <c r="A4702" t="s">
        <v>4706</v>
      </c>
      <c r="B4702">
        <v>0.99299721793515405</v>
      </c>
      <c r="C4702">
        <v>0.93399201675486399</v>
      </c>
      <c r="D4702">
        <v>0.99036092618054605</v>
      </c>
      <c r="E4702">
        <v>0.92970203419647901</v>
      </c>
      <c r="F4702">
        <v>0.52482558399049295</v>
      </c>
      <c r="G4702">
        <v>0.48266393871056401</v>
      </c>
      <c r="H4702">
        <v>0.47184167930448301</v>
      </c>
      <c r="I4702">
        <v>0.56773610543348696</v>
      </c>
      <c r="J4702">
        <v>0.65938301145719302</v>
      </c>
      <c r="K4702">
        <v>0.57704702936124097</v>
      </c>
      <c r="L4702">
        <v>11728.933938480801</v>
      </c>
      <c r="M4702">
        <v>250</v>
      </c>
      <c r="O4702">
        <v>46.9127390106135</v>
      </c>
      <c r="P4702">
        <v>-0.60318171419854605</v>
      </c>
      <c r="Q4702">
        <v>0.54724955267272202</v>
      </c>
      <c r="R4702">
        <v>0.93471013120384105</v>
      </c>
      <c r="S4702" t="s">
        <v>10253</v>
      </c>
      <c r="T4702" t="s">
        <v>11100</v>
      </c>
      <c r="U4702" t="s">
        <v>11100</v>
      </c>
      <c r="V4702" t="s">
        <v>11100</v>
      </c>
      <c r="W4702" t="s">
        <v>15750</v>
      </c>
      <c r="X4702">
        <v>9</v>
      </c>
      <c r="Y4702" t="s">
        <v>21178</v>
      </c>
      <c r="Z4702" t="s">
        <v>26707</v>
      </c>
      <c r="AA4702">
        <v>0.69693195711394407</v>
      </c>
      <c r="AB4702" t="str">
        <f>HYPERLINK("Melting_Curves/meltCurve_Q9GZT3_SLIRP.pdf", "Melting_Curves/meltCurve_Q9GZT3_SLIRP.pdf")</f>
        <v>Melting_Curves/meltCurve_Q9GZT3_SLIRP.pdf</v>
      </c>
    </row>
    <row r="4703" spans="1:28" x14ac:dyDescent="0.25">
      <c r="A4703" t="s">
        <v>4707</v>
      </c>
      <c r="B4703">
        <v>0.99299721793515405</v>
      </c>
      <c r="C4703">
        <v>1.0391847082538499</v>
      </c>
      <c r="D4703">
        <v>0.93588576333644002</v>
      </c>
      <c r="E4703">
        <v>0.944320225765791</v>
      </c>
      <c r="F4703">
        <v>0.66340261524199995</v>
      </c>
      <c r="G4703">
        <v>0.366399512022197</v>
      </c>
      <c r="H4703">
        <v>0.21524158348389499</v>
      </c>
      <c r="I4703">
        <v>0.233043695190642</v>
      </c>
      <c r="J4703">
        <v>0.24384477527329099</v>
      </c>
      <c r="K4703">
        <v>0.224337583012821</v>
      </c>
      <c r="L4703">
        <v>1406.25028296912</v>
      </c>
      <c r="M4703">
        <v>27.727811471317398</v>
      </c>
      <c r="N4703">
        <v>51.8116739323698</v>
      </c>
      <c r="O4703">
        <v>50.454617964551701</v>
      </c>
      <c r="P4703">
        <v>-0.10691878068277599</v>
      </c>
      <c r="Q4703">
        <v>0.221792066237091</v>
      </c>
      <c r="R4703">
        <v>0.99410103806794703</v>
      </c>
      <c r="S4703" t="s">
        <v>10254</v>
      </c>
      <c r="T4703" t="s">
        <v>11100</v>
      </c>
      <c r="U4703" t="s">
        <v>11100</v>
      </c>
      <c r="V4703" t="s">
        <v>11100</v>
      </c>
      <c r="W4703" t="s">
        <v>15751</v>
      </c>
      <c r="X4703">
        <v>4</v>
      </c>
      <c r="Y4703" t="s">
        <v>21179</v>
      </c>
      <c r="Z4703" t="s">
        <v>26708</v>
      </c>
      <c r="AA4703">
        <v>0.58322185789718362</v>
      </c>
      <c r="AB4703" t="str">
        <f>HYPERLINK("Melting_Curves/meltCurve_Q9GZT4_SRR.pdf", "Melting_Curves/meltCurve_Q9GZT4_SRR.pdf")</f>
        <v>Melting_Curves/meltCurve_Q9GZT4_SRR.pdf</v>
      </c>
    </row>
    <row r="4704" spans="1:28" x14ac:dyDescent="0.25">
      <c r="A4704" t="s">
        <v>4708</v>
      </c>
      <c r="B4704">
        <v>0.99299721793515405</v>
      </c>
      <c r="C4704">
        <v>0.91043046569140995</v>
      </c>
      <c r="D4704">
        <v>1.04164649854838</v>
      </c>
      <c r="E4704">
        <v>0.91235805547131799</v>
      </c>
      <c r="F4704">
        <v>0.81741975148838797</v>
      </c>
      <c r="G4704">
        <v>0.59852026788551105</v>
      </c>
      <c r="H4704">
        <v>0.56633301098893596</v>
      </c>
      <c r="I4704">
        <v>0.54143707466920798</v>
      </c>
      <c r="J4704">
        <v>0.35712470866866303</v>
      </c>
      <c r="K4704">
        <v>0.27908625994194702</v>
      </c>
      <c r="L4704">
        <v>474.33476462627999</v>
      </c>
      <c r="M4704">
        <v>8.1131445762046805</v>
      </c>
      <c r="N4704">
        <v>59.425546785439302</v>
      </c>
      <c r="O4704">
        <v>55.234608985738902</v>
      </c>
      <c r="P4704">
        <v>-3.45015976580988E-2</v>
      </c>
      <c r="Q4704">
        <v>6.1454214189214901E-2</v>
      </c>
      <c r="R4704">
        <v>0.95348496285652795</v>
      </c>
      <c r="S4704" t="s">
        <v>10255</v>
      </c>
      <c r="T4704" t="s">
        <v>11100</v>
      </c>
      <c r="U4704" t="s">
        <v>11100</v>
      </c>
      <c r="V4704" t="s">
        <v>11100</v>
      </c>
      <c r="W4704" t="s">
        <v>15752</v>
      </c>
      <c r="X4704">
        <v>3</v>
      </c>
      <c r="Y4704" t="s">
        <v>21180</v>
      </c>
      <c r="Z4704" t="s">
        <v>26709</v>
      </c>
      <c r="AA4704">
        <v>0.7096355433108914</v>
      </c>
      <c r="AB4704" t="str">
        <f>HYPERLINK("Melting_Curves/meltCurve_Q9GZT6_2_CCDC90B.pdf", "Melting_Curves/meltCurve_Q9GZT6_2_CCDC90B.pdf")</f>
        <v>Melting_Curves/meltCurve_Q9GZT6_2_CCDC90B.pdf</v>
      </c>
    </row>
    <row r="4705" spans="1:28" x14ac:dyDescent="0.25">
      <c r="A4705" t="s">
        <v>4709</v>
      </c>
      <c r="B4705">
        <v>0.99299721793515405</v>
      </c>
      <c r="C4705">
        <v>0.96403452351321395</v>
      </c>
      <c r="D4705">
        <v>0.87983111274689796</v>
      </c>
      <c r="E4705">
        <v>0.89560432626511899</v>
      </c>
      <c r="F4705">
        <v>0.75115813662245601</v>
      </c>
      <c r="G4705">
        <v>0.65082531711198199</v>
      </c>
      <c r="H4705">
        <v>0.77109818015850795</v>
      </c>
      <c r="I4705">
        <v>0.91921675673038805</v>
      </c>
      <c r="J4705">
        <v>0.98112613481047595</v>
      </c>
      <c r="K4705">
        <v>0.92468466392795001</v>
      </c>
      <c r="L4705">
        <v>1177.5668265931299</v>
      </c>
      <c r="M4705">
        <v>28.303357335749499</v>
      </c>
      <c r="O4705">
        <v>41.399166942339598</v>
      </c>
      <c r="P4705">
        <v>-2.7358112125572102E-2</v>
      </c>
      <c r="Q4705">
        <v>0.83993506906897297</v>
      </c>
      <c r="R4705">
        <v>0.261064850796345</v>
      </c>
      <c r="S4705" t="s">
        <v>10256</v>
      </c>
      <c r="T4705" t="s">
        <v>11100</v>
      </c>
      <c r="U4705" t="s">
        <v>11100</v>
      </c>
      <c r="V4705" t="s">
        <v>11100</v>
      </c>
      <c r="W4705" t="s">
        <v>15753</v>
      </c>
      <c r="X4705">
        <v>5</v>
      </c>
      <c r="Y4705" t="s">
        <v>21181</v>
      </c>
      <c r="Z4705" t="s">
        <v>26710</v>
      </c>
      <c r="AA4705">
        <v>0.86560360547918924</v>
      </c>
      <c r="AB4705" t="str">
        <f>HYPERLINK("Melting_Curves/meltCurve_Q9GZT8_2_NIF3L1.pdf", "Melting_Curves/meltCurve_Q9GZT8_2_NIF3L1.pdf")</f>
        <v>Melting_Curves/meltCurve_Q9GZT8_2_NIF3L1.pdf</v>
      </c>
    </row>
    <row r="4706" spans="1:28" x14ac:dyDescent="0.25">
      <c r="A4706" t="s">
        <v>4710</v>
      </c>
      <c r="B4706">
        <v>0.99299721793515405</v>
      </c>
      <c r="C4706">
        <v>1.0135916947472201</v>
      </c>
      <c r="D4706">
        <v>0.94288919020304196</v>
      </c>
      <c r="E4706">
        <v>0.85841739466545697</v>
      </c>
      <c r="F4706">
        <v>0.62027893519427801</v>
      </c>
      <c r="G4706">
        <v>0.36017555959748798</v>
      </c>
      <c r="H4706">
        <v>0.31703838050828897</v>
      </c>
      <c r="I4706">
        <v>0.28789625912132299</v>
      </c>
      <c r="J4706">
        <v>0.28141054420071798</v>
      </c>
      <c r="K4706">
        <v>0.23305653533789</v>
      </c>
      <c r="L4706">
        <v>1027.8189641694501</v>
      </c>
      <c r="M4706">
        <v>20.612007187012701</v>
      </c>
      <c r="N4706">
        <v>51.669340915608203</v>
      </c>
      <c r="O4706">
        <v>49.402823334075102</v>
      </c>
      <c r="P4706">
        <v>-7.7546633239735097E-2</v>
      </c>
      <c r="Q4706">
        <v>0.25656702539123399</v>
      </c>
      <c r="R4706">
        <v>0.99590769845666105</v>
      </c>
      <c r="S4706" t="s">
        <v>10257</v>
      </c>
      <c r="T4706" t="s">
        <v>11100</v>
      </c>
      <c r="U4706" t="s">
        <v>11100</v>
      </c>
      <c r="V4706" t="s">
        <v>11100</v>
      </c>
      <c r="W4706" t="s">
        <v>15754</v>
      </c>
      <c r="X4706">
        <v>12</v>
      </c>
      <c r="Y4706" t="s">
        <v>21182</v>
      </c>
      <c r="Z4706" t="s">
        <v>26711</v>
      </c>
      <c r="AA4706">
        <v>0.58466110117596082</v>
      </c>
      <c r="AB4706" t="str">
        <f>HYPERLINK("Melting_Curves/meltCurve_Q9GZT9_EGLN1.pdf", "Melting_Curves/meltCurve_Q9GZT9_EGLN1.pdf")</f>
        <v>Melting_Curves/meltCurve_Q9GZT9_EGLN1.pdf</v>
      </c>
    </row>
    <row r="4707" spans="1:28" x14ac:dyDescent="0.25">
      <c r="A4707" t="s">
        <v>4711</v>
      </c>
      <c r="B4707">
        <v>0.99299721793515405</v>
      </c>
      <c r="C4707">
        <v>0.91376013221220498</v>
      </c>
      <c r="D4707">
        <v>0.95925788874717099</v>
      </c>
      <c r="E4707">
        <v>0.85364965287621497</v>
      </c>
      <c r="F4707">
        <v>0.68819892711628206</v>
      </c>
      <c r="G4707">
        <v>0.56154940657431296</v>
      </c>
      <c r="H4707">
        <v>0.64185797939554201</v>
      </c>
      <c r="I4707">
        <v>0.76113940263787305</v>
      </c>
      <c r="J4707">
        <v>0.89566847419860995</v>
      </c>
      <c r="K4707">
        <v>0.80613700113229803</v>
      </c>
      <c r="L4707">
        <v>11643.7171935392</v>
      </c>
      <c r="M4707">
        <v>250</v>
      </c>
      <c r="O4707">
        <v>46.571888984428199</v>
      </c>
      <c r="P4707">
        <v>-0.36803514800702603</v>
      </c>
      <c r="Q4707">
        <v>0.72575853151538405</v>
      </c>
      <c r="R4707">
        <v>0.55646854275111501</v>
      </c>
      <c r="S4707" t="s">
        <v>10258</v>
      </c>
      <c r="T4707" t="s">
        <v>11100</v>
      </c>
      <c r="U4707" t="s">
        <v>11100</v>
      </c>
      <c r="V4707" t="s">
        <v>11100</v>
      </c>
      <c r="W4707" t="s">
        <v>15755</v>
      </c>
      <c r="X4707">
        <v>23</v>
      </c>
      <c r="Y4707" t="s">
        <v>21183</v>
      </c>
      <c r="Z4707" t="s">
        <v>26712</v>
      </c>
      <c r="AA4707">
        <v>0.81330848328351879</v>
      </c>
      <c r="AB4707" t="str">
        <f>HYPERLINK("Melting_Curves/meltCurve_Q9GZU8_FAM192A.pdf", "Melting_Curves/meltCurve_Q9GZU8_FAM192A.pdf")</f>
        <v>Melting_Curves/meltCurve_Q9GZU8_FAM192A.pdf</v>
      </c>
    </row>
    <row r="4708" spans="1:28" x14ac:dyDescent="0.25">
      <c r="A4708" t="s">
        <v>4712</v>
      </c>
      <c r="B4708">
        <v>0.99299721793515405</v>
      </c>
      <c r="C4708">
        <v>0.98886208111401497</v>
      </c>
      <c r="D4708">
        <v>1.3516117260351399</v>
      </c>
      <c r="E4708">
        <v>0.90507132724930806</v>
      </c>
      <c r="F4708">
        <v>0.79750511644274102</v>
      </c>
      <c r="G4708">
        <v>0.71818046659979096</v>
      </c>
      <c r="H4708">
        <v>0.47928833740805599</v>
      </c>
      <c r="I4708">
        <v>0.61234105451933996</v>
      </c>
      <c r="J4708">
        <v>0.59937573654892695</v>
      </c>
      <c r="K4708">
        <v>1.2059147222586999</v>
      </c>
      <c r="L4708">
        <v>2025.5021811778399</v>
      </c>
      <c r="M4708">
        <v>42.185200193821501</v>
      </c>
      <c r="O4708">
        <v>47.906995952692697</v>
      </c>
      <c r="P4708">
        <v>-6.00775888035106E-2</v>
      </c>
      <c r="Q4708">
        <v>0.72709554329585102</v>
      </c>
      <c r="R4708">
        <v>0.35599057441722698</v>
      </c>
      <c r="S4708" t="s">
        <v>10259</v>
      </c>
      <c r="T4708" t="s">
        <v>11100</v>
      </c>
      <c r="U4708" t="s">
        <v>11100</v>
      </c>
      <c r="V4708" t="s">
        <v>11100</v>
      </c>
      <c r="W4708" t="s">
        <v>15756</v>
      </c>
      <c r="X4708">
        <v>3</v>
      </c>
      <c r="Y4708" t="s">
        <v>21184</v>
      </c>
      <c r="Z4708" t="s">
        <v>26713</v>
      </c>
      <c r="AA4708">
        <v>0.82810632895924086</v>
      </c>
      <c r="AB4708" t="str">
        <f>HYPERLINK("Melting_Curves/meltCurve_Q9GZX9_TWSG1.pdf", "Melting_Curves/meltCurve_Q9GZX9_TWSG1.pdf")</f>
        <v>Melting_Curves/meltCurve_Q9GZX9_TWSG1.pdf</v>
      </c>
    </row>
    <row r="4709" spans="1:28" x14ac:dyDescent="0.25">
      <c r="A4709" t="s">
        <v>4713</v>
      </c>
      <c r="B4709">
        <v>0.99299721793515405</v>
      </c>
      <c r="C4709">
        <v>1.13859870048467</v>
      </c>
      <c r="D4709">
        <v>1.27460942586972</v>
      </c>
      <c r="E4709">
        <v>1.0177523044879699</v>
      </c>
      <c r="F4709">
        <v>1.04742659055939</v>
      </c>
      <c r="G4709">
        <v>0.62517630952404402</v>
      </c>
      <c r="H4709">
        <v>0.16406399007073</v>
      </c>
      <c r="I4709">
        <v>0.15550449373521399</v>
      </c>
      <c r="J4709">
        <v>0.14114539872943099</v>
      </c>
      <c r="K4709">
        <v>0</v>
      </c>
      <c r="L4709">
        <v>2839.43051538278</v>
      </c>
      <c r="M4709">
        <v>52.409083105296098</v>
      </c>
      <c r="N4709">
        <v>54.416179421931297</v>
      </c>
      <c r="O4709">
        <v>54.099506640557898</v>
      </c>
      <c r="P4709">
        <v>-0.217385883022163</v>
      </c>
      <c r="Q4709">
        <v>0.102410508069364</v>
      </c>
      <c r="R4709">
        <v>0.94840403236691095</v>
      </c>
      <c r="S4709" t="s">
        <v>10260</v>
      </c>
      <c r="T4709" t="s">
        <v>11100</v>
      </c>
      <c r="U4709" t="s">
        <v>11100</v>
      </c>
      <c r="V4709" t="s">
        <v>11100</v>
      </c>
      <c r="W4709" t="s">
        <v>15757</v>
      </c>
      <c r="X4709">
        <v>10</v>
      </c>
      <c r="Y4709" t="s">
        <v>21185</v>
      </c>
      <c r="Z4709" t="s">
        <v>26714</v>
      </c>
      <c r="AA4709">
        <v>0.61832588156728041</v>
      </c>
      <c r="AB4709" t="str">
        <f>HYPERLINK("Melting_Curves/meltCurve_Q9GZY8_MFF.pdf", "Melting_Curves/meltCurve_Q9GZY8_MFF.pdf")</f>
        <v>Melting_Curves/meltCurve_Q9GZY8_MFF.pdf</v>
      </c>
    </row>
    <row r="4710" spans="1:28" x14ac:dyDescent="0.25">
      <c r="A4710" t="s">
        <v>4714</v>
      </c>
      <c r="B4710">
        <v>0.99299721793515405</v>
      </c>
      <c r="C4710">
        <v>0.97025338655875104</v>
      </c>
      <c r="D4710">
        <v>0.98429029299386805</v>
      </c>
      <c r="E4710">
        <v>0.90441771130593995</v>
      </c>
      <c r="F4710">
        <v>0.68516288386975799</v>
      </c>
      <c r="G4710">
        <v>0.40419351491512301</v>
      </c>
      <c r="H4710">
        <v>0.30676930093244198</v>
      </c>
      <c r="I4710">
        <v>0.30491206718791097</v>
      </c>
      <c r="J4710">
        <v>0.29644171952095899</v>
      </c>
      <c r="K4710">
        <v>0.195389489474802</v>
      </c>
      <c r="L4710">
        <v>1111.99957719082</v>
      </c>
      <c r="M4710">
        <v>21.8931840541394</v>
      </c>
      <c r="N4710">
        <v>52.4708626929487</v>
      </c>
      <c r="O4710">
        <v>50.3739703776167</v>
      </c>
      <c r="P4710">
        <v>-8.1293396003008694E-2</v>
      </c>
      <c r="Q4710">
        <v>0.25182594542123599</v>
      </c>
      <c r="R4710">
        <v>0.99261401652336601</v>
      </c>
      <c r="S4710" t="s">
        <v>10261</v>
      </c>
      <c r="T4710" t="s">
        <v>11100</v>
      </c>
      <c r="U4710" t="s">
        <v>11100</v>
      </c>
      <c r="V4710" t="s">
        <v>11100</v>
      </c>
      <c r="W4710" t="s">
        <v>15758</v>
      </c>
      <c r="X4710">
        <v>10</v>
      </c>
      <c r="Y4710" t="s">
        <v>21185</v>
      </c>
      <c r="Z4710" t="s">
        <v>26715</v>
      </c>
      <c r="AA4710">
        <v>0.60418073640966741</v>
      </c>
      <c r="AB4710" t="str">
        <f>HYPERLINK("Melting_Curves/meltCurve_Q9GZY8_2_MFF.pdf", "Melting_Curves/meltCurve_Q9GZY8_2_MFF.pdf")</f>
        <v>Melting_Curves/meltCurve_Q9GZY8_2_MFF.pdf</v>
      </c>
    </row>
    <row r="4711" spans="1:28" x14ac:dyDescent="0.25">
      <c r="A4711" t="s">
        <v>4715</v>
      </c>
      <c r="B4711">
        <v>0.99299721793515405</v>
      </c>
      <c r="C4711">
        <v>0.95900405446377601</v>
      </c>
      <c r="D4711">
        <v>1.08513236620656</v>
      </c>
      <c r="E4711">
        <v>1.0239286040045501</v>
      </c>
      <c r="F4711">
        <v>0.80633899164775402</v>
      </c>
      <c r="G4711">
        <v>0.769234450257539</v>
      </c>
      <c r="H4711">
        <v>0.45323496384004502</v>
      </c>
      <c r="I4711">
        <v>0.31814914718991499</v>
      </c>
      <c r="J4711">
        <v>0.17988018816578399</v>
      </c>
      <c r="K4711">
        <v>0.15180894084440999</v>
      </c>
      <c r="L4711">
        <v>893.253060761489</v>
      </c>
      <c r="M4711">
        <v>15.787041771844599</v>
      </c>
      <c r="N4711">
        <v>57.140073279339298</v>
      </c>
      <c r="O4711">
        <v>55.696875797060898</v>
      </c>
      <c r="P4711">
        <v>-6.5799268649986198E-2</v>
      </c>
      <c r="Q4711">
        <v>7.1514240202615695E-2</v>
      </c>
      <c r="R4711">
        <v>0.97935727487911595</v>
      </c>
      <c r="S4711" t="s">
        <v>10262</v>
      </c>
      <c r="T4711" t="s">
        <v>11100</v>
      </c>
      <c r="U4711" t="s">
        <v>11100</v>
      </c>
      <c r="V4711" t="s">
        <v>11100</v>
      </c>
      <c r="W4711" t="s">
        <v>15759</v>
      </c>
      <c r="X4711">
        <v>13</v>
      </c>
      <c r="Y4711" t="s">
        <v>21186</v>
      </c>
      <c r="Z4711" t="s">
        <v>26716</v>
      </c>
      <c r="AA4711">
        <v>0.6867161850446728</v>
      </c>
      <c r="AB4711" t="str">
        <f>HYPERLINK("Melting_Curves/meltCurve_Q9GZZ9_UBA5.pdf", "Melting_Curves/meltCurve_Q9GZZ9_UBA5.pdf")</f>
        <v>Melting_Curves/meltCurve_Q9GZZ9_UBA5.pdf</v>
      </c>
    </row>
    <row r="4712" spans="1:28" x14ac:dyDescent="0.25">
      <c r="A4712" t="s">
        <v>4716</v>
      </c>
      <c r="B4712">
        <v>0.99299721793515405</v>
      </c>
      <c r="C4712">
        <v>0.95260136882169499</v>
      </c>
      <c r="D4712">
        <v>0.98750782430983797</v>
      </c>
      <c r="E4712">
        <v>0.87466627388170204</v>
      </c>
      <c r="F4712">
        <v>0.62896659762950402</v>
      </c>
      <c r="G4712">
        <v>0.39221160194945298</v>
      </c>
      <c r="H4712">
        <v>0.24868224023744201</v>
      </c>
      <c r="I4712">
        <v>0.19994225639233301</v>
      </c>
      <c r="J4712">
        <v>0.20017110740133401</v>
      </c>
      <c r="K4712">
        <v>0.15315384123788001</v>
      </c>
      <c r="L4712">
        <v>940.36958127391097</v>
      </c>
      <c r="M4712">
        <v>18.475074884960399</v>
      </c>
      <c r="N4712">
        <v>51.997683267701703</v>
      </c>
      <c r="O4712">
        <v>50.314271198222798</v>
      </c>
      <c r="P4712">
        <v>-7.6971603458009699E-2</v>
      </c>
      <c r="Q4712">
        <v>0.16155188899084399</v>
      </c>
      <c r="R4712">
        <v>0.99755679684627996</v>
      </c>
      <c r="S4712" t="s">
        <v>10263</v>
      </c>
      <c r="T4712" t="s">
        <v>11100</v>
      </c>
      <c r="U4712" t="s">
        <v>11100</v>
      </c>
      <c r="V4712" t="s">
        <v>11100</v>
      </c>
      <c r="W4712" t="s">
        <v>15760</v>
      </c>
      <c r="X4712">
        <v>5</v>
      </c>
      <c r="Y4712" t="s">
        <v>21187</v>
      </c>
      <c r="Z4712" t="s">
        <v>26717</v>
      </c>
      <c r="AA4712">
        <v>0.56252107922047045</v>
      </c>
      <c r="AB4712" t="str">
        <f>HYPERLINK("Melting_Curves/meltCurve_Q9H019_3_MTFR1L.pdf", "Melting_Curves/meltCurve_Q9H019_3_MTFR1L.pdf")</f>
        <v>Melting_Curves/meltCurve_Q9H019_3_MTFR1L.pdf</v>
      </c>
    </row>
    <row r="4713" spans="1:28" x14ac:dyDescent="0.25">
      <c r="A4713" t="s">
        <v>4717</v>
      </c>
      <c r="B4713">
        <v>0.99299721793515405</v>
      </c>
      <c r="C4713">
        <v>1.1273758981903099</v>
      </c>
      <c r="D4713">
        <v>1.08751392417111</v>
      </c>
      <c r="E4713">
        <v>0.92225280009016997</v>
      </c>
      <c r="F4713">
        <v>0.84574312477418101</v>
      </c>
      <c r="G4713">
        <v>0.67282328914949896</v>
      </c>
      <c r="H4713">
        <v>0.59422775418433404</v>
      </c>
      <c r="I4713">
        <v>0.59443625432111002</v>
      </c>
      <c r="J4713">
        <v>0.46872173360410702</v>
      </c>
      <c r="K4713">
        <v>0.25916495807526702</v>
      </c>
      <c r="L4713">
        <v>509.64146411317802</v>
      </c>
      <c r="M4713">
        <v>8.3891315654474603</v>
      </c>
      <c r="N4713">
        <v>61.161887954411696</v>
      </c>
      <c r="O4713">
        <v>57.592507797279701</v>
      </c>
      <c r="P4713">
        <v>-3.5449758875472998E-2</v>
      </c>
      <c r="Q4713">
        <v>2.74517382743905E-2</v>
      </c>
      <c r="R4713">
        <v>0.920129771700541</v>
      </c>
      <c r="S4713" t="s">
        <v>10264</v>
      </c>
      <c r="T4713" t="s">
        <v>11100</v>
      </c>
      <c r="U4713" t="s">
        <v>11100</v>
      </c>
      <c r="V4713" t="s">
        <v>11100</v>
      </c>
      <c r="W4713" t="s">
        <v>15761</v>
      </c>
      <c r="X4713">
        <v>4</v>
      </c>
      <c r="Y4713" t="s">
        <v>21188</v>
      </c>
      <c r="Z4713" t="s">
        <v>26718</v>
      </c>
      <c r="AA4713">
        <v>0.75010869928482837</v>
      </c>
      <c r="AB4713" t="str">
        <f>HYPERLINK("Melting_Curves/meltCurve_Q9H061_TMEM126A.pdf", "Melting_Curves/meltCurve_Q9H061_TMEM126A.pdf")</f>
        <v>Melting_Curves/meltCurve_Q9H061_TMEM126A.pdf</v>
      </c>
    </row>
    <row r="4714" spans="1:28" x14ac:dyDescent="0.25">
      <c r="A4714" t="s">
        <v>4718</v>
      </c>
      <c r="B4714">
        <v>0.99299721793515405</v>
      </c>
      <c r="C4714">
        <v>0.94847498632093796</v>
      </c>
      <c r="D4714">
        <v>0.92386215709896402</v>
      </c>
      <c r="E4714">
        <v>0.84097385685230497</v>
      </c>
      <c r="F4714">
        <v>0.82959597131257901</v>
      </c>
      <c r="G4714">
        <v>0.60216037576672499</v>
      </c>
      <c r="H4714">
        <v>0.60294597318953203</v>
      </c>
      <c r="I4714">
        <v>0.46704664796437401</v>
      </c>
      <c r="J4714">
        <v>0.41432168315233198</v>
      </c>
      <c r="K4714">
        <v>0.31496170184179201</v>
      </c>
      <c r="L4714">
        <v>382.23222193516801</v>
      </c>
      <c r="M4714">
        <v>6.3878735718878001</v>
      </c>
      <c r="N4714">
        <v>59.837161375066003</v>
      </c>
      <c r="O4714">
        <v>54.779478751363698</v>
      </c>
      <c r="P4714">
        <v>-2.9228075291772002E-2</v>
      </c>
      <c r="Q4714">
        <v>0</v>
      </c>
      <c r="R4714">
        <v>0.97998037682653805</v>
      </c>
      <c r="S4714" t="s">
        <v>10265</v>
      </c>
      <c r="T4714" t="s">
        <v>11100</v>
      </c>
      <c r="U4714" t="s">
        <v>11100</v>
      </c>
      <c r="V4714" t="s">
        <v>11100</v>
      </c>
      <c r="W4714" t="s">
        <v>15762</v>
      </c>
      <c r="X4714">
        <v>3</v>
      </c>
      <c r="Y4714" t="s">
        <v>21189</v>
      </c>
      <c r="Z4714" t="s">
        <v>26719</v>
      </c>
      <c r="AA4714">
        <v>0.70002358564078049</v>
      </c>
      <c r="AB4714" t="str">
        <f>HYPERLINK("Melting_Curves/meltCurve_Q9H074_PAIP1.pdf", "Melting_Curves/meltCurve_Q9H074_PAIP1.pdf")</f>
        <v>Melting_Curves/meltCurve_Q9H074_PAIP1.pdf</v>
      </c>
    </row>
    <row r="4715" spans="1:28" x14ac:dyDescent="0.25">
      <c r="A4715" t="s">
        <v>4719</v>
      </c>
      <c r="B4715">
        <v>0.99299721793515405</v>
      </c>
      <c r="C4715">
        <v>0.99868564693661199</v>
      </c>
      <c r="D4715">
        <v>0.95211633916979399</v>
      </c>
      <c r="E4715">
        <v>0.82455229592467205</v>
      </c>
      <c r="F4715">
        <v>0.76933219958449806</v>
      </c>
      <c r="G4715">
        <v>0.51850287219932201</v>
      </c>
      <c r="H4715">
        <v>0.18549514338723799</v>
      </c>
      <c r="I4715">
        <v>0.151252475825389</v>
      </c>
      <c r="J4715">
        <v>0.14218863035533899</v>
      </c>
      <c r="K4715">
        <v>0.13121325512915499</v>
      </c>
      <c r="L4715">
        <v>889.59724958202401</v>
      </c>
      <c r="M4715">
        <v>16.850521248890299</v>
      </c>
      <c r="N4715">
        <v>53.333351058710299</v>
      </c>
      <c r="O4715">
        <v>52.066732111053</v>
      </c>
      <c r="P4715">
        <v>-7.4568785998422898E-2</v>
      </c>
      <c r="Q4715">
        <v>7.8413174805405897E-2</v>
      </c>
      <c r="R4715">
        <v>0.98417310218264598</v>
      </c>
      <c r="S4715" t="s">
        <v>10266</v>
      </c>
      <c r="T4715" t="s">
        <v>11100</v>
      </c>
      <c r="U4715" t="s">
        <v>11100</v>
      </c>
      <c r="V4715" t="s">
        <v>11100</v>
      </c>
      <c r="W4715" t="s">
        <v>15763</v>
      </c>
      <c r="X4715">
        <v>21</v>
      </c>
      <c r="Y4715" t="s">
        <v>21190</v>
      </c>
      <c r="Z4715" t="s">
        <v>26720</v>
      </c>
      <c r="AA4715">
        <v>0.57828168419753068</v>
      </c>
      <c r="AB4715" t="str">
        <f>HYPERLINK("Melting_Curves/meltCurve_Q9H078_2_CLPB.pdf", "Melting_Curves/meltCurve_Q9H078_2_CLPB.pdf")</f>
        <v>Melting_Curves/meltCurve_Q9H078_2_CLPB.pdf</v>
      </c>
    </row>
    <row r="4716" spans="1:28" x14ac:dyDescent="0.25">
      <c r="A4716" t="s">
        <v>4720</v>
      </c>
      <c r="B4716">
        <v>0.99299721793515405</v>
      </c>
      <c r="C4716">
        <v>0.93066524311464704</v>
      </c>
      <c r="D4716">
        <v>0.90752666098198098</v>
      </c>
      <c r="E4716">
        <v>0.83451105304256501</v>
      </c>
      <c r="F4716">
        <v>0.74451999826520499</v>
      </c>
      <c r="G4716">
        <v>0.53120200337711398</v>
      </c>
      <c r="H4716">
        <v>0.34958292240483402</v>
      </c>
      <c r="I4716">
        <v>0.30904586174585302</v>
      </c>
      <c r="J4716">
        <v>0.21552562233039699</v>
      </c>
      <c r="K4716">
        <v>0.14184087483662799</v>
      </c>
      <c r="L4716">
        <v>508.03715116752602</v>
      </c>
      <c r="M4716">
        <v>9.27892800754036</v>
      </c>
      <c r="N4716">
        <v>54.7517073802914</v>
      </c>
      <c r="O4716">
        <v>52.388947819197803</v>
      </c>
      <c r="P4716">
        <v>-4.4307679694232202E-2</v>
      </c>
      <c r="Q4716">
        <v>0</v>
      </c>
      <c r="R4716">
        <v>0.992279648460064</v>
      </c>
      <c r="S4716" t="s">
        <v>10267</v>
      </c>
      <c r="T4716" t="s">
        <v>11100</v>
      </c>
      <c r="U4716" t="s">
        <v>11100</v>
      </c>
      <c r="V4716" t="s">
        <v>11100</v>
      </c>
      <c r="W4716" t="s">
        <v>15764</v>
      </c>
      <c r="X4716">
        <v>5</v>
      </c>
      <c r="Y4716" t="s">
        <v>21191</v>
      </c>
      <c r="Z4716" t="s">
        <v>26721</v>
      </c>
      <c r="AA4716">
        <v>0.6040449219657833</v>
      </c>
      <c r="AB4716" t="str">
        <f>HYPERLINK("Melting_Curves/meltCurve_Q9H082_RAB33B.pdf", "Melting_Curves/meltCurve_Q9H082_RAB33B.pdf")</f>
        <v>Melting_Curves/meltCurve_Q9H082_RAB33B.pdf</v>
      </c>
    </row>
    <row r="4717" spans="1:28" x14ac:dyDescent="0.25">
      <c r="A4717" t="s">
        <v>4721</v>
      </c>
      <c r="B4717">
        <v>0.99299721793515405</v>
      </c>
      <c r="C4717">
        <v>0.87566755428235099</v>
      </c>
      <c r="D4717">
        <v>0.83810045369485497</v>
      </c>
      <c r="E4717">
        <v>0.72640755299691795</v>
      </c>
      <c r="F4717">
        <v>0.62289892046195505</v>
      </c>
      <c r="G4717">
        <v>0.30453572378593502</v>
      </c>
      <c r="H4717">
        <v>0.218674030964991</v>
      </c>
      <c r="I4717">
        <v>0.14936743394482199</v>
      </c>
      <c r="J4717">
        <v>0.138967728775344</v>
      </c>
      <c r="K4717">
        <v>0.17777279312356001</v>
      </c>
      <c r="L4717">
        <v>551.13521151852603</v>
      </c>
      <c r="M4717">
        <v>10.997927237525101</v>
      </c>
      <c r="N4717">
        <v>50.757126324215399</v>
      </c>
      <c r="O4717">
        <v>48.541309205168801</v>
      </c>
      <c r="P4717">
        <v>-5.2968798850192102E-2</v>
      </c>
      <c r="Q4717">
        <v>6.5166659936267302E-2</v>
      </c>
      <c r="R4717">
        <v>0.97669782885999401</v>
      </c>
      <c r="S4717" t="s">
        <v>10268</v>
      </c>
      <c r="T4717" t="s">
        <v>11100</v>
      </c>
      <c r="U4717" t="s">
        <v>11100</v>
      </c>
      <c r="V4717" t="s">
        <v>11100</v>
      </c>
      <c r="W4717" t="s">
        <v>15765</v>
      </c>
      <c r="X4717">
        <v>3</v>
      </c>
      <c r="Y4717" t="s">
        <v>21192</v>
      </c>
      <c r="Z4717" t="s">
        <v>26722</v>
      </c>
      <c r="AA4717">
        <v>0.50234845200797729</v>
      </c>
      <c r="AB4717" t="str">
        <f>HYPERLINK("Melting_Curves/meltCurve_Q9H089_LSG1.pdf", "Melting_Curves/meltCurve_Q9H089_LSG1.pdf")</f>
        <v>Melting_Curves/meltCurve_Q9H089_LSG1.pdf</v>
      </c>
    </row>
    <row r="4718" spans="1:28" x14ac:dyDescent="0.25">
      <c r="A4718" t="s">
        <v>4722</v>
      </c>
      <c r="B4718">
        <v>0.99299721793515405</v>
      </c>
      <c r="C4718">
        <v>0.94205826282461302</v>
      </c>
      <c r="D4718">
        <v>0.94745507925341399</v>
      </c>
      <c r="E4718">
        <v>0.83525936588267902</v>
      </c>
      <c r="F4718">
        <v>0.79532863195839099</v>
      </c>
      <c r="G4718">
        <v>0.46406991703597</v>
      </c>
      <c r="H4718">
        <v>0.52822153313383302</v>
      </c>
      <c r="I4718">
        <v>0.58398852701211701</v>
      </c>
      <c r="J4718">
        <v>0.75247996113433002</v>
      </c>
      <c r="K4718">
        <v>0.53904059344519195</v>
      </c>
      <c r="L4718">
        <v>1081.20875296952</v>
      </c>
      <c r="M4718">
        <v>22.493662964889399</v>
      </c>
      <c r="O4718">
        <v>47.692195258691697</v>
      </c>
      <c r="P4718">
        <v>-4.9730866057947298E-2</v>
      </c>
      <c r="Q4718">
        <v>0.57824115760171302</v>
      </c>
      <c r="R4718">
        <v>0.79296322446591305</v>
      </c>
      <c r="S4718" t="s">
        <v>10269</v>
      </c>
      <c r="T4718" t="s">
        <v>11100</v>
      </c>
      <c r="U4718" t="s">
        <v>11100</v>
      </c>
      <c r="V4718" t="s">
        <v>11100</v>
      </c>
      <c r="W4718" t="s">
        <v>15766</v>
      </c>
      <c r="X4718">
        <v>10</v>
      </c>
      <c r="Y4718" t="s">
        <v>21193</v>
      </c>
      <c r="Z4718" t="s">
        <v>26723</v>
      </c>
      <c r="AA4718">
        <v>0.73825694724461999</v>
      </c>
      <c r="AB4718" t="str">
        <f>HYPERLINK("Melting_Curves/meltCurve_Q9H098_FAM107B.pdf", "Melting_Curves/meltCurve_Q9H098_FAM107B.pdf")</f>
        <v>Melting_Curves/meltCurve_Q9H098_FAM107B.pdf</v>
      </c>
    </row>
    <row r="4719" spans="1:28" x14ac:dyDescent="0.25">
      <c r="A4719" t="s">
        <v>4723</v>
      </c>
      <c r="B4719">
        <v>0.99299721793515405</v>
      </c>
      <c r="C4719">
        <v>0.87906215472917903</v>
      </c>
      <c r="D4719">
        <v>0.82169366245627495</v>
      </c>
      <c r="E4719">
        <v>0.72004007537278902</v>
      </c>
      <c r="F4719">
        <v>0.72535781173509795</v>
      </c>
      <c r="G4719">
        <v>0.44108424540032598</v>
      </c>
      <c r="H4719">
        <v>0.211974996563564</v>
      </c>
      <c r="I4719">
        <v>0.13470233458387801</v>
      </c>
      <c r="J4719">
        <v>0.109030202670458</v>
      </c>
      <c r="K4719">
        <v>8.4293284066649904E-2</v>
      </c>
      <c r="L4719">
        <v>539.91824048246997</v>
      </c>
      <c r="M4719">
        <v>10.384821149804999</v>
      </c>
      <c r="N4719">
        <v>51.991096665480597</v>
      </c>
      <c r="O4719">
        <v>50.174040957941401</v>
      </c>
      <c r="P4719">
        <v>-5.1765773629109897E-2</v>
      </c>
      <c r="Q4719">
        <v>0</v>
      </c>
      <c r="R4719">
        <v>0.96558597867933105</v>
      </c>
      <c r="S4719" t="s">
        <v>10270</v>
      </c>
      <c r="T4719" t="s">
        <v>11100</v>
      </c>
      <c r="U4719" t="s">
        <v>11100</v>
      </c>
      <c r="V4719" t="s">
        <v>11100</v>
      </c>
      <c r="W4719" t="s">
        <v>15767</v>
      </c>
      <c r="X4719">
        <v>16</v>
      </c>
      <c r="Y4719" t="s">
        <v>21194</v>
      </c>
      <c r="Z4719" t="s">
        <v>26724</v>
      </c>
      <c r="AA4719">
        <v>0.5258848647742026</v>
      </c>
      <c r="AB4719" t="str">
        <f>HYPERLINK("Melting_Curves/meltCurve_Q9H0B6_KLC2.pdf", "Melting_Curves/meltCurve_Q9H0B6_KLC2.pdf")</f>
        <v>Melting_Curves/meltCurve_Q9H0B6_KLC2.pdf</v>
      </c>
    </row>
    <row r="4720" spans="1:28" x14ac:dyDescent="0.25">
      <c r="A4720" t="s">
        <v>4724</v>
      </c>
      <c r="B4720">
        <v>0.99299721793515405</v>
      </c>
      <c r="C4720">
        <v>0.97320170869129397</v>
      </c>
      <c r="D4720">
        <v>1.3404096846365801</v>
      </c>
      <c r="E4720">
        <v>1.0619790335933399</v>
      </c>
      <c r="F4720">
        <v>0.76801423427267002</v>
      </c>
      <c r="G4720">
        <v>0.35257823646355402</v>
      </c>
      <c r="H4720">
        <v>0.16416872198825699</v>
      </c>
      <c r="I4720">
        <v>0.143305317278831</v>
      </c>
      <c r="J4720">
        <v>0.116171072534727</v>
      </c>
      <c r="K4720">
        <v>0.118536526850286</v>
      </c>
      <c r="L4720">
        <v>1728.43002494915</v>
      </c>
      <c r="M4720">
        <v>33.257471452704003</v>
      </c>
      <c r="N4720">
        <v>52.428495663037197</v>
      </c>
      <c r="O4720">
        <v>51.784354126915098</v>
      </c>
      <c r="P4720">
        <v>-0.14034306409033001</v>
      </c>
      <c r="Q4720">
        <v>0.12590546667986599</v>
      </c>
      <c r="R4720">
        <v>0.93786039334684701</v>
      </c>
      <c r="S4720" t="s">
        <v>10271</v>
      </c>
      <c r="T4720" t="s">
        <v>11100</v>
      </c>
      <c r="U4720" t="s">
        <v>11100</v>
      </c>
      <c r="V4720" t="s">
        <v>11100</v>
      </c>
      <c r="W4720" t="s">
        <v>15768</v>
      </c>
      <c r="X4720">
        <v>19</v>
      </c>
      <c r="Y4720" t="s">
        <v>21195</v>
      </c>
      <c r="Z4720" t="s">
        <v>26725</v>
      </c>
      <c r="AA4720">
        <v>0.56662760632494147</v>
      </c>
      <c r="AB4720" t="str">
        <f>HYPERLINK("Melting_Curves/meltCurve_Q9H0C8_ILKAP.pdf", "Melting_Curves/meltCurve_Q9H0C8_ILKAP.pdf")</f>
        <v>Melting_Curves/meltCurve_Q9H0C8_ILKAP.pdf</v>
      </c>
    </row>
    <row r="4721" spans="1:28" x14ac:dyDescent="0.25">
      <c r="A4721" t="s">
        <v>4725</v>
      </c>
      <c r="B4721">
        <v>0.99299721793515405</v>
      </c>
      <c r="C4721">
        <v>0.926944949346313</v>
      </c>
      <c r="D4721">
        <v>0.98065213577545496</v>
      </c>
      <c r="E4721">
        <v>0.79522113612396395</v>
      </c>
      <c r="F4721">
        <v>0.71330329989515695</v>
      </c>
      <c r="G4721">
        <v>0.62574560863603401</v>
      </c>
      <c r="H4721">
        <v>0.562616544602631</v>
      </c>
      <c r="I4721">
        <v>0.58232393714945296</v>
      </c>
      <c r="J4721">
        <v>0.60193283418256205</v>
      </c>
      <c r="K4721">
        <v>0.52207866677381698</v>
      </c>
      <c r="L4721">
        <v>723.98512470224</v>
      </c>
      <c r="M4721">
        <v>15.1232844889531</v>
      </c>
      <c r="O4721">
        <v>47.0585856528579</v>
      </c>
      <c r="P4721">
        <v>-3.5976781375844397E-2</v>
      </c>
      <c r="Q4721">
        <v>0.55225313114248298</v>
      </c>
      <c r="R4721">
        <v>0.96739968338660198</v>
      </c>
      <c r="S4721" t="s">
        <v>10272</v>
      </c>
      <c r="T4721" t="s">
        <v>11100</v>
      </c>
      <c r="U4721" t="s">
        <v>11100</v>
      </c>
      <c r="V4721" t="s">
        <v>11100</v>
      </c>
      <c r="W4721" t="s">
        <v>15769</v>
      </c>
      <c r="X4721">
        <v>9</v>
      </c>
      <c r="Y4721" t="s">
        <v>21196</v>
      </c>
      <c r="Z4721" t="s">
        <v>26726</v>
      </c>
      <c r="AA4721">
        <v>0.72427237526954757</v>
      </c>
      <c r="AB4721" t="str">
        <f>HYPERLINK("Melting_Curves/meltCurve_Q9H0D6_XRN2.pdf", "Melting_Curves/meltCurve_Q9H0D6_XRN2.pdf")</f>
        <v>Melting_Curves/meltCurve_Q9H0D6_XRN2.pdf</v>
      </c>
    </row>
    <row r="4722" spans="1:28" x14ac:dyDescent="0.25">
      <c r="A4722" t="s">
        <v>4726</v>
      </c>
      <c r="B4722">
        <v>0.99299721793515405</v>
      </c>
      <c r="C4722">
        <v>1.1491838366556799</v>
      </c>
      <c r="D4722">
        <v>0.88255768126049405</v>
      </c>
      <c r="E4722">
        <v>0.98441634779151499</v>
      </c>
      <c r="F4722">
        <v>0.66565383812779499</v>
      </c>
      <c r="G4722">
        <v>0.45232580608295703</v>
      </c>
      <c r="H4722">
        <v>0.23966566352801699</v>
      </c>
      <c r="I4722">
        <v>0.13309236175596501</v>
      </c>
      <c r="J4722">
        <v>0.11881411604006301</v>
      </c>
      <c r="K4722">
        <v>5.2497199133549298E-2</v>
      </c>
      <c r="L4722">
        <v>907.38647776969901</v>
      </c>
      <c r="M4722">
        <v>17.2503562659927</v>
      </c>
      <c r="N4722">
        <v>52.957077181558397</v>
      </c>
      <c r="O4722">
        <v>51.909408036763899</v>
      </c>
      <c r="P4722">
        <v>-7.8534796423299996E-2</v>
      </c>
      <c r="Q4722">
        <v>5.47541408421559E-2</v>
      </c>
      <c r="R4722">
        <v>0.97308031948201801</v>
      </c>
      <c r="S4722" t="s">
        <v>10273</v>
      </c>
      <c r="T4722" t="s">
        <v>11100</v>
      </c>
      <c r="U4722" t="s">
        <v>11100</v>
      </c>
      <c r="V4722" t="s">
        <v>11100</v>
      </c>
      <c r="W4722" t="s">
        <v>15770</v>
      </c>
      <c r="X4722">
        <v>2</v>
      </c>
      <c r="Y4722" t="s">
        <v>21197</v>
      </c>
      <c r="Z4722" t="s">
        <v>26727</v>
      </c>
      <c r="AA4722">
        <v>0.56110354662050466</v>
      </c>
      <c r="AB4722" t="str">
        <f>HYPERLINK("Melting_Curves/meltCurve_Q9H0E2_TOLLIP.pdf", "Melting_Curves/meltCurve_Q9H0E2_TOLLIP.pdf")</f>
        <v>Melting_Curves/meltCurve_Q9H0E2_TOLLIP.pdf</v>
      </c>
    </row>
    <row r="4723" spans="1:28" x14ac:dyDescent="0.25">
      <c r="A4723" t="s">
        <v>4727</v>
      </c>
      <c r="B4723">
        <v>0.99299721793515405</v>
      </c>
      <c r="C4723">
        <v>0.86383397146501595</v>
      </c>
      <c r="D4723">
        <v>0.93696669353489903</v>
      </c>
      <c r="E4723">
        <v>0.83916711920868703</v>
      </c>
      <c r="F4723">
        <v>0.68800860780593698</v>
      </c>
      <c r="G4723">
        <v>0.60434841150639995</v>
      </c>
      <c r="H4723">
        <v>0.40186958955757701</v>
      </c>
      <c r="I4723">
        <v>0.34232943824722001</v>
      </c>
      <c r="J4723">
        <v>0.26699568339465801</v>
      </c>
      <c r="K4723">
        <v>0.230768988621598</v>
      </c>
      <c r="L4723">
        <v>431.27184093047299</v>
      </c>
      <c r="M4723">
        <v>7.7638094547928604</v>
      </c>
      <c r="N4723">
        <v>55.712133237703299</v>
      </c>
      <c r="O4723">
        <v>52.224693417405099</v>
      </c>
      <c r="P4723">
        <v>-3.6794199606411997E-2</v>
      </c>
      <c r="Q4723">
        <v>1.12386178640139E-2</v>
      </c>
      <c r="R4723">
        <v>0.98242104318366197</v>
      </c>
      <c r="S4723" t="s">
        <v>10274</v>
      </c>
      <c r="T4723" t="s">
        <v>11100</v>
      </c>
      <c r="U4723" t="s">
        <v>11100</v>
      </c>
      <c r="V4723" t="s">
        <v>11100</v>
      </c>
      <c r="W4723" t="s">
        <v>15771</v>
      </c>
      <c r="X4723">
        <v>6</v>
      </c>
      <c r="Y4723" t="s">
        <v>21198</v>
      </c>
      <c r="Z4723" t="s">
        <v>26728</v>
      </c>
      <c r="AA4723">
        <v>0.62362209714592554</v>
      </c>
      <c r="AB4723" t="str">
        <f>HYPERLINK("Melting_Curves/meltCurve_Q9H0E9_2_BRD8.pdf", "Melting_Curves/meltCurve_Q9H0E9_2_BRD8.pdf")</f>
        <v>Melting_Curves/meltCurve_Q9H0E9_2_BRD8.pdf</v>
      </c>
    </row>
    <row r="4724" spans="1:28" x14ac:dyDescent="0.25">
      <c r="A4724" t="s">
        <v>4728</v>
      </c>
      <c r="B4724">
        <v>0.99299721793515405</v>
      </c>
      <c r="C4724">
        <v>0.95559672981572696</v>
      </c>
      <c r="D4724">
        <v>1.0534466480412901</v>
      </c>
      <c r="E4724">
        <v>0.81909422957345102</v>
      </c>
      <c r="F4724">
        <v>0.72796367693107999</v>
      </c>
      <c r="G4724">
        <v>0.565601009047074</v>
      </c>
      <c r="H4724">
        <v>0.46403557382266197</v>
      </c>
      <c r="I4724">
        <v>0.44513250276389199</v>
      </c>
      <c r="J4724">
        <v>0.44086662005668797</v>
      </c>
      <c r="K4724">
        <v>0.38670524756643998</v>
      </c>
      <c r="L4724">
        <v>802.725901853094</v>
      </c>
      <c r="M4724">
        <v>15.915546916912</v>
      </c>
      <c r="N4724">
        <v>56.099793439540299</v>
      </c>
      <c r="O4724">
        <v>49.660476900474201</v>
      </c>
      <c r="P4724">
        <v>-4.8099278497522602E-2</v>
      </c>
      <c r="Q4724">
        <v>0.39972106378712302</v>
      </c>
      <c r="R4724">
        <v>0.97683187315910103</v>
      </c>
      <c r="S4724" t="s">
        <v>10275</v>
      </c>
      <c r="T4724" t="s">
        <v>11100</v>
      </c>
      <c r="U4724" t="s">
        <v>11100</v>
      </c>
      <c r="V4724" t="s">
        <v>11100</v>
      </c>
      <c r="W4724" t="s">
        <v>15772</v>
      </c>
      <c r="X4724">
        <v>9</v>
      </c>
      <c r="Y4724" t="s">
        <v>21199</v>
      </c>
      <c r="Z4724" t="s">
        <v>26729</v>
      </c>
      <c r="AA4724">
        <v>0.67993613805471242</v>
      </c>
      <c r="AB4724" t="str">
        <f>HYPERLINK("Melting_Curves/meltCurve_Q9H0G5_NSRP1.pdf", "Melting_Curves/meltCurve_Q9H0G5_NSRP1.pdf")</f>
        <v>Melting_Curves/meltCurve_Q9H0G5_NSRP1.pdf</v>
      </c>
    </row>
    <row r="4725" spans="1:28" x14ac:dyDescent="0.25">
      <c r="A4725" t="s">
        <v>4729</v>
      </c>
      <c r="B4725">
        <v>0.99299721793515405</v>
      </c>
      <c r="C4725">
        <v>0.96475253419620499</v>
      </c>
      <c r="D4725">
        <v>0.94630454116072904</v>
      </c>
      <c r="E4725">
        <v>0.85377724602388105</v>
      </c>
      <c r="F4725">
        <v>0.52747063930754301</v>
      </c>
      <c r="G4725">
        <v>0.28552527578153197</v>
      </c>
      <c r="H4725">
        <v>0.187715353158182</v>
      </c>
      <c r="I4725">
        <v>0.24231554458607599</v>
      </c>
      <c r="J4725">
        <v>0.212509233944285</v>
      </c>
      <c r="K4725">
        <v>0.22829887704052099</v>
      </c>
      <c r="L4725">
        <v>1257.7394055193099</v>
      </c>
      <c r="M4725">
        <v>25.509236061240099</v>
      </c>
      <c r="N4725">
        <v>50.381078183655497</v>
      </c>
      <c r="O4725">
        <v>49.005246624813601</v>
      </c>
      <c r="P4725">
        <v>-0.102808512566399</v>
      </c>
      <c r="Q4725">
        <v>0.20999693123989399</v>
      </c>
      <c r="R4725">
        <v>0.99516229097389197</v>
      </c>
      <c r="S4725" t="s">
        <v>10276</v>
      </c>
      <c r="T4725" t="s">
        <v>11100</v>
      </c>
      <c r="U4725" t="s">
        <v>11100</v>
      </c>
      <c r="V4725" t="s">
        <v>11100</v>
      </c>
      <c r="W4725" t="s">
        <v>15773</v>
      </c>
      <c r="X4725">
        <v>2</v>
      </c>
      <c r="Y4725" t="s">
        <v>21200</v>
      </c>
      <c r="Z4725" t="s">
        <v>26730</v>
      </c>
      <c r="AA4725">
        <v>0.54062742849950984</v>
      </c>
      <c r="AB4725" t="str">
        <f>HYPERLINK("Melting_Curves/meltCurve_Q9H0H5_RACGAP1.pdf", "Melting_Curves/meltCurve_Q9H0H5_RACGAP1.pdf")</f>
        <v>Melting_Curves/meltCurve_Q9H0H5_RACGAP1.pdf</v>
      </c>
    </row>
    <row r="4726" spans="1:28" x14ac:dyDescent="0.25">
      <c r="A4726" t="s">
        <v>4730</v>
      </c>
      <c r="B4726">
        <v>0.99299721793515405</v>
      </c>
      <c r="C4726">
        <v>1.08553449062885</v>
      </c>
      <c r="D4726">
        <v>1.0358042471898401</v>
      </c>
      <c r="E4726">
        <v>0.84210261984935997</v>
      </c>
      <c r="F4726">
        <v>0.81119699288235603</v>
      </c>
      <c r="G4726">
        <v>0.559155609356775</v>
      </c>
      <c r="H4726">
        <v>0.37053784522039601</v>
      </c>
      <c r="I4726">
        <v>0.21437318621440299</v>
      </c>
      <c r="J4726">
        <v>0.208450078670219</v>
      </c>
      <c r="K4726">
        <v>0.119486036720271</v>
      </c>
      <c r="L4726">
        <v>774.98587553990399</v>
      </c>
      <c r="M4726">
        <v>14.2950655383015</v>
      </c>
      <c r="N4726">
        <v>54.891312287908903</v>
      </c>
      <c r="O4726">
        <v>53.185697512240601</v>
      </c>
      <c r="P4726">
        <v>-6.1765162305628202E-2</v>
      </c>
      <c r="Q4726">
        <v>8.09072911131207E-2</v>
      </c>
      <c r="R4726">
        <v>0.98356075043533697</v>
      </c>
      <c r="S4726" t="s">
        <v>10277</v>
      </c>
      <c r="T4726" t="s">
        <v>11100</v>
      </c>
      <c r="U4726" t="s">
        <v>11100</v>
      </c>
      <c r="V4726" t="s">
        <v>11100</v>
      </c>
      <c r="W4726" t="s">
        <v>15774</v>
      </c>
      <c r="X4726">
        <v>3</v>
      </c>
      <c r="Y4726" t="s">
        <v>21201</v>
      </c>
      <c r="Z4726" t="s">
        <v>26731</v>
      </c>
      <c r="AA4726">
        <v>0.62320591330264274</v>
      </c>
      <c r="AB4726" t="str">
        <f>HYPERLINK("Melting_Curves/meltCurve_Q9H0K6_PUS7L.pdf", "Melting_Curves/meltCurve_Q9H0K6_PUS7L.pdf")</f>
        <v>Melting_Curves/meltCurve_Q9H0K6_PUS7L.pdf</v>
      </c>
    </row>
    <row r="4727" spans="1:28" x14ac:dyDescent="0.25">
      <c r="A4727" t="s">
        <v>4731</v>
      </c>
      <c r="B4727">
        <v>0.99299721793515405</v>
      </c>
      <c r="C4727">
        <v>0.93893266114557705</v>
      </c>
      <c r="D4727">
        <v>1.0575982180622101</v>
      </c>
      <c r="E4727">
        <v>0.79098564780180403</v>
      </c>
      <c r="F4727">
        <v>0.71109748963966102</v>
      </c>
      <c r="G4727">
        <v>0.55518678476279504</v>
      </c>
      <c r="H4727">
        <v>0.46239717395197499</v>
      </c>
      <c r="I4727">
        <v>0.35316572443403299</v>
      </c>
      <c r="J4727">
        <v>0.28535903333861401</v>
      </c>
      <c r="K4727">
        <v>0.25031861817540701</v>
      </c>
      <c r="L4727">
        <v>568.24103596950101</v>
      </c>
      <c r="M4727">
        <v>10.6815012796523</v>
      </c>
      <c r="N4727">
        <v>55.4813005642728</v>
      </c>
      <c r="O4727">
        <v>51.435672758927403</v>
      </c>
      <c r="P4727">
        <v>-4.2701482846036601E-2</v>
      </c>
      <c r="Q4727">
        <v>0.17781216489438501</v>
      </c>
      <c r="R4727">
        <v>0.97533492427627499</v>
      </c>
      <c r="S4727" t="s">
        <v>10278</v>
      </c>
      <c r="T4727" t="s">
        <v>11100</v>
      </c>
      <c r="U4727" t="s">
        <v>11100</v>
      </c>
      <c r="V4727" t="s">
        <v>11100</v>
      </c>
      <c r="W4727" t="s">
        <v>15775</v>
      </c>
      <c r="X4727">
        <v>20</v>
      </c>
      <c r="Y4727" t="s">
        <v>21202</v>
      </c>
      <c r="Z4727" t="s">
        <v>26732</v>
      </c>
      <c r="AA4727">
        <v>0.63927093636266974</v>
      </c>
      <c r="AB4727" t="str">
        <f>HYPERLINK("Melting_Curves/meltCurve_Q9H0L4_CSTF2T.pdf", "Melting_Curves/meltCurve_Q9H0L4_CSTF2T.pdf")</f>
        <v>Melting_Curves/meltCurve_Q9H0L4_CSTF2T.pdf</v>
      </c>
    </row>
    <row r="4728" spans="1:28" x14ac:dyDescent="0.25">
      <c r="A4728" t="s">
        <v>4732</v>
      </c>
      <c r="B4728">
        <v>0.99299721793515405</v>
      </c>
      <c r="C4728">
        <v>1.0062212722847901</v>
      </c>
      <c r="D4728">
        <v>1.02035288246453</v>
      </c>
      <c r="E4728">
        <v>0.83658754404347002</v>
      </c>
      <c r="F4728">
        <v>0.72151213890853605</v>
      </c>
      <c r="G4728">
        <v>0.40005177930117303</v>
      </c>
      <c r="H4728">
        <v>0.20507634048934201</v>
      </c>
      <c r="I4728">
        <v>0.178242730605641</v>
      </c>
      <c r="J4728">
        <v>0.14054547845520499</v>
      </c>
      <c r="K4728">
        <v>0.12667410206812901</v>
      </c>
      <c r="L4728">
        <v>966.29185529381004</v>
      </c>
      <c r="M4728">
        <v>18.668532833054201</v>
      </c>
      <c r="N4728">
        <v>52.476888701637399</v>
      </c>
      <c r="O4728">
        <v>51.177515101356299</v>
      </c>
      <c r="P4728">
        <v>-8.0939732266357894E-2</v>
      </c>
      <c r="Q4728">
        <v>0.11249224401792</v>
      </c>
      <c r="R4728">
        <v>0.99371011064738302</v>
      </c>
      <c r="S4728" t="s">
        <v>10279</v>
      </c>
      <c r="T4728" t="s">
        <v>11100</v>
      </c>
      <c r="U4728" t="s">
        <v>11100</v>
      </c>
      <c r="V4728" t="s">
        <v>11100</v>
      </c>
      <c r="W4728" t="s">
        <v>15776</v>
      </c>
      <c r="X4728">
        <v>11</v>
      </c>
      <c r="Y4728" t="s">
        <v>21203</v>
      </c>
      <c r="Z4728" t="s">
        <v>26733</v>
      </c>
      <c r="AA4728">
        <v>0.56196495191270424</v>
      </c>
      <c r="AB4728" t="str">
        <f>HYPERLINK("Melting_Curves/meltCurve_Q9H0P0_NT5C3A.pdf", "Melting_Curves/meltCurve_Q9H0P0_NT5C3A.pdf")</f>
        <v>Melting_Curves/meltCurve_Q9H0P0_NT5C3A.pdf</v>
      </c>
    </row>
    <row r="4729" spans="1:28" x14ac:dyDescent="0.25">
      <c r="A4729" t="s">
        <v>4733</v>
      </c>
      <c r="B4729">
        <v>0.99299721793515405</v>
      </c>
      <c r="C4729">
        <v>0.96461087131932599</v>
      </c>
      <c r="D4729">
        <v>1.48825230583519</v>
      </c>
      <c r="E4729">
        <v>1.04406286930337</v>
      </c>
      <c r="F4729">
        <v>0.75235607434372598</v>
      </c>
      <c r="G4729">
        <v>0.94138468201125303</v>
      </c>
      <c r="H4729">
        <v>0.54782357613724098</v>
      </c>
      <c r="I4729">
        <v>0.55259780603360098</v>
      </c>
      <c r="J4729">
        <v>0.55624282115414203</v>
      </c>
      <c r="K4729">
        <v>0.48402853997819101</v>
      </c>
      <c r="L4729">
        <v>1144.86347223555</v>
      </c>
      <c r="M4729">
        <v>20.836271815748901</v>
      </c>
      <c r="O4729">
        <v>54.447098395549503</v>
      </c>
      <c r="P4729">
        <v>-4.8856178069096499E-2</v>
      </c>
      <c r="Q4729">
        <v>0.48935135144383701</v>
      </c>
      <c r="R4729">
        <v>0.65446206415192698</v>
      </c>
      <c r="S4729" t="s">
        <v>10280</v>
      </c>
      <c r="T4729" t="s">
        <v>11100</v>
      </c>
      <c r="U4729" t="s">
        <v>11100</v>
      </c>
      <c r="V4729" t="s">
        <v>11100</v>
      </c>
      <c r="W4729" t="s">
        <v>15777</v>
      </c>
      <c r="X4729">
        <v>6</v>
      </c>
      <c r="Y4729" t="s">
        <v>21204</v>
      </c>
      <c r="Z4729" t="s">
        <v>26734</v>
      </c>
      <c r="AA4729">
        <v>0.80036910920583382</v>
      </c>
      <c r="AB4729" t="str">
        <f>HYPERLINK("Melting_Curves/meltCurve_Q9H0R4_HDHD2.pdf", "Melting_Curves/meltCurve_Q9H0R4_HDHD2.pdf")</f>
        <v>Melting_Curves/meltCurve_Q9H0R4_HDHD2.pdf</v>
      </c>
    </row>
    <row r="4730" spans="1:28" x14ac:dyDescent="0.25">
      <c r="A4730" t="s">
        <v>4734</v>
      </c>
      <c r="B4730">
        <v>0.99299721793515405</v>
      </c>
      <c r="C4730">
        <v>1.137745278251</v>
      </c>
      <c r="D4730">
        <v>0.96597172006088805</v>
      </c>
      <c r="E4730">
        <v>0.95700429580813295</v>
      </c>
      <c r="F4730">
        <v>0.84126419720619094</v>
      </c>
      <c r="G4730">
        <v>0.235080323796794</v>
      </c>
      <c r="H4730">
        <v>0.18365983131043101</v>
      </c>
      <c r="I4730">
        <v>0.16478269058973299</v>
      </c>
      <c r="J4730">
        <v>0.18317109928355399</v>
      </c>
      <c r="K4730">
        <v>0.131617646885821</v>
      </c>
      <c r="L4730">
        <v>2826.3354740683899</v>
      </c>
      <c r="M4730">
        <v>54.867143761727</v>
      </c>
      <c r="N4730">
        <v>51.889248625841297</v>
      </c>
      <c r="O4730">
        <v>51.4440547693181</v>
      </c>
      <c r="P4730">
        <v>-0.22281458629676401</v>
      </c>
      <c r="Q4730">
        <v>0.16434658290269599</v>
      </c>
      <c r="R4730">
        <v>0.985727993710518</v>
      </c>
      <c r="S4730" t="s">
        <v>10281</v>
      </c>
      <c r="T4730" t="s">
        <v>11100</v>
      </c>
      <c r="U4730" t="s">
        <v>11100</v>
      </c>
      <c r="V4730" t="s">
        <v>11100</v>
      </c>
      <c r="W4730" t="s">
        <v>15778</v>
      </c>
      <c r="X4730">
        <v>13</v>
      </c>
      <c r="Y4730" t="s">
        <v>21205</v>
      </c>
      <c r="Z4730" t="s">
        <v>26735</v>
      </c>
      <c r="AA4730">
        <v>0.57016494128602591</v>
      </c>
      <c r="AB4730" t="str">
        <f>HYPERLINK("Melting_Curves/meltCurve_Q9H0R6_QRSL1.pdf", "Melting_Curves/meltCurve_Q9H0R6_QRSL1.pdf")</f>
        <v>Melting_Curves/meltCurve_Q9H0R6_QRSL1.pdf</v>
      </c>
    </row>
    <row r="4731" spans="1:28" x14ac:dyDescent="0.25">
      <c r="A4731" t="s">
        <v>4735</v>
      </c>
      <c r="B4731">
        <v>0.99299721793515405</v>
      </c>
      <c r="C4731">
        <v>0.91705973810216701</v>
      </c>
      <c r="D4731">
        <v>0.84042248591838498</v>
      </c>
      <c r="E4731">
        <v>0.71374952042259698</v>
      </c>
      <c r="F4731">
        <v>0.71630519046075103</v>
      </c>
      <c r="G4731">
        <v>1.23604532784184</v>
      </c>
      <c r="H4731">
        <v>1.39303499249456</v>
      </c>
      <c r="I4731">
        <v>0.65723813781569995</v>
      </c>
      <c r="J4731">
        <v>0.50573658791067799</v>
      </c>
      <c r="K4731">
        <v>0.51551322042186298</v>
      </c>
      <c r="L4731">
        <v>15000</v>
      </c>
      <c r="M4731">
        <v>246.750863183272</v>
      </c>
      <c r="O4731">
        <v>60.786062604759103</v>
      </c>
      <c r="P4731">
        <v>-0.49663497935579798</v>
      </c>
      <c r="Q4731">
        <v>0.51062400321714796</v>
      </c>
      <c r="R4731">
        <v>0.47594944346676499</v>
      </c>
      <c r="S4731" t="s">
        <v>10282</v>
      </c>
      <c r="T4731" t="s">
        <v>11100</v>
      </c>
      <c r="U4731" t="s">
        <v>11100</v>
      </c>
      <c r="V4731" t="s">
        <v>11100</v>
      </c>
      <c r="W4731" t="s">
        <v>15779</v>
      </c>
      <c r="X4731">
        <v>3</v>
      </c>
      <c r="Y4731" t="s">
        <v>21206</v>
      </c>
      <c r="Z4731" t="s">
        <v>26736</v>
      </c>
      <c r="AA4731">
        <v>0.89875375579292893</v>
      </c>
      <c r="AB4731" t="str">
        <f>HYPERLINK("Melting_Curves/meltCurve_Q9H0U3_MAGT1.pdf", "Melting_Curves/meltCurve_Q9H0U3_MAGT1.pdf")</f>
        <v>Melting_Curves/meltCurve_Q9H0U3_MAGT1.pdf</v>
      </c>
    </row>
    <row r="4732" spans="1:28" x14ac:dyDescent="0.25">
      <c r="A4732" t="s">
        <v>4736</v>
      </c>
      <c r="B4732">
        <v>0.99299721793515405</v>
      </c>
      <c r="C4732">
        <v>1.0690741495926099</v>
      </c>
      <c r="D4732">
        <v>0.94530968688080597</v>
      </c>
      <c r="E4732">
        <v>0.94505409718996403</v>
      </c>
      <c r="F4732">
        <v>0.78691434687837702</v>
      </c>
      <c r="G4732">
        <v>0.60136166624102105</v>
      </c>
      <c r="H4732">
        <v>0.572993601239013</v>
      </c>
      <c r="I4732">
        <v>0.522044336100708</v>
      </c>
      <c r="J4732">
        <v>0.47933375858442201</v>
      </c>
      <c r="K4732">
        <v>0.29268526631811098</v>
      </c>
      <c r="L4732">
        <v>567.71375895659799</v>
      </c>
      <c r="M4732">
        <v>10.376221812772799</v>
      </c>
      <c r="N4732">
        <v>59.571924325460998</v>
      </c>
      <c r="O4732">
        <v>52.797783183174097</v>
      </c>
      <c r="P4732">
        <v>-3.5119190605684497E-2</v>
      </c>
      <c r="Q4732">
        <v>0.28550763808923801</v>
      </c>
      <c r="R4732">
        <v>0.95214899349028204</v>
      </c>
      <c r="S4732" t="s">
        <v>10283</v>
      </c>
      <c r="T4732" t="s">
        <v>11100</v>
      </c>
      <c r="U4732" t="s">
        <v>11100</v>
      </c>
      <c r="V4732" t="s">
        <v>11100</v>
      </c>
      <c r="W4732" t="s">
        <v>15780</v>
      </c>
      <c r="X4732">
        <v>17</v>
      </c>
      <c r="Y4732" t="s">
        <v>21207</v>
      </c>
      <c r="Z4732" t="s">
        <v>26737</v>
      </c>
      <c r="AA4732">
        <v>0.71756039614778389</v>
      </c>
      <c r="AB4732" t="str">
        <f>HYPERLINK("Melting_Curves/meltCurve_Q9H0U4_RAB1B.pdf", "Melting_Curves/meltCurve_Q9H0U4_RAB1B.pdf")</f>
        <v>Melting_Curves/meltCurve_Q9H0U4_RAB1B.pdf</v>
      </c>
    </row>
    <row r="4733" spans="1:28" x14ac:dyDescent="0.25">
      <c r="A4733" t="s">
        <v>4737</v>
      </c>
      <c r="B4733">
        <v>0.99299721793515405</v>
      </c>
      <c r="C4733">
        <v>0.89336266708817402</v>
      </c>
      <c r="D4733">
        <v>0.92576936390817199</v>
      </c>
      <c r="E4733">
        <v>0.777419985201805</v>
      </c>
      <c r="F4733">
        <v>0.72238041753764903</v>
      </c>
      <c r="G4733">
        <v>0.530931498185374</v>
      </c>
      <c r="H4733">
        <v>0.469335222288707</v>
      </c>
      <c r="I4733">
        <v>0.35610931706315901</v>
      </c>
      <c r="J4733">
        <v>0.117799461729866</v>
      </c>
      <c r="K4733">
        <v>0.11027207514223999</v>
      </c>
      <c r="L4733">
        <v>490.49633849992699</v>
      </c>
      <c r="M4733">
        <v>8.9460909536429494</v>
      </c>
      <c r="N4733">
        <v>54.8279986173252</v>
      </c>
      <c r="O4733">
        <v>52.296112854967802</v>
      </c>
      <c r="P4733">
        <v>-4.2798292323697799E-2</v>
      </c>
      <c r="Q4733">
        <v>0</v>
      </c>
      <c r="R4733">
        <v>0.96764295242671605</v>
      </c>
      <c r="S4733" t="s">
        <v>10284</v>
      </c>
      <c r="T4733" t="s">
        <v>11100</v>
      </c>
      <c r="U4733" t="s">
        <v>11100</v>
      </c>
      <c r="V4733" t="s">
        <v>11100</v>
      </c>
      <c r="W4733" t="s">
        <v>15781</v>
      </c>
      <c r="X4733">
        <v>2</v>
      </c>
      <c r="Y4733" t="s">
        <v>21208</v>
      </c>
      <c r="Z4733" t="s">
        <v>26738</v>
      </c>
      <c r="AA4733">
        <v>0.60532744161449237</v>
      </c>
      <c r="AB4733" t="str">
        <f>HYPERLINK("Melting_Curves/meltCurve_Q9H0V1_TMEM168.pdf", "Melting_Curves/meltCurve_Q9H0V1_TMEM168.pdf")</f>
        <v>Melting_Curves/meltCurve_Q9H0V1_TMEM168.pdf</v>
      </c>
    </row>
    <row r="4734" spans="1:28" x14ac:dyDescent="0.25">
      <c r="A4734" t="s">
        <v>4738</v>
      </c>
      <c r="B4734">
        <v>0.99299721793515405</v>
      </c>
      <c r="C4734">
        <v>1.04532336182998</v>
      </c>
      <c r="D4734">
        <v>1.1836034461284299</v>
      </c>
      <c r="E4734">
        <v>0.76125510960408105</v>
      </c>
      <c r="F4734">
        <v>0.76549449451774099</v>
      </c>
      <c r="G4734">
        <v>0.72233308879054503</v>
      </c>
      <c r="H4734">
        <v>0.31806463420535702</v>
      </c>
      <c r="I4734">
        <v>0.21390150025155899</v>
      </c>
      <c r="J4734">
        <v>0.19906019913256001</v>
      </c>
      <c r="K4734">
        <v>0.232223524413672</v>
      </c>
      <c r="L4734">
        <v>817.91529699980697</v>
      </c>
      <c r="M4734">
        <v>15.101714668781099</v>
      </c>
      <c r="N4734">
        <v>55.264504699273402</v>
      </c>
      <c r="O4734">
        <v>53.237366809517198</v>
      </c>
      <c r="P4734">
        <v>-6.1688079632373098E-2</v>
      </c>
      <c r="Q4734">
        <v>0.13022121169810899</v>
      </c>
      <c r="R4734">
        <v>0.91963654629740399</v>
      </c>
      <c r="S4734" t="s">
        <v>10285</v>
      </c>
      <c r="T4734" t="s">
        <v>11100</v>
      </c>
      <c r="U4734" t="s">
        <v>11100</v>
      </c>
      <c r="V4734" t="s">
        <v>11100</v>
      </c>
      <c r="W4734" t="s">
        <v>15782</v>
      </c>
      <c r="X4734">
        <v>5</v>
      </c>
      <c r="Y4734" t="s">
        <v>21209</v>
      </c>
      <c r="Z4734" t="s">
        <v>26739</v>
      </c>
      <c r="AA4734">
        <v>0.64150717105922583</v>
      </c>
      <c r="AB4734" t="str">
        <f>HYPERLINK("Melting_Curves/meltCurve_Q9H0V9_LMAN2L.pdf", "Melting_Curves/meltCurve_Q9H0V9_LMAN2L.pdf")</f>
        <v>Melting_Curves/meltCurve_Q9H0V9_LMAN2L.pdf</v>
      </c>
    </row>
    <row r="4735" spans="1:28" x14ac:dyDescent="0.25">
      <c r="A4735" t="s">
        <v>4739</v>
      </c>
      <c r="B4735">
        <v>0.99299721793515405</v>
      </c>
      <c r="C4735">
        <v>0.72860102358097301</v>
      </c>
      <c r="D4735">
        <v>0.82816320919967201</v>
      </c>
      <c r="E4735">
        <v>0.62482784476466702</v>
      </c>
      <c r="F4735">
        <v>0.56633934584326495</v>
      </c>
      <c r="G4735">
        <v>0.49510306240125401</v>
      </c>
      <c r="H4735">
        <v>0.39191032046011798</v>
      </c>
      <c r="I4735">
        <v>0.52330816210601006</v>
      </c>
      <c r="J4735">
        <v>0.184718608228569</v>
      </c>
      <c r="K4735">
        <v>0.100443954402027</v>
      </c>
      <c r="L4735">
        <v>293.02596247173199</v>
      </c>
      <c r="M4735">
        <v>5.5657306190981899</v>
      </c>
      <c r="N4735">
        <v>52.6482473643985</v>
      </c>
      <c r="O4735">
        <v>47.025765557026098</v>
      </c>
      <c r="P4735">
        <v>-2.97137442169337E-2</v>
      </c>
      <c r="Q4735">
        <v>0</v>
      </c>
      <c r="R4735">
        <v>0.85941073395642997</v>
      </c>
      <c r="S4735" t="s">
        <v>10286</v>
      </c>
      <c r="T4735" t="s">
        <v>11100</v>
      </c>
      <c r="U4735" t="s">
        <v>11100</v>
      </c>
      <c r="V4735" t="s">
        <v>11100</v>
      </c>
      <c r="W4735" t="s">
        <v>15783</v>
      </c>
      <c r="X4735">
        <v>4</v>
      </c>
      <c r="Y4735" t="s">
        <v>21210</v>
      </c>
      <c r="Z4735" t="s">
        <v>26740</v>
      </c>
      <c r="AA4735">
        <v>0.54172316393032327</v>
      </c>
      <c r="AB4735" t="str">
        <f>HYPERLINK("Melting_Curves/meltCurve_Q9H0W9_C11orf54.pdf", "Melting_Curves/meltCurve_Q9H0W9_C11orf54.pdf")</f>
        <v>Melting_Curves/meltCurve_Q9H0W9_C11orf54.pdf</v>
      </c>
    </row>
    <row r="4736" spans="1:28" x14ac:dyDescent="0.25">
      <c r="A4736" t="s">
        <v>4740</v>
      </c>
      <c r="B4736">
        <v>0.99299721793515405</v>
      </c>
      <c r="C4736">
        <v>0.88295923171624702</v>
      </c>
      <c r="D4736">
        <v>1.12106582860209</v>
      </c>
      <c r="E4736">
        <v>0.79335217684958304</v>
      </c>
      <c r="F4736">
        <v>0.67557615502636204</v>
      </c>
      <c r="G4736">
        <v>0.62004562356506698</v>
      </c>
      <c r="H4736">
        <v>0.55512012407695699</v>
      </c>
      <c r="I4736">
        <v>0.55673068028547201</v>
      </c>
      <c r="J4736">
        <v>0.54538493643816299</v>
      </c>
      <c r="K4736">
        <v>0.47958794088981499</v>
      </c>
      <c r="L4736">
        <v>1084.57016227639</v>
      </c>
      <c r="M4736">
        <v>22.5282324182519</v>
      </c>
      <c r="O4736">
        <v>47.768185991015002</v>
      </c>
      <c r="P4736">
        <v>-5.4485981958796802E-2</v>
      </c>
      <c r="Q4736">
        <v>0.53788764549388401</v>
      </c>
      <c r="R4736">
        <v>0.89479394384872302</v>
      </c>
      <c r="S4736" t="s">
        <v>10287</v>
      </c>
      <c r="T4736" t="s">
        <v>11100</v>
      </c>
      <c r="U4736" t="s">
        <v>11100</v>
      </c>
      <c r="V4736" t="s">
        <v>11100</v>
      </c>
      <c r="W4736" t="s">
        <v>15784</v>
      </c>
      <c r="X4736">
        <v>2</v>
      </c>
      <c r="Y4736" t="s">
        <v>21211</v>
      </c>
      <c r="Z4736" t="s">
        <v>26741</v>
      </c>
      <c r="AA4736">
        <v>0.71436511145605341</v>
      </c>
      <c r="AB4736" t="str">
        <f>HYPERLINK("Melting_Curves/meltCurve_Q9H0X4_ITFG3.pdf", "Melting_Curves/meltCurve_Q9H0X4_ITFG3.pdf")</f>
        <v>Melting_Curves/meltCurve_Q9H0X4_ITFG3.pdf</v>
      </c>
    </row>
    <row r="4737" spans="1:28" x14ac:dyDescent="0.25">
      <c r="A4737" t="s">
        <v>4741</v>
      </c>
      <c r="B4737">
        <v>0.99299721793515405</v>
      </c>
      <c r="C4737">
        <v>0.99612423306896702</v>
      </c>
      <c r="D4737">
        <v>0.95633801153867704</v>
      </c>
      <c r="E4737">
        <v>0.81866550515274705</v>
      </c>
      <c r="F4737">
        <v>0.67176164205633804</v>
      </c>
      <c r="G4737">
        <v>0.52349098501648395</v>
      </c>
      <c r="H4737">
        <v>0.43504291812205298</v>
      </c>
      <c r="I4737">
        <v>0.311203336375805</v>
      </c>
      <c r="J4737">
        <v>0.27766355486523198</v>
      </c>
      <c r="K4737">
        <v>0.243504946795532</v>
      </c>
      <c r="L4737">
        <v>581.676518743678</v>
      </c>
      <c r="M4737">
        <v>11.126560417916901</v>
      </c>
      <c r="N4737">
        <v>54.530542020996201</v>
      </c>
      <c r="O4737">
        <v>50.674750669606198</v>
      </c>
      <c r="P4737">
        <v>-4.47940214310623E-2</v>
      </c>
      <c r="Q4737">
        <v>0.18422470279236799</v>
      </c>
      <c r="R4737">
        <v>0.99701074018972902</v>
      </c>
      <c r="S4737" t="s">
        <v>10288</v>
      </c>
      <c r="T4737" t="s">
        <v>11100</v>
      </c>
      <c r="U4737" t="s">
        <v>11100</v>
      </c>
      <c r="V4737" t="s">
        <v>11100</v>
      </c>
      <c r="W4737" t="s">
        <v>15785</v>
      </c>
      <c r="X4737">
        <v>4</v>
      </c>
      <c r="Y4737" t="s">
        <v>21212</v>
      </c>
      <c r="Z4737" t="s">
        <v>26742</v>
      </c>
      <c r="AA4737">
        <v>0.61943402284073656</v>
      </c>
      <c r="AB4737" t="str">
        <f>HYPERLINK("Melting_Curves/meltCurve_Q9H173_SIL1.pdf", "Melting_Curves/meltCurve_Q9H173_SIL1.pdf")</f>
        <v>Melting_Curves/meltCurve_Q9H173_SIL1.pdf</v>
      </c>
    </row>
    <row r="4738" spans="1:28" x14ac:dyDescent="0.25">
      <c r="A4738" t="s">
        <v>4742</v>
      </c>
      <c r="B4738">
        <v>0.99299721793515405</v>
      </c>
      <c r="C4738">
        <v>1.02861119249486</v>
      </c>
      <c r="D4738">
        <v>0.988263981711758</v>
      </c>
      <c r="E4738">
        <v>0.99566705145161405</v>
      </c>
      <c r="F4738">
        <v>0.68404205131085905</v>
      </c>
      <c r="G4738">
        <v>0.46205310715026698</v>
      </c>
      <c r="H4738">
        <v>0.34970414649571502</v>
      </c>
      <c r="I4738">
        <v>0.33498525648373101</v>
      </c>
      <c r="J4738">
        <v>0.32192019948532402</v>
      </c>
      <c r="K4738">
        <v>0.20988461676467801</v>
      </c>
      <c r="L4738">
        <v>1236.1308868916301</v>
      </c>
      <c r="M4738">
        <v>24.191380583362299</v>
      </c>
      <c r="N4738">
        <v>52.964322035227902</v>
      </c>
      <c r="O4738">
        <v>50.7526633711378</v>
      </c>
      <c r="P4738">
        <v>-8.49867615219803E-2</v>
      </c>
      <c r="Q4738">
        <v>0.28681404911999597</v>
      </c>
      <c r="R4738">
        <v>0.98591744577250995</v>
      </c>
      <c r="S4738" t="s">
        <v>10289</v>
      </c>
      <c r="T4738" t="s">
        <v>11100</v>
      </c>
      <c r="U4738" t="s">
        <v>11100</v>
      </c>
      <c r="V4738" t="s">
        <v>11100</v>
      </c>
      <c r="W4738" t="s">
        <v>15786</v>
      </c>
      <c r="X4738">
        <v>12</v>
      </c>
      <c r="Y4738" t="s">
        <v>21213</v>
      </c>
      <c r="Z4738" t="s">
        <v>26743</v>
      </c>
      <c r="AA4738">
        <v>0.62865267521363677</v>
      </c>
      <c r="AB4738" t="str">
        <f>HYPERLINK("Melting_Curves/meltCurve_Q9H1B7_IRF2BPL.pdf", "Melting_Curves/meltCurve_Q9H1B7_IRF2BPL.pdf")</f>
        <v>Melting_Curves/meltCurve_Q9H1B7_IRF2BPL.pdf</v>
      </c>
    </row>
    <row r="4739" spans="1:28" x14ac:dyDescent="0.25">
      <c r="A4739" t="s">
        <v>4743</v>
      </c>
      <c r="B4739">
        <v>0.99299721793515405</v>
      </c>
      <c r="C4739">
        <v>0.77077975753234695</v>
      </c>
      <c r="D4739">
        <v>1.12872321371452</v>
      </c>
      <c r="E4739">
        <v>1.0624154383220501</v>
      </c>
      <c r="F4739">
        <v>0.74263286615067703</v>
      </c>
      <c r="G4739">
        <v>0.63712085901875004</v>
      </c>
      <c r="H4739">
        <v>0.64939744198563498</v>
      </c>
      <c r="I4739">
        <v>0.79332959632552003</v>
      </c>
      <c r="J4739">
        <v>1.2908669466107701</v>
      </c>
      <c r="K4739">
        <v>0.82687256719306901</v>
      </c>
      <c r="L4739">
        <v>4255.0351656238199</v>
      </c>
      <c r="M4739">
        <v>88.140764710386506</v>
      </c>
      <c r="O4739">
        <v>48.250616724237403</v>
      </c>
      <c r="P4739">
        <v>-8.0671915329046606E-2</v>
      </c>
      <c r="Q4739">
        <v>0.82335214386353095</v>
      </c>
      <c r="R4739">
        <v>0.14726482287846801</v>
      </c>
      <c r="S4739" t="s">
        <v>10290</v>
      </c>
      <c r="T4739" t="s">
        <v>11100</v>
      </c>
      <c r="U4739" t="s">
        <v>11100</v>
      </c>
      <c r="V4739" t="s">
        <v>11100</v>
      </c>
      <c r="W4739" t="s">
        <v>15787</v>
      </c>
      <c r="X4739">
        <v>13</v>
      </c>
      <c r="Y4739" t="s">
        <v>21214</v>
      </c>
      <c r="Z4739" t="s">
        <v>26744</v>
      </c>
      <c r="AA4739">
        <v>0.8898655424408527</v>
      </c>
      <c r="AB4739" t="str">
        <f>HYPERLINK("Melting_Curves/meltCurve_Q9H1E3_NUCKS1.pdf", "Melting_Curves/meltCurve_Q9H1E3_NUCKS1.pdf")</f>
        <v>Melting_Curves/meltCurve_Q9H1E3_NUCKS1.pdf</v>
      </c>
    </row>
    <row r="4740" spans="1:28" x14ac:dyDescent="0.25">
      <c r="A4740" t="s">
        <v>4744</v>
      </c>
      <c r="B4740">
        <v>0.99299721793515405</v>
      </c>
      <c r="C4740">
        <v>0.90077478544919798</v>
      </c>
      <c r="D4740">
        <v>0.93384751475246397</v>
      </c>
      <c r="E4740">
        <v>0.80322632335384503</v>
      </c>
      <c r="F4740">
        <v>0.69796759941730602</v>
      </c>
      <c r="G4740">
        <v>0.446150117818776</v>
      </c>
      <c r="H4740">
        <v>0.29722969956046602</v>
      </c>
      <c r="I4740">
        <v>0.28694355468115001</v>
      </c>
      <c r="J4740">
        <v>0.28059113217834603</v>
      </c>
      <c r="K4740">
        <v>0.32118844255270101</v>
      </c>
      <c r="L4740">
        <v>755.09032337645499</v>
      </c>
      <c r="M4740">
        <v>14.9969261545168</v>
      </c>
      <c r="N4740">
        <v>52.818471461136902</v>
      </c>
      <c r="O4740">
        <v>49.479869588555502</v>
      </c>
      <c r="P4740">
        <v>-5.6687688164233502E-2</v>
      </c>
      <c r="Q4740">
        <v>0.251949152921084</v>
      </c>
      <c r="R4740">
        <v>0.97707287449067504</v>
      </c>
      <c r="S4740" t="s">
        <v>10291</v>
      </c>
      <c r="T4740" t="s">
        <v>11100</v>
      </c>
      <c r="U4740" t="s">
        <v>11100</v>
      </c>
      <c r="V4740" t="s">
        <v>11100</v>
      </c>
      <c r="W4740" t="s">
        <v>15788</v>
      </c>
      <c r="X4740">
        <v>5</v>
      </c>
      <c r="Y4740" t="s">
        <v>21215</v>
      </c>
      <c r="Z4740" t="s">
        <v>26745</v>
      </c>
      <c r="AA4740">
        <v>0.60027894510475455</v>
      </c>
      <c r="AB4740" t="str">
        <f>HYPERLINK("Melting_Curves/meltCurve_Q9H1K0_ZFYVE20.pdf", "Melting_Curves/meltCurve_Q9H1K0_ZFYVE20.pdf")</f>
        <v>Melting_Curves/meltCurve_Q9H1K0_ZFYVE20.pdf</v>
      </c>
    </row>
    <row r="4741" spans="1:28" x14ac:dyDescent="0.25">
      <c r="A4741" t="s">
        <v>4745</v>
      </c>
      <c r="B4741">
        <v>0.99299721793515405</v>
      </c>
      <c r="C4741">
        <v>1.15214017731322</v>
      </c>
      <c r="D4741">
        <v>1.16141409598377</v>
      </c>
      <c r="E4741">
        <v>1.01341631434988</v>
      </c>
      <c r="F4741">
        <v>0.75466679323961094</v>
      </c>
      <c r="G4741">
        <v>0.63483221043404403</v>
      </c>
      <c r="H4741">
        <v>0.52623438084424901</v>
      </c>
      <c r="I4741">
        <v>0.59304443553161401</v>
      </c>
      <c r="J4741">
        <v>0.60343643296036398</v>
      </c>
      <c r="K4741">
        <v>0.45850509883433599</v>
      </c>
      <c r="L4741">
        <v>1874.7807914837799</v>
      </c>
      <c r="M4741">
        <v>37.351706741695899</v>
      </c>
      <c r="O4741">
        <v>50.049418369568997</v>
      </c>
      <c r="P4741">
        <v>-8.3373348597788902E-2</v>
      </c>
      <c r="Q4741">
        <v>0.55313675170673504</v>
      </c>
      <c r="R4741">
        <v>0.89405600544058506</v>
      </c>
      <c r="S4741" t="s">
        <v>10292</v>
      </c>
      <c r="T4741" t="s">
        <v>11100</v>
      </c>
      <c r="U4741" t="s">
        <v>11100</v>
      </c>
      <c r="V4741" t="s">
        <v>11100</v>
      </c>
      <c r="W4741" t="s">
        <v>15789</v>
      </c>
      <c r="X4741">
        <v>12</v>
      </c>
      <c r="Y4741" t="s">
        <v>21216</v>
      </c>
      <c r="Z4741" t="s">
        <v>26746</v>
      </c>
      <c r="AA4741">
        <v>0.75142455418889165</v>
      </c>
      <c r="AB4741" t="str">
        <f>HYPERLINK("Melting_Curves/meltCurve_Q9H1K1_ISCU.pdf", "Melting_Curves/meltCurve_Q9H1K1_ISCU.pdf")</f>
        <v>Melting_Curves/meltCurve_Q9H1K1_ISCU.pdf</v>
      </c>
    </row>
    <row r="4742" spans="1:28" x14ac:dyDescent="0.25">
      <c r="A4742" t="s">
        <v>4746</v>
      </c>
      <c r="B4742">
        <v>0.99299721793515405</v>
      </c>
      <c r="C4742">
        <v>0.80856395035619499</v>
      </c>
      <c r="D4742">
        <v>1.1439240796863901</v>
      </c>
      <c r="E4742">
        <v>0.85494097964090299</v>
      </c>
      <c r="F4742">
        <v>0.49930269528416998</v>
      </c>
      <c r="G4742">
        <v>0.27261971689228698</v>
      </c>
      <c r="H4742">
        <v>0.14494910948267001</v>
      </c>
      <c r="I4742">
        <v>0.13879843891424401</v>
      </c>
      <c r="J4742">
        <v>0.13221653498627101</v>
      </c>
      <c r="K4742">
        <v>0.12212187321945001</v>
      </c>
      <c r="L4742">
        <v>1290.05802219681</v>
      </c>
      <c r="M4742">
        <v>25.9358097852067</v>
      </c>
      <c r="N4742">
        <v>50.328541781441103</v>
      </c>
      <c r="O4742">
        <v>49.447536868742901</v>
      </c>
      <c r="P4742">
        <v>-0.113986997125277</v>
      </c>
      <c r="Q4742">
        <v>0.130729186306793</v>
      </c>
      <c r="R4742">
        <v>0.95683596123479298</v>
      </c>
      <c r="S4742" t="s">
        <v>10293</v>
      </c>
      <c r="T4742" t="s">
        <v>11100</v>
      </c>
      <c r="U4742" t="s">
        <v>11100</v>
      </c>
      <c r="V4742" t="s">
        <v>11100</v>
      </c>
      <c r="W4742" t="s">
        <v>15790</v>
      </c>
      <c r="X4742">
        <v>4</v>
      </c>
      <c r="Y4742" t="s">
        <v>21217</v>
      </c>
      <c r="Z4742" t="s">
        <v>26747</v>
      </c>
      <c r="AA4742">
        <v>0.50695442722246287</v>
      </c>
      <c r="AB4742" t="str">
        <f>HYPERLINK("Melting_Curves/meltCurve_Q9H1P3_2_OSBPL2.pdf", "Melting_Curves/meltCurve_Q9H1P3_2_OSBPL2.pdf")</f>
        <v>Melting_Curves/meltCurve_Q9H1P3_2_OSBPL2.pdf</v>
      </c>
    </row>
    <row r="4743" spans="1:28" x14ac:dyDescent="0.25">
      <c r="A4743" t="s">
        <v>4747</v>
      </c>
      <c r="B4743">
        <v>0.99299721793515405</v>
      </c>
      <c r="C4743">
        <v>0.95187157894363705</v>
      </c>
      <c r="D4743">
        <v>0.85500260728853805</v>
      </c>
      <c r="E4743">
        <v>0.81607603783414595</v>
      </c>
      <c r="F4743">
        <v>0.68543392561076399</v>
      </c>
      <c r="G4743">
        <v>0.53648942953433199</v>
      </c>
      <c r="H4743">
        <v>0.51233809192172197</v>
      </c>
      <c r="I4743">
        <v>0.44770375457368</v>
      </c>
      <c r="J4743">
        <v>0.28013527381289</v>
      </c>
      <c r="K4743">
        <v>0.20586582946461701</v>
      </c>
      <c r="L4743">
        <v>377.82310574180099</v>
      </c>
      <c r="M4743">
        <v>6.7047900764997799</v>
      </c>
      <c r="N4743">
        <v>56.351222450985198</v>
      </c>
      <c r="O4743">
        <v>51.973185219771203</v>
      </c>
      <c r="P4743">
        <v>-3.2321183399553401E-2</v>
      </c>
      <c r="Q4743">
        <v>0</v>
      </c>
      <c r="R4743">
        <v>0.97907278628926897</v>
      </c>
      <c r="S4743" t="s">
        <v>10294</v>
      </c>
      <c r="T4743" t="s">
        <v>11100</v>
      </c>
      <c r="U4743" t="s">
        <v>11100</v>
      </c>
      <c r="V4743" t="s">
        <v>11100</v>
      </c>
      <c r="W4743" t="s">
        <v>15791</v>
      </c>
      <c r="X4743">
        <v>2</v>
      </c>
      <c r="Y4743" t="s">
        <v>21218</v>
      </c>
      <c r="Z4743" t="s">
        <v>26748</v>
      </c>
      <c r="AA4743">
        <v>0.63102093353176292</v>
      </c>
      <c r="AB4743" t="str">
        <f>HYPERLINK("Melting_Curves/meltCurve_Q9H1X3_DNAJC25.pdf", "Melting_Curves/meltCurve_Q9H1X3_DNAJC25.pdf")</f>
        <v>Melting_Curves/meltCurve_Q9H1X3_DNAJC25.pdf</v>
      </c>
    </row>
    <row r="4744" spans="1:28" x14ac:dyDescent="0.25">
      <c r="A4744" t="s">
        <v>4748</v>
      </c>
      <c r="B4744">
        <v>0.99299721793515405</v>
      </c>
      <c r="C4744">
        <v>1.01716696327995</v>
      </c>
      <c r="D4744">
        <v>0.91956749199996501</v>
      </c>
      <c r="E4744">
        <v>0.76563550297726102</v>
      </c>
      <c r="F4744">
        <v>0.69681957175103004</v>
      </c>
      <c r="G4744">
        <v>0.53926414602412598</v>
      </c>
      <c r="H4744">
        <v>0.50182177627731195</v>
      </c>
      <c r="I4744">
        <v>0.205647651007206</v>
      </c>
      <c r="J4744">
        <v>0.117447102978618</v>
      </c>
      <c r="K4744">
        <v>0.10766165322983701</v>
      </c>
      <c r="L4744">
        <v>541.04831227548505</v>
      </c>
      <c r="M4744">
        <v>9.9398642345307895</v>
      </c>
      <c r="N4744">
        <v>54.4321631463336</v>
      </c>
      <c r="O4744">
        <v>52.366480859198099</v>
      </c>
      <c r="P4744">
        <v>-4.7476995446407898E-2</v>
      </c>
      <c r="Q4744">
        <v>0</v>
      </c>
      <c r="R4744">
        <v>0.97149093097538197</v>
      </c>
      <c r="S4744" t="s">
        <v>10295</v>
      </c>
      <c r="T4744" t="s">
        <v>11100</v>
      </c>
      <c r="U4744" t="s">
        <v>11100</v>
      </c>
      <c r="V4744" t="s">
        <v>11100</v>
      </c>
      <c r="W4744" t="s">
        <v>15792</v>
      </c>
      <c r="X4744">
        <v>3</v>
      </c>
      <c r="Y4744" t="s">
        <v>21219</v>
      </c>
      <c r="Z4744" t="s">
        <v>26749</v>
      </c>
      <c r="AA4744">
        <v>0.59633151501643067</v>
      </c>
      <c r="AB4744" t="str">
        <f>HYPERLINK("Melting_Curves/meltCurve_Q9H1Y0_ATG5.pdf", "Melting_Curves/meltCurve_Q9H1Y0_ATG5.pdf")</f>
        <v>Melting_Curves/meltCurve_Q9H1Y0_ATG5.pdf</v>
      </c>
    </row>
    <row r="4745" spans="1:28" x14ac:dyDescent="0.25">
      <c r="A4745" t="s">
        <v>4749</v>
      </c>
      <c r="B4745">
        <v>0.99299721793515405</v>
      </c>
      <c r="C4745">
        <v>0.96165030190268297</v>
      </c>
      <c r="D4745">
        <v>0.99315714381784204</v>
      </c>
      <c r="E4745">
        <v>0.84063012253978897</v>
      </c>
      <c r="F4745">
        <v>0.66509677518238497</v>
      </c>
      <c r="G4745">
        <v>0.51011046986966702</v>
      </c>
      <c r="H4745">
        <v>0.43826297511335599</v>
      </c>
      <c r="I4745">
        <v>0.48345139323420799</v>
      </c>
      <c r="J4745">
        <v>0.48287518013463299</v>
      </c>
      <c r="K4745">
        <v>0.27786601790701299</v>
      </c>
      <c r="L4745">
        <v>821.25604274390298</v>
      </c>
      <c r="M4745">
        <v>16.5384536736013</v>
      </c>
      <c r="N4745">
        <v>54.665793195670602</v>
      </c>
      <c r="O4745">
        <v>48.948387829276903</v>
      </c>
      <c r="P4745">
        <v>-5.1519237242801601E-2</v>
      </c>
      <c r="Q4745">
        <v>0.39012196260158</v>
      </c>
      <c r="R4745">
        <v>0.95588502871031</v>
      </c>
      <c r="S4745" t="s">
        <v>10296</v>
      </c>
      <c r="T4745" t="s">
        <v>11100</v>
      </c>
      <c r="U4745" t="s">
        <v>11100</v>
      </c>
      <c r="V4745" t="s">
        <v>11100</v>
      </c>
      <c r="W4745" t="s">
        <v>15793</v>
      </c>
      <c r="X4745">
        <v>4</v>
      </c>
      <c r="Y4745" t="s">
        <v>21220</v>
      </c>
      <c r="Z4745" t="s">
        <v>26750</v>
      </c>
      <c r="AA4745">
        <v>0.65851858604719171</v>
      </c>
      <c r="AB4745" t="str">
        <f>HYPERLINK("Melting_Curves/meltCurve_Q9H1Z4_WDR13.pdf", "Melting_Curves/meltCurve_Q9H1Z4_WDR13.pdf")</f>
        <v>Melting_Curves/meltCurve_Q9H1Z4_WDR13.pdf</v>
      </c>
    </row>
    <row r="4746" spans="1:28" x14ac:dyDescent="0.25">
      <c r="A4746" t="s">
        <v>4750</v>
      </c>
      <c r="B4746">
        <v>0.99299721793515405</v>
      </c>
      <c r="C4746">
        <v>0.89002164895105895</v>
      </c>
      <c r="D4746">
        <v>0.90476286815359297</v>
      </c>
      <c r="E4746">
        <v>0.87541140335906897</v>
      </c>
      <c r="F4746">
        <v>0.79247036215063205</v>
      </c>
      <c r="G4746">
        <v>0.56175875119547103</v>
      </c>
      <c r="H4746">
        <v>1.0685159572741001</v>
      </c>
      <c r="I4746">
        <v>0.99147170319520495</v>
      </c>
      <c r="J4746">
        <v>0.328712963368755</v>
      </c>
      <c r="K4746">
        <v>0.14727861866123601</v>
      </c>
      <c r="L4746">
        <v>7449.1014246353297</v>
      </c>
      <c r="M4746">
        <v>117.510619062986</v>
      </c>
      <c r="N4746">
        <v>63.577350396233399</v>
      </c>
      <c r="O4746">
        <v>63.372526665349099</v>
      </c>
      <c r="P4746">
        <v>-0.39600049028942602</v>
      </c>
      <c r="Q4746">
        <v>0.14576059363080399</v>
      </c>
      <c r="R4746">
        <v>0.67684677086598699</v>
      </c>
      <c r="S4746" t="s">
        <v>10297</v>
      </c>
      <c r="T4746" t="s">
        <v>11100</v>
      </c>
      <c r="U4746" t="s">
        <v>11100</v>
      </c>
      <c r="V4746" t="s">
        <v>11100</v>
      </c>
      <c r="W4746" t="s">
        <v>15794</v>
      </c>
      <c r="X4746">
        <v>1</v>
      </c>
      <c r="Y4746" t="s">
        <v>21221</v>
      </c>
      <c r="Z4746" t="s">
        <v>26751</v>
      </c>
      <c r="AA4746">
        <v>0.897630906709461</v>
      </c>
      <c r="AB4746" t="str">
        <f>HYPERLINK("Melting_Curves/meltCurve_Q9H211_CDT1.pdf", "Melting_Curves/meltCurve_Q9H211_CDT1.pdf")</f>
        <v>Melting_Curves/meltCurve_Q9H211_CDT1.pdf</v>
      </c>
    </row>
    <row r="4747" spans="1:28" x14ac:dyDescent="0.25">
      <c r="A4747" t="s">
        <v>4751</v>
      </c>
      <c r="B4747">
        <v>0.99299721793515405</v>
      </c>
      <c r="C4747">
        <v>1.0652107743883099</v>
      </c>
      <c r="D4747">
        <v>0.92641894869312402</v>
      </c>
      <c r="E4747">
        <v>0.91000123493637897</v>
      </c>
      <c r="F4747">
        <v>0.71323358986662799</v>
      </c>
      <c r="G4747">
        <v>0.33974677950961002</v>
      </c>
      <c r="H4747">
        <v>0.18297901576754</v>
      </c>
      <c r="I4747">
        <v>0.148640991048022</v>
      </c>
      <c r="J4747">
        <v>0.12385653170067699</v>
      </c>
      <c r="K4747">
        <v>0.105512689546796</v>
      </c>
      <c r="L4747">
        <v>1189.8704059875099</v>
      </c>
      <c r="M4747">
        <v>23.075872253494001</v>
      </c>
      <c r="N4747">
        <v>52.122889944451899</v>
      </c>
      <c r="O4747">
        <v>51.180830950305598</v>
      </c>
      <c r="P4747">
        <v>-0.100353835360923</v>
      </c>
      <c r="Q4747">
        <v>0.109702254252994</v>
      </c>
      <c r="R4747">
        <v>0.99313301838039103</v>
      </c>
      <c r="S4747" t="s">
        <v>10298</v>
      </c>
      <c r="T4747" t="s">
        <v>11100</v>
      </c>
      <c r="U4747" t="s">
        <v>11100</v>
      </c>
      <c r="V4747" t="s">
        <v>11100</v>
      </c>
      <c r="W4747" t="s">
        <v>15795</v>
      </c>
      <c r="X4747">
        <v>15</v>
      </c>
      <c r="Y4747" t="s">
        <v>21222</v>
      </c>
      <c r="Z4747" t="s">
        <v>26752</v>
      </c>
      <c r="AA4747">
        <v>0.55098959003928705</v>
      </c>
      <c r="AB4747" t="str">
        <f>HYPERLINK("Melting_Curves/meltCurve_Q9H223_EHD4.pdf", "Melting_Curves/meltCurve_Q9H223_EHD4.pdf")</f>
        <v>Melting_Curves/meltCurve_Q9H223_EHD4.pdf</v>
      </c>
    </row>
    <row r="4748" spans="1:28" x14ac:dyDescent="0.25">
      <c r="A4748" t="s">
        <v>4752</v>
      </c>
      <c r="B4748">
        <v>0.99299721793515405</v>
      </c>
      <c r="C4748">
        <v>0.91351048113857103</v>
      </c>
      <c r="D4748">
        <v>1.35066569056731</v>
      </c>
      <c r="E4748">
        <v>0.86904977265741101</v>
      </c>
      <c r="F4748">
        <v>0.75554718169489199</v>
      </c>
      <c r="G4748">
        <v>0.78313628551993697</v>
      </c>
      <c r="H4748">
        <v>0.594230997500379</v>
      </c>
      <c r="I4748">
        <v>0.67257262893312197</v>
      </c>
      <c r="J4748">
        <v>0.73878399221647195</v>
      </c>
      <c r="K4748">
        <v>0.67411504503022301</v>
      </c>
      <c r="L4748">
        <v>6120.3487535075701</v>
      </c>
      <c r="M4748">
        <v>131.10027285501499</v>
      </c>
      <c r="O4748">
        <v>46.6736067455697</v>
      </c>
      <c r="P4748">
        <v>-0.20851936649621899</v>
      </c>
      <c r="Q4748">
        <v>0.70305616472404897</v>
      </c>
      <c r="R4748">
        <v>0.63779458343444695</v>
      </c>
      <c r="S4748" t="s">
        <v>10299</v>
      </c>
      <c r="T4748" t="s">
        <v>11100</v>
      </c>
      <c r="U4748" t="s">
        <v>11100</v>
      </c>
      <c r="V4748" t="s">
        <v>11100</v>
      </c>
      <c r="W4748" t="s">
        <v>15796</v>
      </c>
      <c r="X4748">
        <v>3</v>
      </c>
      <c r="Y4748" t="s">
        <v>21223</v>
      </c>
      <c r="Z4748" t="s">
        <v>26753</v>
      </c>
      <c r="AA4748">
        <v>0.79900295880571781</v>
      </c>
      <c r="AB4748" t="str">
        <f>HYPERLINK("Melting_Curves/meltCurve_Q9H246_C1orf21.pdf", "Melting_Curves/meltCurve_Q9H246_C1orf21.pdf")</f>
        <v>Melting_Curves/meltCurve_Q9H246_C1orf21.pdf</v>
      </c>
    </row>
    <row r="4749" spans="1:28" x14ac:dyDescent="0.25">
      <c r="A4749" t="s">
        <v>4753</v>
      </c>
      <c r="B4749">
        <v>0.99299721793515405</v>
      </c>
      <c r="C4749">
        <v>1.00270044132895</v>
      </c>
      <c r="D4749">
        <v>0.90038580441029203</v>
      </c>
      <c r="E4749">
        <v>0.85609342982845105</v>
      </c>
      <c r="F4749">
        <v>0.63466720203875804</v>
      </c>
      <c r="G4749">
        <v>0.26739981405007202</v>
      </c>
      <c r="H4749">
        <v>0.19253966604770301</v>
      </c>
      <c r="I4749">
        <v>0.152649016997458</v>
      </c>
      <c r="J4749">
        <v>0.13378433772238901</v>
      </c>
      <c r="K4749">
        <v>0.110646750869104</v>
      </c>
      <c r="L4749">
        <v>1022.93546950885</v>
      </c>
      <c r="M4749">
        <v>20.221398989083799</v>
      </c>
      <c r="N4749">
        <v>51.229278800013603</v>
      </c>
      <c r="O4749">
        <v>50.099860500054596</v>
      </c>
      <c r="P4749">
        <v>-8.9606409289661001E-2</v>
      </c>
      <c r="Q4749">
        <v>0.11200453882128</v>
      </c>
      <c r="R4749">
        <v>0.99217407103938005</v>
      </c>
      <c r="S4749" t="s">
        <v>10300</v>
      </c>
      <c r="T4749" t="s">
        <v>11100</v>
      </c>
      <c r="U4749" t="s">
        <v>11100</v>
      </c>
      <c r="V4749" t="s">
        <v>11100</v>
      </c>
      <c r="W4749" t="s">
        <v>15797</v>
      </c>
      <c r="X4749">
        <v>7</v>
      </c>
      <c r="Y4749" t="s">
        <v>21224</v>
      </c>
      <c r="Z4749" t="s">
        <v>26754</v>
      </c>
      <c r="AA4749">
        <v>0.52561753182173576</v>
      </c>
      <c r="AB4749" t="str">
        <f>HYPERLINK("Melting_Curves/meltCurve_Q9H267_VPS33B.pdf", "Melting_Curves/meltCurve_Q9H267_VPS33B.pdf")</f>
        <v>Melting_Curves/meltCurve_Q9H267_VPS33B.pdf</v>
      </c>
    </row>
    <row r="4750" spans="1:28" x14ac:dyDescent="0.25">
      <c r="A4750" t="s">
        <v>4754</v>
      </c>
      <c r="B4750">
        <v>0.99299721793515405</v>
      </c>
      <c r="C4750">
        <v>0.97055999807314697</v>
      </c>
      <c r="D4750">
        <v>0.93151998129840896</v>
      </c>
      <c r="E4750">
        <v>0.91056872132817301</v>
      </c>
      <c r="F4750">
        <v>0.67827602759112904</v>
      </c>
      <c r="G4750">
        <v>0.417388450045097</v>
      </c>
      <c r="H4750">
        <v>0.249086790957875</v>
      </c>
      <c r="I4750">
        <v>0.205853761673434</v>
      </c>
      <c r="J4750">
        <v>0.15658879710568499</v>
      </c>
      <c r="K4750">
        <v>0.12593062930962701</v>
      </c>
      <c r="L4750">
        <v>894.78590408207594</v>
      </c>
      <c r="M4750">
        <v>17.2830059370954</v>
      </c>
      <c r="N4750">
        <v>52.632619712421899</v>
      </c>
      <c r="O4750">
        <v>51.094356328400998</v>
      </c>
      <c r="P4750">
        <v>-7.4165544236552403E-2</v>
      </c>
      <c r="Q4750">
        <v>0.123017726827357</v>
      </c>
      <c r="R4750">
        <v>0.99680464564015303</v>
      </c>
      <c r="S4750" t="s">
        <v>10301</v>
      </c>
      <c r="T4750" t="s">
        <v>11100</v>
      </c>
      <c r="U4750" t="s">
        <v>11100</v>
      </c>
      <c r="V4750" t="s">
        <v>11100</v>
      </c>
      <c r="W4750" t="s">
        <v>15798</v>
      </c>
      <c r="X4750">
        <v>5</v>
      </c>
      <c r="Y4750" t="s">
        <v>21225</v>
      </c>
      <c r="Z4750" t="s">
        <v>26755</v>
      </c>
      <c r="AA4750">
        <v>0.56900956378807888</v>
      </c>
      <c r="AB4750" t="str">
        <f>HYPERLINK("Melting_Curves/meltCurve_Q9H270_VPS11.pdf", "Melting_Curves/meltCurve_Q9H270_VPS11.pdf")</f>
        <v>Melting_Curves/meltCurve_Q9H270_VPS11.pdf</v>
      </c>
    </row>
    <row r="4751" spans="1:28" x14ac:dyDescent="0.25">
      <c r="A4751" t="s">
        <v>4755</v>
      </c>
      <c r="B4751">
        <v>0.99299721793515405</v>
      </c>
      <c r="C4751">
        <v>0.882591031382986</v>
      </c>
      <c r="D4751">
        <v>0.97702530916745001</v>
      </c>
      <c r="E4751">
        <v>0.90882694832241995</v>
      </c>
      <c r="F4751">
        <v>0.74777998171694904</v>
      </c>
      <c r="G4751">
        <v>0.52897536947346202</v>
      </c>
      <c r="H4751">
        <v>0.17579586691893401</v>
      </c>
      <c r="I4751">
        <v>0.21647094182041099</v>
      </c>
      <c r="J4751">
        <v>0.18640919509965001</v>
      </c>
      <c r="K4751">
        <v>0.184989153508719</v>
      </c>
      <c r="L4751">
        <v>1088.8063878973601</v>
      </c>
      <c r="M4751">
        <v>20.7834616889605</v>
      </c>
      <c r="N4751">
        <v>53.345385705546803</v>
      </c>
      <c r="O4751">
        <v>51.910338773936097</v>
      </c>
      <c r="P4751">
        <v>-8.4515778630047694E-2</v>
      </c>
      <c r="Q4751">
        <v>0.15565164668765799</v>
      </c>
      <c r="R4751">
        <v>0.97477912583209703</v>
      </c>
      <c r="S4751" t="s">
        <v>10302</v>
      </c>
      <c r="T4751" t="s">
        <v>11100</v>
      </c>
      <c r="U4751" t="s">
        <v>11100</v>
      </c>
      <c r="V4751" t="s">
        <v>11100</v>
      </c>
      <c r="W4751" t="s">
        <v>15799</v>
      </c>
      <c r="X4751">
        <v>5</v>
      </c>
      <c r="Y4751" t="s">
        <v>21226</v>
      </c>
      <c r="Z4751" t="s">
        <v>26756</v>
      </c>
      <c r="AA4751">
        <v>0.59894159068956632</v>
      </c>
      <c r="AB4751" t="str">
        <f>HYPERLINK("Melting_Curves/meltCurve_Q9H2C0_GAN.pdf", "Melting_Curves/meltCurve_Q9H2C0_GAN.pdf")</f>
        <v>Melting_Curves/meltCurve_Q9H2C0_GAN.pdf</v>
      </c>
    </row>
    <row r="4752" spans="1:28" x14ac:dyDescent="0.25">
      <c r="A4752" t="s">
        <v>4756</v>
      </c>
      <c r="B4752">
        <v>0.99299721793515405</v>
      </c>
      <c r="C4752">
        <v>0.97116909744236701</v>
      </c>
      <c r="D4752">
        <v>0.877804308108866</v>
      </c>
      <c r="E4752">
        <v>0.76473019055075497</v>
      </c>
      <c r="F4752">
        <v>0.70691426180110495</v>
      </c>
      <c r="G4752">
        <v>0.40384330960676301</v>
      </c>
      <c r="H4752">
        <v>0.372164196069251</v>
      </c>
      <c r="I4752">
        <v>0.26217221493651399</v>
      </c>
      <c r="J4752">
        <v>0.274029694551498</v>
      </c>
      <c r="K4752">
        <v>0.21384491393321101</v>
      </c>
      <c r="L4752">
        <v>561.33563449204701</v>
      </c>
      <c r="M4752">
        <v>10.967912134019601</v>
      </c>
      <c r="N4752">
        <v>53.063276435720503</v>
      </c>
      <c r="O4752">
        <v>49.566674733939401</v>
      </c>
      <c r="P4752">
        <v>-4.64154201026983E-2</v>
      </c>
      <c r="Q4752">
        <v>0.16123569129965201</v>
      </c>
      <c r="R4752">
        <v>0.98350818369631998</v>
      </c>
      <c r="S4752" t="s">
        <v>10303</v>
      </c>
      <c r="T4752" t="s">
        <v>11100</v>
      </c>
      <c r="U4752" t="s">
        <v>11100</v>
      </c>
      <c r="V4752" t="s">
        <v>11100</v>
      </c>
      <c r="W4752" t="s">
        <v>15800</v>
      </c>
      <c r="X4752">
        <v>3</v>
      </c>
      <c r="Y4752" t="s">
        <v>21227</v>
      </c>
      <c r="Z4752" t="s">
        <v>26757</v>
      </c>
      <c r="AA4752">
        <v>0.58099854839984721</v>
      </c>
      <c r="AB4752" t="str">
        <f>HYPERLINK("Melting_Curves/meltCurve_Q9H2D6_5_TRIOBP.pdf", "Melting_Curves/meltCurve_Q9H2D6_5_TRIOBP.pdf")</f>
        <v>Melting_Curves/meltCurve_Q9H2D6_5_TRIOBP.pdf</v>
      </c>
    </row>
    <row r="4753" spans="1:28" x14ac:dyDescent="0.25">
      <c r="A4753" t="s">
        <v>4757</v>
      </c>
      <c r="B4753">
        <v>0.99299721793515405</v>
      </c>
      <c r="C4753">
        <v>0.97009454079272806</v>
      </c>
      <c r="D4753">
        <v>1.01098260727988</v>
      </c>
      <c r="E4753">
        <v>0.84324657362507305</v>
      </c>
      <c r="F4753">
        <v>0.72539826860470602</v>
      </c>
      <c r="G4753">
        <v>0.25941031224080702</v>
      </c>
      <c r="H4753">
        <v>0.13549038511358499</v>
      </c>
      <c r="I4753">
        <v>0.11215496759341199</v>
      </c>
      <c r="J4753">
        <v>9.9372565621438702E-2</v>
      </c>
      <c r="K4753">
        <v>8.5425027456573904E-2</v>
      </c>
      <c r="L4753">
        <v>1322.9385719358199</v>
      </c>
      <c r="M4753">
        <v>25.781007134921701</v>
      </c>
      <c r="N4753">
        <v>51.6859136790641</v>
      </c>
      <c r="O4753">
        <v>51.008710328341103</v>
      </c>
      <c r="P4753">
        <v>-0.11567211455662101</v>
      </c>
      <c r="Q4753">
        <v>8.4564053298230094E-2</v>
      </c>
      <c r="R4753">
        <v>0.99047370227665199</v>
      </c>
      <c r="S4753" t="s">
        <v>10304</v>
      </c>
      <c r="T4753" t="s">
        <v>11100</v>
      </c>
      <c r="U4753" t="s">
        <v>11100</v>
      </c>
      <c r="V4753" t="s">
        <v>11100</v>
      </c>
      <c r="W4753" t="s">
        <v>15801</v>
      </c>
      <c r="X4753">
        <v>57</v>
      </c>
      <c r="Y4753" t="s">
        <v>21228</v>
      </c>
      <c r="Z4753" t="s">
        <v>26758</v>
      </c>
      <c r="AA4753">
        <v>0.52900717409636056</v>
      </c>
      <c r="AB4753" t="str">
        <f>HYPERLINK("Melting_Curves/meltCurve_Q9H2G2_2_SLK.pdf", "Melting_Curves/meltCurve_Q9H2G2_2_SLK.pdf")</f>
        <v>Melting_Curves/meltCurve_Q9H2G2_2_SLK.pdf</v>
      </c>
    </row>
    <row r="4754" spans="1:28" x14ac:dyDescent="0.25">
      <c r="A4754" t="s">
        <v>4758</v>
      </c>
      <c r="B4754">
        <v>0.99299721793515405</v>
      </c>
      <c r="C4754">
        <v>1.00239462756909</v>
      </c>
      <c r="D4754">
        <v>1.0578846407876801</v>
      </c>
      <c r="E4754">
        <v>0.90749622336206504</v>
      </c>
      <c r="F4754">
        <v>0.68009962544712699</v>
      </c>
      <c r="G4754">
        <v>0.33498914278216002</v>
      </c>
      <c r="H4754">
        <v>0.29897719627525798</v>
      </c>
      <c r="I4754">
        <v>0.258434905132085</v>
      </c>
      <c r="J4754">
        <v>0.262203170286051</v>
      </c>
      <c r="K4754">
        <v>0.21011834940856</v>
      </c>
      <c r="L4754">
        <v>1430.2723967131701</v>
      </c>
      <c r="M4754">
        <v>28.278115350590902</v>
      </c>
      <c r="N4754">
        <v>51.808545868692299</v>
      </c>
      <c r="O4754">
        <v>50.327862351345601</v>
      </c>
      <c r="P4754">
        <v>-0.10613106723738901</v>
      </c>
      <c r="Q4754">
        <v>0.24446091350297899</v>
      </c>
      <c r="R4754">
        <v>0.99283445562364303</v>
      </c>
      <c r="S4754" t="s">
        <v>10305</v>
      </c>
      <c r="T4754" t="s">
        <v>11100</v>
      </c>
      <c r="U4754" t="s">
        <v>11100</v>
      </c>
      <c r="V4754" t="s">
        <v>11100</v>
      </c>
      <c r="W4754" t="s">
        <v>15802</v>
      </c>
      <c r="X4754">
        <v>5</v>
      </c>
      <c r="Y4754" t="s">
        <v>21229</v>
      </c>
      <c r="Z4754" t="s">
        <v>26759</v>
      </c>
      <c r="AA4754">
        <v>0.59168736924293219</v>
      </c>
      <c r="AB4754" t="str">
        <f>HYPERLINK("Melting_Curves/meltCurve_Q9H2H8_PPIL3.pdf", "Melting_Curves/meltCurve_Q9H2H8_PPIL3.pdf")</f>
        <v>Melting_Curves/meltCurve_Q9H2H8_PPIL3.pdf</v>
      </c>
    </row>
    <row r="4755" spans="1:28" x14ac:dyDescent="0.25">
      <c r="A4755" t="s">
        <v>4759</v>
      </c>
      <c r="B4755">
        <v>0.99299721793515405</v>
      </c>
      <c r="C4755">
        <v>0.86500461813282203</v>
      </c>
      <c r="D4755">
        <v>0.98277865831591205</v>
      </c>
      <c r="E4755">
        <v>0.81377583016406196</v>
      </c>
      <c r="F4755">
        <v>0.84364305594042299</v>
      </c>
      <c r="G4755">
        <v>0.473953089049924</v>
      </c>
      <c r="H4755">
        <v>0.61595681286181803</v>
      </c>
      <c r="I4755">
        <v>0.61717292945885804</v>
      </c>
      <c r="J4755">
        <v>0.65360201801808804</v>
      </c>
      <c r="K4755">
        <v>0.308128293735144</v>
      </c>
      <c r="L4755">
        <v>332.59565797603102</v>
      </c>
      <c r="M4755">
        <v>5.8955931917308799</v>
      </c>
      <c r="N4755">
        <v>63.634672280673001</v>
      </c>
      <c r="O4755">
        <v>50.944367971614497</v>
      </c>
      <c r="P4755">
        <v>-2.1951199573594399E-2</v>
      </c>
      <c r="Q4755">
        <v>0.24387712811721801</v>
      </c>
      <c r="R4755">
        <v>0.73721182574663502</v>
      </c>
      <c r="S4755" t="s">
        <v>10306</v>
      </c>
      <c r="T4755" t="s">
        <v>11100</v>
      </c>
      <c r="U4755" t="s">
        <v>11100</v>
      </c>
      <c r="V4755" t="s">
        <v>11100</v>
      </c>
      <c r="W4755" t="s">
        <v>15803</v>
      </c>
      <c r="X4755">
        <v>4</v>
      </c>
      <c r="Y4755" t="s">
        <v>21230</v>
      </c>
      <c r="Z4755" t="s">
        <v>26760</v>
      </c>
      <c r="AA4755">
        <v>0.71616610614202225</v>
      </c>
      <c r="AB4755" t="str">
        <f>HYPERLINK("Melting_Curves/meltCurve_Q9H2J7_SLC6A15.pdf", "Melting_Curves/meltCurve_Q9H2J7_SLC6A15.pdf")</f>
        <v>Melting_Curves/meltCurve_Q9H2J7_SLC6A15.pdf</v>
      </c>
    </row>
    <row r="4756" spans="1:28" x14ac:dyDescent="0.25">
      <c r="A4756" t="s">
        <v>4760</v>
      </c>
      <c r="B4756">
        <v>0.99299721793515405</v>
      </c>
      <c r="C4756">
        <v>0.81686117137340297</v>
      </c>
      <c r="D4756">
        <v>0.91296208034890902</v>
      </c>
      <c r="E4756">
        <v>0.81209641274676003</v>
      </c>
      <c r="F4756">
        <v>0.743763304010848</v>
      </c>
      <c r="G4756">
        <v>0.55582953968331295</v>
      </c>
      <c r="H4756">
        <v>0.31558917884662302</v>
      </c>
      <c r="I4756">
        <v>0.23814062306771799</v>
      </c>
      <c r="J4756">
        <v>0.21776189869867599</v>
      </c>
      <c r="K4756">
        <v>0.20299818019327201</v>
      </c>
      <c r="L4756">
        <v>481.49757991606998</v>
      </c>
      <c r="M4756">
        <v>8.8727190272258607</v>
      </c>
      <c r="N4756">
        <v>54.361096775983</v>
      </c>
      <c r="O4756">
        <v>51.722758157764602</v>
      </c>
      <c r="P4756">
        <v>-4.2592444970971297E-2</v>
      </c>
      <c r="Q4756">
        <v>7.6045204159758796E-3</v>
      </c>
      <c r="R4756">
        <v>0.96025305095770497</v>
      </c>
      <c r="S4756" t="s">
        <v>10307</v>
      </c>
      <c r="T4756" t="s">
        <v>11100</v>
      </c>
      <c r="U4756" t="s">
        <v>11100</v>
      </c>
      <c r="V4756" t="s">
        <v>11100</v>
      </c>
      <c r="W4756" t="s">
        <v>15804</v>
      </c>
      <c r="X4756">
        <v>1</v>
      </c>
      <c r="Y4756" t="s">
        <v>21231</v>
      </c>
      <c r="Z4756" t="s">
        <v>26761</v>
      </c>
      <c r="AA4756">
        <v>0.59332083997545437</v>
      </c>
      <c r="AB4756" t="str">
        <f>HYPERLINK("Melting_Curves/meltCurve_Q9H2K0_MTIF3.pdf", "Melting_Curves/meltCurve_Q9H2K0_MTIF3.pdf")</f>
        <v>Melting_Curves/meltCurve_Q9H2K0_MTIF3.pdf</v>
      </c>
    </row>
    <row r="4757" spans="1:28" x14ac:dyDescent="0.25">
      <c r="A4757" t="s">
        <v>4761</v>
      </c>
      <c r="B4757">
        <v>0.99299721793515405</v>
      </c>
      <c r="C4757">
        <v>1.0058737486834901</v>
      </c>
      <c r="D4757">
        <v>0.87692391370569001</v>
      </c>
      <c r="E4757">
        <v>0.76404708813208999</v>
      </c>
      <c r="F4757">
        <v>0.61917792726431797</v>
      </c>
      <c r="G4757">
        <v>0.27290163118914801</v>
      </c>
      <c r="H4757">
        <v>0.245935610248459</v>
      </c>
      <c r="I4757">
        <v>0.21969176982193001</v>
      </c>
      <c r="J4757">
        <v>0.20522719241002901</v>
      </c>
      <c r="K4757">
        <v>0.18267640190809301</v>
      </c>
      <c r="L4757">
        <v>787.52704555015305</v>
      </c>
      <c r="M4757">
        <v>15.8917500246265</v>
      </c>
      <c r="N4757">
        <v>50.853145947016202</v>
      </c>
      <c r="O4757">
        <v>48.79093467837</v>
      </c>
      <c r="P4757">
        <v>-6.7862347386383096E-2</v>
      </c>
      <c r="Q4757">
        <v>0.16666182587352801</v>
      </c>
      <c r="R4757">
        <v>0.98482165806571198</v>
      </c>
      <c r="S4757" t="s">
        <v>10308</v>
      </c>
      <c r="T4757" t="s">
        <v>11100</v>
      </c>
      <c r="U4757" t="s">
        <v>11100</v>
      </c>
      <c r="V4757" t="s">
        <v>11100</v>
      </c>
      <c r="W4757" t="s">
        <v>15805</v>
      </c>
      <c r="X4757">
        <v>4</v>
      </c>
      <c r="Y4757" t="s">
        <v>21232</v>
      </c>
      <c r="Z4757" t="s">
        <v>26762</v>
      </c>
      <c r="AA4757">
        <v>0.53159487008885198</v>
      </c>
      <c r="AB4757" t="str">
        <f>HYPERLINK("Melting_Curves/meltCurve_Q9H2M9_RAB3GAP2.pdf", "Melting_Curves/meltCurve_Q9H2M9_RAB3GAP2.pdf")</f>
        <v>Melting_Curves/meltCurve_Q9H2M9_RAB3GAP2.pdf</v>
      </c>
    </row>
    <row r="4758" spans="1:28" x14ac:dyDescent="0.25">
      <c r="A4758" t="s">
        <v>4762</v>
      </c>
      <c r="B4758">
        <v>0.99299721793515405</v>
      </c>
      <c r="C4758">
        <v>0.92264531826765805</v>
      </c>
      <c r="D4758">
        <v>0.85910168620305105</v>
      </c>
      <c r="E4758">
        <v>0.78442747729004902</v>
      </c>
      <c r="F4758">
        <v>0.70084656347973895</v>
      </c>
      <c r="G4758">
        <v>0.47966919569690403</v>
      </c>
      <c r="H4758">
        <v>0.41459245724673499</v>
      </c>
      <c r="I4758">
        <v>0.26577737701816501</v>
      </c>
      <c r="J4758">
        <v>0.18527034898182901</v>
      </c>
      <c r="K4758">
        <v>0.16416286461062901</v>
      </c>
      <c r="L4758">
        <v>450.17942103858098</v>
      </c>
      <c r="M4758">
        <v>8.3364489432256708</v>
      </c>
      <c r="N4758">
        <v>54.001360500002299</v>
      </c>
      <c r="O4758">
        <v>51.1618665749277</v>
      </c>
      <c r="P4758">
        <v>-4.0775142102880302E-2</v>
      </c>
      <c r="Q4758">
        <v>0</v>
      </c>
      <c r="R4758">
        <v>0.99163067733184296</v>
      </c>
      <c r="S4758" t="s">
        <v>10309</v>
      </c>
      <c r="T4758" t="s">
        <v>11100</v>
      </c>
      <c r="U4758" t="s">
        <v>11100</v>
      </c>
      <c r="V4758" t="s">
        <v>11100</v>
      </c>
      <c r="W4758" t="s">
        <v>15806</v>
      </c>
      <c r="X4758">
        <v>4</v>
      </c>
      <c r="Y4758" t="s">
        <v>21233</v>
      </c>
      <c r="Z4758" t="s">
        <v>26763</v>
      </c>
      <c r="AA4758">
        <v>0.58207311103066339</v>
      </c>
      <c r="AB4758" t="str">
        <f>HYPERLINK("Melting_Curves/meltCurve_Q9H2P9_3_DPH5.pdf", "Melting_Curves/meltCurve_Q9H2P9_3_DPH5.pdf")</f>
        <v>Melting_Curves/meltCurve_Q9H2P9_3_DPH5.pdf</v>
      </c>
    </row>
    <row r="4759" spans="1:28" x14ac:dyDescent="0.25">
      <c r="A4759" t="s">
        <v>4763</v>
      </c>
      <c r="B4759">
        <v>0.99299721793515405</v>
      </c>
      <c r="C4759">
        <v>0.86456863416177898</v>
      </c>
      <c r="D4759">
        <v>0.82680480969253101</v>
      </c>
      <c r="E4759">
        <v>0.84370283424939196</v>
      </c>
      <c r="F4759">
        <v>0.640052424024524</v>
      </c>
      <c r="G4759">
        <v>0.32829714816082001</v>
      </c>
      <c r="H4759">
        <v>0.170071037534579</v>
      </c>
      <c r="I4759">
        <v>0.103882660960298</v>
      </c>
      <c r="J4759">
        <v>8.9168989946306995E-2</v>
      </c>
      <c r="K4759">
        <v>4.5730681845073999E-2</v>
      </c>
      <c r="L4759">
        <v>671.29735322885006</v>
      </c>
      <c r="M4759">
        <v>13.0484932723125</v>
      </c>
      <c r="N4759">
        <v>51.446350225997797</v>
      </c>
      <c r="O4759">
        <v>50.283007401900399</v>
      </c>
      <c r="P4759">
        <v>-6.4886560616829694E-2</v>
      </c>
      <c r="Q4759">
        <v>0</v>
      </c>
      <c r="R4759">
        <v>0.97535142031401301</v>
      </c>
      <c r="S4759" t="s">
        <v>10310</v>
      </c>
      <c r="T4759" t="s">
        <v>11100</v>
      </c>
      <c r="U4759" t="s">
        <v>11100</v>
      </c>
      <c r="V4759" t="s">
        <v>11100</v>
      </c>
      <c r="W4759" t="s">
        <v>15807</v>
      </c>
      <c r="X4759">
        <v>1</v>
      </c>
      <c r="Y4759" t="s">
        <v>21234</v>
      </c>
      <c r="Z4759" t="s">
        <v>26764</v>
      </c>
      <c r="AA4759">
        <v>0.5046528853694715</v>
      </c>
      <c r="AB4759" t="str">
        <f>HYPERLINK("Melting_Curves/meltCurve_Q9H2T7_RANBP17.pdf", "Melting_Curves/meltCurve_Q9H2T7_RANBP17.pdf")</f>
        <v>Melting_Curves/meltCurve_Q9H2T7_RANBP17.pdf</v>
      </c>
    </row>
    <row r="4760" spans="1:28" x14ac:dyDescent="0.25">
      <c r="A4760" t="s">
        <v>4764</v>
      </c>
      <c r="B4760">
        <v>0.99299721793515405</v>
      </c>
      <c r="C4760">
        <v>0.96919305068204498</v>
      </c>
      <c r="D4760">
        <v>0.97744827078340002</v>
      </c>
      <c r="E4760">
        <v>0.85790181015140399</v>
      </c>
      <c r="F4760">
        <v>0.80398982403530905</v>
      </c>
      <c r="G4760">
        <v>0.61873954674494103</v>
      </c>
      <c r="H4760">
        <v>0.54503587710662904</v>
      </c>
      <c r="I4760">
        <v>0.332813751772226</v>
      </c>
      <c r="J4760">
        <v>0.20483126194068901</v>
      </c>
      <c r="K4760">
        <v>0.12955483480904301</v>
      </c>
      <c r="L4760">
        <v>596.22991165019596</v>
      </c>
      <c r="M4760">
        <v>10.495569535802399</v>
      </c>
      <c r="N4760">
        <v>56.807771108537501</v>
      </c>
      <c r="O4760">
        <v>54.861715878361501</v>
      </c>
      <c r="P4760">
        <v>-4.7846712620911697E-2</v>
      </c>
      <c r="Q4760">
        <v>0</v>
      </c>
      <c r="R4760">
        <v>0.98852282435393901</v>
      </c>
      <c r="S4760" t="s">
        <v>10311</v>
      </c>
      <c r="T4760" t="s">
        <v>11100</v>
      </c>
      <c r="U4760" t="s">
        <v>11100</v>
      </c>
      <c r="V4760" t="s">
        <v>11100</v>
      </c>
      <c r="W4760" t="s">
        <v>15808</v>
      </c>
      <c r="X4760">
        <v>6</v>
      </c>
      <c r="Y4760" t="s">
        <v>21235</v>
      </c>
      <c r="Z4760" t="s">
        <v>26765</v>
      </c>
      <c r="AA4760">
        <v>0.66241645534657989</v>
      </c>
      <c r="AB4760" t="str">
        <f>HYPERLINK("Melting_Curves/meltCurve_Q9H2U2_PPA2.pdf", "Melting_Curves/meltCurve_Q9H2U2_PPA2.pdf")</f>
        <v>Melting_Curves/meltCurve_Q9H2U2_PPA2.pdf</v>
      </c>
    </row>
    <row r="4761" spans="1:28" x14ac:dyDescent="0.25">
      <c r="A4761" t="s">
        <v>4765</v>
      </c>
      <c r="B4761">
        <v>0.99299721793515405</v>
      </c>
      <c r="C4761">
        <v>0.85784764589804097</v>
      </c>
      <c r="D4761">
        <v>0.90499244431495796</v>
      </c>
      <c r="E4761">
        <v>1.1281483959798999</v>
      </c>
      <c r="F4761">
        <v>1.7829335511228499</v>
      </c>
      <c r="G4761">
        <v>1.3261953313694099</v>
      </c>
      <c r="H4761">
        <v>0.347530161825506</v>
      </c>
      <c r="I4761">
        <v>0.26896633554208699</v>
      </c>
      <c r="J4761">
        <v>0.23991601853918501</v>
      </c>
      <c r="K4761">
        <v>0.165872470036559</v>
      </c>
      <c r="L4761">
        <v>14254.0426635278</v>
      </c>
      <c r="M4761">
        <v>250</v>
      </c>
      <c r="N4761">
        <v>57.152772539911403</v>
      </c>
      <c r="O4761">
        <v>57.012523320379103</v>
      </c>
      <c r="P4761">
        <v>-0.84968390813318295</v>
      </c>
      <c r="Q4761">
        <v>0.22491804085002701</v>
      </c>
      <c r="R4761">
        <v>0.70411193080353696</v>
      </c>
      <c r="S4761" t="s">
        <v>10312</v>
      </c>
      <c r="T4761" t="s">
        <v>11100</v>
      </c>
      <c r="U4761" t="s">
        <v>11100</v>
      </c>
      <c r="V4761" t="s">
        <v>11100</v>
      </c>
      <c r="W4761" t="s">
        <v>15809</v>
      </c>
      <c r="X4761">
        <v>3</v>
      </c>
      <c r="Y4761" t="s">
        <v>21236</v>
      </c>
      <c r="Z4761" t="s">
        <v>26766</v>
      </c>
      <c r="AA4761">
        <v>0.74213468965808838</v>
      </c>
      <c r="AB4761" t="str">
        <f>HYPERLINK("Melting_Curves/meltCurve_Q9H2W6_MRPL46.pdf", "Melting_Curves/meltCurve_Q9H2W6_MRPL46.pdf")</f>
        <v>Melting_Curves/meltCurve_Q9H2W6_MRPL46.pdf</v>
      </c>
    </row>
    <row r="4762" spans="1:28" x14ac:dyDescent="0.25">
      <c r="A4762" t="s">
        <v>4766</v>
      </c>
      <c r="B4762">
        <v>0.99299721793515405</v>
      </c>
      <c r="C4762">
        <v>0.978641065322848</v>
      </c>
      <c r="D4762">
        <v>1.60024517036612</v>
      </c>
      <c r="E4762">
        <v>1.04503069601524</v>
      </c>
      <c r="F4762">
        <v>0.76610766957446097</v>
      </c>
      <c r="G4762">
        <v>0.81246603901720504</v>
      </c>
      <c r="H4762">
        <v>0.54416657768673604</v>
      </c>
      <c r="I4762">
        <v>0.55057834592145904</v>
      </c>
      <c r="J4762">
        <v>0.64945813449563305</v>
      </c>
      <c r="K4762">
        <v>0.60367945885910301</v>
      </c>
      <c r="L4762">
        <v>1352.7267191829901</v>
      </c>
      <c r="M4762">
        <v>26.167888491257099</v>
      </c>
      <c r="O4762">
        <v>51.395086179949303</v>
      </c>
      <c r="P4762">
        <v>-5.18533038521551E-2</v>
      </c>
      <c r="Q4762">
        <v>0.59263429088860597</v>
      </c>
      <c r="R4762">
        <v>0.56690912397955795</v>
      </c>
      <c r="S4762" t="s">
        <v>10313</v>
      </c>
      <c r="T4762" t="s">
        <v>11100</v>
      </c>
      <c r="U4762" t="s">
        <v>11100</v>
      </c>
      <c r="V4762" t="s">
        <v>11100</v>
      </c>
      <c r="W4762" t="s">
        <v>15810</v>
      </c>
      <c r="X4762">
        <v>2</v>
      </c>
      <c r="Y4762" t="s">
        <v>21237</v>
      </c>
      <c r="Z4762" t="s">
        <v>26767</v>
      </c>
      <c r="AA4762">
        <v>0.79548085769077581</v>
      </c>
      <c r="AB4762" t="str">
        <f>HYPERLINK("Melting_Curves/meltCurve_Q9H300_PARL.pdf", "Melting_Curves/meltCurve_Q9H300_PARL.pdf")</f>
        <v>Melting_Curves/meltCurve_Q9H300_PARL.pdf</v>
      </c>
    </row>
    <row r="4763" spans="1:28" x14ac:dyDescent="0.25">
      <c r="A4763" t="s">
        <v>4767</v>
      </c>
      <c r="B4763">
        <v>0.99299721793515405</v>
      </c>
      <c r="C4763">
        <v>0.88655638053449703</v>
      </c>
      <c r="D4763">
        <v>1.0319413105833499</v>
      </c>
      <c r="E4763">
        <v>0.69226019040228703</v>
      </c>
      <c r="F4763">
        <v>0.75076123816892704</v>
      </c>
      <c r="G4763">
        <v>0.51285243070784803</v>
      </c>
      <c r="H4763">
        <v>0.72851792209154898</v>
      </c>
      <c r="I4763">
        <v>0.71028241786663004</v>
      </c>
      <c r="J4763">
        <v>0.81748184678671398</v>
      </c>
      <c r="K4763">
        <v>0.62711305975034703</v>
      </c>
      <c r="L4763">
        <v>11387.2977855805</v>
      </c>
      <c r="M4763">
        <v>250</v>
      </c>
      <c r="O4763">
        <v>45.546276172996798</v>
      </c>
      <c r="P4763">
        <v>-0.42378936477232099</v>
      </c>
      <c r="Q4763">
        <v>0.69116756037290505</v>
      </c>
      <c r="R4763">
        <v>0.693730569589457</v>
      </c>
      <c r="S4763" t="s">
        <v>10314</v>
      </c>
      <c r="T4763" t="s">
        <v>11100</v>
      </c>
      <c r="U4763" t="s">
        <v>11100</v>
      </c>
      <c r="V4763" t="s">
        <v>11100</v>
      </c>
      <c r="W4763" t="s">
        <v>15811</v>
      </c>
      <c r="X4763">
        <v>6</v>
      </c>
      <c r="Y4763" t="s">
        <v>21238</v>
      </c>
      <c r="Z4763" t="s">
        <v>26768</v>
      </c>
      <c r="AA4763">
        <v>0.77920116643539206</v>
      </c>
      <c r="AB4763" t="str">
        <f>HYPERLINK("Melting_Curves/meltCurve_Q9H307_PNN.pdf", "Melting_Curves/meltCurve_Q9H307_PNN.pdf")</f>
        <v>Melting_Curves/meltCurve_Q9H307_PNN.pdf</v>
      </c>
    </row>
    <row r="4764" spans="1:28" x14ac:dyDescent="0.25">
      <c r="A4764" t="s">
        <v>4768</v>
      </c>
      <c r="B4764">
        <v>0.99299721793515405</v>
      </c>
      <c r="C4764">
        <v>0.95477982866774902</v>
      </c>
      <c r="D4764">
        <v>0.970566919519814</v>
      </c>
      <c r="E4764">
        <v>0.93891508420135406</v>
      </c>
      <c r="F4764">
        <v>0.78414533143889897</v>
      </c>
      <c r="G4764">
        <v>0.65256130528940104</v>
      </c>
      <c r="H4764">
        <v>0.62066657055994601</v>
      </c>
      <c r="I4764">
        <v>0.76415798501989496</v>
      </c>
      <c r="J4764">
        <v>0.73858150669822897</v>
      </c>
      <c r="K4764">
        <v>0.41200689496701998</v>
      </c>
      <c r="L4764">
        <v>1067.60481450216</v>
      </c>
      <c r="M4764">
        <v>21.552690389619201</v>
      </c>
      <c r="O4764">
        <v>49.114119805395099</v>
      </c>
      <c r="P4764">
        <v>-4.1560745826111703E-2</v>
      </c>
      <c r="Q4764">
        <v>0.62117583738989701</v>
      </c>
      <c r="R4764">
        <v>0.74844306139682004</v>
      </c>
      <c r="S4764" t="s">
        <v>10315</v>
      </c>
      <c r="T4764" t="s">
        <v>11100</v>
      </c>
      <c r="U4764" t="s">
        <v>11100</v>
      </c>
      <c r="V4764" t="s">
        <v>11100</v>
      </c>
      <c r="W4764" t="s">
        <v>15812</v>
      </c>
      <c r="X4764">
        <v>5</v>
      </c>
      <c r="Y4764" t="s">
        <v>21239</v>
      </c>
      <c r="Z4764" t="s">
        <v>26769</v>
      </c>
      <c r="AA4764">
        <v>0.78381597899103628</v>
      </c>
      <c r="AB4764" t="str">
        <f>HYPERLINK("Melting_Curves/meltCurve_Q9H330_2_TMEM245.pdf", "Melting_Curves/meltCurve_Q9H330_2_TMEM245.pdf")</f>
        <v>Melting_Curves/meltCurve_Q9H330_2_TMEM245.pdf</v>
      </c>
    </row>
    <row r="4765" spans="1:28" x14ac:dyDescent="0.25">
      <c r="A4765" t="s">
        <v>4769</v>
      </c>
      <c r="B4765">
        <v>0.99299721793515405</v>
      </c>
      <c r="C4765">
        <v>0.93384848098741302</v>
      </c>
      <c r="D4765">
        <v>0.87643928251011205</v>
      </c>
      <c r="E4765">
        <v>0.83226817145523302</v>
      </c>
      <c r="F4765">
        <v>0.76296253228090205</v>
      </c>
      <c r="G4765">
        <v>0.51226563663534697</v>
      </c>
      <c r="H4765">
        <v>0.49015220547271399</v>
      </c>
      <c r="I4765">
        <v>0.47615641784234197</v>
      </c>
      <c r="J4765">
        <v>0.27426300432217399</v>
      </c>
      <c r="K4765">
        <v>0.103446734462551</v>
      </c>
      <c r="L4765">
        <v>438.09144905809598</v>
      </c>
      <c r="M4765">
        <v>7.7868640110814296</v>
      </c>
      <c r="N4765">
        <v>56.260318453157403</v>
      </c>
      <c r="O4765">
        <v>52.911434989530903</v>
      </c>
      <c r="P4765">
        <v>-3.6837989565940199E-2</v>
      </c>
      <c r="Q4765">
        <v>0</v>
      </c>
      <c r="R4765">
        <v>0.94977070773559502</v>
      </c>
      <c r="S4765" t="s">
        <v>10316</v>
      </c>
      <c r="T4765" t="s">
        <v>11100</v>
      </c>
      <c r="U4765" t="s">
        <v>11100</v>
      </c>
      <c r="V4765" t="s">
        <v>11100</v>
      </c>
      <c r="W4765" t="s">
        <v>15813</v>
      </c>
      <c r="X4765">
        <v>1</v>
      </c>
      <c r="Y4765" t="s">
        <v>21240</v>
      </c>
      <c r="Z4765" t="s">
        <v>26770</v>
      </c>
      <c r="AA4765">
        <v>0.63672041276277525</v>
      </c>
      <c r="AB4765" t="str">
        <f>HYPERLINK("Melting_Curves/meltCurve_Q9H3C7_GGNBP2.pdf", "Melting_Curves/meltCurve_Q9H3C7_GGNBP2.pdf")</f>
        <v>Melting_Curves/meltCurve_Q9H3C7_GGNBP2.pdf</v>
      </c>
    </row>
    <row r="4766" spans="1:28" x14ac:dyDescent="0.25">
      <c r="A4766" t="s">
        <v>4770</v>
      </c>
      <c r="B4766">
        <v>0.99299721793515405</v>
      </c>
      <c r="C4766">
        <v>1.04477588073587</v>
      </c>
      <c r="D4766">
        <v>1.0097416664909</v>
      </c>
      <c r="E4766">
        <v>0.95537591018928902</v>
      </c>
      <c r="F4766">
        <v>0.78956916492879503</v>
      </c>
      <c r="G4766">
        <v>0.76557197530765897</v>
      </c>
      <c r="H4766">
        <v>0.84697369517696497</v>
      </c>
      <c r="I4766">
        <v>0.95943960050085397</v>
      </c>
      <c r="J4766">
        <v>0.95269222842565104</v>
      </c>
      <c r="K4766">
        <v>0.73044801491579903</v>
      </c>
      <c r="L4766">
        <v>11693.949235293599</v>
      </c>
      <c r="M4766">
        <v>250</v>
      </c>
      <c r="O4766">
        <v>46.772803517527002</v>
      </c>
      <c r="P4766">
        <v>-0.212753915864071</v>
      </c>
      <c r="Q4766">
        <v>0.84078244623570197</v>
      </c>
      <c r="R4766">
        <v>0.56277251688174601</v>
      </c>
      <c r="S4766" t="s">
        <v>10317</v>
      </c>
      <c r="T4766" t="s">
        <v>11100</v>
      </c>
      <c r="U4766" t="s">
        <v>11100</v>
      </c>
      <c r="V4766" t="s">
        <v>11100</v>
      </c>
      <c r="W4766" t="s">
        <v>15814</v>
      </c>
      <c r="X4766">
        <v>14</v>
      </c>
      <c r="Y4766" t="s">
        <v>21241</v>
      </c>
      <c r="Z4766" t="s">
        <v>26771</v>
      </c>
      <c r="AA4766">
        <v>0.89267813236704685</v>
      </c>
      <c r="AB4766" t="str">
        <f>HYPERLINK("Melting_Curves/meltCurve_Q9H3G5_CPVL.pdf", "Melting_Curves/meltCurve_Q9H3G5_CPVL.pdf")</f>
        <v>Melting_Curves/meltCurve_Q9H3G5_CPVL.pdf</v>
      </c>
    </row>
    <row r="4767" spans="1:28" x14ac:dyDescent="0.25">
      <c r="A4767" t="s">
        <v>4771</v>
      </c>
      <c r="B4767">
        <v>0.99299721793515405</v>
      </c>
      <c r="C4767">
        <v>1.02153420831929</v>
      </c>
      <c r="D4767">
        <v>1.0252996218067501</v>
      </c>
      <c r="E4767">
        <v>0.82660853462148898</v>
      </c>
      <c r="F4767">
        <v>0.50167694435321497</v>
      </c>
      <c r="G4767">
        <v>0.14587509212913599</v>
      </c>
      <c r="H4767">
        <v>0.19804293634668799</v>
      </c>
      <c r="I4767">
        <v>0.13633329238088701</v>
      </c>
      <c r="J4767">
        <v>0.15211700285320401</v>
      </c>
      <c r="K4767">
        <v>0.14283225922290699</v>
      </c>
      <c r="L4767">
        <v>1402.92407899456</v>
      </c>
      <c r="M4767">
        <v>28.451670230067801</v>
      </c>
      <c r="N4767">
        <v>49.889715218702101</v>
      </c>
      <c r="O4767">
        <v>49.067359600204398</v>
      </c>
      <c r="P4767">
        <v>-0.124529976935849</v>
      </c>
      <c r="Q4767">
        <v>0.14095617275522301</v>
      </c>
      <c r="R4767">
        <v>0.99246677057509003</v>
      </c>
      <c r="S4767" t="s">
        <v>10318</v>
      </c>
      <c r="T4767" t="s">
        <v>11100</v>
      </c>
      <c r="U4767" t="s">
        <v>11100</v>
      </c>
      <c r="V4767" t="s">
        <v>11100</v>
      </c>
      <c r="W4767" t="s">
        <v>15815</v>
      </c>
      <c r="X4767">
        <v>5</v>
      </c>
      <c r="Y4767" t="s">
        <v>21242</v>
      </c>
      <c r="Z4767" t="s">
        <v>26772</v>
      </c>
      <c r="AA4767">
        <v>0.49920924561476659</v>
      </c>
      <c r="AB4767" t="str">
        <f>HYPERLINK("Melting_Curves/meltCurve_Q9H3H1_4_TRIT1.pdf", "Melting_Curves/meltCurve_Q9H3H1_4_TRIT1.pdf")</f>
        <v>Melting_Curves/meltCurve_Q9H3H1_4_TRIT1.pdf</v>
      </c>
    </row>
    <row r="4768" spans="1:28" x14ac:dyDescent="0.25">
      <c r="A4768" t="s">
        <v>4772</v>
      </c>
      <c r="B4768">
        <v>0.99299721793515405</v>
      </c>
      <c r="C4768">
        <v>0.97854453181041401</v>
      </c>
      <c r="D4768">
        <v>0.82137627331795704</v>
      </c>
      <c r="E4768">
        <v>0.85947242148862701</v>
      </c>
      <c r="F4768">
        <v>0.83230121749329999</v>
      </c>
      <c r="G4768">
        <v>0.69466282130656198</v>
      </c>
      <c r="H4768">
        <v>0.40911811198473602</v>
      </c>
      <c r="I4768">
        <v>0.32787915067062001</v>
      </c>
      <c r="J4768">
        <v>0.22683422538481199</v>
      </c>
      <c r="K4768">
        <v>0.18535094634397001</v>
      </c>
      <c r="L4768">
        <v>555.09496693369397</v>
      </c>
      <c r="M4768">
        <v>9.8043139285858203</v>
      </c>
      <c r="N4768">
        <v>56.617398691263503</v>
      </c>
      <c r="O4768">
        <v>54.412809816915598</v>
      </c>
      <c r="P4768">
        <v>-4.5069628686444603E-2</v>
      </c>
      <c r="Q4768">
        <v>0</v>
      </c>
      <c r="R4768">
        <v>0.96533449260946003</v>
      </c>
      <c r="S4768" t="s">
        <v>10319</v>
      </c>
      <c r="T4768" t="s">
        <v>11100</v>
      </c>
      <c r="U4768" t="s">
        <v>11100</v>
      </c>
      <c r="V4768" t="s">
        <v>11100</v>
      </c>
      <c r="W4768" t="s">
        <v>15816</v>
      </c>
      <c r="X4768">
        <v>4</v>
      </c>
      <c r="Y4768" t="s">
        <v>21243</v>
      </c>
      <c r="Z4768" t="s">
        <v>26773</v>
      </c>
      <c r="AA4768">
        <v>0.65514138340389827</v>
      </c>
      <c r="AB4768" t="str">
        <f>HYPERLINK("Melting_Curves/meltCurve_Q9H3H3_C11orf68.pdf", "Melting_Curves/meltCurve_Q9H3H3_C11orf68.pdf")</f>
        <v>Melting_Curves/meltCurve_Q9H3H3_C11orf68.pdf</v>
      </c>
    </row>
    <row r="4769" spans="1:28" x14ac:dyDescent="0.25">
      <c r="A4769" t="s">
        <v>4773</v>
      </c>
      <c r="B4769">
        <v>0.99299721793515405</v>
      </c>
      <c r="C4769">
        <v>0.99558725515759705</v>
      </c>
      <c r="D4769">
        <v>1.0407893548093201</v>
      </c>
      <c r="E4769">
        <v>0.89919543461609097</v>
      </c>
      <c r="F4769">
        <v>0.80650563368514305</v>
      </c>
      <c r="G4769">
        <v>0.55728917425778801</v>
      </c>
      <c r="H4769">
        <v>0.35396017827236298</v>
      </c>
      <c r="I4769">
        <v>0.30210624080644</v>
      </c>
      <c r="J4769">
        <v>0.270314072005227</v>
      </c>
      <c r="K4769">
        <v>0.213396124576539</v>
      </c>
      <c r="L4769">
        <v>954.57130308090404</v>
      </c>
      <c r="M4769">
        <v>18.0155141249463</v>
      </c>
      <c r="N4769">
        <v>54.722366846557598</v>
      </c>
      <c r="O4769">
        <v>52.346151649683499</v>
      </c>
      <c r="P4769">
        <v>-6.7313127440447595E-2</v>
      </c>
      <c r="Q4769">
        <v>0.21769428338465699</v>
      </c>
      <c r="R4769">
        <v>0.99391248137355603</v>
      </c>
      <c r="S4769" t="s">
        <v>10320</v>
      </c>
      <c r="T4769" t="s">
        <v>11100</v>
      </c>
      <c r="U4769" t="s">
        <v>11100</v>
      </c>
      <c r="V4769" t="s">
        <v>11100</v>
      </c>
      <c r="W4769" t="s">
        <v>15817</v>
      </c>
      <c r="X4769">
        <v>14</v>
      </c>
      <c r="Y4769" t="s">
        <v>21244</v>
      </c>
      <c r="Z4769" t="s">
        <v>26774</v>
      </c>
      <c r="AA4769">
        <v>0.64593126828828151</v>
      </c>
      <c r="AB4769" t="str">
        <f>HYPERLINK("Melting_Curves/meltCurve_Q9H3K6_BOLA2.pdf", "Melting_Curves/meltCurve_Q9H3K6_BOLA2.pdf")</f>
        <v>Melting_Curves/meltCurve_Q9H3K6_BOLA2.pdf</v>
      </c>
    </row>
    <row r="4770" spans="1:28" x14ac:dyDescent="0.25">
      <c r="A4770" t="s">
        <v>4774</v>
      </c>
      <c r="B4770">
        <v>0.99299721793515405</v>
      </c>
      <c r="C4770">
        <v>0.98649138634442701</v>
      </c>
      <c r="D4770">
        <v>1.0285273858206101</v>
      </c>
      <c r="E4770">
        <v>0.95565505057726696</v>
      </c>
      <c r="F4770">
        <v>0.80600420128556804</v>
      </c>
      <c r="G4770">
        <v>0.75966412063587097</v>
      </c>
      <c r="H4770">
        <v>0.52359776371165301</v>
      </c>
      <c r="I4770">
        <v>0.37754957352719598</v>
      </c>
      <c r="J4770">
        <v>0.28460620857565</v>
      </c>
      <c r="K4770">
        <v>0.21478624709852201</v>
      </c>
      <c r="L4770">
        <v>684.31513153291303</v>
      </c>
      <c r="M4770">
        <v>11.9049177972935</v>
      </c>
      <c r="N4770">
        <v>58.220341834400301</v>
      </c>
      <c r="O4770">
        <v>55.931802475579197</v>
      </c>
      <c r="P4770">
        <v>-4.9494408370228497E-2</v>
      </c>
      <c r="Q4770">
        <v>7.0090760787704903E-2</v>
      </c>
      <c r="R4770">
        <v>0.99175406885223805</v>
      </c>
      <c r="S4770" t="s">
        <v>10321</v>
      </c>
      <c r="T4770" t="s">
        <v>11100</v>
      </c>
      <c r="U4770" t="s">
        <v>11100</v>
      </c>
      <c r="V4770" t="s">
        <v>11100</v>
      </c>
      <c r="W4770" t="s">
        <v>15818</v>
      </c>
      <c r="X4770">
        <v>8</v>
      </c>
      <c r="Y4770" t="s">
        <v>21245</v>
      </c>
      <c r="Z4770" t="s">
        <v>26775</v>
      </c>
      <c r="AA4770">
        <v>0.70649640124134294</v>
      </c>
      <c r="AB4770" t="str">
        <f>HYPERLINK("Melting_Curves/meltCurve_Q9H3N1_TMX1.pdf", "Melting_Curves/meltCurve_Q9H3N1_TMX1.pdf")</f>
        <v>Melting_Curves/meltCurve_Q9H3N1_TMX1.pdf</v>
      </c>
    </row>
    <row r="4771" spans="1:28" x14ac:dyDescent="0.25">
      <c r="A4771" t="s">
        <v>4775</v>
      </c>
      <c r="B4771">
        <v>0.99299721793515405</v>
      </c>
      <c r="C4771">
        <v>1.10222719553643</v>
      </c>
      <c r="D4771">
        <v>0.98169799225509602</v>
      </c>
      <c r="E4771">
        <v>0.90571999362973099</v>
      </c>
      <c r="F4771">
        <v>0.77051735956831502</v>
      </c>
      <c r="G4771">
        <v>0.38702268589873901</v>
      </c>
      <c r="H4771">
        <v>0.20261299286950399</v>
      </c>
      <c r="I4771">
        <v>0.17527716010956201</v>
      </c>
      <c r="J4771">
        <v>0.142949968167465</v>
      </c>
      <c r="K4771">
        <v>0.15088937313860101</v>
      </c>
      <c r="L4771">
        <v>1303.7076530501399</v>
      </c>
      <c r="M4771">
        <v>25.0995001882286</v>
      </c>
      <c r="N4771">
        <v>52.642103799831297</v>
      </c>
      <c r="O4771">
        <v>51.615230896205198</v>
      </c>
      <c r="P4771">
        <v>-0.10431158198450501</v>
      </c>
      <c r="Q4771">
        <v>0.141975728966622</v>
      </c>
      <c r="R4771">
        <v>0.99034207119117701</v>
      </c>
      <c r="S4771" t="s">
        <v>10322</v>
      </c>
      <c r="T4771" t="s">
        <v>11100</v>
      </c>
      <c r="U4771" t="s">
        <v>11100</v>
      </c>
      <c r="V4771" t="s">
        <v>11100</v>
      </c>
      <c r="W4771" t="s">
        <v>15819</v>
      </c>
      <c r="X4771">
        <v>7</v>
      </c>
      <c r="Y4771" t="s">
        <v>21246</v>
      </c>
      <c r="Z4771" t="s">
        <v>26776</v>
      </c>
      <c r="AA4771">
        <v>0.57686356508486114</v>
      </c>
      <c r="AB4771" t="str">
        <f>HYPERLINK("Melting_Curves/meltCurve_Q9H3P7_ACBD3.pdf", "Melting_Curves/meltCurve_Q9H3P7_ACBD3.pdf")</f>
        <v>Melting_Curves/meltCurve_Q9H3P7_ACBD3.pdf</v>
      </c>
    </row>
    <row r="4772" spans="1:28" x14ac:dyDescent="0.25">
      <c r="A4772" t="s">
        <v>4776</v>
      </c>
      <c r="B4772">
        <v>0.99299721793515405</v>
      </c>
      <c r="C4772">
        <v>1.00006282042134</v>
      </c>
      <c r="D4772">
        <v>0.91159639644666102</v>
      </c>
      <c r="E4772">
        <v>1.0057909201751201</v>
      </c>
      <c r="F4772">
        <v>0.82008184254936101</v>
      </c>
      <c r="G4772">
        <v>0.50709218082932395</v>
      </c>
      <c r="H4772">
        <v>0.51011151351573003</v>
      </c>
      <c r="I4772">
        <v>0.49953662944753102</v>
      </c>
      <c r="J4772">
        <v>0.53145144569903202</v>
      </c>
      <c r="K4772">
        <v>0.41995337857359599</v>
      </c>
      <c r="L4772">
        <v>2998.1883465487399</v>
      </c>
      <c r="M4772">
        <v>59.115825361156602</v>
      </c>
      <c r="N4772">
        <v>54.327790658612201</v>
      </c>
      <c r="O4772">
        <v>50.659246855824797</v>
      </c>
      <c r="P4772">
        <v>-0.14873511765702699</v>
      </c>
      <c r="Q4772">
        <v>0.49016659113719202</v>
      </c>
      <c r="R4772">
        <v>0.972411809694947</v>
      </c>
      <c r="S4772" t="s">
        <v>10323</v>
      </c>
      <c r="T4772" t="s">
        <v>11100</v>
      </c>
      <c r="U4772" t="s">
        <v>11100</v>
      </c>
      <c r="V4772" t="s">
        <v>11100</v>
      </c>
      <c r="W4772" t="s">
        <v>15820</v>
      </c>
      <c r="X4772">
        <v>13</v>
      </c>
      <c r="Y4772" t="s">
        <v>21247</v>
      </c>
      <c r="Z4772" t="s">
        <v>26777</v>
      </c>
      <c r="AA4772">
        <v>0.72409720996156024</v>
      </c>
      <c r="AB4772" t="str">
        <f>HYPERLINK("Melting_Curves/meltCurve_Q9H3Q1_CDC42EP4.pdf", "Melting_Curves/meltCurve_Q9H3Q1_CDC42EP4.pdf")</f>
        <v>Melting_Curves/meltCurve_Q9H3Q1_CDC42EP4.pdf</v>
      </c>
    </row>
    <row r="4773" spans="1:28" x14ac:dyDescent="0.25">
      <c r="A4773" t="s">
        <v>4777</v>
      </c>
      <c r="B4773">
        <v>0.99299721793515405</v>
      </c>
      <c r="C4773">
        <v>0.79475128402437301</v>
      </c>
      <c r="D4773">
        <v>1.02057510127548</v>
      </c>
      <c r="E4773">
        <v>0.82610684893586195</v>
      </c>
      <c r="F4773">
        <v>0.66463709797870596</v>
      </c>
      <c r="G4773">
        <v>0.39729173301442</v>
      </c>
      <c r="H4773">
        <v>0.29617781280292099</v>
      </c>
      <c r="I4773">
        <v>0.27121029792932499</v>
      </c>
      <c r="J4773">
        <v>0.29148486871586998</v>
      </c>
      <c r="K4773">
        <v>0.24426157769061899</v>
      </c>
      <c r="L4773">
        <v>908.324114177468</v>
      </c>
      <c r="M4773">
        <v>18.063806424421902</v>
      </c>
      <c r="N4773">
        <v>52.211721061178601</v>
      </c>
      <c r="O4773">
        <v>49.680077421791403</v>
      </c>
      <c r="P4773">
        <v>-6.8783939334937205E-2</v>
      </c>
      <c r="Q4773">
        <v>0.24334302872711</v>
      </c>
      <c r="R4773">
        <v>0.94722155696622801</v>
      </c>
      <c r="S4773" t="s">
        <v>10324</v>
      </c>
      <c r="T4773" t="s">
        <v>11100</v>
      </c>
      <c r="U4773" t="s">
        <v>11100</v>
      </c>
      <c r="V4773" t="s">
        <v>11100</v>
      </c>
      <c r="W4773" t="s">
        <v>15821</v>
      </c>
      <c r="X4773">
        <v>14</v>
      </c>
      <c r="Y4773" t="s">
        <v>21248</v>
      </c>
      <c r="Z4773" t="s">
        <v>26778</v>
      </c>
      <c r="AA4773">
        <v>0.59020492840105132</v>
      </c>
      <c r="AB4773" t="str">
        <f>HYPERLINK("Melting_Curves/meltCurve_Q9H3S7_PTPN23.pdf", "Melting_Curves/meltCurve_Q9H3S7_PTPN23.pdf")</f>
        <v>Melting_Curves/meltCurve_Q9H3S7_PTPN23.pdf</v>
      </c>
    </row>
    <row r="4774" spans="1:28" x14ac:dyDescent="0.25">
      <c r="A4774" t="s">
        <v>4778</v>
      </c>
      <c r="B4774">
        <v>0.99299721793515405</v>
      </c>
      <c r="C4774">
        <v>0.97985844855394599</v>
      </c>
      <c r="D4774">
        <v>0.97928842913952296</v>
      </c>
      <c r="E4774">
        <v>0.83689436602246303</v>
      </c>
      <c r="F4774">
        <v>0.59579545351285701</v>
      </c>
      <c r="G4774">
        <v>0.22938062801991799</v>
      </c>
      <c r="H4774">
        <v>0.18029698682718401</v>
      </c>
      <c r="I4774">
        <v>0.14296434526547699</v>
      </c>
      <c r="J4774">
        <v>0.129154007064126</v>
      </c>
      <c r="K4774">
        <v>0.111203454944713</v>
      </c>
      <c r="L4774">
        <v>1132.5461134475199</v>
      </c>
      <c r="M4774">
        <v>22.5675264009435</v>
      </c>
      <c r="N4774">
        <v>50.780805310765899</v>
      </c>
      <c r="O4774">
        <v>49.795689254863397</v>
      </c>
      <c r="P4774">
        <v>-0.10011978855277701</v>
      </c>
      <c r="Q4774">
        <v>0.11635253551048599</v>
      </c>
      <c r="R4774">
        <v>0.99618704121565005</v>
      </c>
      <c r="S4774" t="s">
        <v>10325</v>
      </c>
      <c r="T4774" t="s">
        <v>11100</v>
      </c>
      <c r="U4774" t="s">
        <v>11100</v>
      </c>
      <c r="V4774" t="s">
        <v>11100</v>
      </c>
      <c r="W4774" t="s">
        <v>15822</v>
      </c>
      <c r="X4774">
        <v>30</v>
      </c>
      <c r="Y4774" t="s">
        <v>21249</v>
      </c>
      <c r="Z4774" t="s">
        <v>26779</v>
      </c>
      <c r="AA4774">
        <v>0.51408164644117216</v>
      </c>
      <c r="AB4774" t="str">
        <f>HYPERLINK("Melting_Curves/meltCurve_Q9H3U1_UNC45A.pdf", "Melting_Curves/meltCurve_Q9H3U1_UNC45A.pdf")</f>
        <v>Melting_Curves/meltCurve_Q9H3U1_UNC45A.pdf</v>
      </c>
    </row>
    <row r="4775" spans="1:28" x14ac:dyDescent="0.25">
      <c r="A4775" t="s">
        <v>4779</v>
      </c>
      <c r="B4775">
        <v>0.99299721793515405</v>
      </c>
      <c r="C4775">
        <v>0.92012258968036498</v>
      </c>
      <c r="D4775">
        <v>0.98002761789149795</v>
      </c>
      <c r="E4775">
        <v>0.97139371255872498</v>
      </c>
      <c r="F4775">
        <v>0.833673887552007</v>
      </c>
      <c r="G4775">
        <v>0.457996754891075</v>
      </c>
      <c r="H4775">
        <v>0.56444560757718099</v>
      </c>
      <c r="I4775">
        <v>0.63032380453565195</v>
      </c>
      <c r="J4775">
        <v>0.88938579389975503</v>
      </c>
      <c r="K4775">
        <v>0.84522627826002195</v>
      </c>
      <c r="L4775">
        <v>12546.8461863499</v>
      </c>
      <c r="M4775">
        <v>250</v>
      </c>
      <c r="O4775">
        <v>50.1841862958033</v>
      </c>
      <c r="P4775">
        <v>-0.40167587883447398</v>
      </c>
      <c r="Q4775">
        <v>0.67747565078508698</v>
      </c>
      <c r="R4775">
        <v>0.55753786461905297</v>
      </c>
      <c r="S4775" t="s">
        <v>10326</v>
      </c>
      <c r="T4775" t="s">
        <v>11100</v>
      </c>
      <c r="U4775" t="s">
        <v>11100</v>
      </c>
      <c r="V4775" t="s">
        <v>11100</v>
      </c>
      <c r="W4775" t="s">
        <v>15823</v>
      </c>
      <c r="X4775">
        <v>1</v>
      </c>
      <c r="Y4775" t="s">
        <v>21250</v>
      </c>
      <c r="Z4775" t="s">
        <v>26780</v>
      </c>
      <c r="AA4775">
        <v>0.81927914753879771</v>
      </c>
      <c r="AB4775" t="str">
        <f>HYPERLINK("Melting_Curves/meltCurve_Q9H3U5_4_MFSD1.pdf", "Melting_Curves/meltCurve_Q9H3U5_4_MFSD1.pdf")</f>
        <v>Melting_Curves/meltCurve_Q9H3U5_4_MFSD1.pdf</v>
      </c>
    </row>
    <row r="4776" spans="1:28" x14ac:dyDescent="0.25">
      <c r="A4776" t="s">
        <v>4780</v>
      </c>
      <c r="B4776">
        <v>0.99299721793515405</v>
      </c>
      <c r="C4776">
        <v>0.54230628414660398</v>
      </c>
      <c r="D4776">
        <v>1.39472775562103</v>
      </c>
      <c r="E4776">
        <v>0.85179048295071402</v>
      </c>
      <c r="F4776">
        <v>1.06257693173867</v>
      </c>
      <c r="G4776">
        <v>0.38950299851473502</v>
      </c>
      <c r="H4776">
        <v>0.26972380307447003</v>
      </c>
      <c r="I4776">
        <v>0.90096553069797503</v>
      </c>
      <c r="J4776">
        <v>0.55628239441583804</v>
      </c>
      <c r="K4776">
        <v>1.03322194464376</v>
      </c>
      <c r="L4776">
        <v>12951.263351443</v>
      </c>
      <c r="M4776">
        <v>250</v>
      </c>
      <c r="O4776">
        <v>51.801718482535001</v>
      </c>
      <c r="P4776">
        <v>-0.44648462166705399</v>
      </c>
      <c r="Q4776">
        <v>0.62994112769657895</v>
      </c>
      <c r="R4776">
        <v>0.25604012696406597</v>
      </c>
      <c r="S4776" t="s">
        <v>10327</v>
      </c>
      <c r="T4776" t="s">
        <v>11100</v>
      </c>
      <c r="U4776" t="s">
        <v>11100</v>
      </c>
      <c r="V4776" t="s">
        <v>11100</v>
      </c>
      <c r="W4776" t="s">
        <v>15824</v>
      </c>
      <c r="X4776">
        <v>1</v>
      </c>
      <c r="Y4776" t="s">
        <v>21251</v>
      </c>
      <c r="Z4776" t="s">
        <v>26781</v>
      </c>
      <c r="AA4776">
        <v>0.81259948461991827</v>
      </c>
      <c r="AB4776" t="str">
        <f>HYPERLINK("Melting_Curves/meltCurve_Q9H3Y8_PPDPF.pdf", "Melting_Curves/meltCurve_Q9H3Y8_PPDPF.pdf")</f>
        <v>Melting_Curves/meltCurve_Q9H3Y8_PPDPF.pdf</v>
      </c>
    </row>
    <row r="4777" spans="1:28" x14ac:dyDescent="0.25">
      <c r="A4777" t="s">
        <v>4781</v>
      </c>
      <c r="B4777">
        <v>0.99299721793515405</v>
      </c>
      <c r="C4777">
        <v>0.998008806212618</v>
      </c>
      <c r="D4777">
        <v>0.89165242605096096</v>
      </c>
      <c r="E4777">
        <v>0.78790006572659399</v>
      </c>
      <c r="F4777">
        <v>0.69446770596340002</v>
      </c>
      <c r="G4777">
        <v>0.289315426687966</v>
      </c>
      <c r="H4777">
        <v>0.206170092787128</v>
      </c>
      <c r="I4777">
        <v>0.206647506365222</v>
      </c>
      <c r="J4777">
        <v>0.21839129427569801</v>
      </c>
      <c r="K4777">
        <v>0.159107600004007</v>
      </c>
      <c r="L4777">
        <v>877.07113911271801</v>
      </c>
      <c r="M4777">
        <v>17.411755432719801</v>
      </c>
      <c r="N4777">
        <v>51.460077411728001</v>
      </c>
      <c r="O4777">
        <v>49.721995807088803</v>
      </c>
      <c r="P4777">
        <v>-7.4071830988878901E-2</v>
      </c>
      <c r="Q4777">
        <v>0.15395264166984099</v>
      </c>
      <c r="R4777">
        <v>0.97673992003082499</v>
      </c>
      <c r="S4777" t="s">
        <v>10328</v>
      </c>
      <c r="T4777" t="s">
        <v>11100</v>
      </c>
      <c r="U4777" t="s">
        <v>11100</v>
      </c>
      <c r="V4777" t="s">
        <v>11100</v>
      </c>
      <c r="W4777" t="s">
        <v>15825</v>
      </c>
      <c r="X4777">
        <v>5</v>
      </c>
      <c r="Y4777" t="s">
        <v>21252</v>
      </c>
      <c r="Z4777" t="s">
        <v>26782</v>
      </c>
      <c r="AA4777">
        <v>0.54505965657197353</v>
      </c>
      <c r="AB4777" t="str">
        <f>HYPERLINK("Melting_Curves/meltCurve_Q9H410_DSN1.pdf", "Melting_Curves/meltCurve_Q9H410_DSN1.pdf")</f>
        <v>Melting_Curves/meltCurve_Q9H410_DSN1.pdf</v>
      </c>
    </row>
    <row r="4778" spans="1:28" x14ac:dyDescent="0.25">
      <c r="A4778" t="s">
        <v>4782</v>
      </c>
      <c r="B4778">
        <v>0.99299721793515405</v>
      </c>
      <c r="C4778">
        <v>1.01477956985768</v>
      </c>
      <c r="D4778">
        <v>0.97325207574098704</v>
      </c>
      <c r="E4778">
        <v>0.87216544967642895</v>
      </c>
      <c r="F4778">
        <v>0.77055867726974203</v>
      </c>
      <c r="G4778">
        <v>0.50239566609087805</v>
      </c>
      <c r="H4778">
        <v>0.43408833976870298</v>
      </c>
      <c r="I4778">
        <v>0.43143352846174199</v>
      </c>
      <c r="J4778">
        <v>0.52167355474120203</v>
      </c>
      <c r="K4778">
        <v>0.42421528895952898</v>
      </c>
      <c r="L4778">
        <v>1170.34877218152</v>
      </c>
      <c r="M4778">
        <v>23.31378114916</v>
      </c>
      <c r="N4778">
        <v>55.219932458923502</v>
      </c>
      <c r="O4778">
        <v>49.834903522399301</v>
      </c>
      <c r="P4778">
        <v>-6.5501629218459298E-2</v>
      </c>
      <c r="Q4778">
        <v>0.439951941664184</v>
      </c>
      <c r="R4778">
        <v>0.97503143997707997</v>
      </c>
      <c r="S4778" t="s">
        <v>10329</v>
      </c>
      <c r="T4778" t="s">
        <v>11100</v>
      </c>
      <c r="U4778" t="s">
        <v>11100</v>
      </c>
      <c r="V4778" t="s">
        <v>11100</v>
      </c>
      <c r="W4778" t="s">
        <v>15826</v>
      </c>
      <c r="X4778">
        <v>8</v>
      </c>
      <c r="Y4778" t="s">
        <v>21253</v>
      </c>
      <c r="Z4778" t="s">
        <v>26783</v>
      </c>
      <c r="AA4778">
        <v>0.69196563561644808</v>
      </c>
      <c r="AB4778" t="str">
        <f>HYPERLINK("Melting_Curves/meltCurve_Q9H425_C1orf198.pdf", "Melting_Curves/meltCurve_Q9H425_C1orf198.pdf")</f>
        <v>Melting_Curves/meltCurve_Q9H425_C1orf198.pdf</v>
      </c>
    </row>
    <row r="4779" spans="1:28" x14ac:dyDescent="0.25">
      <c r="A4779" t="s">
        <v>4783</v>
      </c>
      <c r="B4779">
        <v>0.99299721793515405</v>
      </c>
      <c r="C4779">
        <v>1.11030142308984</v>
      </c>
      <c r="D4779">
        <v>1.57453876263861</v>
      </c>
      <c r="E4779">
        <v>0.98821429827373497</v>
      </c>
      <c r="F4779">
        <v>0.84163868394063102</v>
      </c>
      <c r="G4779">
        <v>0.90371259529301895</v>
      </c>
      <c r="H4779">
        <v>0.62810714522120303</v>
      </c>
      <c r="I4779">
        <v>0.714043071973957</v>
      </c>
      <c r="J4779">
        <v>0.82987141019143995</v>
      </c>
      <c r="K4779">
        <v>0.90109036980206902</v>
      </c>
      <c r="L4779">
        <v>2353.6103615314701</v>
      </c>
      <c r="M4779">
        <v>47.788181292156999</v>
      </c>
      <c r="O4779">
        <v>49.164873995429403</v>
      </c>
      <c r="P4779">
        <v>-5.0341470494730103E-2</v>
      </c>
      <c r="Q4779">
        <v>0.79283333425247504</v>
      </c>
      <c r="R4779">
        <v>0.34208799557534902</v>
      </c>
      <c r="S4779" t="s">
        <v>10330</v>
      </c>
      <c r="T4779" t="s">
        <v>11100</v>
      </c>
      <c r="U4779" t="s">
        <v>11100</v>
      </c>
      <c r="V4779" t="s">
        <v>11100</v>
      </c>
      <c r="W4779" t="s">
        <v>15827</v>
      </c>
      <c r="X4779">
        <v>16</v>
      </c>
      <c r="Y4779" t="s">
        <v>21254</v>
      </c>
      <c r="Z4779" t="s">
        <v>26784</v>
      </c>
      <c r="AA4779">
        <v>0.87792543138121815</v>
      </c>
      <c r="AB4779" t="str">
        <f>HYPERLINK("Melting_Curves/meltCurve_Q9H444_CHMP4B.pdf", "Melting_Curves/meltCurve_Q9H444_CHMP4B.pdf")</f>
        <v>Melting_Curves/meltCurve_Q9H444_CHMP4B.pdf</v>
      </c>
    </row>
    <row r="4780" spans="1:28" x14ac:dyDescent="0.25">
      <c r="A4780" t="s">
        <v>4784</v>
      </c>
      <c r="B4780">
        <v>0.99299721793515405</v>
      </c>
      <c r="C4780">
        <v>0.79883365608189605</v>
      </c>
      <c r="D4780">
        <v>0.99829541018057499</v>
      </c>
      <c r="E4780">
        <v>0.60910103521402803</v>
      </c>
      <c r="F4780">
        <v>0.65931227487941402</v>
      </c>
      <c r="G4780">
        <v>0.68086142573599795</v>
      </c>
      <c r="H4780">
        <v>0.469696402951641</v>
      </c>
      <c r="I4780">
        <v>0.42588860933144901</v>
      </c>
      <c r="J4780">
        <v>0.506236431254802</v>
      </c>
      <c r="K4780">
        <v>0.48626551617027403</v>
      </c>
      <c r="L4780">
        <v>426.31350758527901</v>
      </c>
      <c r="M4780">
        <v>8.9681486358601106</v>
      </c>
      <c r="N4780">
        <v>60.237303040787999</v>
      </c>
      <c r="O4780">
        <v>45.351203036022497</v>
      </c>
      <c r="P4780">
        <v>-2.8470419910384698E-2</v>
      </c>
      <c r="Q4780">
        <v>0.42453312516206898</v>
      </c>
      <c r="R4780">
        <v>0.80407284492437403</v>
      </c>
      <c r="S4780" t="s">
        <v>10331</v>
      </c>
      <c r="T4780" t="s">
        <v>11100</v>
      </c>
      <c r="U4780" t="s">
        <v>11100</v>
      </c>
      <c r="V4780" t="s">
        <v>11100</v>
      </c>
      <c r="W4780" t="s">
        <v>15828</v>
      </c>
      <c r="X4780">
        <v>1</v>
      </c>
      <c r="Y4780" t="s">
        <v>21255</v>
      </c>
      <c r="Z4780" t="s">
        <v>26785</v>
      </c>
      <c r="AA4780">
        <v>0.65410513964653272</v>
      </c>
      <c r="AB4780" t="str">
        <f>HYPERLINK("Melting_Curves/meltCurve_Q9H461_FZD8.pdf", "Melting_Curves/meltCurve_Q9H461_FZD8.pdf")</f>
        <v>Melting_Curves/meltCurve_Q9H461_FZD8.pdf</v>
      </c>
    </row>
    <row r="4781" spans="1:28" x14ac:dyDescent="0.25">
      <c r="A4781" t="s">
        <v>4785</v>
      </c>
      <c r="B4781">
        <v>0.99299721793515405</v>
      </c>
      <c r="C4781">
        <v>0.89938736035674904</v>
      </c>
      <c r="D4781">
        <v>0.965428842816618</v>
      </c>
      <c r="E4781">
        <v>0.88801458384392296</v>
      </c>
      <c r="F4781">
        <v>0.82395247446577602</v>
      </c>
      <c r="G4781">
        <v>0.49093844278357601</v>
      </c>
      <c r="H4781">
        <v>0.414640365743568</v>
      </c>
      <c r="I4781">
        <v>0.40864228538564501</v>
      </c>
      <c r="J4781">
        <v>0.35253568490378001</v>
      </c>
      <c r="K4781">
        <v>0.29652644429855302</v>
      </c>
      <c r="L4781">
        <v>989.22897119609604</v>
      </c>
      <c r="M4781">
        <v>19.106746300364399</v>
      </c>
      <c r="N4781">
        <v>54.782208603272203</v>
      </c>
      <c r="O4781">
        <v>51.216672963225797</v>
      </c>
      <c r="P4781">
        <v>-6.2965043641967103E-2</v>
      </c>
      <c r="Q4781">
        <v>0.32490142095198199</v>
      </c>
      <c r="R4781">
        <v>0.96855593432435405</v>
      </c>
      <c r="S4781" t="s">
        <v>10332</v>
      </c>
      <c r="T4781" t="s">
        <v>11100</v>
      </c>
      <c r="U4781" t="s">
        <v>11100</v>
      </c>
      <c r="V4781" t="s">
        <v>11100</v>
      </c>
      <c r="W4781" t="s">
        <v>15829</v>
      </c>
      <c r="X4781">
        <v>7</v>
      </c>
      <c r="Y4781" t="s">
        <v>21256</v>
      </c>
      <c r="Z4781" t="s">
        <v>26786</v>
      </c>
      <c r="AA4781">
        <v>0.66676092708732093</v>
      </c>
      <c r="AB4781" t="str">
        <f>HYPERLINK("Melting_Curves/meltCurve_Q9H467_CUEDC2.pdf", "Melting_Curves/meltCurve_Q9H467_CUEDC2.pdf")</f>
        <v>Melting_Curves/meltCurve_Q9H467_CUEDC2.pdf</v>
      </c>
    </row>
    <row r="4782" spans="1:28" x14ac:dyDescent="0.25">
      <c r="A4782" t="s">
        <v>4786</v>
      </c>
      <c r="B4782">
        <v>0.99299721793515405</v>
      </c>
      <c r="C4782">
        <v>0.93323627240035001</v>
      </c>
      <c r="D4782">
        <v>0.95252536626026996</v>
      </c>
      <c r="E4782">
        <v>0.88867907615836395</v>
      </c>
      <c r="F4782">
        <v>0.52405589639686501</v>
      </c>
      <c r="G4782">
        <v>0.27199538378069599</v>
      </c>
      <c r="H4782">
        <v>0.27316235252160398</v>
      </c>
      <c r="I4782">
        <v>0.321368108546289</v>
      </c>
      <c r="J4782">
        <v>0.31311937955048103</v>
      </c>
      <c r="K4782">
        <v>0.189901330319314</v>
      </c>
      <c r="L4782">
        <v>1586.48540275656</v>
      </c>
      <c r="M4782">
        <v>32.2857237652319</v>
      </c>
      <c r="N4782">
        <v>50.318841037572398</v>
      </c>
      <c r="O4782">
        <v>48.951546334348897</v>
      </c>
      <c r="P4782">
        <v>-0.121112710585784</v>
      </c>
      <c r="Q4782">
        <v>0.265480250908537</v>
      </c>
      <c r="R4782">
        <v>0.98174470192764896</v>
      </c>
      <c r="S4782" t="s">
        <v>10333</v>
      </c>
      <c r="T4782" t="s">
        <v>11100</v>
      </c>
      <c r="U4782" t="s">
        <v>11100</v>
      </c>
      <c r="V4782" t="s">
        <v>11100</v>
      </c>
      <c r="W4782" t="s">
        <v>15830</v>
      </c>
      <c r="X4782">
        <v>9</v>
      </c>
      <c r="Y4782" t="s">
        <v>21257</v>
      </c>
      <c r="Z4782" t="s">
        <v>26787</v>
      </c>
      <c r="AA4782">
        <v>0.56652507321648793</v>
      </c>
      <c r="AB4782" t="str">
        <f>HYPERLINK("Melting_Curves/meltCurve_Q9H469_FBXL15.pdf", "Melting_Curves/meltCurve_Q9H469_FBXL15.pdf")</f>
        <v>Melting_Curves/meltCurve_Q9H469_FBXL15.pdf</v>
      </c>
    </row>
    <row r="4783" spans="1:28" x14ac:dyDescent="0.25">
      <c r="A4783" t="s">
        <v>4787</v>
      </c>
      <c r="B4783">
        <v>0.99299721793515405</v>
      </c>
      <c r="C4783">
        <v>0.970505399160561</v>
      </c>
      <c r="D4783">
        <v>0.94010410224962004</v>
      </c>
      <c r="E4783">
        <v>0.88344497249813203</v>
      </c>
      <c r="F4783">
        <v>0.80314056994347804</v>
      </c>
      <c r="G4783">
        <v>0.634503595219015</v>
      </c>
      <c r="H4783">
        <v>0.50627509644124602</v>
      </c>
      <c r="I4783">
        <v>0.45638365899666</v>
      </c>
      <c r="J4783">
        <v>0.23699357650953201</v>
      </c>
      <c r="K4783">
        <v>0.18482148528734299</v>
      </c>
      <c r="L4783">
        <v>524.92894473892204</v>
      </c>
      <c r="M4783">
        <v>9.1200025678147494</v>
      </c>
      <c r="N4783">
        <v>57.557967426486698</v>
      </c>
      <c r="O4783">
        <v>54.993141456672603</v>
      </c>
      <c r="P4783">
        <v>-4.1488366049503601E-2</v>
      </c>
      <c r="Q4783">
        <v>0</v>
      </c>
      <c r="R4783">
        <v>0.98677096328913605</v>
      </c>
      <c r="S4783" t="s">
        <v>10334</v>
      </c>
      <c r="T4783" t="s">
        <v>11100</v>
      </c>
      <c r="U4783" t="s">
        <v>11100</v>
      </c>
      <c r="V4783" t="s">
        <v>11100</v>
      </c>
      <c r="W4783" t="s">
        <v>15831</v>
      </c>
      <c r="X4783">
        <v>10</v>
      </c>
      <c r="Y4783" t="s">
        <v>21258</v>
      </c>
      <c r="Z4783" t="s">
        <v>26788</v>
      </c>
      <c r="AA4783">
        <v>0.67598656542208913</v>
      </c>
      <c r="AB4783" t="str">
        <f>HYPERLINK("Melting_Curves/meltCurve_Q9H488_POFUT1.pdf", "Melting_Curves/meltCurve_Q9H488_POFUT1.pdf")</f>
        <v>Melting_Curves/meltCurve_Q9H488_POFUT1.pdf</v>
      </c>
    </row>
    <row r="4784" spans="1:28" x14ac:dyDescent="0.25">
      <c r="A4784" t="s">
        <v>4788</v>
      </c>
      <c r="B4784">
        <v>0.99299721793515405</v>
      </c>
      <c r="C4784">
        <v>0.99618494271160496</v>
      </c>
      <c r="D4784">
        <v>0.97199477874815399</v>
      </c>
      <c r="E4784">
        <v>0.91048127258949696</v>
      </c>
      <c r="F4784">
        <v>0.72181043394167799</v>
      </c>
      <c r="G4784">
        <v>0.56037916881568695</v>
      </c>
      <c r="H4784">
        <v>0.31458884032210799</v>
      </c>
      <c r="I4784">
        <v>0.35941255916797099</v>
      </c>
      <c r="J4784">
        <v>0.27333962454480099</v>
      </c>
      <c r="K4784">
        <v>0.14798327463887001</v>
      </c>
      <c r="L4784">
        <v>733.26970611708998</v>
      </c>
      <c r="M4784">
        <v>13.8313457356976</v>
      </c>
      <c r="N4784">
        <v>54.608182463827902</v>
      </c>
      <c r="O4784">
        <v>51.943721089075602</v>
      </c>
      <c r="P4784">
        <v>-5.5525230614997999E-2</v>
      </c>
      <c r="Q4784">
        <v>0.16601405635555599</v>
      </c>
      <c r="R4784">
        <v>0.98360988186061304</v>
      </c>
      <c r="S4784" t="s">
        <v>10335</v>
      </c>
      <c r="T4784" t="s">
        <v>11100</v>
      </c>
      <c r="U4784" t="s">
        <v>11100</v>
      </c>
      <c r="V4784" t="s">
        <v>11100</v>
      </c>
      <c r="W4784" t="s">
        <v>15832</v>
      </c>
      <c r="X4784">
        <v>4</v>
      </c>
      <c r="Y4784" t="s">
        <v>21259</v>
      </c>
      <c r="Z4784" t="s">
        <v>26789</v>
      </c>
      <c r="AA4784">
        <v>0.62719339253292694</v>
      </c>
      <c r="AB4784" t="str">
        <f>HYPERLINK("Melting_Curves/meltCurve_Q9H496_IFRG15.pdf", "Melting_Curves/meltCurve_Q9H496_IFRG15.pdf")</f>
        <v>Melting_Curves/meltCurve_Q9H496_IFRG15.pdf</v>
      </c>
    </row>
    <row r="4785" spans="1:28" x14ac:dyDescent="0.25">
      <c r="A4785" t="s">
        <v>4789</v>
      </c>
      <c r="B4785">
        <v>0.99299721793515405</v>
      </c>
      <c r="C4785">
        <v>0.98978971588751197</v>
      </c>
      <c r="D4785">
        <v>0.97555567773302998</v>
      </c>
      <c r="E4785">
        <v>0.83020665921477599</v>
      </c>
      <c r="F4785">
        <v>0.44539531449182801</v>
      </c>
      <c r="G4785">
        <v>0.26829813975662797</v>
      </c>
      <c r="H4785">
        <v>0.151201751224908</v>
      </c>
      <c r="I4785">
        <v>0.14550419375701901</v>
      </c>
      <c r="J4785">
        <v>0.13555346816966601</v>
      </c>
      <c r="K4785">
        <v>0.11265956589647599</v>
      </c>
      <c r="L4785">
        <v>1142.3496151924101</v>
      </c>
      <c r="M4785">
        <v>23.198100906370598</v>
      </c>
      <c r="N4785">
        <v>49.883749211754001</v>
      </c>
      <c r="O4785">
        <v>48.881691838261801</v>
      </c>
      <c r="P4785">
        <v>-0.10336471012215601</v>
      </c>
      <c r="Q4785">
        <v>0.12879929469191001</v>
      </c>
      <c r="R4785">
        <v>0.99828716989937505</v>
      </c>
      <c r="S4785" t="s">
        <v>10336</v>
      </c>
      <c r="T4785" t="s">
        <v>11100</v>
      </c>
      <c r="U4785" t="s">
        <v>11100</v>
      </c>
      <c r="V4785" t="s">
        <v>11100</v>
      </c>
      <c r="W4785" t="s">
        <v>15833</v>
      </c>
      <c r="X4785">
        <v>6</v>
      </c>
      <c r="Y4785" t="s">
        <v>21260</v>
      </c>
      <c r="Z4785" t="s">
        <v>26790</v>
      </c>
      <c r="AA4785">
        <v>0.4930606573449563</v>
      </c>
      <c r="AB4785" t="str">
        <f>HYPERLINK("Melting_Curves/meltCurve_Q9H4A5_GOLPH3L.pdf", "Melting_Curves/meltCurve_Q9H4A5_GOLPH3L.pdf")</f>
        <v>Melting_Curves/meltCurve_Q9H4A5_GOLPH3L.pdf</v>
      </c>
    </row>
    <row r="4786" spans="1:28" x14ac:dyDescent="0.25">
      <c r="A4786" t="s">
        <v>4790</v>
      </c>
      <c r="B4786">
        <v>0.99299721793515405</v>
      </c>
      <c r="C4786">
        <v>1.0163593144743099</v>
      </c>
      <c r="D4786">
        <v>0.95697319342296505</v>
      </c>
      <c r="E4786">
        <v>0.98442437555707696</v>
      </c>
      <c r="F4786">
        <v>0.85658667797087795</v>
      </c>
      <c r="G4786">
        <v>0.68038787290090597</v>
      </c>
      <c r="H4786">
        <v>0.37324030266298902</v>
      </c>
      <c r="I4786">
        <v>0.31474966698668899</v>
      </c>
      <c r="J4786">
        <v>0.23949695420407099</v>
      </c>
      <c r="K4786">
        <v>0.229151206753897</v>
      </c>
      <c r="L4786">
        <v>1125.14192940916</v>
      </c>
      <c r="M4786">
        <v>20.701109299232801</v>
      </c>
      <c r="N4786">
        <v>55.858464544068099</v>
      </c>
      <c r="O4786">
        <v>53.852188473761899</v>
      </c>
      <c r="P4786">
        <v>-7.5544432147703705E-2</v>
      </c>
      <c r="Q4786">
        <v>0.21393233049943899</v>
      </c>
      <c r="R4786">
        <v>0.99453395016356905</v>
      </c>
      <c r="S4786" t="s">
        <v>10337</v>
      </c>
      <c r="T4786" t="s">
        <v>11100</v>
      </c>
      <c r="U4786" t="s">
        <v>11100</v>
      </c>
      <c r="V4786" t="s">
        <v>11100</v>
      </c>
      <c r="W4786" t="s">
        <v>15834</v>
      </c>
      <c r="X4786">
        <v>4</v>
      </c>
      <c r="Y4786" t="s">
        <v>21261</v>
      </c>
      <c r="Z4786" t="s">
        <v>26791</v>
      </c>
      <c r="AA4786">
        <v>0.67751766638948607</v>
      </c>
      <c r="AB4786" t="str">
        <f>HYPERLINK("Melting_Curves/meltCurve_Q9H4A6_GOLPH3.pdf", "Melting_Curves/meltCurve_Q9H4A6_GOLPH3.pdf")</f>
        <v>Melting_Curves/meltCurve_Q9H4A6_GOLPH3.pdf</v>
      </c>
    </row>
    <row r="4787" spans="1:28" x14ac:dyDescent="0.25">
      <c r="A4787" t="s">
        <v>4791</v>
      </c>
      <c r="B4787">
        <v>0.99299721793515405</v>
      </c>
      <c r="C4787">
        <v>1.04047903698125</v>
      </c>
      <c r="D4787">
        <v>0.93425579688992599</v>
      </c>
      <c r="E4787">
        <v>0.86254754891571195</v>
      </c>
      <c r="F4787">
        <v>0.74041559893009301</v>
      </c>
      <c r="G4787">
        <v>0.487518806958604</v>
      </c>
      <c r="H4787">
        <v>0.29202033681923001</v>
      </c>
      <c r="I4787">
        <v>0.20001202225124501</v>
      </c>
      <c r="J4787">
        <v>0.15932357959538901</v>
      </c>
      <c r="K4787">
        <v>0.13000772506172401</v>
      </c>
      <c r="L4787">
        <v>765.20086323994894</v>
      </c>
      <c r="M4787">
        <v>14.463209893002199</v>
      </c>
      <c r="N4787">
        <v>53.597648639502502</v>
      </c>
      <c r="O4787">
        <v>51.926132624285501</v>
      </c>
      <c r="P4787">
        <v>-6.3718536351361599E-2</v>
      </c>
      <c r="Q4787">
        <v>8.5051785405029001E-2</v>
      </c>
      <c r="R4787">
        <v>0.99573019398868301</v>
      </c>
      <c r="S4787" t="s">
        <v>10338</v>
      </c>
      <c r="T4787" t="s">
        <v>11100</v>
      </c>
      <c r="U4787" t="s">
        <v>11100</v>
      </c>
      <c r="V4787" t="s">
        <v>11100</v>
      </c>
      <c r="W4787" t="s">
        <v>15835</v>
      </c>
      <c r="X4787">
        <v>6</v>
      </c>
      <c r="Y4787" t="s">
        <v>21262</v>
      </c>
      <c r="Z4787" t="s">
        <v>26792</v>
      </c>
      <c r="AA4787">
        <v>0.58720967015307746</v>
      </c>
      <c r="AB4787" t="str">
        <f>HYPERLINK("Melting_Curves/meltCurve_Q9H4B0_OSGEPL1.pdf", "Melting_Curves/meltCurve_Q9H4B0_OSGEPL1.pdf")</f>
        <v>Melting_Curves/meltCurve_Q9H4B0_OSGEPL1.pdf</v>
      </c>
    </row>
    <row r="4788" spans="1:28" x14ac:dyDescent="0.25">
      <c r="A4788" t="s">
        <v>4792</v>
      </c>
      <c r="B4788">
        <v>0.99299721793515405</v>
      </c>
      <c r="C4788">
        <v>0.81612919312884702</v>
      </c>
      <c r="D4788">
        <v>0.83458400314129899</v>
      </c>
      <c r="E4788">
        <v>0.69179373666524502</v>
      </c>
      <c r="F4788">
        <v>0.48049638395633099</v>
      </c>
      <c r="G4788">
        <v>0.30468761666913102</v>
      </c>
      <c r="H4788">
        <v>0.26344574306922097</v>
      </c>
      <c r="I4788">
        <v>0.106558207944921</v>
      </c>
      <c r="J4788">
        <v>0.27845661869522997</v>
      </c>
      <c r="K4788">
        <v>0</v>
      </c>
      <c r="L4788">
        <v>441.80177120881001</v>
      </c>
      <c r="M4788">
        <v>8.8473971388158308</v>
      </c>
      <c r="N4788">
        <v>49.935788500660699</v>
      </c>
      <c r="O4788">
        <v>47.582051417524703</v>
      </c>
      <c r="P4788">
        <v>-4.6520967406542303E-2</v>
      </c>
      <c r="Q4788">
        <v>0</v>
      </c>
      <c r="R4788">
        <v>0.951710501648805</v>
      </c>
      <c r="S4788" t="s">
        <v>10339</v>
      </c>
      <c r="T4788" t="s">
        <v>11100</v>
      </c>
      <c r="U4788" t="s">
        <v>11100</v>
      </c>
      <c r="V4788" t="s">
        <v>11100</v>
      </c>
      <c r="W4788" t="s">
        <v>15836</v>
      </c>
      <c r="X4788">
        <v>2</v>
      </c>
      <c r="Y4788" t="s">
        <v>21263</v>
      </c>
      <c r="Z4788" t="s">
        <v>26793</v>
      </c>
      <c r="AA4788">
        <v>0.46925936382627059</v>
      </c>
      <c r="AB4788" t="str">
        <f>HYPERLINK("Melting_Curves/meltCurve_Q9H4H8_FAM83D.pdf", "Melting_Curves/meltCurve_Q9H4H8_FAM83D.pdf")</f>
        <v>Melting_Curves/meltCurve_Q9H4H8_FAM83D.pdf</v>
      </c>
    </row>
    <row r="4789" spans="1:28" x14ac:dyDescent="0.25">
      <c r="A4789" t="s">
        <v>4793</v>
      </c>
      <c r="B4789">
        <v>0.99299721793515405</v>
      </c>
      <c r="C4789">
        <v>0.92932532603837403</v>
      </c>
      <c r="D4789">
        <v>0.96018337987036095</v>
      </c>
      <c r="E4789">
        <v>0.79961004448338702</v>
      </c>
      <c r="F4789">
        <v>0.39825909189450898</v>
      </c>
      <c r="G4789">
        <v>0.20293439749609499</v>
      </c>
      <c r="H4789">
        <v>0.16903860218937</v>
      </c>
      <c r="I4789">
        <v>0.13424279311842</v>
      </c>
      <c r="J4789">
        <v>0.12835018135694401</v>
      </c>
      <c r="K4789">
        <v>9.4433221326223796E-2</v>
      </c>
      <c r="L4789">
        <v>1197.43375559886</v>
      </c>
      <c r="M4789">
        <v>24.568279273554399</v>
      </c>
      <c r="N4789">
        <v>49.3033385081552</v>
      </c>
      <c r="O4789">
        <v>48.4195498019536</v>
      </c>
      <c r="P4789">
        <v>-0.111305276383764</v>
      </c>
      <c r="Q4789">
        <v>0.122563909909193</v>
      </c>
      <c r="R4789">
        <v>0.99526573875345703</v>
      </c>
      <c r="S4789" t="s">
        <v>10340</v>
      </c>
      <c r="T4789" t="s">
        <v>11100</v>
      </c>
      <c r="U4789" t="s">
        <v>11100</v>
      </c>
      <c r="V4789" t="s">
        <v>11100</v>
      </c>
      <c r="W4789" t="s">
        <v>15837</v>
      </c>
      <c r="X4789">
        <v>3</v>
      </c>
      <c r="Y4789" t="s">
        <v>21264</v>
      </c>
      <c r="Z4789" t="s">
        <v>26794</v>
      </c>
      <c r="AA4789">
        <v>0.47372189612449422</v>
      </c>
      <c r="AB4789" t="str">
        <f>HYPERLINK("Melting_Curves/meltCurve_Q9H4K7_GTPBP5.pdf", "Melting_Curves/meltCurve_Q9H4K7_GTPBP5.pdf")</f>
        <v>Melting_Curves/meltCurve_Q9H4K7_GTPBP5.pdf</v>
      </c>
    </row>
    <row r="4790" spans="1:28" x14ac:dyDescent="0.25">
      <c r="A4790" t="s">
        <v>4794</v>
      </c>
      <c r="B4790">
        <v>0.99299721793515405</v>
      </c>
      <c r="C4790">
        <v>0.97503927684786096</v>
      </c>
      <c r="D4790">
        <v>0.92869839394417197</v>
      </c>
      <c r="E4790">
        <v>0.73277488431827498</v>
      </c>
      <c r="F4790">
        <v>0.76915698489979201</v>
      </c>
      <c r="G4790">
        <v>0.301149433392638</v>
      </c>
      <c r="H4790">
        <v>0.36317268687621901</v>
      </c>
      <c r="I4790">
        <v>0.38089901419015398</v>
      </c>
      <c r="J4790">
        <v>0.34278203272286301</v>
      </c>
      <c r="K4790">
        <v>0.29478430988666599</v>
      </c>
      <c r="L4790">
        <v>776.89966979139797</v>
      </c>
      <c r="M4790">
        <v>15.709050500938501</v>
      </c>
      <c r="N4790">
        <v>52.491344513142501</v>
      </c>
      <c r="O4790">
        <v>48.674918271879299</v>
      </c>
      <c r="P4790">
        <v>-5.6609079212021303E-2</v>
      </c>
      <c r="Q4790">
        <v>0.298440084033887</v>
      </c>
      <c r="R4790">
        <v>0.92822120562236998</v>
      </c>
      <c r="S4790" t="s">
        <v>10341</v>
      </c>
      <c r="T4790" t="s">
        <v>11100</v>
      </c>
      <c r="U4790" t="s">
        <v>11100</v>
      </c>
      <c r="V4790" t="s">
        <v>11100</v>
      </c>
      <c r="W4790" t="s">
        <v>15838</v>
      </c>
      <c r="X4790">
        <v>3</v>
      </c>
      <c r="Y4790" t="s">
        <v>21265</v>
      </c>
      <c r="Z4790" t="s">
        <v>26795</v>
      </c>
      <c r="AA4790">
        <v>0.60360239201699672</v>
      </c>
      <c r="AB4790" t="str">
        <f>HYPERLINK("Melting_Curves/meltCurve_Q9H4L5_2_OSBPL3.pdf", "Melting_Curves/meltCurve_Q9H4L5_2_OSBPL3.pdf")</f>
        <v>Melting_Curves/meltCurve_Q9H4L5_2_OSBPL3.pdf</v>
      </c>
    </row>
    <row r="4791" spans="1:28" x14ac:dyDescent="0.25">
      <c r="A4791" t="s">
        <v>4795</v>
      </c>
      <c r="B4791">
        <v>0.99299721793515405</v>
      </c>
      <c r="C4791">
        <v>0.96988248912013597</v>
      </c>
      <c r="D4791">
        <v>0.95930029412070805</v>
      </c>
      <c r="E4791">
        <v>0.81611841743163704</v>
      </c>
      <c r="F4791">
        <v>0.64044067176868102</v>
      </c>
      <c r="G4791">
        <v>0.25650158454011801</v>
      </c>
      <c r="H4791">
        <v>0.163224687222885</v>
      </c>
      <c r="I4791">
        <v>0.14833112201725601</v>
      </c>
      <c r="J4791">
        <v>0.131912219965858</v>
      </c>
      <c r="K4791">
        <v>0.100538159489881</v>
      </c>
      <c r="L4791">
        <v>1017.23446306341</v>
      </c>
      <c r="M4791">
        <v>20.135341035110699</v>
      </c>
      <c r="N4791">
        <v>51.098088929609801</v>
      </c>
      <c r="O4791">
        <v>50.029466497793102</v>
      </c>
      <c r="P4791">
        <v>-9.0369427535936603E-2</v>
      </c>
      <c r="Q4791">
        <v>0.101879437262248</v>
      </c>
      <c r="R4791">
        <v>0.99285958143154096</v>
      </c>
      <c r="S4791" t="s">
        <v>10342</v>
      </c>
      <c r="T4791" t="s">
        <v>11100</v>
      </c>
      <c r="U4791" t="s">
        <v>11100</v>
      </c>
      <c r="V4791" t="s">
        <v>11100</v>
      </c>
      <c r="W4791" t="s">
        <v>15839</v>
      </c>
      <c r="X4791">
        <v>10</v>
      </c>
      <c r="Y4791" t="s">
        <v>21266</v>
      </c>
      <c r="Z4791" t="s">
        <v>26796</v>
      </c>
      <c r="AA4791">
        <v>0.51829396069764866</v>
      </c>
      <c r="AB4791" t="str">
        <f>HYPERLINK("Melting_Curves/meltCurve_Q9H4L7_SMARCAD1.pdf", "Melting_Curves/meltCurve_Q9H4L7_SMARCAD1.pdf")</f>
        <v>Melting_Curves/meltCurve_Q9H4L7_SMARCAD1.pdf</v>
      </c>
    </row>
    <row r="4792" spans="1:28" x14ac:dyDescent="0.25">
      <c r="A4792" t="s">
        <v>4796</v>
      </c>
      <c r="B4792">
        <v>0.99299721793515405</v>
      </c>
      <c r="C4792">
        <v>1.03030681964555</v>
      </c>
      <c r="D4792">
        <v>0.96030422917506597</v>
      </c>
      <c r="E4792">
        <v>0.93386444212240205</v>
      </c>
      <c r="F4792">
        <v>0.76678970109605504</v>
      </c>
      <c r="G4792">
        <v>0.398706730546253</v>
      </c>
      <c r="H4792">
        <v>0.217985542034839</v>
      </c>
      <c r="I4792">
        <v>0.18893136269979799</v>
      </c>
      <c r="J4792">
        <v>0.17096000612221701</v>
      </c>
      <c r="K4792">
        <v>0.12576601530971701</v>
      </c>
      <c r="L4792">
        <v>1280.22589032666</v>
      </c>
      <c r="M4792">
        <v>24.615561604040401</v>
      </c>
      <c r="N4792">
        <v>52.757771925615401</v>
      </c>
      <c r="O4792">
        <v>51.669198935759198</v>
      </c>
      <c r="P4792">
        <v>-0.10154010410005</v>
      </c>
      <c r="Q4792">
        <v>0.14746275115374899</v>
      </c>
      <c r="R4792">
        <v>0.99691803018873604</v>
      </c>
      <c r="S4792" t="s">
        <v>10343</v>
      </c>
      <c r="T4792" t="s">
        <v>11100</v>
      </c>
      <c r="U4792" t="s">
        <v>11100</v>
      </c>
      <c r="V4792" t="s">
        <v>11100</v>
      </c>
      <c r="W4792" t="s">
        <v>15840</v>
      </c>
      <c r="X4792">
        <v>12</v>
      </c>
      <c r="Y4792" t="s">
        <v>21267</v>
      </c>
      <c r="Z4792" t="s">
        <v>26797</v>
      </c>
      <c r="AA4792">
        <v>0.5817469043485487</v>
      </c>
      <c r="AB4792" t="str">
        <f>HYPERLINK("Melting_Curves/meltCurve_Q9H4M9_EHD1.pdf", "Melting_Curves/meltCurve_Q9H4M9_EHD1.pdf")</f>
        <v>Melting_Curves/meltCurve_Q9H4M9_EHD1.pdf</v>
      </c>
    </row>
    <row r="4793" spans="1:28" x14ac:dyDescent="0.25">
      <c r="A4793" t="s">
        <v>4797</v>
      </c>
      <c r="B4793">
        <v>0.99299721793515405</v>
      </c>
      <c r="C4793">
        <v>2.2550918410545</v>
      </c>
      <c r="D4793">
        <v>2.1590484334550402</v>
      </c>
      <c r="E4793">
        <v>1.6027519674558199</v>
      </c>
      <c r="F4793">
        <v>1.2945590376148</v>
      </c>
      <c r="G4793">
        <v>1.5703132205631201</v>
      </c>
      <c r="H4793">
        <v>0</v>
      </c>
      <c r="I4793">
        <v>0.53712431310861097</v>
      </c>
      <c r="J4793">
        <v>0.34895280958613201</v>
      </c>
      <c r="K4793">
        <v>0.31197583303494197</v>
      </c>
      <c r="L4793">
        <v>4590.0056295674804</v>
      </c>
      <c r="M4793">
        <v>82.323550746426093</v>
      </c>
      <c r="N4793">
        <v>56.423160210782598</v>
      </c>
      <c r="O4793">
        <v>55.722808090581402</v>
      </c>
      <c r="P4793">
        <v>-0.25440731348455897</v>
      </c>
      <c r="Q4793">
        <v>0.311191636937802</v>
      </c>
      <c r="R4793">
        <v>0.31071655895328798</v>
      </c>
      <c r="S4793" t="s">
        <v>10344</v>
      </c>
      <c r="T4793" t="s">
        <v>11100</v>
      </c>
      <c r="U4793" t="s">
        <v>11100</v>
      </c>
      <c r="V4793" t="s">
        <v>11100</v>
      </c>
      <c r="W4793" t="s">
        <v>15841</v>
      </c>
      <c r="X4793">
        <v>2</v>
      </c>
      <c r="Y4793" t="s">
        <v>21268</v>
      </c>
      <c r="Z4793" t="s">
        <v>26798</v>
      </c>
      <c r="AA4793">
        <v>0.74244998590766087</v>
      </c>
      <c r="AB4793" t="str">
        <f>HYPERLINK("Melting_Curves/meltCurve_Q9H4P4_2_RNF41.pdf", "Melting_Curves/meltCurve_Q9H4P4_2_RNF41.pdf")</f>
        <v>Melting_Curves/meltCurve_Q9H4P4_2_RNF41.pdf</v>
      </c>
    </row>
    <row r="4794" spans="1:28" x14ac:dyDescent="0.25">
      <c r="A4794" t="s">
        <v>4798</v>
      </c>
      <c r="B4794">
        <v>0.99299721793515405</v>
      </c>
      <c r="C4794">
        <v>1.1922814783478399</v>
      </c>
      <c r="D4794">
        <v>1.0587882044677801</v>
      </c>
      <c r="E4794">
        <v>1.0241023203747499</v>
      </c>
      <c r="F4794">
        <v>0.82930932536206003</v>
      </c>
      <c r="G4794">
        <v>0.47701706507858599</v>
      </c>
      <c r="H4794">
        <v>0.386814966964315</v>
      </c>
      <c r="I4794">
        <v>0.38769968426103402</v>
      </c>
      <c r="J4794">
        <v>0.22052894625747901</v>
      </c>
      <c r="K4794">
        <v>0.101885409134805</v>
      </c>
      <c r="L4794">
        <v>1055.0463487674001</v>
      </c>
      <c r="M4794">
        <v>19.823887931485501</v>
      </c>
      <c r="N4794">
        <v>54.615699896790403</v>
      </c>
      <c r="O4794">
        <v>52.688266196053803</v>
      </c>
      <c r="P4794">
        <v>-7.5381698222591401E-2</v>
      </c>
      <c r="Q4794">
        <v>0.198623982063036</v>
      </c>
      <c r="R4794">
        <v>0.94044708076806305</v>
      </c>
      <c r="S4794" t="s">
        <v>10345</v>
      </c>
      <c r="T4794" t="s">
        <v>11100</v>
      </c>
      <c r="U4794" t="s">
        <v>11100</v>
      </c>
      <c r="V4794" t="s">
        <v>11100</v>
      </c>
      <c r="W4794" t="s">
        <v>15842</v>
      </c>
      <c r="X4794">
        <v>1</v>
      </c>
      <c r="Y4794" t="s">
        <v>21269</v>
      </c>
      <c r="Z4794" t="s">
        <v>26799</v>
      </c>
      <c r="AA4794">
        <v>0.64207184542584994</v>
      </c>
      <c r="AB4794" t="str">
        <f>HYPERLINK("Melting_Curves/meltCurve_Q9H4Z3_PCIF1.pdf", "Melting_Curves/meltCurve_Q9H4Z3_PCIF1.pdf")</f>
        <v>Melting_Curves/meltCurve_Q9H4Z3_PCIF1.pdf</v>
      </c>
    </row>
    <row r="4795" spans="1:28" x14ac:dyDescent="0.25">
      <c r="A4795" t="s">
        <v>4799</v>
      </c>
      <c r="B4795">
        <v>0.99299721793515405</v>
      </c>
      <c r="C4795">
        <v>0.95513674682079697</v>
      </c>
      <c r="D4795">
        <v>0.929203605872161</v>
      </c>
      <c r="E4795">
        <v>0.87598886833549205</v>
      </c>
      <c r="F4795">
        <v>0.80006414731120301</v>
      </c>
      <c r="G4795">
        <v>0.444173114758945</v>
      </c>
      <c r="H4795">
        <v>0.120407134830602</v>
      </c>
      <c r="I4795">
        <v>8.92984602464931E-2</v>
      </c>
      <c r="J4795">
        <v>6.28204386677398E-2</v>
      </c>
      <c r="K4795">
        <v>6.7947632021273796E-2</v>
      </c>
      <c r="L4795">
        <v>1204.2968060122801</v>
      </c>
      <c r="M4795">
        <v>22.802294245537599</v>
      </c>
      <c r="N4795">
        <v>53.010440348878497</v>
      </c>
      <c r="O4795">
        <v>52.413549041794901</v>
      </c>
      <c r="P4795">
        <v>-0.10437218015439099</v>
      </c>
      <c r="Q4795">
        <v>4.0375519913407598E-2</v>
      </c>
      <c r="R4795">
        <v>0.98889741332995196</v>
      </c>
      <c r="S4795" t="s">
        <v>10346</v>
      </c>
      <c r="T4795" t="s">
        <v>11100</v>
      </c>
      <c r="U4795" t="s">
        <v>11100</v>
      </c>
      <c r="V4795" t="s">
        <v>11100</v>
      </c>
      <c r="W4795" t="s">
        <v>15843</v>
      </c>
      <c r="X4795">
        <v>5</v>
      </c>
      <c r="Y4795" t="s">
        <v>21270</v>
      </c>
      <c r="Z4795" t="s">
        <v>26800</v>
      </c>
      <c r="AA4795">
        <v>0.55616353683919995</v>
      </c>
      <c r="AB4795" t="str">
        <f>HYPERLINK("Melting_Curves/meltCurve_Q9H553_ALG2.pdf", "Melting_Curves/meltCurve_Q9H553_ALG2.pdf")</f>
        <v>Melting_Curves/meltCurve_Q9H553_ALG2.pdf</v>
      </c>
    </row>
    <row r="4796" spans="1:28" x14ac:dyDescent="0.25">
      <c r="A4796" t="s">
        <v>4800</v>
      </c>
      <c r="B4796">
        <v>0.99299721793515405</v>
      </c>
      <c r="C4796">
        <v>0.88550802338199797</v>
      </c>
      <c r="D4796">
        <v>1.16751999052414</v>
      </c>
      <c r="E4796">
        <v>0.83907380460589498</v>
      </c>
      <c r="F4796">
        <v>0.74434079689883803</v>
      </c>
      <c r="G4796">
        <v>0.46700805415429297</v>
      </c>
      <c r="H4796">
        <v>0.35736905326149598</v>
      </c>
      <c r="I4796">
        <v>0.46226329982714698</v>
      </c>
      <c r="J4796">
        <v>0.71291376349626501</v>
      </c>
      <c r="K4796">
        <v>0.70035374097283798</v>
      </c>
      <c r="L4796">
        <v>1548.3077802822099</v>
      </c>
      <c r="M4796">
        <v>31.8039615670911</v>
      </c>
      <c r="O4796">
        <v>48.491598401130801</v>
      </c>
      <c r="P4796">
        <v>-7.4699826153466597E-2</v>
      </c>
      <c r="Q4796">
        <v>0.54442212057261696</v>
      </c>
      <c r="R4796">
        <v>0.72363039615815195</v>
      </c>
      <c r="S4796" t="s">
        <v>10347</v>
      </c>
      <c r="T4796" t="s">
        <v>11100</v>
      </c>
      <c r="U4796" t="s">
        <v>11100</v>
      </c>
      <c r="V4796" t="s">
        <v>11100</v>
      </c>
      <c r="W4796" t="s">
        <v>15844</v>
      </c>
      <c r="X4796">
        <v>2</v>
      </c>
      <c r="Y4796" t="s">
        <v>21271</v>
      </c>
      <c r="Z4796" t="s">
        <v>26801</v>
      </c>
      <c r="AA4796">
        <v>0.72426811263088275</v>
      </c>
      <c r="AB4796" t="str">
        <f>HYPERLINK("Melting_Curves/meltCurve_Q9H5J0_ZBTB3.pdf", "Melting_Curves/meltCurve_Q9H5J0_ZBTB3.pdf")</f>
        <v>Melting_Curves/meltCurve_Q9H5J0_ZBTB3.pdf</v>
      </c>
    </row>
    <row r="4797" spans="1:28" x14ac:dyDescent="0.25">
      <c r="A4797" t="s">
        <v>4801</v>
      </c>
      <c r="B4797">
        <v>0.99299721793515405</v>
      </c>
      <c r="C4797">
        <v>0.99490763072226596</v>
      </c>
      <c r="D4797">
        <v>1.10388896103698</v>
      </c>
      <c r="E4797">
        <v>0.96619174906874095</v>
      </c>
      <c r="F4797">
        <v>0.62498156573724395</v>
      </c>
      <c r="G4797">
        <v>0.52173577877533295</v>
      </c>
      <c r="H4797">
        <v>0.25759907030530699</v>
      </c>
      <c r="I4797">
        <v>0.22062118044500301</v>
      </c>
      <c r="J4797">
        <v>0.21927499226636199</v>
      </c>
      <c r="K4797">
        <v>0.184351993574531</v>
      </c>
      <c r="L4797">
        <v>1023.00053857051</v>
      </c>
      <c r="M4797">
        <v>19.780610317257501</v>
      </c>
      <c r="N4797">
        <v>52.974587771458303</v>
      </c>
      <c r="O4797">
        <v>51.197479587069303</v>
      </c>
      <c r="P4797">
        <v>-7.84984869007231E-2</v>
      </c>
      <c r="Q4797">
        <v>0.187328021023138</v>
      </c>
      <c r="R4797">
        <v>0.97573640177507803</v>
      </c>
      <c r="S4797" t="s">
        <v>10348</v>
      </c>
      <c r="T4797" t="s">
        <v>11100</v>
      </c>
      <c r="U4797" t="s">
        <v>11100</v>
      </c>
      <c r="V4797" t="s">
        <v>11100</v>
      </c>
      <c r="W4797" t="s">
        <v>15845</v>
      </c>
      <c r="X4797">
        <v>17</v>
      </c>
      <c r="Y4797" t="s">
        <v>21272</v>
      </c>
      <c r="Z4797" t="s">
        <v>26802</v>
      </c>
      <c r="AA4797">
        <v>0.59673955869354178</v>
      </c>
      <c r="AB4797" t="str">
        <f>HYPERLINK("Melting_Curves/meltCurve_Q9H5N1_RABEP2.pdf", "Melting_Curves/meltCurve_Q9H5N1_RABEP2.pdf")</f>
        <v>Melting_Curves/meltCurve_Q9H5N1_RABEP2.pdf</v>
      </c>
    </row>
    <row r="4798" spans="1:28" x14ac:dyDescent="0.25">
      <c r="A4798" t="s">
        <v>4802</v>
      </c>
      <c r="B4798">
        <v>0.99299721793515405</v>
      </c>
      <c r="C4798">
        <v>1.14777195347854</v>
      </c>
      <c r="D4798">
        <v>0.94859904088777203</v>
      </c>
      <c r="E4798">
        <v>0.95660311349669602</v>
      </c>
      <c r="F4798">
        <v>0.69281636665548896</v>
      </c>
      <c r="G4798">
        <v>0.38919009448413</v>
      </c>
      <c r="H4798">
        <v>0.219724945951349</v>
      </c>
      <c r="I4798">
        <v>0.179125548842684</v>
      </c>
      <c r="J4798">
        <v>0.15689320384311101</v>
      </c>
      <c r="K4798">
        <v>0.135029903330639</v>
      </c>
      <c r="L4798">
        <v>1189.00183954002</v>
      </c>
      <c r="M4798">
        <v>23.0455908820663</v>
      </c>
      <c r="N4798">
        <v>52.3694340837528</v>
      </c>
      <c r="O4798">
        <v>51.209692555995801</v>
      </c>
      <c r="P4798">
        <v>-9.6235096129852205E-2</v>
      </c>
      <c r="Q4798">
        <v>0.14463843790573799</v>
      </c>
      <c r="R4798">
        <v>0.98315720915985905</v>
      </c>
      <c r="S4798" t="s">
        <v>10349</v>
      </c>
      <c r="T4798" t="s">
        <v>11100</v>
      </c>
      <c r="U4798" t="s">
        <v>11100</v>
      </c>
      <c r="V4798" t="s">
        <v>11100</v>
      </c>
      <c r="W4798" t="s">
        <v>15846</v>
      </c>
      <c r="X4798">
        <v>3</v>
      </c>
      <c r="Y4798" t="s">
        <v>21273</v>
      </c>
      <c r="Z4798" t="s">
        <v>26803</v>
      </c>
      <c r="AA4798">
        <v>0.56948613106197554</v>
      </c>
      <c r="AB4798" t="str">
        <f>HYPERLINK("Melting_Curves/meltCurve_Q9H5Q4_TFB2M.pdf", "Melting_Curves/meltCurve_Q9H5Q4_TFB2M.pdf")</f>
        <v>Melting_Curves/meltCurve_Q9H5Q4_TFB2M.pdf</v>
      </c>
    </row>
    <row r="4799" spans="1:28" x14ac:dyDescent="0.25">
      <c r="A4799" t="s">
        <v>4803</v>
      </c>
      <c r="B4799">
        <v>0.99299721793515405</v>
      </c>
      <c r="C4799">
        <v>1.0018930850693499</v>
      </c>
      <c r="D4799">
        <v>0.972657859139335</v>
      </c>
      <c r="E4799">
        <v>0.94305359655490495</v>
      </c>
      <c r="F4799">
        <v>0.69954113008102203</v>
      </c>
      <c r="G4799">
        <v>0.46512243221210398</v>
      </c>
      <c r="H4799">
        <v>0.24277455161089201</v>
      </c>
      <c r="I4799">
        <v>0.169240066861222</v>
      </c>
      <c r="J4799">
        <v>0.165054930710723</v>
      </c>
      <c r="K4799">
        <v>0.124448755005239</v>
      </c>
      <c r="L4799">
        <v>987.15950724559104</v>
      </c>
      <c r="M4799">
        <v>18.890064830981</v>
      </c>
      <c r="N4799">
        <v>53.0293771008105</v>
      </c>
      <c r="O4799">
        <v>51.683052447154303</v>
      </c>
      <c r="P4799">
        <v>-8.0402794270447303E-2</v>
      </c>
      <c r="Q4799">
        <v>0.12011056380457499</v>
      </c>
      <c r="R4799">
        <v>0.99816011300209795</v>
      </c>
      <c r="S4799" t="s">
        <v>10350</v>
      </c>
      <c r="T4799" t="s">
        <v>11100</v>
      </c>
      <c r="U4799" t="s">
        <v>11100</v>
      </c>
      <c r="V4799" t="s">
        <v>11100</v>
      </c>
      <c r="W4799" t="s">
        <v>15847</v>
      </c>
      <c r="X4799">
        <v>7</v>
      </c>
      <c r="Y4799" t="s">
        <v>21274</v>
      </c>
      <c r="Z4799" t="s">
        <v>26804</v>
      </c>
      <c r="AA4799">
        <v>0.57993989504692622</v>
      </c>
      <c r="AB4799" t="str">
        <f>HYPERLINK("Melting_Curves/meltCurve_Q9H5V9_2_CXorf56.pdf", "Melting_Curves/meltCurve_Q9H5V9_2_CXorf56.pdf")</f>
        <v>Melting_Curves/meltCurve_Q9H5V9_2_CXorf56.pdf</v>
      </c>
    </row>
    <row r="4800" spans="1:28" x14ac:dyDescent="0.25">
      <c r="A4800" t="s">
        <v>4804</v>
      </c>
      <c r="B4800">
        <v>0.99299721793515405</v>
      </c>
      <c r="C4800">
        <v>1.02210164772863</v>
      </c>
      <c r="D4800">
        <v>0.94190299399330002</v>
      </c>
      <c r="E4800">
        <v>0.94331230621307505</v>
      </c>
      <c r="F4800">
        <v>0.85806544736872103</v>
      </c>
      <c r="G4800">
        <v>0.67097427729597803</v>
      </c>
      <c r="H4800">
        <v>0.59064290586385004</v>
      </c>
      <c r="I4800">
        <v>0.61749250369152797</v>
      </c>
      <c r="J4800">
        <v>0.52906559689714205</v>
      </c>
      <c r="K4800">
        <v>0.36747931067086098</v>
      </c>
      <c r="L4800">
        <v>491.63040635264002</v>
      </c>
      <c r="M4800">
        <v>8.5740514869357298</v>
      </c>
      <c r="N4800">
        <v>62.943556571758101</v>
      </c>
      <c r="O4800">
        <v>54.4757680273284</v>
      </c>
      <c r="P4800">
        <v>-2.8868835897508102E-2</v>
      </c>
      <c r="Q4800">
        <v>0.26695956350119798</v>
      </c>
      <c r="R4800">
        <v>0.95291310442383503</v>
      </c>
      <c r="S4800" t="s">
        <v>10351</v>
      </c>
      <c r="T4800" t="s">
        <v>11100</v>
      </c>
      <c r="U4800" t="s">
        <v>11100</v>
      </c>
      <c r="V4800" t="s">
        <v>11100</v>
      </c>
      <c r="W4800" t="s">
        <v>15848</v>
      </c>
      <c r="X4800">
        <v>3</v>
      </c>
      <c r="Y4800" t="s">
        <v>21275</v>
      </c>
      <c r="Z4800" t="s">
        <v>26805</v>
      </c>
      <c r="AA4800">
        <v>0.7562790522537447</v>
      </c>
      <c r="AB4800" t="str">
        <f>HYPERLINK("Melting_Curves/meltCurve_Q9H5X1_FAM96A.pdf", "Melting_Curves/meltCurve_Q9H5X1_FAM96A.pdf")</f>
        <v>Melting_Curves/meltCurve_Q9H5X1_FAM96A.pdf</v>
      </c>
    </row>
    <row r="4801" spans="1:28" x14ac:dyDescent="0.25">
      <c r="A4801" t="s">
        <v>4805</v>
      </c>
      <c r="B4801">
        <v>0.99299721793515405</v>
      </c>
      <c r="C4801">
        <v>0.94169730169741805</v>
      </c>
      <c r="D4801">
        <v>0.83176821184647398</v>
      </c>
      <c r="E4801">
        <v>0.79154623093475296</v>
      </c>
      <c r="F4801">
        <v>0.67197130227375801</v>
      </c>
      <c r="G4801">
        <v>0.51100601867201001</v>
      </c>
      <c r="H4801">
        <v>0.28597837548113197</v>
      </c>
      <c r="I4801">
        <v>0.261064281624238</v>
      </c>
      <c r="J4801">
        <v>0.34975509212098199</v>
      </c>
      <c r="K4801">
        <v>0.167492633330284</v>
      </c>
      <c r="L4801">
        <v>480.689399554239</v>
      </c>
      <c r="M4801">
        <v>9.2349856064986593</v>
      </c>
      <c r="N4801">
        <v>53.453981727547898</v>
      </c>
      <c r="O4801">
        <v>49.784781594413403</v>
      </c>
      <c r="P4801">
        <v>-4.1410510019912701E-2</v>
      </c>
      <c r="Q4801">
        <v>0.107629735400781</v>
      </c>
      <c r="R4801">
        <v>0.96642895219338998</v>
      </c>
      <c r="S4801" t="s">
        <v>10352</v>
      </c>
      <c r="T4801" t="s">
        <v>11100</v>
      </c>
      <c r="U4801" t="s">
        <v>11100</v>
      </c>
      <c r="V4801" t="s">
        <v>11100</v>
      </c>
      <c r="W4801" t="s">
        <v>15849</v>
      </c>
      <c r="X4801">
        <v>1</v>
      </c>
      <c r="Y4801" t="s">
        <v>21276</v>
      </c>
      <c r="Z4801" t="s">
        <v>26806</v>
      </c>
      <c r="AA4801">
        <v>0.57970682706625387</v>
      </c>
      <c r="AB4801" t="str">
        <f>HYPERLINK("Melting_Curves/meltCurve_Q9H609_ZNF576.pdf", "Melting_Curves/meltCurve_Q9H609_ZNF576.pdf")</f>
        <v>Melting_Curves/meltCurve_Q9H609_ZNF576.pdf</v>
      </c>
    </row>
    <row r="4802" spans="1:28" x14ac:dyDescent="0.25">
      <c r="A4802" t="s">
        <v>4806</v>
      </c>
      <c r="B4802">
        <v>0.99299721793515405</v>
      </c>
      <c r="C4802">
        <v>1.1251955159587399</v>
      </c>
      <c r="D4802">
        <v>0.95427671445175299</v>
      </c>
      <c r="E4802">
        <v>0.92741372791624499</v>
      </c>
      <c r="F4802">
        <v>0.77091687058851599</v>
      </c>
      <c r="G4802">
        <v>0.52186495433989699</v>
      </c>
      <c r="H4802">
        <v>0.382717817167055</v>
      </c>
      <c r="I4802">
        <v>0.31675351151834402</v>
      </c>
      <c r="J4802">
        <v>0.27613249059026601</v>
      </c>
      <c r="K4802">
        <v>0.24539769170824699</v>
      </c>
      <c r="L4802">
        <v>941.41700010349098</v>
      </c>
      <c r="M4802">
        <v>17.971980128164901</v>
      </c>
      <c r="N4802">
        <v>54.440387020714098</v>
      </c>
      <c r="O4802">
        <v>51.746849932992497</v>
      </c>
      <c r="P4802">
        <v>-6.5424339076549501E-2</v>
      </c>
      <c r="Q4802">
        <v>0.24653035072243801</v>
      </c>
      <c r="R4802">
        <v>0.98238437082824903</v>
      </c>
      <c r="S4802" t="s">
        <v>10353</v>
      </c>
      <c r="T4802" t="s">
        <v>11100</v>
      </c>
      <c r="U4802" t="s">
        <v>11100</v>
      </c>
      <c r="V4802" t="s">
        <v>11100</v>
      </c>
      <c r="W4802" t="s">
        <v>15850</v>
      </c>
      <c r="X4802">
        <v>5</v>
      </c>
      <c r="Y4802" t="s">
        <v>21277</v>
      </c>
      <c r="Z4802" t="s">
        <v>26807</v>
      </c>
      <c r="AA4802">
        <v>0.64414065715732582</v>
      </c>
      <c r="AB4802" t="str">
        <f>HYPERLINK("Melting_Curves/meltCurve_Q9H6E4_CCDC134.pdf", "Melting_Curves/meltCurve_Q9H6E4_CCDC134.pdf")</f>
        <v>Melting_Curves/meltCurve_Q9H6E4_CCDC134.pdf</v>
      </c>
    </row>
    <row r="4803" spans="1:28" x14ac:dyDescent="0.25">
      <c r="A4803" t="s">
        <v>4807</v>
      </c>
      <c r="B4803">
        <v>0.99299721793515405</v>
      </c>
      <c r="C4803">
        <v>0.91947785219443701</v>
      </c>
      <c r="D4803">
        <v>1.0314832317432301</v>
      </c>
      <c r="E4803">
        <v>0.82570668649492096</v>
      </c>
      <c r="F4803">
        <v>0.77384433868300795</v>
      </c>
      <c r="G4803">
        <v>0.69685051590666303</v>
      </c>
      <c r="H4803">
        <v>0.61243687136354397</v>
      </c>
      <c r="I4803">
        <v>0.55750980418410601</v>
      </c>
      <c r="J4803">
        <v>0.53884044347295701</v>
      </c>
      <c r="K4803">
        <v>0.42692964896325503</v>
      </c>
      <c r="L4803">
        <v>427.07219744045301</v>
      </c>
      <c r="M4803">
        <v>7.7358379179211401</v>
      </c>
      <c r="N4803">
        <v>64.043282857737793</v>
      </c>
      <c r="O4803">
        <v>51.881547646634303</v>
      </c>
      <c r="P4803">
        <v>-2.50804013972812E-2</v>
      </c>
      <c r="Q4803">
        <v>0.328039720700738</v>
      </c>
      <c r="R4803">
        <v>0.95413233115850304</v>
      </c>
      <c r="S4803" t="s">
        <v>10354</v>
      </c>
      <c r="T4803" t="s">
        <v>11100</v>
      </c>
      <c r="U4803" t="s">
        <v>11100</v>
      </c>
      <c r="V4803" t="s">
        <v>11100</v>
      </c>
      <c r="W4803" t="s">
        <v>15851</v>
      </c>
      <c r="X4803">
        <v>5</v>
      </c>
      <c r="Y4803" t="s">
        <v>21278</v>
      </c>
      <c r="Z4803" t="s">
        <v>26808</v>
      </c>
      <c r="AA4803">
        <v>0.73847553222184115</v>
      </c>
      <c r="AB4803" t="str">
        <f>HYPERLINK("Melting_Curves/meltCurve_Q9H6F5_CCDC86.pdf", "Melting_Curves/meltCurve_Q9H6F5_CCDC86.pdf")</f>
        <v>Melting_Curves/meltCurve_Q9H6F5_CCDC86.pdf</v>
      </c>
    </row>
    <row r="4804" spans="1:28" x14ac:dyDescent="0.25">
      <c r="A4804" t="s">
        <v>4808</v>
      </c>
      <c r="B4804">
        <v>0.99299721793515405</v>
      </c>
      <c r="C4804">
        <v>0.80629085662773603</v>
      </c>
      <c r="D4804">
        <v>1.5070228998266699</v>
      </c>
      <c r="E4804">
        <v>1.0391685742752901</v>
      </c>
      <c r="F4804">
        <v>0.78377622708814898</v>
      </c>
      <c r="G4804">
        <v>0.46120479906016798</v>
      </c>
      <c r="H4804">
        <v>0.55474534123281904</v>
      </c>
      <c r="I4804">
        <v>0.73324285753472296</v>
      </c>
      <c r="J4804">
        <v>0.52505779065950497</v>
      </c>
      <c r="K4804">
        <v>0.20465086709626901</v>
      </c>
      <c r="L4804">
        <v>12564.388942539899</v>
      </c>
      <c r="M4804">
        <v>250</v>
      </c>
      <c r="N4804">
        <v>51.236136867774299</v>
      </c>
      <c r="O4804">
        <v>50.254339636504803</v>
      </c>
      <c r="P4804">
        <v>-0.62708474419928995</v>
      </c>
      <c r="Q4804">
        <v>0.49578032530341198</v>
      </c>
      <c r="R4804">
        <v>0.627448260695322</v>
      </c>
      <c r="S4804" t="s">
        <v>10355</v>
      </c>
      <c r="T4804" t="s">
        <v>11100</v>
      </c>
      <c r="U4804" t="s">
        <v>11100</v>
      </c>
      <c r="V4804" t="s">
        <v>11100</v>
      </c>
      <c r="W4804" t="s">
        <v>15852</v>
      </c>
      <c r="X4804">
        <v>3</v>
      </c>
      <c r="Y4804" t="s">
        <v>21279</v>
      </c>
      <c r="Z4804" t="s">
        <v>26809</v>
      </c>
      <c r="AA4804">
        <v>0.71864881335472619</v>
      </c>
      <c r="AB4804" t="str">
        <f>HYPERLINK("Melting_Curves/meltCurve_Q9H6H4_REEP4.pdf", "Melting_Curves/meltCurve_Q9H6H4_REEP4.pdf")</f>
        <v>Melting_Curves/meltCurve_Q9H6H4_REEP4.pdf</v>
      </c>
    </row>
    <row r="4805" spans="1:28" x14ac:dyDescent="0.25">
      <c r="A4805" t="s">
        <v>4809</v>
      </c>
      <c r="B4805">
        <v>0.99299721793515405</v>
      </c>
      <c r="C4805">
        <v>0.94453505049342401</v>
      </c>
      <c r="D4805">
        <v>0.88415438041245897</v>
      </c>
      <c r="E4805">
        <v>0.68388526826155305</v>
      </c>
      <c r="F4805">
        <v>0.61337035899736903</v>
      </c>
      <c r="G4805">
        <v>0.37327147518760301</v>
      </c>
      <c r="H4805">
        <v>0.30119325397935998</v>
      </c>
      <c r="I4805">
        <v>0.34546582763589601</v>
      </c>
      <c r="J4805">
        <v>0.37368641521707602</v>
      </c>
      <c r="K4805">
        <v>0.38651218623247002</v>
      </c>
      <c r="L4805">
        <v>728.67168505734503</v>
      </c>
      <c r="M4805">
        <v>15.3742077829209</v>
      </c>
      <c r="N4805">
        <v>51.0197926890771</v>
      </c>
      <c r="O4805">
        <v>46.615560469960997</v>
      </c>
      <c r="P4805">
        <v>-5.5063372119459497E-2</v>
      </c>
      <c r="Q4805">
        <v>0.33223886681118397</v>
      </c>
      <c r="R4805">
        <v>0.97116875488661003</v>
      </c>
      <c r="S4805" t="s">
        <v>10356</v>
      </c>
      <c r="T4805" t="s">
        <v>11100</v>
      </c>
      <c r="U4805" t="s">
        <v>11100</v>
      </c>
      <c r="V4805" t="s">
        <v>11100</v>
      </c>
      <c r="W4805" t="s">
        <v>15853</v>
      </c>
      <c r="X4805">
        <v>2</v>
      </c>
      <c r="Y4805" t="s">
        <v>21280</v>
      </c>
      <c r="Z4805" t="s">
        <v>26810</v>
      </c>
      <c r="AA4805">
        <v>0.57790460966710488</v>
      </c>
      <c r="AB4805" t="str">
        <f>HYPERLINK("Melting_Curves/meltCurve_Q9H6K1_2_C6orf106.pdf", "Melting_Curves/meltCurve_Q9H6K1_2_C6orf106.pdf")</f>
        <v>Melting_Curves/meltCurve_Q9H6K1_2_C6orf106.pdf</v>
      </c>
    </row>
    <row r="4806" spans="1:28" x14ac:dyDescent="0.25">
      <c r="A4806" t="s">
        <v>4810</v>
      </c>
      <c r="B4806">
        <v>0.99299721793515405</v>
      </c>
      <c r="C4806">
        <v>1.07938443412732</v>
      </c>
      <c r="D4806">
        <v>1.2867621242235301</v>
      </c>
      <c r="E4806">
        <v>1.0349726060238</v>
      </c>
      <c r="F4806">
        <v>0.88001372494145802</v>
      </c>
      <c r="G4806">
        <v>0.96796202762317596</v>
      </c>
      <c r="H4806">
        <v>0.44566472945818097</v>
      </c>
      <c r="I4806">
        <v>0.39785589657540898</v>
      </c>
      <c r="J4806">
        <v>0.32001792815542401</v>
      </c>
      <c r="K4806">
        <v>0.33542636545099103</v>
      </c>
      <c r="L4806">
        <v>3915.4054320928499</v>
      </c>
      <c r="M4806">
        <v>69.937754868293993</v>
      </c>
      <c r="N4806">
        <v>56.963227477447397</v>
      </c>
      <c r="O4806">
        <v>55.938435894708498</v>
      </c>
      <c r="P4806">
        <v>-0.203256279592718</v>
      </c>
      <c r="Q4806">
        <v>0.34971698058364098</v>
      </c>
      <c r="R4806">
        <v>0.90812325566000196</v>
      </c>
      <c r="S4806" t="s">
        <v>10357</v>
      </c>
      <c r="T4806" t="s">
        <v>11100</v>
      </c>
      <c r="U4806" t="s">
        <v>11100</v>
      </c>
      <c r="V4806" t="s">
        <v>11100</v>
      </c>
      <c r="W4806" t="s">
        <v>15854</v>
      </c>
      <c r="X4806">
        <v>2</v>
      </c>
      <c r="Y4806" t="s">
        <v>21281</v>
      </c>
      <c r="Z4806" t="s">
        <v>26811</v>
      </c>
      <c r="AA4806">
        <v>0.76203749367794105</v>
      </c>
      <c r="AB4806" t="str">
        <f>HYPERLINK("Melting_Curves/meltCurve_Q9H6K4_OPA3.pdf", "Melting_Curves/meltCurve_Q9H6K4_OPA3.pdf")</f>
        <v>Melting_Curves/meltCurve_Q9H6K4_OPA3.pdf</v>
      </c>
    </row>
    <row r="4807" spans="1:28" x14ac:dyDescent="0.25">
      <c r="A4807" t="s">
        <v>4811</v>
      </c>
      <c r="B4807">
        <v>0.99299721793515405</v>
      </c>
      <c r="C4807">
        <v>0.88366724230411997</v>
      </c>
      <c r="D4807">
        <v>0.91291850168386901</v>
      </c>
      <c r="E4807">
        <v>0.78683468706372195</v>
      </c>
      <c r="F4807">
        <v>0.68555551177093199</v>
      </c>
      <c r="G4807">
        <v>0.60402191369806402</v>
      </c>
      <c r="H4807">
        <v>0.454936056437936</v>
      </c>
      <c r="I4807">
        <v>0.25639191129124</v>
      </c>
      <c r="J4807">
        <v>0.21996523454842901</v>
      </c>
      <c r="K4807">
        <v>0.16476296224287099</v>
      </c>
      <c r="L4807">
        <v>456.89668998856303</v>
      </c>
      <c r="M4807">
        <v>8.3066716415806798</v>
      </c>
      <c r="N4807">
        <v>55.003581568883597</v>
      </c>
      <c r="O4807">
        <v>52.092418967853597</v>
      </c>
      <c r="P4807">
        <v>-3.9904233399074097E-2</v>
      </c>
      <c r="Q4807">
        <v>0</v>
      </c>
      <c r="R4807">
        <v>0.98255025833152998</v>
      </c>
      <c r="S4807" t="s">
        <v>10358</v>
      </c>
      <c r="T4807" t="s">
        <v>11100</v>
      </c>
      <c r="U4807" t="s">
        <v>11100</v>
      </c>
      <c r="V4807" t="s">
        <v>11100</v>
      </c>
      <c r="W4807" t="s">
        <v>15855</v>
      </c>
      <c r="X4807">
        <v>6</v>
      </c>
      <c r="Y4807" t="s">
        <v>21282</v>
      </c>
      <c r="Z4807" t="s">
        <v>26812</v>
      </c>
      <c r="AA4807">
        <v>0.60799873115029301</v>
      </c>
      <c r="AB4807" t="str">
        <f>HYPERLINK("Melting_Curves/meltCurve_Q9H6Q4_NARFL.pdf", "Melting_Curves/meltCurve_Q9H6Q4_NARFL.pdf")</f>
        <v>Melting_Curves/meltCurve_Q9H6Q4_NARFL.pdf</v>
      </c>
    </row>
    <row r="4808" spans="1:28" x14ac:dyDescent="0.25">
      <c r="A4808" t="s">
        <v>4812</v>
      </c>
      <c r="B4808">
        <v>0.99299721793515405</v>
      </c>
      <c r="C4808">
        <v>1.3361543153518001</v>
      </c>
      <c r="D4808">
        <v>1.89902740382818</v>
      </c>
      <c r="E4808">
        <v>1.1071591739520801</v>
      </c>
      <c r="F4808">
        <v>0.88521002700691998</v>
      </c>
      <c r="G4808">
        <v>1.40532714982546</v>
      </c>
      <c r="H4808">
        <v>0.75706587731938801</v>
      </c>
      <c r="I4808">
        <v>0.38378941664006999</v>
      </c>
      <c r="J4808">
        <v>0.25171443757454398</v>
      </c>
      <c r="K4808">
        <v>0.38442590751439998</v>
      </c>
      <c r="L4808">
        <v>9242.3448270279096</v>
      </c>
      <c r="M4808">
        <v>160.475575025051</v>
      </c>
      <c r="N4808">
        <v>58.005215487365398</v>
      </c>
      <c r="O4808">
        <v>57.5844998751205</v>
      </c>
      <c r="P4808">
        <v>-0.45985918996261699</v>
      </c>
      <c r="Q4808">
        <v>0.33994260614536198</v>
      </c>
      <c r="R4808">
        <v>0.54247649148344101</v>
      </c>
      <c r="S4808" t="s">
        <v>10359</v>
      </c>
      <c r="T4808" t="s">
        <v>11100</v>
      </c>
      <c r="U4808" t="s">
        <v>11100</v>
      </c>
      <c r="V4808" t="s">
        <v>11100</v>
      </c>
      <c r="W4808" t="s">
        <v>15856</v>
      </c>
      <c r="X4808">
        <v>1</v>
      </c>
      <c r="Y4808" t="s">
        <v>21283</v>
      </c>
      <c r="Z4808" t="s">
        <v>26813</v>
      </c>
      <c r="AA4808">
        <v>0.79320025814385919</v>
      </c>
      <c r="AB4808" t="str">
        <f>HYPERLINK("Melting_Curves/meltCurve_Q9H6S0_YTHDC2.pdf", "Melting_Curves/meltCurve_Q9H6S0_YTHDC2.pdf")</f>
        <v>Melting_Curves/meltCurve_Q9H6S0_YTHDC2.pdf</v>
      </c>
    </row>
    <row r="4809" spans="1:28" x14ac:dyDescent="0.25">
      <c r="A4809" t="s">
        <v>4813</v>
      </c>
      <c r="B4809">
        <v>0.99299721793515405</v>
      </c>
      <c r="C4809">
        <v>1.1691086898110801</v>
      </c>
      <c r="D4809">
        <v>0.96736396877761399</v>
      </c>
      <c r="E4809">
        <v>0.93744267230113199</v>
      </c>
      <c r="F4809">
        <v>0.66533742681512398</v>
      </c>
      <c r="G4809">
        <v>0.31512112769282502</v>
      </c>
      <c r="H4809">
        <v>0.25300066792171</v>
      </c>
      <c r="I4809">
        <v>0.20646640364966801</v>
      </c>
      <c r="J4809">
        <v>0.21724981723444101</v>
      </c>
      <c r="K4809">
        <v>0.16108201957919099</v>
      </c>
      <c r="L4809">
        <v>1435.71487251801</v>
      </c>
      <c r="M4809">
        <v>28.2938566432328</v>
      </c>
      <c r="N4809">
        <v>51.655917237721098</v>
      </c>
      <c r="O4809">
        <v>50.491537892030799</v>
      </c>
      <c r="P4809">
        <v>-0.112530142228984</v>
      </c>
      <c r="Q4809">
        <v>0.19674814403018501</v>
      </c>
      <c r="R4809">
        <v>0.97738462683742</v>
      </c>
      <c r="S4809" t="s">
        <v>10360</v>
      </c>
      <c r="T4809" t="s">
        <v>11100</v>
      </c>
      <c r="U4809" t="s">
        <v>11100</v>
      </c>
      <c r="V4809" t="s">
        <v>11100</v>
      </c>
      <c r="W4809" t="s">
        <v>15857</v>
      </c>
      <c r="X4809">
        <v>4</v>
      </c>
      <c r="Y4809" t="s">
        <v>21284</v>
      </c>
      <c r="Z4809" t="s">
        <v>26814</v>
      </c>
      <c r="AA4809">
        <v>0.57030517984765938</v>
      </c>
      <c r="AB4809" t="str">
        <f>HYPERLINK("Melting_Curves/meltCurve_Q9H6T3_2_RPAP3.pdf", "Melting_Curves/meltCurve_Q9H6T3_2_RPAP3.pdf")</f>
        <v>Melting_Curves/meltCurve_Q9H6T3_2_RPAP3.pdf</v>
      </c>
    </row>
    <row r="4810" spans="1:28" x14ac:dyDescent="0.25">
      <c r="A4810" t="s">
        <v>4814</v>
      </c>
      <c r="B4810">
        <v>0.99299721793515405</v>
      </c>
      <c r="C4810">
        <v>1.0454855571039301</v>
      </c>
      <c r="D4810">
        <v>0.89116968645691597</v>
      </c>
      <c r="E4810">
        <v>0.90599845176613403</v>
      </c>
      <c r="F4810">
        <v>0.71961825834209603</v>
      </c>
      <c r="G4810">
        <v>0.54864738528479695</v>
      </c>
      <c r="H4810">
        <v>0.369731630078663</v>
      </c>
      <c r="I4810">
        <v>0.201037046632981</v>
      </c>
      <c r="J4810">
        <v>0.12762773837938701</v>
      </c>
      <c r="K4810">
        <v>9.91958172522521E-2</v>
      </c>
      <c r="L4810">
        <v>653.59149586443402</v>
      </c>
      <c r="M4810">
        <v>11.997825368940401</v>
      </c>
      <c r="N4810">
        <v>54.4758065278508</v>
      </c>
      <c r="O4810">
        <v>53.028633702579597</v>
      </c>
      <c r="P4810">
        <v>-5.6576604067850401E-2</v>
      </c>
      <c r="Q4810">
        <v>0</v>
      </c>
      <c r="R4810">
        <v>0.99199647479237796</v>
      </c>
      <c r="S4810" t="s">
        <v>10361</v>
      </c>
      <c r="T4810" t="s">
        <v>11100</v>
      </c>
      <c r="U4810" t="s">
        <v>11100</v>
      </c>
      <c r="V4810" t="s">
        <v>11100</v>
      </c>
      <c r="W4810" t="s">
        <v>15858</v>
      </c>
      <c r="X4810">
        <v>11</v>
      </c>
      <c r="Y4810" t="s">
        <v>21285</v>
      </c>
      <c r="Z4810" t="s">
        <v>26815</v>
      </c>
      <c r="AA4810">
        <v>0.5987442438276801</v>
      </c>
      <c r="AB4810" t="str">
        <f>HYPERLINK("Melting_Curves/meltCurve_Q9H6U6_7_BCAS3.pdf", "Melting_Curves/meltCurve_Q9H6U6_7_BCAS3.pdf")</f>
        <v>Melting_Curves/meltCurve_Q9H6U6_7_BCAS3.pdf</v>
      </c>
    </row>
    <row r="4811" spans="1:28" x14ac:dyDescent="0.25">
      <c r="A4811" t="s">
        <v>4815</v>
      </c>
      <c r="B4811">
        <v>0.99299721793515405</v>
      </c>
      <c r="C4811">
        <v>0.91823030953074003</v>
      </c>
      <c r="D4811">
        <v>0.95556620821042504</v>
      </c>
      <c r="E4811">
        <v>0.79525080367627998</v>
      </c>
      <c r="F4811">
        <v>0.81530919216805897</v>
      </c>
      <c r="G4811">
        <v>0.53459131482738698</v>
      </c>
      <c r="H4811">
        <v>0.367368265149984</v>
      </c>
      <c r="I4811">
        <v>0.182567718161252</v>
      </c>
      <c r="J4811">
        <v>0.15692096695747801</v>
      </c>
      <c r="K4811">
        <v>0.141083885477192</v>
      </c>
      <c r="L4811">
        <v>617.05625177419495</v>
      </c>
      <c r="M4811">
        <v>11.302917702659499</v>
      </c>
      <c r="N4811">
        <v>54.592641498646103</v>
      </c>
      <c r="O4811">
        <v>52.9675287418887</v>
      </c>
      <c r="P4811">
        <v>-5.3364543383623397E-2</v>
      </c>
      <c r="Q4811">
        <v>0</v>
      </c>
      <c r="R4811">
        <v>0.98028116813399502</v>
      </c>
      <c r="S4811" t="s">
        <v>10362</v>
      </c>
      <c r="T4811" t="s">
        <v>11100</v>
      </c>
      <c r="U4811" t="s">
        <v>11100</v>
      </c>
      <c r="V4811" t="s">
        <v>11100</v>
      </c>
      <c r="W4811" t="s">
        <v>15859</v>
      </c>
      <c r="X4811">
        <v>9</v>
      </c>
      <c r="Y4811" t="s">
        <v>21286</v>
      </c>
      <c r="Z4811" t="s">
        <v>26816</v>
      </c>
      <c r="AA4811">
        <v>0.60198307561897224</v>
      </c>
      <c r="AB4811" t="str">
        <f>HYPERLINK("Melting_Curves/meltCurve_Q9H6U8_ALG9.pdf", "Melting_Curves/meltCurve_Q9H6U8_ALG9.pdf")</f>
        <v>Melting_Curves/meltCurve_Q9H6U8_ALG9.pdf</v>
      </c>
    </row>
    <row r="4812" spans="1:28" x14ac:dyDescent="0.25">
      <c r="A4812" t="s">
        <v>4816</v>
      </c>
      <c r="B4812">
        <v>0.99299721793515405</v>
      </c>
      <c r="C4812">
        <v>0.90950902226387598</v>
      </c>
      <c r="D4812">
        <v>0.94430951445945999</v>
      </c>
      <c r="E4812">
        <v>0.90991436754877497</v>
      </c>
      <c r="F4812">
        <v>0.71719004046104795</v>
      </c>
      <c r="G4812">
        <v>0.516291795074593</v>
      </c>
      <c r="H4812">
        <v>0.53555965064584299</v>
      </c>
      <c r="I4812">
        <v>0.54878972266147097</v>
      </c>
      <c r="J4812">
        <v>0.44068233425564102</v>
      </c>
      <c r="K4812">
        <v>0.40298683962668502</v>
      </c>
      <c r="L4812">
        <v>812.99153856691498</v>
      </c>
      <c r="M4812">
        <v>16.252518367646001</v>
      </c>
      <c r="N4812">
        <v>57.7023972220926</v>
      </c>
      <c r="O4812">
        <v>49.283589588919803</v>
      </c>
      <c r="P4812">
        <v>-4.5964385470722499E-2</v>
      </c>
      <c r="Q4812">
        <v>0.44251788210781301</v>
      </c>
      <c r="R4812">
        <v>0.95323902676889105</v>
      </c>
      <c r="S4812" t="s">
        <v>10363</v>
      </c>
      <c r="T4812" t="s">
        <v>11100</v>
      </c>
      <c r="U4812" t="s">
        <v>11100</v>
      </c>
      <c r="V4812" t="s">
        <v>11100</v>
      </c>
      <c r="W4812" t="s">
        <v>15860</v>
      </c>
      <c r="X4812">
        <v>5</v>
      </c>
      <c r="Y4812" t="s">
        <v>21287</v>
      </c>
      <c r="Z4812" t="s">
        <v>26817</v>
      </c>
      <c r="AA4812">
        <v>0.69484383309287645</v>
      </c>
      <c r="AB4812" t="str">
        <f>HYPERLINK("Melting_Curves/meltCurve_Q9H6X2_ANTXR1.pdf", "Melting_Curves/meltCurve_Q9H6X2_ANTXR1.pdf")</f>
        <v>Melting_Curves/meltCurve_Q9H6X2_ANTXR1.pdf</v>
      </c>
    </row>
    <row r="4813" spans="1:28" x14ac:dyDescent="0.25">
      <c r="A4813" t="s">
        <v>4817</v>
      </c>
      <c r="B4813">
        <v>0.99299721793515405</v>
      </c>
      <c r="C4813">
        <v>0.89847496594383702</v>
      </c>
      <c r="D4813">
        <v>0.945554677496933</v>
      </c>
      <c r="E4813">
        <v>0.87017332119861301</v>
      </c>
      <c r="F4813">
        <v>0.808015054284141</v>
      </c>
      <c r="G4813">
        <v>0.57204050843324294</v>
      </c>
      <c r="H4813">
        <v>0.43938082101855902</v>
      </c>
      <c r="I4813">
        <v>0.323367221115123</v>
      </c>
      <c r="J4813">
        <v>0.30056715578010001</v>
      </c>
      <c r="K4813">
        <v>0.29612091582607097</v>
      </c>
      <c r="L4813">
        <v>671.23193341517697</v>
      </c>
      <c r="M4813">
        <v>12.585926097122099</v>
      </c>
      <c r="N4813">
        <v>55.850329868584403</v>
      </c>
      <c r="O4813">
        <v>52.0392741641855</v>
      </c>
      <c r="P4813">
        <v>-4.7380548561265903E-2</v>
      </c>
      <c r="Q4813">
        <v>0.21653559080360099</v>
      </c>
      <c r="R4813">
        <v>0.98213124301250199</v>
      </c>
      <c r="S4813" t="s">
        <v>10364</v>
      </c>
      <c r="T4813" t="s">
        <v>11100</v>
      </c>
      <c r="U4813" t="s">
        <v>11100</v>
      </c>
      <c r="V4813" t="s">
        <v>11100</v>
      </c>
      <c r="W4813" t="s">
        <v>15861</v>
      </c>
      <c r="X4813">
        <v>5</v>
      </c>
      <c r="Y4813" t="s">
        <v>21288</v>
      </c>
      <c r="Z4813" t="s">
        <v>26818</v>
      </c>
      <c r="AA4813">
        <v>0.65843979385960982</v>
      </c>
      <c r="AB4813" t="str">
        <f>HYPERLINK("Melting_Curves/meltCurve_Q9H6Y2_WDR55.pdf", "Melting_Curves/meltCurve_Q9H6Y2_WDR55.pdf")</f>
        <v>Melting_Curves/meltCurve_Q9H6Y2_WDR55.pdf</v>
      </c>
    </row>
    <row r="4814" spans="1:28" x14ac:dyDescent="0.25">
      <c r="A4814" t="s">
        <v>4818</v>
      </c>
      <c r="B4814">
        <v>0.99299721793515405</v>
      </c>
      <c r="C4814">
        <v>1.0147891347881799</v>
      </c>
      <c r="D4814">
        <v>0.97857513560059095</v>
      </c>
      <c r="E4814">
        <v>1.0130386619018299</v>
      </c>
      <c r="F4814">
        <v>0.88759373906660299</v>
      </c>
      <c r="G4814">
        <v>0.65623707614220494</v>
      </c>
      <c r="H4814">
        <v>0.66924349139762096</v>
      </c>
      <c r="I4814">
        <v>0.82428146284163495</v>
      </c>
      <c r="J4814">
        <v>0.93324924194305903</v>
      </c>
      <c r="K4814">
        <v>0.76151725930430403</v>
      </c>
      <c r="L4814">
        <v>12552.7297966402</v>
      </c>
      <c r="M4814">
        <v>250</v>
      </c>
      <c r="O4814">
        <v>50.207714004710603</v>
      </c>
      <c r="P4814">
        <v>-0.28767283870929899</v>
      </c>
      <c r="Q4814">
        <v>0.76890570712252604</v>
      </c>
      <c r="R4814">
        <v>0.68879950392864497</v>
      </c>
      <c r="S4814" t="s">
        <v>10365</v>
      </c>
      <c r="T4814" t="s">
        <v>11100</v>
      </c>
      <c r="U4814" t="s">
        <v>11100</v>
      </c>
      <c r="V4814" t="s">
        <v>11100</v>
      </c>
      <c r="W4814" t="s">
        <v>15862</v>
      </c>
      <c r="X4814">
        <v>17</v>
      </c>
      <c r="Y4814" t="s">
        <v>21289</v>
      </c>
      <c r="Z4814" t="s">
        <v>26819</v>
      </c>
      <c r="AA4814">
        <v>0.87069167193139063</v>
      </c>
      <c r="AB4814" t="str">
        <f>HYPERLINK("Melting_Curves/meltCurve_Q9H773_DCTPP1.pdf", "Melting_Curves/meltCurve_Q9H773_DCTPP1.pdf")</f>
        <v>Melting_Curves/meltCurve_Q9H773_DCTPP1.pdf</v>
      </c>
    </row>
    <row r="4815" spans="1:28" x14ac:dyDescent="0.25">
      <c r="A4815" t="s">
        <v>4819</v>
      </c>
      <c r="B4815">
        <v>0.99299721793515405</v>
      </c>
      <c r="C4815">
        <v>0.96229154712549902</v>
      </c>
      <c r="D4815">
        <v>0.85325709209351397</v>
      </c>
      <c r="E4815">
        <v>0.79264883825294696</v>
      </c>
      <c r="F4815">
        <v>0.452703001738685</v>
      </c>
      <c r="G4815">
        <v>0.25974279322733901</v>
      </c>
      <c r="H4815">
        <v>0.156572570555745</v>
      </c>
      <c r="I4815">
        <v>9.65872612972445E-2</v>
      </c>
      <c r="J4815">
        <v>8.3670436038765797E-2</v>
      </c>
      <c r="K4815">
        <v>6.1538290300670297E-2</v>
      </c>
      <c r="L4815">
        <v>748.07031244622203</v>
      </c>
      <c r="M4815">
        <v>15.100437499676501</v>
      </c>
      <c r="N4815">
        <v>49.854345170140903</v>
      </c>
      <c r="O4815">
        <v>48.695198748612299</v>
      </c>
      <c r="P4815">
        <v>-7.4008354512204902E-2</v>
      </c>
      <c r="Q4815">
        <v>4.5458955403606498E-2</v>
      </c>
      <c r="R4815">
        <v>0.994290652177097</v>
      </c>
      <c r="S4815" t="s">
        <v>10366</v>
      </c>
      <c r="T4815" t="s">
        <v>11100</v>
      </c>
      <c r="U4815" t="s">
        <v>11100</v>
      </c>
      <c r="V4815" t="s">
        <v>11100</v>
      </c>
      <c r="W4815" t="s">
        <v>15863</v>
      </c>
      <c r="X4815">
        <v>2</v>
      </c>
      <c r="Y4815" t="s">
        <v>21290</v>
      </c>
      <c r="Z4815" t="s">
        <v>26820</v>
      </c>
      <c r="AA4815">
        <v>0.46447923117152468</v>
      </c>
      <c r="AB4815" t="str">
        <f>HYPERLINK("Melting_Curves/meltCurve_Q9H7B4_SMYD3.pdf", "Melting_Curves/meltCurve_Q9H7B4_SMYD3.pdf")</f>
        <v>Melting_Curves/meltCurve_Q9H7B4_SMYD3.pdf</v>
      </c>
    </row>
    <row r="4816" spans="1:28" x14ac:dyDescent="0.25">
      <c r="A4816" t="s">
        <v>4820</v>
      </c>
      <c r="B4816">
        <v>0.99299721793515405</v>
      </c>
      <c r="C4816">
        <v>0.94105206132127095</v>
      </c>
      <c r="D4816">
        <v>0.74733295349664897</v>
      </c>
      <c r="E4816">
        <v>0.8664122408121</v>
      </c>
      <c r="F4816">
        <v>0.83759659074790305</v>
      </c>
      <c r="G4816">
        <v>0.76969032276415605</v>
      </c>
      <c r="H4816">
        <v>0.77570827669152898</v>
      </c>
      <c r="I4816">
        <v>0.34019281127578099</v>
      </c>
      <c r="J4816">
        <v>0.167749225107894</v>
      </c>
      <c r="K4816">
        <v>0.19311364624222899</v>
      </c>
      <c r="L4816">
        <v>784.40150735738405</v>
      </c>
      <c r="M4816">
        <v>13.271412287150101</v>
      </c>
      <c r="N4816">
        <v>59.104599471949697</v>
      </c>
      <c r="O4816">
        <v>57.811022033616901</v>
      </c>
      <c r="P4816">
        <v>-5.7400737955654799E-2</v>
      </c>
      <c r="Q4816">
        <v>0</v>
      </c>
      <c r="R4816">
        <v>0.85393782492689496</v>
      </c>
      <c r="S4816" t="s">
        <v>10367</v>
      </c>
      <c r="T4816" t="s">
        <v>11100</v>
      </c>
      <c r="U4816" t="s">
        <v>11100</v>
      </c>
      <c r="V4816" t="s">
        <v>11100</v>
      </c>
      <c r="W4816" t="s">
        <v>15864</v>
      </c>
      <c r="X4816">
        <v>1</v>
      </c>
      <c r="Y4816" t="s">
        <v>21291</v>
      </c>
      <c r="Z4816" t="s">
        <v>26821</v>
      </c>
      <c r="AA4816">
        <v>0.73168584022030692</v>
      </c>
      <c r="AB4816" t="str">
        <f>HYPERLINK("Melting_Curves/meltCurve_Q9H7F0_ATP13A3.pdf", "Melting_Curves/meltCurve_Q9H7F0_ATP13A3.pdf")</f>
        <v>Melting_Curves/meltCurve_Q9H7F0_ATP13A3.pdf</v>
      </c>
    </row>
    <row r="4817" spans="1:28" x14ac:dyDescent="0.25">
      <c r="A4817" t="s">
        <v>4821</v>
      </c>
      <c r="B4817">
        <v>0.99299721793515405</v>
      </c>
      <c r="C4817">
        <v>0.93170097031757004</v>
      </c>
      <c r="D4817">
        <v>0.87485882339210397</v>
      </c>
      <c r="E4817">
        <v>0.87843412691591805</v>
      </c>
      <c r="F4817">
        <v>0.71150925331961901</v>
      </c>
      <c r="G4817">
        <v>0.51928242947847003</v>
      </c>
      <c r="H4817">
        <v>0.65633350813075597</v>
      </c>
      <c r="I4817">
        <v>0.58587202741945099</v>
      </c>
      <c r="J4817">
        <v>0.35566036993358502</v>
      </c>
      <c r="K4817">
        <v>0.23303061056419</v>
      </c>
      <c r="L4817">
        <v>350.83546830088198</v>
      </c>
      <c r="M4817">
        <v>5.9316344909958296</v>
      </c>
      <c r="N4817">
        <v>59.1465085000806</v>
      </c>
      <c r="O4817">
        <v>53.470576723900898</v>
      </c>
      <c r="P4817">
        <v>-2.7826723407080398E-2</v>
      </c>
      <c r="Q4817">
        <v>0</v>
      </c>
      <c r="R4817">
        <v>0.89579722004543205</v>
      </c>
      <c r="S4817" t="s">
        <v>10368</v>
      </c>
      <c r="T4817" t="s">
        <v>11100</v>
      </c>
      <c r="U4817" t="s">
        <v>11100</v>
      </c>
      <c r="V4817" t="s">
        <v>11100</v>
      </c>
      <c r="W4817" t="s">
        <v>15865</v>
      </c>
      <c r="X4817">
        <v>3</v>
      </c>
      <c r="Y4817" t="s">
        <v>21292</v>
      </c>
      <c r="Z4817" t="s">
        <v>26822</v>
      </c>
      <c r="AA4817">
        <v>0.67978740262124293</v>
      </c>
      <c r="AB4817" t="str">
        <f>HYPERLINK("Melting_Curves/meltCurve_Q9H7J1_PPP1R3E.pdf", "Melting_Curves/meltCurve_Q9H7J1_PPP1R3E.pdf")</f>
        <v>Melting_Curves/meltCurve_Q9H7J1_PPP1R3E.pdf</v>
      </c>
    </row>
    <row r="4818" spans="1:28" x14ac:dyDescent="0.25">
      <c r="A4818" t="s">
        <v>4822</v>
      </c>
      <c r="B4818">
        <v>0.99299721793515405</v>
      </c>
      <c r="C4818">
        <v>0.886777397446322</v>
      </c>
      <c r="D4818">
        <v>0.90367695948550097</v>
      </c>
      <c r="E4818">
        <v>0.74640848873642396</v>
      </c>
      <c r="F4818">
        <v>0.693260156742878</v>
      </c>
      <c r="G4818">
        <v>0.40103314542345703</v>
      </c>
      <c r="H4818">
        <v>0.48201193388578001</v>
      </c>
      <c r="I4818">
        <v>0.48971413048685802</v>
      </c>
      <c r="J4818">
        <v>0.55934178583495597</v>
      </c>
      <c r="K4818">
        <v>0.41475108370865799</v>
      </c>
      <c r="L4818">
        <v>666.647125785355</v>
      </c>
      <c r="M4818">
        <v>14.159869079126301</v>
      </c>
      <c r="N4818">
        <v>56.396954472140003</v>
      </c>
      <c r="O4818">
        <v>46.170873379953697</v>
      </c>
      <c r="P4818">
        <v>-4.2036386219734399E-2</v>
      </c>
      <c r="Q4818">
        <v>0.45179975563632702</v>
      </c>
      <c r="R4818">
        <v>0.90483862185651898</v>
      </c>
      <c r="S4818" t="s">
        <v>10369</v>
      </c>
      <c r="T4818" t="s">
        <v>11100</v>
      </c>
      <c r="U4818" t="s">
        <v>11100</v>
      </c>
      <c r="V4818" t="s">
        <v>11100</v>
      </c>
      <c r="W4818" t="s">
        <v>15866</v>
      </c>
      <c r="X4818">
        <v>1</v>
      </c>
      <c r="Y4818" t="s">
        <v>21293</v>
      </c>
      <c r="Z4818" t="s">
        <v>26823</v>
      </c>
      <c r="AA4818">
        <v>0.64962970582061352</v>
      </c>
      <c r="AB4818" t="str">
        <f>HYPERLINK("Melting_Curves/meltCurve_Q9H7N4_SCAF1.pdf", "Melting_Curves/meltCurve_Q9H7N4_SCAF1.pdf")</f>
        <v>Melting_Curves/meltCurve_Q9H7N4_SCAF1.pdf</v>
      </c>
    </row>
    <row r="4819" spans="1:28" x14ac:dyDescent="0.25">
      <c r="A4819" t="s">
        <v>4823</v>
      </c>
      <c r="B4819">
        <v>0.99299721793515405</v>
      </c>
      <c r="C4819">
        <v>1.06059438964763</v>
      </c>
      <c r="D4819">
        <v>1.69438365300618</v>
      </c>
      <c r="E4819">
        <v>0.77407572703961602</v>
      </c>
      <c r="F4819">
        <v>0.80445106892700402</v>
      </c>
      <c r="G4819">
        <v>1.1260028926797201</v>
      </c>
      <c r="H4819">
        <v>0.59594032086918702</v>
      </c>
      <c r="I4819">
        <v>0.73740463309529203</v>
      </c>
      <c r="J4819">
        <v>0.62295638481061699</v>
      </c>
      <c r="K4819">
        <v>0.73952632222221404</v>
      </c>
      <c r="L4819">
        <v>11800.2935674317</v>
      </c>
      <c r="M4819">
        <v>212.23677184077101</v>
      </c>
      <c r="O4819">
        <v>55.594729229567101</v>
      </c>
      <c r="P4819">
        <v>-0.31158195796432298</v>
      </c>
      <c r="Q4819">
        <v>0.67352849631192202</v>
      </c>
      <c r="R4819">
        <v>0.366954477889051</v>
      </c>
      <c r="S4819" t="s">
        <v>10370</v>
      </c>
      <c r="T4819" t="s">
        <v>11100</v>
      </c>
      <c r="U4819" t="s">
        <v>11100</v>
      </c>
      <c r="V4819" t="s">
        <v>11100</v>
      </c>
      <c r="W4819" t="s">
        <v>15867</v>
      </c>
      <c r="X4819">
        <v>3</v>
      </c>
      <c r="Y4819" t="s">
        <v>21294</v>
      </c>
      <c r="Z4819" t="s">
        <v>26824</v>
      </c>
      <c r="AA4819">
        <v>0.87598139533926378</v>
      </c>
      <c r="AB4819" t="str">
        <f>HYPERLINK("Melting_Curves/meltCurve_Q9H7S9_ZNF703.pdf", "Melting_Curves/meltCurve_Q9H7S9_ZNF703.pdf")</f>
        <v>Melting_Curves/meltCurve_Q9H7S9_ZNF703.pdf</v>
      </c>
    </row>
    <row r="4820" spans="1:28" x14ac:dyDescent="0.25">
      <c r="A4820" t="s">
        <v>4824</v>
      </c>
      <c r="B4820">
        <v>0.99299721793515405</v>
      </c>
      <c r="C4820">
        <v>1.2029855214306899</v>
      </c>
      <c r="D4820">
        <v>1.2392228226531199</v>
      </c>
      <c r="E4820">
        <v>0.96340448368860299</v>
      </c>
      <c r="F4820">
        <v>0.90975587946219605</v>
      </c>
      <c r="G4820">
        <v>0.50171373889719395</v>
      </c>
      <c r="H4820">
        <v>0.43449630428413399</v>
      </c>
      <c r="I4820">
        <v>0.36697637025969598</v>
      </c>
      <c r="J4820">
        <v>0.46094914869800002</v>
      </c>
      <c r="K4820">
        <v>0.17758174513347</v>
      </c>
      <c r="L4820">
        <v>1947.3191160367501</v>
      </c>
      <c r="M4820">
        <v>37.183135553867501</v>
      </c>
      <c r="N4820">
        <v>54.110348295135402</v>
      </c>
      <c r="O4820">
        <v>52.220254205202302</v>
      </c>
      <c r="P4820">
        <v>-0.11594255586079701</v>
      </c>
      <c r="Q4820">
        <v>0.348679846987486</v>
      </c>
      <c r="R4820">
        <v>0.88644791311767701</v>
      </c>
      <c r="S4820" t="s">
        <v>10371</v>
      </c>
      <c r="T4820" t="s">
        <v>11100</v>
      </c>
      <c r="U4820" t="s">
        <v>11100</v>
      </c>
      <c r="V4820" t="s">
        <v>11100</v>
      </c>
      <c r="W4820" t="s">
        <v>15868</v>
      </c>
      <c r="X4820">
        <v>2</v>
      </c>
      <c r="Y4820" t="s">
        <v>21295</v>
      </c>
      <c r="Z4820" t="s">
        <v>26825</v>
      </c>
      <c r="AA4820">
        <v>0.68511238071517788</v>
      </c>
      <c r="AB4820" t="str">
        <f>HYPERLINK("Melting_Curves/meltCurve_Q9H7X3_ZNF696.pdf", "Melting_Curves/meltCurve_Q9H7X3_ZNF696.pdf")</f>
        <v>Melting_Curves/meltCurve_Q9H7X3_ZNF696.pdf</v>
      </c>
    </row>
    <row r="4821" spans="1:28" x14ac:dyDescent="0.25">
      <c r="A4821" t="s">
        <v>4825</v>
      </c>
      <c r="B4821">
        <v>0.99299721793515405</v>
      </c>
      <c r="C4821">
        <v>0.98423281238837901</v>
      </c>
      <c r="D4821">
        <v>0.97700336045811698</v>
      </c>
      <c r="E4821">
        <v>0.86398179200596403</v>
      </c>
      <c r="F4821">
        <v>0.65536320711624496</v>
      </c>
      <c r="G4821">
        <v>0.438373816342088</v>
      </c>
      <c r="H4821">
        <v>0.38716309168847202</v>
      </c>
      <c r="I4821">
        <v>0.400988208179823</v>
      </c>
      <c r="J4821">
        <v>0.400645650927203</v>
      </c>
      <c r="K4821">
        <v>0.35079808837948201</v>
      </c>
      <c r="L4821">
        <v>1118.2995126703699</v>
      </c>
      <c r="M4821">
        <v>22.600306449768699</v>
      </c>
      <c r="N4821">
        <v>52.662094618625197</v>
      </c>
      <c r="O4821">
        <v>49.0990886940453</v>
      </c>
      <c r="P4821">
        <v>-7.22339208467003E-2</v>
      </c>
      <c r="Q4821">
        <v>0.37230081469887299</v>
      </c>
      <c r="R4821">
        <v>0.99590288020275597</v>
      </c>
      <c r="S4821" t="s">
        <v>10372</v>
      </c>
      <c r="T4821" t="s">
        <v>11100</v>
      </c>
      <c r="U4821" t="s">
        <v>11100</v>
      </c>
      <c r="V4821" t="s">
        <v>11100</v>
      </c>
      <c r="W4821" t="s">
        <v>15869</v>
      </c>
      <c r="X4821">
        <v>7</v>
      </c>
      <c r="Y4821" t="s">
        <v>21296</v>
      </c>
      <c r="Z4821" t="s">
        <v>26826</v>
      </c>
      <c r="AA4821">
        <v>0.64006884470832204</v>
      </c>
      <c r="AB4821" t="str">
        <f>HYPERLINK("Melting_Curves/meltCurve_Q9H7Z6_KAT8.pdf", "Melting_Curves/meltCurve_Q9H7Z6_KAT8.pdf")</f>
        <v>Melting_Curves/meltCurve_Q9H7Z6_KAT8.pdf</v>
      </c>
    </row>
    <row r="4822" spans="1:28" x14ac:dyDescent="0.25">
      <c r="A4822" t="s">
        <v>4826</v>
      </c>
      <c r="B4822">
        <v>0.99299721793515405</v>
      </c>
      <c r="C4822">
        <v>1.03037006808127</v>
      </c>
      <c r="D4822">
        <v>1.10192684189573</v>
      </c>
      <c r="E4822">
        <v>0.91847809828261096</v>
      </c>
      <c r="F4822">
        <v>0.76542583831658095</v>
      </c>
      <c r="G4822">
        <v>0.72324822889438001</v>
      </c>
      <c r="H4822">
        <v>0.446357812365967</v>
      </c>
      <c r="I4822">
        <v>0.322709242590631</v>
      </c>
      <c r="J4822">
        <v>0.19192514006563599</v>
      </c>
      <c r="K4822">
        <v>0.16379935859123501</v>
      </c>
      <c r="L4822">
        <v>713.59520035789001</v>
      </c>
      <c r="M4822">
        <v>12.6382266992757</v>
      </c>
      <c r="N4822">
        <v>56.814151860240898</v>
      </c>
      <c r="O4822">
        <v>55.105544711551502</v>
      </c>
      <c r="P4822">
        <v>-5.51946024645271E-2</v>
      </c>
      <c r="Q4822">
        <v>3.7545656788127803E-2</v>
      </c>
      <c r="R4822">
        <v>0.97770029515752599</v>
      </c>
      <c r="S4822" t="s">
        <v>10373</v>
      </c>
      <c r="T4822" t="s">
        <v>11100</v>
      </c>
      <c r="U4822" t="s">
        <v>11100</v>
      </c>
      <c r="V4822" t="s">
        <v>11100</v>
      </c>
      <c r="W4822" t="s">
        <v>15870</v>
      </c>
      <c r="X4822">
        <v>11</v>
      </c>
      <c r="Y4822" t="s">
        <v>21297</v>
      </c>
      <c r="Z4822" t="s">
        <v>26827</v>
      </c>
      <c r="AA4822">
        <v>0.67002176201949359</v>
      </c>
      <c r="AB4822" t="str">
        <f>HYPERLINK("Melting_Curves/meltCurve_Q9H7Z7_PTGES2.pdf", "Melting_Curves/meltCurve_Q9H7Z7_PTGES2.pdf")</f>
        <v>Melting_Curves/meltCurve_Q9H7Z7_PTGES2.pdf</v>
      </c>
    </row>
    <row r="4823" spans="1:28" x14ac:dyDescent="0.25">
      <c r="A4823" t="s">
        <v>4827</v>
      </c>
      <c r="B4823">
        <v>0.99299721793515405</v>
      </c>
      <c r="C4823">
        <v>0.93248021472942599</v>
      </c>
      <c r="D4823">
        <v>0.94018446299801794</v>
      </c>
      <c r="E4823">
        <v>1.0846604145566501</v>
      </c>
      <c r="F4823">
        <v>0.66889803057021802</v>
      </c>
      <c r="G4823">
        <v>0.41025743702759698</v>
      </c>
      <c r="H4823">
        <v>0.36167467897314898</v>
      </c>
      <c r="I4823">
        <v>0.28200686432328198</v>
      </c>
      <c r="J4823">
        <v>0.323662681035575</v>
      </c>
      <c r="K4823">
        <v>0.20454505161362199</v>
      </c>
      <c r="L4823">
        <v>1811.23019381525</v>
      </c>
      <c r="M4823">
        <v>35.747199324424201</v>
      </c>
      <c r="N4823">
        <v>51.9649418422918</v>
      </c>
      <c r="O4823">
        <v>50.5099756165854</v>
      </c>
      <c r="P4823">
        <v>-0.124709898442009</v>
      </c>
      <c r="Q4823">
        <v>0.29515339253012401</v>
      </c>
      <c r="R4823">
        <v>0.96525581940215999</v>
      </c>
      <c r="S4823" t="s">
        <v>10374</v>
      </c>
      <c r="T4823" t="s">
        <v>11100</v>
      </c>
      <c r="U4823" t="s">
        <v>11100</v>
      </c>
      <c r="V4823" t="s">
        <v>11100</v>
      </c>
      <c r="W4823" t="s">
        <v>15871</v>
      </c>
      <c r="X4823">
        <v>1</v>
      </c>
      <c r="Y4823" t="s">
        <v>21298</v>
      </c>
      <c r="Z4823" t="s">
        <v>26828</v>
      </c>
      <c r="AA4823">
        <v>0.61936409010338955</v>
      </c>
      <c r="AB4823" t="str">
        <f>HYPERLINK("Melting_Curves/meltCurve_Q9H813_TMEM206.pdf", "Melting_Curves/meltCurve_Q9H813_TMEM206.pdf")</f>
        <v>Melting_Curves/meltCurve_Q9H813_TMEM206.pdf</v>
      </c>
    </row>
    <row r="4824" spans="1:28" x14ac:dyDescent="0.25">
      <c r="A4824" t="s">
        <v>4828</v>
      </c>
      <c r="B4824">
        <v>0.99299721793515405</v>
      </c>
      <c r="C4824">
        <v>0.92225423878496504</v>
      </c>
      <c r="D4824">
        <v>0.995409651725496</v>
      </c>
      <c r="E4824">
        <v>1.02672055662881</v>
      </c>
      <c r="F4824">
        <v>0.75321274412336803</v>
      </c>
      <c r="G4824">
        <v>0.581426057141746</v>
      </c>
      <c r="H4824">
        <v>0.58702633671513105</v>
      </c>
      <c r="I4824">
        <v>0.62857634921624095</v>
      </c>
      <c r="J4824">
        <v>0.67168614200483001</v>
      </c>
      <c r="K4824">
        <v>0.59942530770643798</v>
      </c>
      <c r="L4824">
        <v>12521.393276426999</v>
      </c>
      <c r="M4824">
        <v>250</v>
      </c>
      <c r="O4824">
        <v>50.082381659985899</v>
      </c>
      <c r="P4824">
        <v>-0.48217064574115298</v>
      </c>
      <c r="Q4824">
        <v>0.61362803679992595</v>
      </c>
      <c r="R4824">
        <v>0.96102552059782098</v>
      </c>
      <c r="S4824" t="s">
        <v>10375</v>
      </c>
      <c r="T4824" t="s">
        <v>11100</v>
      </c>
      <c r="U4824" t="s">
        <v>11100</v>
      </c>
      <c r="V4824" t="s">
        <v>11100</v>
      </c>
      <c r="W4824" t="s">
        <v>15872</v>
      </c>
      <c r="X4824">
        <v>7</v>
      </c>
      <c r="Y4824" t="s">
        <v>21299</v>
      </c>
      <c r="Z4824" t="s">
        <v>26829</v>
      </c>
      <c r="AA4824">
        <v>0.78219195101251848</v>
      </c>
      <c r="AB4824" t="str">
        <f>HYPERLINK("Melting_Curves/meltCurve_Q9H814_PHAX.pdf", "Melting_Curves/meltCurve_Q9H814_PHAX.pdf")</f>
        <v>Melting_Curves/meltCurve_Q9H814_PHAX.pdf</v>
      </c>
    </row>
    <row r="4825" spans="1:28" x14ac:dyDescent="0.25">
      <c r="A4825" t="s">
        <v>4829</v>
      </c>
      <c r="B4825">
        <v>0.99299721793515405</v>
      </c>
      <c r="C4825">
        <v>0.92741251697315197</v>
      </c>
      <c r="D4825">
        <v>0.94965415740297898</v>
      </c>
      <c r="E4825">
        <v>0.79870897211270697</v>
      </c>
      <c r="F4825">
        <v>0.78072696286781096</v>
      </c>
      <c r="G4825">
        <v>0.55437571965833699</v>
      </c>
      <c r="H4825">
        <v>0.35722270435095199</v>
      </c>
      <c r="I4825">
        <v>0.182574197147198</v>
      </c>
      <c r="J4825">
        <v>0.154351955971229</v>
      </c>
      <c r="K4825">
        <v>0.13230678675576499</v>
      </c>
      <c r="L4825">
        <v>609.01367661920904</v>
      </c>
      <c r="M4825">
        <v>11.180949718343699</v>
      </c>
      <c r="N4825">
        <v>54.468862539000803</v>
      </c>
      <c r="O4825">
        <v>52.813635942284002</v>
      </c>
      <c r="P4825">
        <v>-5.2943202510278002E-2</v>
      </c>
      <c r="Q4825">
        <v>0</v>
      </c>
      <c r="R4825">
        <v>0.98652140841189395</v>
      </c>
      <c r="S4825" t="s">
        <v>10376</v>
      </c>
      <c r="T4825" t="s">
        <v>11100</v>
      </c>
      <c r="U4825" t="s">
        <v>11100</v>
      </c>
      <c r="V4825" t="s">
        <v>11100</v>
      </c>
      <c r="W4825" t="s">
        <v>15873</v>
      </c>
      <c r="X4825">
        <v>11</v>
      </c>
      <c r="Y4825" t="s">
        <v>21300</v>
      </c>
      <c r="Z4825" t="s">
        <v>26830</v>
      </c>
      <c r="AA4825">
        <v>0.59833634229955923</v>
      </c>
      <c r="AB4825" t="str">
        <f>HYPERLINK("Melting_Curves/meltCurve_Q9H832_UBE2Z.pdf", "Melting_Curves/meltCurve_Q9H832_UBE2Z.pdf")</f>
        <v>Melting_Curves/meltCurve_Q9H832_UBE2Z.pdf</v>
      </c>
    </row>
    <row r="4826" spans="1:28" x14ac:dyDescent="0.25">
      <c r="A4826" t="s">
        <v>4830</v>
      </c>
      <c r="B4826">
        <v>0.99299721793515405</v>
      </c>
      <c r="C4826">
        <v>0.96291270156564801</v>
      </c>
      <c r="D4826">
        <v>0.85432971945437797</v>
      </c>
      <c r="E4826">
        <v>0.98636371279750401</v>
      </c>
      <c r="F4826">
        <v>0.717123464729015</v>
      </c>
      <c r="G4826">
        <v>0.615364485322347</v>
      </c>
      <c r="H4826">
        <v>0.62991541472749901</v>
      </c>
      <c r="I4826">
        <v>0.50425560335512098</v>
      </c>
      <c r="J4826">
        <v>0.34891494582458199</v>
      </c>
      <c r="K4826">
        <v>0.21134207677536801</v>
      </c>
      <c r="L4826">
        <v>439.74090653659999</v>
      </c>
      <c r="M4826">
        <v>7.4553273784421501</v>
      </c>
      <c r="N4826">
        <v>58.983445947173998</v>
      </c>
      <c r="O4826">
        <v>55.186427353086998</v>
      </c>
      <c r="P4826">
        <v>-3.38230053589662E-2</v>
      </c>
      <c r="Q4826">
        <v>0</v>
      </c>
      <c r="R4826">
        <v>0.934220954426221</v>
      </c>
      <c r="S4826" t="s">
        <v>10377</v>
      </c>
      <c r="T4826" t="s">
        <v>11100</v>
      </c>
      <c r="U4826" t="s">
        <v>11100</v>
      </c>
      <c r="V4826" t="s">
        <v>11100</v>
      </c>
      <c r="W4826" t="s">
        <v>15874</v>
      </c>
      <c r="X4826">
        <v>4</v>
      </c>
      <c r="Y4826" t="s">
        <v>21301</v>
      </c>
      <c r="Z4826" t="s">
        <v>26831</v>
      </c>
      <c r="AA4826">
        <v>0.69594206682842497</v>
      </c>
      <c r="AB4826" t="str">
        <f>HYPERLINK("Melting_Curves/meltCurve_Q9H840_GEMIN7.pdf", "Melting_Curves/meltCurve_Q9H840_GEMIN7.pdf")</f>
        <v>Melting_Curves/meltCurve_Q9H840_GEMIN7.pdf</v>
      </c>
    </row>
    <row r="4827" spans="1:28" x14ac:dyDescent="0.25">
      <c r="A4827" t="s">
        <v>4831</v>
      </c>
      <c r="B4827">
        <v>0.99299721793515405</v>
      </c>
      <c r="C4827">
        <v>0.88578064239365295</v>
      </c>
      <c r="D4827">
        <v>0.90645680102551796</v>
      </c>
      <c r="E4827">
        <v>0.81689779282438502</v>
      </c>
      <c r="F4827">
        <v>0.75952125707901097</v>
      </c>
      <c r="G4827">
        <v>0.80225296527355505</v>
      </c>
      <c r="H4827">
        <v>0.72031850992857804</v>
      </c>
      <c r="I4827">
        <v>0.65030740391833897</v>
      </c>
      <c r="J4827">
        <v>0.46026370451620102</v>
      </c>
      <c r="K4827">
        <v>0.26167403894935998</v>
      </c>
      <c r="L4827">
        <v>380.08151226733099</v>
      </c>
      <c r="M4827">
        <v>6.0493210979383996</v>
      </c>
      <c r="N4827">
        <v>62.830440972040797</v>
      </c>
      <c r="O4827">
        <v>56.999045384710698</v>
      </c>
      <c r="P4827">
        <v>-2.6615999120162898E-2</v>
      </c>
      <c r="Q4827">
        <v>0</v>
      </c>
      <c r="R4827">
        <v>0.85977176869651195</v>
      </c>
      <c r="S4827" t="s">
        <v>10378</v>
      </c>
      <c r="T4827" t="s">
        <v>11100</v>
      </c>
      <c r="U4827" t="s">
        <v>11100</v>
      </c>
      <c r="V4827" t="s">
        <v>11100</v>
      </c>
      <c r="W4827" t="s">
        <v>15875</v>
      </c>
      <c r="X4827">
        <v>13</v>
      </c>
      <c r="Y4827" t="s">
        <v>21302</v>
      </c>
      <c r="Z4827" t="s">
        <v>26832</v>
      </c>
      <c r="AA4827">
        <v>0.74827122658045753</v>
      </c>
      <c r="AB4827" t="str">
        <f>HYPERLINK("Melting_Curves/meltCurve_Q9H845_ACAD9.pdf", "Melting_Curves/meltCurve_Q9H845_ACAD9.pdf")</f>
        <v>Melting_Curves/meltCurve_Q9H845_ACAD9.pdf</v>
      </c>
    </row>
    <row r="4828" spans="1:28" x14ac:dyDescent="0.25">
      <c r="A4828" t="s">
        <v>4832</v>
      </c>
      <c r="B4828">
        <v>0.99299721793515405</v>
      </c>
      <c r="C4828">
        <v>0.79629286282676404</v>
      </c>
      <c r="D4828">
        <v>0.84179992133497406</v>
      </c>
      <c r="E4828">
        <v>0.76601281557900502</v>
      </c>
      <c r="F4828">
        <v>0.63106402762417002</v>
      </c>
      <c r="G4828">
        <v>0.73252715863670603</v>
      </c>
      <c r="H4828">
        <v>0.54440504704501402</v>
      </c>
      <c r="I4828">
        <v>0.38233353451663099</v>
      </c>
      <c r="J4828">
        <v>0.188294067547045</v>
      </c>
      <c r="K4828">
        <v>0.17823477079802699</v>
      </c>
      <c r="L4828">
        <v>368.56997675630799</v>
      </c>
      <c r="M4828">
        <v>6.5823103072678499</v>
      </c>
      <c r="N4828">
        <v>55.994020245911102</v>
      </c>
      <c r="O4828">
        <v>51.501326358203798</v>
      </c>
      <c r="P4828">
        <v>-3.20262838866456E-2</v>
      </c>
      <c r="Q4828">
        <v>0</v>
      </c>
      <c r="R4828">
        <v>0.88785773700342396</v>
      </c>
      <c r="S4828" t="s">
        <v>10379</v>
      </c>
      <c r="T4828" t="s">
        <v>11100</v>
      </c>
      <c r="U4828" t="s">
        <v>11100</v>
      </c>
      <c r="V4828" t="s">
        <v>11100</v>
      </c>
      <c r="W4828" t="s">
        <v>15876</v>
      </c>
      <c r="X4828">
        <v>6</v>
      </c>
      <c r="Y4828" t="s">
        <v>21303</v>
      </c>
      <c r="Z4828" t="s">
        <v>26833</v>
      </c>
      <c r="AA4828">
        <v>0.62203413058363133</v>
      </c>
      <c r="AB4828" t="str">
        <f>HYPERLINK("Melting_Curves/meltCurve_Q9H857_2_NT5DC2.pdf", "Melting_Curves/meltCurve_Q9H857_2_NT5DC2.pdf")</f>
        <v>Melting_Curves/meltCurve_Q9H857_2_NT5DC2.pdf</v>
      </c>
    </row>
    <row r="4829" spans="1:28" x14ac:dyDescent="0.25">
      <c r="A4829" t="s">
        <v>4833</v>
      </c>
      <c r="B4829">
        <v>0.99299721793515405</v>
      </c>
      <c r="C4829">
        <v>1.03838101023881</v>
      </c>
      <c r="D4829">
        <v>0.83947183754992105</v>
      </c>
      <c r="E4829">
        <v>0.863906949720054</v>
      </c>
      <c r="F4829">
        <v>0.79925051536292502</v>
      </c>
      <c r="G4829">
        <v>0.69947166971404295</v>
      </c>
      <c r="H4829">
        <v>0.94276769825284801</v>
      </c>
      <c r="I4829">
        <v>1.0059509953155601</v>
      </c>
      <c r="J4829">
        <v>1.1581640448367401</v>
      </c>
      <c r="K4829">
        <v>0.81262346030750099</v>
      </c>
      <c r="L4829">
        <v>10342.959800639201</v>
      </c>
      <c r="M4829">
        <v>250</v>
      </c>
      <c r="O4829">
        <v>41.369191880149799</v>
      </c>
      <c r="P4829">
        <v>-0.165883107537517</v>
      </c>
      <c r="Q4829">
        <v>0.89020079897552595</v>
      </c>
      <c r="R4829">
        <v>0.14692552245850499</v>
      </c>
      <c r="S4829" t="s">
        <v>10380</v>
      </c>
      <c r="T4829" t="s">
        <v>11100</v>
      </c>
      <c r="U4829" t="s">
        <v>11100</v>
      </c>
      <c r="V4829" t="s">
        <v>11100</v>
      </c>
      <c r="W4829" t="s">
        <v>15877</v>
      </c>
      <c r="X4829">
        <v>2</v>
      </c>
      <c r="Y4829" t="s">
        <v>21304</v>
      </c>
      <c r="Z4829" t="s">
        <v>26834</v>
      </c>
      <c r="AA4829">
        <v>0.90620958620704795</v>
      </c>
      <c r="AB4829" t="str">
        <f>HYPERLINK("Melting_Curves/meltCurve_Q9H8G2_CAAP1.pdf", "Melting_Curves/meltCurve_Q9H8G2_CAAP1.pdf")</f>
        <v>Melting_Curves/meltCurve_Q9H8G2_CAAP1.pdf</v>
      </c>
    </row>
    <row r="4830" spans="1:28" x14ac:dyDescent="0.25">
      <c r="A4830" t="s">
        <v>4834</v>
      </c>
      <c r="B4830">
        <v>0.99299721793515405</v>
      </c>
      <c r="C4830">
        <v>0.988470131827902</v>
      </c>
      <c r="D4830">
        <v>0.63686954019332098</v>
      </c>
      <c r="E4830">
        <v>0.747615770331023</v>
      </c>
      <c r="F4830">
        <v>0.65075417990944695</v>
      </c>
      <c r="G4830">
        <v>0.61293210602437498</v>
      </c>
      <c r="H4830">
        <v>0.76385979598648501</v>
      </c>
      <c r="I4830">
        <v>0.26456654848157501</v>
      </c>
      <c r="J4830">
        <v>0.19363125587848901</v>
      </c>
      <c r="K4830">
        <v>0.204091434356961</v>
      </c>
      <c r="L4830">
        <v>336.69953947739498</v>
      </c>
      <c r="M4830">
        <v>6.0338217044597604</v>
      </c>
      <c r="N4830">
        <v>55.8020582655057</v>
      </c>
      <c r="O4830">
        <v>50.600268582127399</v>
      </c>
      <c r="P4830">
        <v>-2.9905835144056099E-2</v>
      </c>
      <c r="Q4830">
        <v>0</v>
      </c>
      <c r="R4830">
        <v>0.76895196404591903</v>
      </c>
      <c r="S4830" t="s">
        <v>10381</v>
      </c>
      <c r="T4830" t="s">
        <v>11100</v>
      </c>
      <c r="U4830" t="s">
        <v>11100</v>
      </c>
      <c r="V4830" t="s">
        <v>11100</v>
      </c>
      <c r="W4830" t="s">
        <v>15878</v>
      </c>
      <c r="X4830">
        <v>4</v>
      </c>
      <c r="Y4830" t="s">
        <v>21305</v>
      </c>
      <c r="Z4830" t="s">
        <v>26835</v>
      </c>
      <c r="AA4830">
        <v>0.61307826596073423</v>
      </c>
      <c r="AB4830" t="str">
        <f>HYPERLINK("Melting_Curves/meltCurve_Q9H8H0_NOL11.pdf", "Melting_Curves/meltCurve_Q9H8H0_NOL11.pdf")</f>
        <v>Melting_Curves/meltCurve_Q9H8H0_NOL11.pdf</v>
      </c>
    </row>
    <row r="4831" spans="1:28" x14ac:dyDescent="0.25">
      <c r="A4831" t="s">
        <v>4835</v>
      </c>
      <c r="B4831">
        <v>0.99299721793515405</v>
      </c>
      <c r="C4831">
        <v>1.1414928271001299</v>
      </c>
      <c r="D4831">
        <v>0.97091015904154498</v>
      </c>
      <c r="E4831">
        <v>1.0068130772005199</v>
      </c>
      <c r="F4831">
        <v>0.85801267936368997</v>
      </c>
      <c r="G4831">
        <v>0.63302300490862795</v>
      </c>
      <c r="H4831">
        <v>0.40805594677746199</v>
      </c>
      <c r="I4831">
        <v>0.19454356806870901</v>
      </c>
      <c r="J4831">
        <v>0.170846795534211</v>
      </c>
      <c r="K4831">
        <v>0.13162286803975301</v>
      </c>
      <c r="L4831">
        <v>1031.48119527771</v>
      </c>
      <c r="M4831">
        <v>18.754410026398201</v>
      </c>
      <c r="N4831">
        <v>55.665282531530003</v>
      </c>
      <c r="O4831">
        <v>54.385520373192598</v>
      </c>
      <c r="P4831">
        <v>-7.7551276224124999E-2</v>
      </c>
      <c r="Q4831">
        <v>0.10048047087736001</v>
      </c>
      <c r="R4831">
        <v>0.98275212777885901</v>
      </c>
      <c r="S4831" t="s">
        <v>10382</v>
      </c>
      <c r="T4831" t="s">
        <v>11100</v>
      </c>
      <c r="U4831" t="s">
        <v>11100</v>
      </c>
      <c r="V4831" t="s">
        <v>11100</v>
      </c>
      <c r="W4831" t="s">
        <v>15879</v>
      </c>
      <c r="X4831">
        <v>4</v>
      </c>
      <c r="Y4831" t="s">
        <v>21306</v>
      </c>
      <c r="Z4831" t="s">
        <v>26836</v>
      </c>
      <c r="AA4831">
        <v>0.65106979381205166</v>
      </c>
      <c r="AB4831" t="str">
        <f>HYPERLINK("Melting_Curves/meltCurve_Q9H8M7_FAM188A.pdf", "Melting_Curves/meltCurve_Q9H8M7_FAM188A.pdf")</f>
        <v>Melting_Curves/meltCurve_Q9H8M7_FAM188A.pdf</v>
      </c>
    </row>
    <row r="4832" spans="1:28" x14ac:dyDescent="0.25">
      <c r="A4832" t="s">
        <v>4836</v>
      </c>
      <c r="B4832">
        <v>0.99299721793515405</v>
      </c>
      <c r="C4832">
        <v>0.93667617769961697</v>
      </c>
      <c r="D4832">
        <v>1.3402574952650299</v>
      </c>
      <c r="E4832">
        <v>0.81056848312248997</v>
      </c>
      <c r="F4832">
        <v>0.81573878645577003</v>
      </c>
      <c r="G4832">
        <v>0.81154838909069704</v>
      </c>
      <c r="H4832">
        <v>0.510992747440975</v>
      </c>
      <c r="I4832">
        <v>0.36105210675098198</v>
      </c>
      <c r="J4832">
        <v>0.24759531734767801</v>
      </c>
      <c r="K4832">
        <v>0.24681213689150699</v>
      </c>
      <c r="L4832">
        <v>789.85441572219497</v>
      </c>
      <c r="M4832">
        <v>13.8960208486524</v>
      </c>
      <c r="N4832">
        <v>58.0345144940271</v>
      </c>
      <c r="O4832">
        <v>55.7019975842788</v>
      </c>
      <c r="P4832">
        <v>-5.4619949066096997E-2</v>
      </c>
      <c r="Q4832">
        <v>0.124346202893522</v>
      </c>
      <c r="R4832">
        <v>0.85884018404266105</v>
      </c>
      <c r="S4832" t="s">
        <v>10383</v>
      </c>
      <c r="T4832" t="s">
        <v>11100</v>
      </c>
      <c r="U4832" t="s">
        <v>11100</v>
      </c>
      <c r="V4832" t="s">
        <v>11100</v>
      </c>
      <c r="W4832" t="s">
        <v>15880</v>
      </c>
      <c r="X4832">
        <v>4</v>
      </c>
      <c r="Y4832" t="s">
        <v>21307</v>
      </c>
      <c r="Z4832" t="s">
        <v>26837</v>
      </c>
      <c r="AA4832">
        <v>0.71046578023206408</v>
      </c>
      <c r="AB4832" t="str">
        <f>HYPERLINK("Melting_Curves/meltCurve_Q9H8S9_MOB1A.pdf", "Melting_Curves/meltCurve_Q9H8S9_MOB1A.pdf")</f>
        <v>Melting_Curves/meltCurve_Q9H8S9_MOB1A.pdf</v>
      </c>
    </row>
    <row r="4833" spans="1:28" x14ac:dyDescent="0.25">
      <c r="A4833" t="s">
        <v>4837</v>
      </c>
      <c r="B4833">
        <v>0.99299721793515405</v>
      </c>
      <c r="C4833">
        <v>0.99297046668960498</v>
      </c>
      <c r="D4833">
        <v>0.97398100516048702</v>
      </c>
      <c r="E4833">
        <v>0.78907157738399702</v>
      </c>
      <c r="F4833">
        <v>0.81095610876894297</v>
      </c>
      <c r="G4833">
        <v>0.61181448543765804</v>
      </c>
      <c r="H4833">
        <v>0.61995371290464996</v>
      </c>
      <c r="I4833">
        <v>0.58135113145602402</v>
      </c>
      <c r="J4833">
        <v>0.53363657972836498</v>
      </c>
      <c r="K4833">
        <v>0.38276298303517697</v>
      </c>
      <c r="L4833">
        <v>405.920129596847</v>
      </c>
      <c r="M4833">
        <v>7.34680546697951</v>
      </c>
      <c r="N4833">
        <v>63.038610992521598</v>
      </c>
      <c r="O4833">
        <v>51.599929172589903</v>
      </c>
      <c r="P4833">
        <v>-2.5017593741836101E-2</v>
      </c>
      <c r="Q4833">
        <v>0.298249595325075</v>
      </c>
      <c r="R4833">
        <v>0.94067186563619998</v>
      </c>
      <c r="S4833" t="s">
        <v>10384</v>
      </c>
      <c r="T4833" t="s">
        <v>11100</v>
      </c>
      <c r="U4833" t="s">
        <v>11100</v>
      </c>
      <c r="V4833" t="s">
        <v>11100</v>
      </c>
      <c r="W4833" t="s">
        <v>15881</v>
      </c>
      <c r="X4833">
        <v>4</v>
      </c>
      <c r="Y4833" t="s">
        <v>21308</v>
      </c>
      <c r="Z4833" t="s">
        <v>26838</v>
      </c>
      <c r="AA4833">
        <v>0.72627839682630979</v>
      </c>
      <c r="AB4833" t="str">
        <f>HYPERLINK("Melting_Curves/meltCurve_Q9H8U3_ZFAND3.pdf", "Melting_Curves/meltCurve_Q9H8U3_ZFAND3.pdf")</f>
        <v>Melting_Curves/meltCurve_Q9H8U3_ZFAND3.pdf</v>
      </c>
    </row>
    <row r="4834" spans="1:28" x14ac:dyDescent="0.25">
      <c r="A4834" t="s">
        <v>4838</v>
      </c>
      <c r="B4834">
        <v>0.99299721793515405</v>
      </c>
      <c r="C4834">
        <v>1.0620600989542299</v>
      </c>
      <c r="D4834">
        <v>0.91541590878536205</v>
      </c>
      <c r="E4834">
        <v>0.91371985990184401</v>
      </c>
      <c r="F4834">
        <v>0.68061254353716905</v>
      </c>
      <c r="G4834">
        <v>0.26916588945207998</v>
      </c>
      <c r="H4834">
        <v>0.192971863611061</v>
      </c>
      <c r="I4834">
        <v>0.16308872467221999</v>
      </c>
      <c r="J4834">
        <v>9.7141257652508695E-2</v>
      </c>
      <c r="K4834">
        <v>9.3464501662099506E-2</v>
      </c>
      <c r="L4834">
        <v>1285.34712314372</v>
      </c>
      <c r="M4834">
        <v>25.154919479960299</v>
      </c>
      <c r="N4834">
        <v>51.617622987569099</v>
      </c>
      <c r="O4834">
        <v>50.777611694095903</v>
      </c>
      <c r="P4834">
        <v>-0.10997922847696499</v>
      </c>
      <c r="Q4834">
        <v>0.111997438478093</v>
      </c>
      <c r="R4834">
        <v>0.98989726447582804</v>
      </c>
      <c r="S4834" t="s">
        <v>10385</v>
      </c>
      <c r="T4834" t="s">
        <v>11100</v>
      </c>
      <c r="U4834" t="s">
        <v>11100</v>
      </c>
      <c r="V4834" t="s">
        <v>11100</v>
      </c>
      <c r="W4834" t="s">
        <v>15882</v>
      </c>
      <c r="X4834">
        <v>3</v>
      </c>
      <c r="Y4834" t="s">
        <v>21309</v>
      </c>
      <c r="Z4834" t="s">
        <v>26839</v>
      </c>
      <c r="AA4834">
        <v>0.53702731847302565</v>
      </c>
      <c r="AB4834" t="str">
        <f>HYPERLINK("Melting_Curves/meltCurve_Q9H8W4_PLEKHF2.pdf", "Melting_Curves/meltCurve_Q9H8W4_PLEKHF2.pdf")</f>
        <v>Melting_Curves/meltCurve_Q9H8W4_PLEKHF2.pdf</v>
      </c>
    </row>
    <row r="4835" spans="1:28" x14ac:dyDescent="0.25">
      <c r="A4835" t="s">
        <v>4839</v>
      </c>
      <c r="B4835">
        <v>0.99299721793515405</v>
      </c>
      <c r="C4835">
        <v>0.94249171187916103</v>
      </c>
      <c r="D4835">
        <v>0.91012735727011396</v>
      </c>
      <c r="E4835">
        <v>0.987978540114411</v>
      </c>
      <c r="F4835">
        <v>0.577674847609293</v>
      </c>
      <c r="G4835">
        <v>0.26100774401249399</v>
      </c>
      <c r="H4835">
        <v>0.391095117691239</v>
      </c>
      <c r="I4835">
        <v>0.25872792871577399</v>
      </c>
      <c r="J4835">
        <v>0.179665384231501</v>
      </c>
      <c r="K4835">
        <v>0.29518467459488601</v>
      </c>
      <c r="L4835">
        <v>12532.9220071175</v>
      </c>
      <c r="M4835">
        <v>250</v>
      </c>
      <c r="N4835">
        <v>50.294237347581102</v>
      </c>
      <c r="O4835">
        <v>50.128479973257001</v>
      </c>
      <c r="P4835">
        <v>-0.901263908955791</v>
      </c>
      <c r="Q4835">
        <v>0.27713616445714101</v>
      </c>
      <c r="R4835">
        <v>0.96697352145904503</v>
      </c>
      <c r="S4835" t="s">
        <v>10386</v>
      </c>
      <c r="T4835" t="s">
        <v>11100</v>
      </c>
      <c r="U4835" t="s">
        <v>11100</v>
      </c>
      <c r="V4835" t="s">
        <v>11100</v>
      </c>
      <c r="W4835" t="s">
        <v>15883</v>
      </c>
      <c r="X4835">
        <v>2</v>
      </c>
      <c r="Y4835" t="s">
        <v>21310</v>
      </c>
      <c r="Z4835" t="s">
        <v>26840</v>
      </c>
      <c r="AA4835">
        <v>0.59361384143797935</v>
      </c>
      <c r="AB4835" t="str">
        <f>HYPERLINK("Melting_Curves/meltCurve_Q9H8Y5_ANKZF1.pdf", "Melting_Curves/meltCurve_Q9H8Y5_ANKZF1.pdf")</f>
        <v>Melting_Curves/meltCurve_Q9H8Y5_ANKZF1.pdf</v>
      </c>
    </row>
    <row r="4836" spans="1:28" x14ac:dyDescent="0.25">
      <c r="A4836" t="s">
        <v>4840</v>
      </c>
      <c r="B4836">
        <v>0.99299721793515405</v>
      </c>
      <c r="C4836">
        <v>1.16780493293133</v>
      </c>
      <c r="D4836">
        <v>1.0941235838430201</v>
      </c>
      <c r="E4836">
        <v>0.98856764921889495</v>
      </c>
      <c r="F4836">
        <v>0.77074841770191205</v>
      </c>
      <c r="G4836">
        <v>0.34963139649805802</v>
      </c>
      <c r="H4836">
        <v>0.21314337302529601</v>
      </c>
      <c r="I4836">
        <v>0.18891418837129501</v>
      </c>
      <c r="J4836">
        <v>0.155857870775365</v>
      </c>
      <c r="K4836">
        <v>0.13938838745477899</v>
      </c>
      <c r="L4836">
        <v>1658.1762602956001</v>
      </c>
      <c r="M4836">
        <v>32.039375952146202</v>
      </c>
      <c r="N4836">
        <v>52.397123363080702</v>
      </c>
      <c r="O4836">
        <v>51.553956496341499</v>
      </c>
      <c r="P4836">
        <v>-0.130120846918309</v>
      </c>
      <c r="Q4836">
        <v>0.16250419323295601</v>
      </c>
      <c r="R4836">
        <v>0.97707173566545402</v>
      </c>
      <c r="S4836" t="s">
        <v>10387</v>
      </c>
      <c r="T4836" t="s">
        <v>11100</v>
      </c>
      <c r="U4836" t="s">
        <v>11100</v>
      </c>
      <c r="V4836" t="s">
        <v>11100</v>
      </c>
      <c r="W4836" t="s">
        <v>15884</v>
      </c>
      <c r="X4836">
        <v>8</v>
      </c>
      <c r="Y4836" t="s">
        <v>21311</v>
      </c>
      <c r="Z4836" t="s">
        <v>26841</v>
      </c>
      <c r="AA4836">
        <v>0.5790321916553921</v>
      </c>
      <c r="AB4836" t="str">
        <f>HYPERLINK("Melting_Curves/meltCurve_Q9H8Y8_GORASP2.pdf", "Melting_Curves/meltCurve_Q9H8Y8_GORASP2.pdf")</f>
        <v>Melting_Curves/meltCurve_Q9H8Y8_GORASP2.pdf</v>
      </c>
    </row>
    <row r="4837" spans="1:28" x14ac:dyDescent="0.25">
      <c r="A4837" t="s">
        <v>4841</v>
      </c>
      <c r="B4837">
        <v>0.99299721793515405</v>
      </c>
      <c r="C4837">
        <v>0.97817929692186201</v>
      </c>
      <c r="D4837">
        <v>1.1111611734314299</v>
      </c>
      <c r="E4837">
        <v>0.89222654623004705</v>
      </c>
      <c r="F4837">
        <v>0.78717200814035004</v>
      </c>
      <c r="G4837">
        <v>0.64427919708401504</v>
      </c>
      <c r="H4837">
        <v>0.60027626471657602</v>
      </c>
      <c r="I4837">
        <v>0.72985487661122195</v>
      </c>
      <c r="J4837">
        <v>0.86917556044373501</v>
      </c>
      <c r="K4837">
        <v>0.79406424307634504</v>
      </c>
      <c r="L4837">
        <v>2178.1690122036398</v>
      </c>
      <c r="M4837">
        <v>46.148904865641299</v>
      </c>
      <c r="O4837">
        <v>47.110343544299703</v>
      </c>
      <c r="P4837">
        <v>-6.5196755862211506E-2</v>
      </c>
      <c r="Q4837">
        <v>0.73378020530830002</v>
      </c>
      <c r="R4837">
        <v>0.72845112413490198</v>
      </c>
      <c r="S4837" t="s">
        <v>10388</v>
      </c>
      <c r="T4837" t="s">
        <v>11100</v>
      </c>
      <c r="U4837" t="s">
        <v>11100</v>
      </c>
      <c r="V4837" t="s">
        <v>11100</v>
      </c>
      <c r="W4837" t="s">
        <v>15885</v>
      </c>
      <c r="X4837">
        <v>24</v>
      </c>
      <c r="Y4837" t="s">
        <v>16629</v>
      </c>
      <c r="Z4837" t="s">
        <v>26842</v>
      </c>
      <c r="AA4837">
        <v>0.82493478793496799</v>
      </c>
      <c r="AB4837" t="str">
        <f>HYPERLINK("Melting_Curves/meltCurve_Q9H910_2_HN1L.pdf", "Melting_Curves/meltCurve_Q9H910_2_HN1L.pdf")</f>
        <v>Melting_Curves/meltCurve_Q9H910_2_HN1L.pdf</v>
      </c>
    </row>
    <row r="4838" spans="1:28" x14ac:dyDescent="0.25">
      <c r="A4838" t="s">
        <v>4842</v>
      </c>
      <c r="B4838">
        <v>0.99299721793515405</v>
      </c>
      <c r="C4838">
        <v>0.97215328241455501</v>
      </c>
      <c r="D4838">
        <v>0.92385409735512103</v>
      </c>
      <c r="E4838">
        <v>0.84421309952502899</v>
      </c>
      <c r="F4838">
        <v>0.73137745034817603</v>
      </c>
      <c r="G4838">
        <v>0.55093823601423697</v>
      </c>
      <c r="H4838">
        <v>0.61916853886349599</v>
      </c>
      <c r="I4838">
        <v>0.67107094997591299</v>
      </c>
      <c r="J4838">
        <v>0.73470358235037003</v>
      </c>
      <c r="K4838">
        <v>0.51654929482859702</v>
      </c>
      <c r="L4838">
        <v>949.06543899317296</v>
      </c>
      <c r="M4838">
        <v>20.1614750308865</v>
      </c>
      <c r="O4838">
        <v>46.617448862005901</v>
      </c>
      <c r="P4838">
        <v>-4.1505383073840302E-2</v>
      </c>
      <c r="Q4838">
        <v>0.616136405962602</v>
      </c>
      <c r="R4838">
        <v>0.85885585863559299</v>
      </c>
      <c r="S4838" t="s">
        <v>10389</v>
      </c>
      <c r="T4838" t="s">
        <v>11100</v>
      </c>
      <c r="U4838" t="s">
        <v>11100</v>
      </c>
      <c r="V4838" t="s">
        <v>11100</v>
      </c>
      <c r="W4838" t="s">
        <v>15886</v>
      </c>
      <c r="X4838">
        <v>6</v>
      </c>
      <c r="Y4838" t="s">
        <v>21312</v>
      </c>
      <c r="Z4838" t="s">
        <v>26843</v>
      </c>
      <c r="AA4838">
        <v>0.74997595820549301</v>
      </c>
      <c r="AB4838" t="str">
        <f>HYPERLINK("Melting_Curves/meltCurve_Q9H936_SLC25A22.pdf", "Melting_Curves/meltCurve_Q9H936_SLC25A22.pdf")</f>
        <v>Melting_Curves/meltCurve_Q9H936_SLC25A22.pdf</v>
      </c>
    </row>
    <row r="4839" spans="1:28" x14ac:dyDescent="0.25">
      <c r="A4839" t="s">
        <v>4843</v>
      </c>
      <c r="B4839">
        <v>0.99299721793515405</v>
      </c>
      <c r="C4839">
        <v>1.07653754924856</v>
      </c>
      <c r="D4839">
        <v>1.0046034194097799</v>
      </c>
      <c r="E4839">
        <v>0.97397496747909595</v>
      </c>
      <c r="F4839">
        <v>0.33365541515585101</v>
      </c>
      <c r="G4839">
        <v>0.22106942245877401</v>
      </c>
      <c r="H4839">
        <v>0.18289434089621801</v>
      </c>
      <c r="I4839">
        <v>0.108387816900779</v>
      </c>
      <c r="J4839">
        <v>7.8573750205055207E-2</v>
      </c>
      <c r="K4839">
        <v>5.70340198791041E-2</v>
      </c>
      <c r="L4839">
        <v>2670.98153688498</v>
      </c>
      <c r="M4839">
        <v>54.324535712051002</v>
      </c>
      <c r="N4839">
        <v>49.432929726559998</v>
      </c>
      <c r="O4839">
        <v>49.1006394707642</v>
      </c>
      <c r="P4839">
        <v>-0.24156596583166501</v>
      </c>
      <c r="Q4839">
        <v>0.12665347267204999</v>
      </c>
      <c r="R4839">
        <v>0.98639610034610803</v>
      </c>
      <c r="S4839" t="s">
        <v>10390</v>
      </c>
      <c r="T4839" t="s">
        <v>11100</v>
      </c>
      <c r="U4839" t="s">
        <v>11100</v>
      </c>
      <c r="V4839" t="s">
        <v>11100</v>
      </c>
      <c r="W4839" t="s">
        <v>15887</v>
      </c>
      <c r="X4839">
        <v>8</v>
      </c>
      <c r="Y4839" t="s">
        <v>21313</v>
      </c>
      <c r="Z4839" t="s">
        <v>26844</v>
      </c>
      <c r="AA4839">
        <v>0.48246064585847548</v>
      </c>
      <c r="AB4839" t="str">
        <f>HYPERLINK("Melting_Curves/meltCurve_Q9H939_PSTPIP2.pdf", "Melting_Curves/meltCurve_Q9H939_PSTPIP2.pdf")</f>
        <v>Melting_Curves/meltCurve_Q9H939_PSTPIP2.pdf</v>
      </c>
    </row>
    <row r="4840" spans="1:28" x14ac:dyDescent="0.25">
      <c r="A4840" t="s">
        <v>4844</v>
      </c>
      <c r="B4840">
        <v>0.99299721793515405</v>
      </c>
      <c r="C4840">
        <v>0.93847592456082696</v>
      </c>
      <c r="D4840">
        <v>0.98762571303421898</v>
      </c>
      <c r="E4840">
        <v>0.835477662010921</v>
      </c>
      <c r="F4840">
        <v>0.72150072119398201</v>
      </c>
      <c r="G4840">
        <v>0.43233544084558401</v>
      </c>
      <c r="H4840">
        <v>0.415745217442341</v>
      </c>
      <c r="I4840">
        <v>0.37832717441984098</v>
      </c>
      <c r="J4840">
        <v>0.213420610696965</v>
      </c>
      <c r="K4840">
        <v>0.14964965714025599</v>
      </c>
      <c r="L4840">
        <v>559.73042114026305</v>
      </c>
      <c r="M4840">
        <v>10.492573562458601</v>
      </c>
      <c r="N4840">
        <v>54.467524355789898</v>
      </c>
      <c r="O4840">
        <v>51.516957434034701</v>
      </c>
      <c r="P4840">
        <v>-4.5987435713231301E-2</v>
      </c>
      <c r="Q4840">
        <v>9.7199649818038997E-2</v>
      </c>
      <c r="R4840">
        <v>0.97332486246401595</v>
      </c>
      <c r="S4840" t="s">
        <v>10391</v>
      </c>
      <c r="T4840" t="s">
        <v>11100</v>
      </c>
      <c r="U4840" t="s">
        <v>11100</v>
      </c>
      <c r="V4840" t="s">
        <v>11100</v>
      </c>
      <c r="W4840" t="s">
        <v>15888</v>
      </c>
      <c r="X4840">
        <v>6</v>
      </c>
      <c r="Y4840" t="s">
        <v>21314</v>
      </c>
      <c r="Z4840" t="s">
        <v>26845</v>
      </c>
      <c r="AA4840">
        <v>0.6078255372732021</v>
      </c>
      <c r="AB4840" t="str">
        <f>HYPERLINK("Melting_Curves/meltCurve_Q9H944_MED20.pdf", "Melting_Curves/meltCurve_Q9H944_MED20.pdf")</f>
        <v>Melting_Curves/meltCurve_Q9H944_MED20.pdf</v>
      </c>
    </row>
    <row r="4841" spans="1:28" x14ac:dyDescent="0.25">
      <c r="A4841" t="s">
        <v>4845</v>
      </c>
      <c r="B4841">
        <v>0.99299721793515405</v>
      </c>
      <c r="C4841">
        <v>0.96079715427493495</v>
      </c>
      <c r="D4841">
        <v>0.86483920011236604</v>
      </c>
      <c r="E4841">
        <v>0.87367628667543096</v>
      </c>
      <c r="F4841">
        <v>0.80745377352136605</v>
      </c>
      <c r="G4841">
        <v>0.72154352361594298</v>
      </c>
      <c r="H4841">
        <v>0.74129488007147704</v>
      </c>
      <c r="I4841">
        <v>0.577603052111332</v>
      </c>
      <c r="J4841">
        <v>0.27974830267798401</v>
      </c>
      <c r="K4841">
        <v>0.18498309748896299</v>
      </c>
      <c r="L4841">
        <v>559.97759444558596</v>
      </c>
      <c r="M4841">
        <v>9.2994925594636992</v>
      </c>
      <c r="N4841">
        <v>60.215907093699897</v>
      </c>
      <c r="O4841">
        <v>57.6280393612981</v>
      </c>
      <c r="P4841">
        <v>-4.0368620710424297E-2</v>
      </c>
      <c r="Q4841">
        <v>0</v>
      </c>
      <c r="R4841">
        <v>0.90318334116251198</v>
      </c>
      <c r="S4841" t="s">
        <v>10392</v>
      </c>
      <c r="T4841" t="s">
        <v>11100</v>
      </c>
      <c r="U4841" t="s">
        <v>11100</v>
      </c>
      <c r="V4841" t="s">
        <v>11100</v>
      </c>
      <c r="W4841" t="s">
        <v>15889</v>
      </c>
      <c r="X4841">
        <v>13</v>
      </c>
      <c r="Y4841" t="s">
        <v>21315</v>
      </c>
      <c r="Z4841" t="s">
        <v>26846</v>
      </c>
      <c r="AA4841">
        <v>0.73965518796358964</v>
      </c>
      <c r="AB4841" t="str">
        <f>HYPERLINK("Melting_Curves/meltCurve_Q9H974_4_QTRTD1.pdf", "Melting_Curves/meltCurve_Q9H974_4_QTRTD1.pdf")</f>
        <v>Melting_Curves/meltCurve_Q9H974_4_QTRTD1.pdf</v>
      </c>
    </row>
    <row r="4842" spans="1:28" x14ac:dyDescent="0.25">
      <c r="A4842" t="s">
        <v>4846</v>
      </c>
      <c r="B4842">
        <v>0.99299721793515405</v>
      </c>
      <c r="C4842">
        <v>1.0126407411644001</v>
      </c>
      <c r="D4842">
        <v>0.95201539373731903</v>
      </c>
      <c r="E4842">
        <v>0.99335949583449001</v>
      </c>
      <c r="F4842">
        <v>0.82124030732841202</v>
      </c>
      <c r="G4842">
        <v>0.52684037586080801</v>
      </c>
      <c r="H4842">
        <v>0.31550371021069701</v>
      </c>
      <c r="I4842">
        <v>0.20112625588830901</v>
      </c>
      <c r="J4842">
        <v>0.164259960924999</v>
      </c>
      <c r="K4842">
        <v>0.13859550952084601</v>
      </c>
      <c r="L4842">
        <v>1113.59793508644</v>
      </c>
      <c r="M4842">
        <v>20.832491830648198</v>
      </c>
      <c r="N4842">
        <v>54.283200956643903</v>
      </c>
      <c r="O4842">
        <v>52.969633705535699</v>
      </c>
      <c r="P4842">
        <v>-8.4937790292917204E-2</v>
      </c>
      <c r="Q4842">
        <v>0.13615757120071501</v>
      </c>
      <c r="R4842">
        <v>0.99730874696596195</v>
      </c>
      <c r="S4842" t="s">
        <v>10393</v>
      </c>
      <c r="T4842" t="s">
        <v>11100</v>
      </c>
      <c r="U4842" t="s">
        <v>11100</v>
      </c>
      <c r="V4842" t="s">
        <v>11100</v>
      </c>
      <c r="W4842" t="s">
        <v>15890</v>
      </c>
      <c r="X4842">
        <v>8</v>
      </c>
      <c r="Y4842" t="s">
        <v>21316</v>
      </c>
      <c r="Z4842" t="s">
        <v>26847</v>
      </c>
      <c r="AA4842">
        <v>0.62008010418828297</v>
      </c>
      <c r="AB4842" t="str">
        <f>HYPERLINK("Melting_Curves/meltCurve_Q9H977_WDR54.pdf", "Melting_Curves/meltCurve_Q9H977_WDR54.pdf")</f>
        <v>Melting_Curves/meltCurve_Q9H977_WDR54.pdf</v>
      </c>
    </row>
    <row r="4843" spans="1:28" x14ac:dyDescent="0.25">
      <c r="A4843" t="s">
        <v>4847</v>
      </c>
      <c r="B4843">
        <v>0.99299721793515405</v>
      </c>
      <c r="C4843">
        <v>0.67978840590856704</v>
      </c>
      <c r="D4843">
        <v>0.95917769789971097</v>
      </c>
      <c r="E4843">
        <v>0.50879665634034699</v>
      </c>
      <c r="F4843">
        <v>0</v>
      </c>
      <c r="G4843">
        <v>0.120346343264499</v>
      </c>
      <c r="H4843">
        <v>9.0276118638135394E-2</v>
      </c>
      <c r="I4843">
        <v>9.53303483685147E-2</v>
      </c>
      <c r="J4843">
        <v>0.101960238478962</v>
      </c>
      <c r="K4843">
        <v>0.119823981649727</v>
      </c>
      <c r="L4843">
        <v>11642.795437938499</v>
      </c>
      <c r="M4843">
        <v>250</v>
      </c>
      <c r="N4843">
        <v>46.607254354718698</v>
      </c>
      <c r="O4843">
        <v>46.568201865466001</v>
      </c>
      <c r="P4843">
        <v>-1.22407002179643</v>
      </c>
      <c r="Q4843">
        <v>8.7956170167873202E-2</v>
      </c>
      <c r="R4843">
        <v>0.91455149794734103</v>
      </c>
      <c r="S4843" t="s">
        <v>10394</v>
      </c>
      <c r="T4843" t="s">
        <v>11100</v>
      </c>
      <c r="U4843" t="s">
        <v>11100</v>
      </c>
      <c r="V4843" t="s">
        <v>11100</v>
      </c>
      <c r="W4843" t="s">
        <v>15891</v>
      </c>
      <c r="X4843">
        <v>2</v>
      </c>
      <c r="Y4843" t="s">
        <v>21317</v>
      </c>
      <c r="Z4843" t="s">
        <v>26848</v>
      </c>
      <c r="AA4843">
        <v>0.37900862175610239</v>
      </c>
      <c r="AB4843" t="str">
        <f>HYPERLINK("Melting_Curves/meltCurve_Q9H981_ACTR8.pdf", "Melting_Curves/meltCurve_Q9H981_ACTR8.pdf")</f>
        <v>Melting_Curves/meltCurve_Q9H981_ACTR8.pdf</v>
      </c>
    </row>
    <row r="4844" spans="1:28" x14ac:dyDescent="0.25">
      <c r="A4844" t="s">
        <v>4848</v>
      </c>
      <c r="B4844">
        <v>0.99299721793515405</v>
      </c>
      <c r="C4844">
        <v>1.21456951984629</v>
      </c>
      <c r="D4844">
        <v>2.2472391964423801</v>
      </c>
      <c r="E4844">
        <v>1.3312377824799799</v>
      </c>
      <c r="F4844">
        <v>0.79051911923337403</v>
      </c>
      <c r="G4844">
        <v>0.88647347580217495</v>
      </c>
      <c r="H4844">
        <v>0.168812683750175</v>
      </c>
      <c r="I4844">
        <v>8.90219603049969E-2</v>
      </c>
      <c r="J4844">
        <v>6.3539073361051704E-2</v>
      </c>
      <c r="K4844">
        <v>9.4458980407711002E-2</v>
      </c>
      <c r="L4844">
        <v>3516.9221751754098</v>
      </c>
      <c r="M4844">
        <v>63.4636929966832</v>
      </c>
      <c r="N4844">
        <v>55.569675851474102</v>
      </c>
      <c r="O4844">
        <v>55.361340464895598</v>
      </c>
      <c r="P4844">
        <v>-0.26356155939528098</v>
      </c>
      <c r="Q4844">
        <v>8.0348720366401297E-2</v>
      </c>
      <c r="R4844">
        <v>0.61301849384968699</v>
      </c>
      <c r="S4844" t="s">
        <v>10395</v>
      </c>
      <c r="T4844" t="s">
        <v>11100</v>
      </c>
      <c r="U4844" t="s">
        <v>11100</v>
      </c>
      <c r="V4844" t="s">
        <v>11100</v>
      </c>
      <c r="W4844" t="s">
        <v>15892</v>
      </c>
      <c r="X4844">
        <v>4</v>
      </c>
      <c r="Y4844" t="s">
        <v>21318</v>
      </c>
      <c r="Z4844" t="s">
        <v>26849</v>
      </c>
      <c r="AA4844">
        <v>0.64629246768489979</v>
      </c>
      <c r="AB4844" t="str">
        <f>HYPERLINK("Melting_Curves/meltCurve_Q9H993_C6orf211.pdf", "Melting_Curves/meltCurve_Q9H993_C6orf211.pdf")</f>
        <v>Melting_Curves/meltCurve_Q9H993_C6orf211.pdf</v>
      </c>
    </row>
    <row r="4845" spans="1:28" x14ac:dyDescent="0.25">
      <c r="A4845" t="s">
        <v>4849</v>
      </c>
      <c r="B4845">
        <v>0.99299721793515405</v>
      </c>
      <c r="C4845">
        <v>0.99459746973059304</v>
      </c>
      <c r="D4845">
        <v>1.0244160371219699</v>
      </c>
      <c r="E4845">
        <v>0.96520665238917003</v>
      </c>
      <c r="F4845">
        <v>0.76990301065241096</v>
      </c>
      <c r="G4845">
        <v>0.233638633722309</v>
      </c>
      <c r="H4845">
        <v>0.16206816111033101</v>
      </c>
      <c r="I4845">
        <v>0.15236896588899501</v>
      </c>
      <c r="J4845">
        <v>0.13684403018555499</v>
      </c>
      <c r="K4845">
        <v>0.106283203685873</v>
      </c>
      <c r="L4845">
        <v>2231.9774548709802</v>
      </c>
      <c r="M4845">
        <v>43.471005713667303</v>
      </c>
      <c r="N4845">
        <v>51.720658662322201</v>
      </c>
      <c r="O4845">
        <v>51.235764437211003</v>
      </c>
      <c r="P4845">
        <v>-0.18333633218123899</v>
      </c>
      <c r="Q4845">
        <v>0.135666589035247</v>
      </c>
      <c r="R4845">
        <v>0.99828324250241096</v>
      </c>
      <c r="S4845" t="s">
        <v>10396</v>
      </c>
      <c r="T4845" t="s">
        <v>11100</v>
      </c>
      <c r="U4845" t="s">
        <v>11100</v>
      </c>
      <c r="V4845" t="s">
        <v>11100</v>
      </c>
      <c r="W4845" t="s">
        <v>15893</v>
      </c>
      <c r="X4845">
        <v>29</v>
      </c>
      <c r="Y4845" t="s">
        <v>21319</v>
      </c>
      <c r="Z4845" t="s">
        <v>26850</v>
      </c>
      <c r="AA4845">
        <v>0.55152668608469413</v>
      </c>
      <c r="AB4845" t="str">
        <f>HYPERLINK("Melting_Curves/meltCurve_Q9H9A6_LRRC40.pdf", "Melting_Curves/meltCurve_Q9H9A6_LRRC40.pdf")</f>
        <v>Melting_Curves/meltCurve_Q9H9A6_LRRC40.pdf</v>
      </c>
    </row>
    <row r="4846" spans="1:28" x14ac:dyDescent="0.25">
      <c r="A4846" t="s">
        <v>4850</v>
      </c>
      <c r="B4846">
        <v>0.99299721793515405</v>
      </c>
      <c r="C4846">
        <v>0.98665418314114595</v>
      </c>
      <c r="D4846">
        <v>0.97377676725582596</v>
      </c>
      <c r="E4846">
        <v>0.94175095080762605</v>
      </c>
      <c r="F4846">
        <v>0.70113164744057399</v>
      </c>
      <c r="G4846">
        <v>0.65636730414430999</v>
      </c>
      <c r="H4846">
        <v>0.36397801269672703</v>
      </c>
      <c r="I4846">
        <v>0.42049094376642199</v>
      </c>
      <c r="J4846">
        <v>0.42081730317181998</v>
      </c>
      <c r="K4846">
        <v>0.35547317332064798</v>
      </c>
      <c r="L4846">
        <v>893.29413846589705</v>
      </c>
      <c r="M4846">
        <v>17.3240522980525</v>
      </c>
      <c r="N4846">
        <v>55.689842095898904</v>
      </c>
      <c r="O4846">
        <v>50.891459272323203</v>
      </c>
      <c r="P4846">
        <v>-5.4343831922973401E-2</v>
      </c>
      <c r="Q4846">
        <v>0.36147081772482698</v>
      </c>
      <c r="R4846">
        <v>0.96852411464741694</v>
      </c>
      <c r="S4846" t="s">
        <v>10397</v>
      </c>
      <c r="T4846" t="s">
        <v>11100</v>
      </c>
      <c r="U4846" t="s">
        <v>11100</v>
      </c>
      <c r="V4846" t="s">
        <v>11100</v>
      </c>
      <c r="W4846" t="s">
        <v>15894</v>
      </c>
      <c r="X4846">
        <v>1</v>
      </c>
      <c r="Y4846" t="s">
        <v>21320</v>
      </c>
      <c r="Z4846" t="s">
        <v>26851</v>
      </c>
      <c r="AA4846">
        <v>0.68178785884360971</v>
      </c>
      <c r="AB4846" t="str">
        <f>HYPERLINK("Melting_Curves/meltCurve_Q9H9B1_3_EHMT1.pdf", "Melting_Curves/meltCurve_Q9H9B1_3_EHMT1.pdf")</f>
        <v>Melting_Curves/meltCurve_Q9H9B1_3_EHMT1.pdf</v>
      </c>
    </row>
    <row r="4847" spans="1:28" x14ac:dyDescent="0.25">
      <c r="A4847" t="s">
        <v>4851</v>
      </c>
      <c r="B4847">
        <v>0.99299721793515405</v>
      </c>
      <c r="C4847">
        <v>1.0123587997550201</v>
      </c>
      <c r="D4847">
        <v>0.94385115709809198</v>
      </c>
      <c r="E4847">
        <v>0.88360306774991304</v>
      </c>
      <c r="F4847">
        <v>0.78304636553795703</v>
      </c>
      <c r="G4847">
        <v>0.58602307907074003</v>
      </c>
      <c r="H4847">
        <v>0.52226243845668496</v>
      </c>
      <c r="I4847">
        <v>0.30693537373124602</v>
      </c>
      <c r="J4847">
        <v>0.18126260115989601</v>
      </c>
      <c r="K4847">
        <v>0.13152934801944</v>
      </c>
      <c r="L4847">
        <v>597.69496113558603</v>
      </c>
      <c r="M4847">
        <v>10.6204383947106</v>
      </c>
      <c r="N4847">
        <v>56.277805027284003</v>
      </c>
      <c r="O4847">
        <v>54.392508663009103</v>
      </c>
      <c r="P4847">
        <v>-4.8832743286678103E-2</v>
      </c>
      <c r="Q4847">
        <v>0</v>
      </c>
      <c r="R4847">
        <v>0.990693333738902</v>
      </c>
      <c r="S4847" t="s">
        <v>10398</v>
      </c>
      <c r="T4847" t="s">
        <v>11100</v>
      </c>
      <c r="U4847" t="s">
        <v>11100</v>
      </c>
      <c r="V4847" t="s">
        <v>11100</v>
      </c>
      <c r="W4847" t="s">
        <v>15895</v>
      </c>
      <c r="X4847">
        <v>22</v>
      </c>
      <c r="Y4847" t="s">
        <v>21321</v>
      </c>
      <c r="Z4847" t="s">
        <v>26852</v>
      </c>
      <c r="AA4847">
        <v>0.64847088747608328</v>
      </c>
      <c r="AB4847" t="str">
        <f>HYPERLINK("Melting_Curves/meltCurve_Q9H9B4_SFXN1.pdf", "Melting_Curves/meltCurve_Q9H9B4_SFXN1.pdf")</f>
        <v>Melting_Curves/meltCurve_Q9H9B4_SFXN1.pdf</v>
      </c>
    </row>
    <row r="4848" spans="1:28" x14ac:dyDescent="0.25">
      <c r="A4848" t="s">
        <v>4852</v>
      </c>
      <c r="B4848">
        <v>0.99299721793515405</v>
      </c>
      <c r="C4848">
        <v>0.89769520903821998</v>
      </c>
      <c r="D4848">
        <v>0.89658036481692605</v>
      </c>
      <c r="E4848">
        <v>0.78800807733232503</v>
      </c>
      <c r="F4848">
        <v>0.46320989158801801</v>
      </c>
      <c r="G4848">
        <v>0.37432585030270099</v>
      </c>
      <c r="H4848">
        <v>0.22008008535682799</v>
      </c>
      <c r="I4848">
        <v>0.320224787170797</v>
      </c>
      <c r="J4848">
        <v>0.22536054970330599</v>
      </c>
      <c r="K4848">
        <v>0.15441643367105901</v>
      </c>
      <c r="L4848">
        <v>721.44609985395198</v>
      </c>
      <c r="M4848">
        <v>14.788941570541301</v>
      </c>
      <c r="N4848">
        <v>50.4326777291406</v>
      </c>
      <c r="O4848">
        <v>47.916909392356601</v>
      </c>
      <c r="P4848">
        <v>-6.2367992548762401E-2</v>
      </c>
      <c r="Q4848">
        <v>0.19178478648134101</v>
      </c>
      <c r="R4848">
        <v>0.97397186179113904</v>
      </c>
      <c r="S4848" t="s">
        <v>10399</v>
      </c>
      <c r="T4848" t="s">
        <v>11100</v>
      </c>
      <c r="U4848" t="s">
        <v>11100</v>
      </c>
      <c r="V4848" t="s">
        <v>11100</v>
      </c>
      <c r="W4848" t="s">
        <v>15896</v>
      </c>
      <c r="X4848">
        <v>3</v>
      </c>
      <c r="Y4848" t="s">
        <v>21322</v>
      </c>
      <c r="Z4848" t="s">
        <v>26853</v>
      </c>
      <c r="AA4848">
        <v>0.52709857453846032</v>
      </c>
      <c r="AB4848" t="str">
        <f>HYPERLINK("Melting_Curves/meltCurve_Q9H9F9_ACTR5.pdf", "Melting_Curves/meltCurve_Q9H9F9_ACTR5.pdf")</f>
        <v>Melting_Curves/meltCurve_Q9H9F9_ACTR5.pdf</v>
      </c>
    </row>
    <row r="4849" spans="1:28" x14ac:dyDescent="0.25">
      <c r="A4849" t="s">
        <v>4853</v>
      </c>
      <c r="B4849">
        <v>0.99299721793515405</v>
      </c>
      <c r="C4849">
        <v>1.18304137300251</v>
      </c>
      <c r="D4849">
        <v>0.90298601769911702</v>
      </c>
      <c r="E4849">
        <v>0.98849560610746001</v>
      </c>
      <c r="F4849">
        <v>0.84755924611969602</v>
      </c>
      <c r="G4849">
        <v>0.27699133560959299</v>
      </c>
      <c r="H4849">
        <v>0.14748780703264799</v>
      </c>
      <c r="I4849">
        <v>8.4050407410413294E-2</v>
      </c>
      <c r="J4849">
        <v>7.8321016241732794E-2</v>
      </c>
      <c r="K4849">
        <v>4.1709429057027299E-2</v>
      </c>
      <c r="L4849">
        <v>2081.5318084724099</v>
      </c>
      <c r="M4849">
        <v>39.9063364356779</v>
      </c>
      <c r="N4849">
        <v>52.385514472946902</v>
      </c>
      <c r="O4849">
        <v>52.0299657794071</v>
      </c>
      <c r="P4849">
        <v>-0.17664064188501</v>
      </c>
      <c r="Q4849">
        <v>7.87841634051267E-2</v>
      </c>
      <c r="R4849">
        <v>0.97594288712018895</v>
      </c>
      <c r="S4849" t="s">
        <v>10400</v>
      </c>
      <c r="T4849" t="s">
        <v>11100</v>
      </c>
      <c r="U4849" t="s">
        <v>11100</v>
      </c>
      <c r="V4849" t="s">
        <v>11100</v>
      </c>
      <c r="W4849" t="s">
        <v>15897</v>
      </c>
      <c r="X4849">
        <v>2</v>
      </c>
      <c r="Y4849" t="s">
        <v>21323</v>
      </c>
      <c r="Z4849" t="s">
        <v>26854</v>
      </c>
      <c r="AA4849">
        <v>0.54764639271295723</v>
      </c>
      <c r="AB4849" t="str">
        <f>HYPERLINK("Melting_Curves/meltCurve_Q9H9H4_VPS37B.pdf", "Melting_Curves/meltCurve_Q9H9H4_VPS37B.pdf")</f>
        <v>Melting_Curves/meltCurve_Q9H9H4_VPS37B.pdf</v>
      </c>
    </row>
    <row r="4850" spans="1:28" x14ac:dyDescent="0.25">
      <c r="A4850" t="s">
        <v>4854</v>
      </c>
      <c r="B4850">
        <v>0.99299721793515405</v>
      </c>
      <c r="C4850">
        <v>1.0626005393407101</v>
      </c>
      <c r="D4850">
        <v>0.97897233619359803</v>
      </c>
      <c r="E4850">
        <v>0.94403493391349602</v>
      </c>
      <c r="F4850">
        <v>0.79582412149263704</v>
      </c>
      <c r="G4850">
        <v>0.56284031834303905</v>
      </c>
      <c r="H4850">
        <v>0.457212865676624</v>
      </c>
      <c r="I4850">
        <v>0.32148274177263197</v>
      </c>
      <c r="J4850">
        <v>0.21806499590091699</v>
      </c>
      <c r="K4850">
        <v>0.13892895728763699</v>
      </c>
      <c r="L4850">
        <v>680.09848673232705</v>
      </c>
      <c r="M4850">
        <v>12.2836295822474</v>
      </c>
      <c r="N4850">
        <v>56.006055929124003</v>
      </c>
      <c r="O4850">
        <v>53.960218621848099</v>
      </c>
      <c r="P4850">
        <v>-5.31967563503127E-2</v>
      </c>
      <c r="Q4850">
        <v>6.5462972696194693E-2</v>
      </c>
      <c r="R4850">
        <v>0.99031076383483496</v>
      </c>
      <c r="S4850" t="s">
        <v>10401</v>
      </c>
      <c r="T4850" t="s">
        <v>11100</v>
      </c>
      <c r="U4850" t="s">
        <v>11100</v>
      </c>
      <c r="V4850" t="s">
        <v>11100</v>
      </c>
      <c r="W4850" t="s">
        <v>15898</v>
      </c>
      <c r="X4850">
        <v>11</v>
      </c>
      <c r="Y4850" t="s">
        <v>21324</v>
      </c>
      <c r="Z4850" t="s">
        <v>26855</v>
      </c>
      <c r="AA4850">
        <v>0.64959591791860283</v>
      </c>
      <c r="AB4850" t="str">
        <f>HYPERLINK("Melting_Curves/meltCurve_Q9H9P8_L2HGDH.pdf", "Melting_Curves/meltCurve_Q9H9P8_L2HGDH.pdf")</f>
        <v>Melting_Curves/meltCurve_Q9H9P8_L2HGDH.pdf</v>
      </c>
    </row>
    <row r="4851" spans="1:28" x14ac:dyDescent="0.25">
      <c r="A4851" t="s">
        <v>4855</v>
      </c>
      <c r="B4851">
        <v>0.99299721793515405</v>
      </c>
      <c r="C4851">
        <v>0.84876994203950495</v>
      </c>
      <c r="D4851">
        <v>0.80972790537244999</v>
      </c>
      <c r="E4851">
        <v>0.734116324725406</v>
      </c>
      <c r="F4851">
        <v>0.65283669296366198</v>
      </c>
      <c r="G4851">
        <v>0.59631026459881398</v>
      </c>
      <c r="H4851">
        <v>0.43804910643158301</v>
      </c>
      <c r="I4851">
        <v>0.40545792256438401</v>
      </c>
      <c r="J4851">
        <v>0.319319655276111</v>
      </c>
      <c r="K4851">
        <v>0.188069477564656</v>
      </c>
      <c r="L4851">
        <v>320.78867062682201</v>
      </c>
      <c r="M4851">
        <v>5.8003060966378497</v>
      </c>
      <c r="N4851">
        <v>55.305471277588097</v>
      </c>
      <c r="O4851">
        <v>49.793515084266801</v>
      </c>
      <c r="P4851">
        <v>-2.9228168349735299E-2</v>
      </c>
      <c r="Q4851">
        <v>0</v>
      </c>
      <c r="R4851">
        <v>0.97097579883402696</v>
      </c>
      <c r="S4851" t="s">
        <v>10402</v>
      </c>
      <c r="T4851" t="s">
        <v>11100</v>
      </c>
      <c r="U4851" t="s">
        <v>11100</v>
      </c>
      <c r="V4851" t="s">
        <v>11100</v>
      </c>
      <c r="W4851" t="s">
        <v>15899</v>
      </c>
      <c r="X4851">
        <v>2</v>
      </c>
      <c r="Y4851" t="s">
        <v>21325</v>
      </c>
      <c r="Z4851" t="s">
        <v>26856</v>
      </c>
      <c r="AA4851">
        <v>0.6003968572391053</v>
      </c>
      <c r="AB4851" t="str">
        <f>HYPERLINK("Melting_Curves/meltCurve_Q9H9S5_FKRP.pdf", "Melting_Curves/meltCurve_Q9H9S5_FKRP.pdf")</f>
        <v>Melting_Curves/meltCurve_Q9H9S5_FKRP.pdf</v>
      </c>
    </row>
    <row r="4852" spans="1:28" x14ac:dyDescent="0.25">
      <c r="A4852" t="s">
        <v>4856</v>
      </c>
      <c r="B4852">
        <v>0.99299721793515405</v>
      </c>
      <c r="C4852">
        <v>0.83356548435955302</v>
      </c>
      <c r="D4852">
        <v>0.73153157178755301</v>
      </c>
      <c r="E4852">
        <v>0.390517278387147</v>
      </c>
      <c r="F4852">
        <v>0.61990581694675895</v>
      </c>
      <c r="G4852">
        <v>0.44953542487519099</v>
      </c>
      <c r="H4852">
        <v>1.1985872950332901</v>
      </c>
      <c r="I4852">
        <v>0.17075263228885401</v>
      </c>
      <c r="J4852">
        <v>0.13622769809914601</v>
      </c>
      <c r="K4852">
        <v>0</v>
      </c>
      <c r="L4852">
        <v>272.52560313332901</v>
      </c>
      <c r="M4852">
        <v>5.1020051343535204</v>
      </c>
      <c r="N4852">
        <v>53.415391778876902</v>
      </c>
      <c r="O4852">
        <v>46.836782889026203</v>
      </c>
      <c r="P4852">
        <v>-2.7388601709996501E-2</v>
      </c>
      <c r="Q4852">
        <v>0</v>
      </c>
      <c r="R4852">
        <v>0.39475252667393401</v>
      </c>
      <c r="S4852" t="s">
        <v>10403</v>
      </c>
      <c r="T4852" t="s">
        <v>11100</v>
      </c>
      <c r="U4852" t="s">
        <v>11100</v>
      </c>
      <c r="V4852" t="s">
        <v>11100</v>
      </c>
      <c r="W4852" t="s">
        <v>15900</v>
      </c>
      <c r="X4852">
        <v>1</v>
      </c>
      <c r="Y4852" t="s">
        <v>21326</v>
      </c>
      <c r="Z4852" t="s">
        <v>26857</v>
      </c>
      <c r="AA4852">
        <v>0.55579905604098079</v>
      </c>
      <c r="AB4852" t="str">
        <f>HYPERLINK("Melting_Curves/meltCurve_Q9H9T3_2_ELP3.pdf", "Melting_Curves/meltCurve_Q9H9T3_2_ELP3.pdf")</f>
        <v>Melting_Curves/meltCurve_Q9H9T3_2_ELP3.pdf</v>
      </c>
    </row>
    <row r="4853" spans="1:28" x14ac:dyDescent="0.25">
      <c r="A4853" t="s">
        <v>4857</v>
      </c>
      <c r="B4853">
        <v>0.99299721793515405</v>
      </c>
      <c r="C4853">
        <v>1.0076576002394999</v>
      </c>
      <c r="D4853">
        <v>0.88161854503371195</v>
      </c>
      <c r="E4853">
        <v>0.89823650405392597</v>
      </c>
      <c r="F4853">
        <v>0.67050697171167795</v>
      </c>
      <c r="G4853">
        <v>0.45676668881427401</v>
      </c>
      <c r="H4853">
        <v>0.36330094900818499</v>
      </c>
      <c r="I4853">
        <v>0.284481508646791</v>
      </c>
      <c r="J4853">
        <v>0.25353898972552302</v>
      </c>
      <c r="K4853">
        <v>0.18091530445881601</v>
      </c>
      <c r="L4853">
        <v>687.25808132276097</v>
      </c>
      <c r="M4853">
        <v>13.258282156207899</v>
      </c>
      <c r="N4853">
        <v>53.525710226460902</v>
      </c>
      <c r="O4853">
        <v>50.699447292710303</v>
      </c>
      <c r="P4853">
        <v>-5.4207215832119099E-2</v>
      </c>
      <c r="Q4853">
        <v>0.170985753165009</v>
      </c>
      <c r="R4853">
        <v>0.98935933619778005</v>
      </c>
      <c r="S4853" t="s">
        <v>10404</v>
      </c>
      <c r="T4853" t="s">
        <v>11100</v>
      </c>
      <c r="U4853" t="s">
        <v>11100</v>
      </c>
      <c r="V4853" t="s">
        <v>11100</v>
      </c>
      <c r="W4853" t="s">
        <v>15901</v>
      </c>
      <c r="X4853">
        <v>7</v>
      </c>
      <c r="Y4853" t="s">
        <v>21327</v>
      </c>
      <c r="Z4853" t="s">
        <v>26858</v>
      </c>
      <c r="AA4853">
        <v>0.59926603570899528</v>
      </c>
      <c r="AB4853" t="str">
        <f>HYPERLINK("Melting_Curves/meltCurve_Q9H9V9_2_JMJD4.pdf", "Melting_Curves/meltCurve_Q9H9V9_2_JMJD4.pdf")</f>
        <v>Melting_Curves/meltCurve_Q9H9V9_2_JMJD4.pdf</v>
      </c>
    </row>
    <row r="4854" spans="1:28" x14ac:dyDescent="0.25">
      <c r="A4854" t="s">
        <v>4858</v>
      </c>
      <c r="B4854">
        <v>0.99299721793515405</v>
      </c>
      <c r="C4854">
        <v>0.88430267907306803</v>
      </c>
      <c r="D4854">
        <v>0.83923234325428298</v>
      </c>
      <c r="E4854">
        <v>0.81599402676281296</v>
      </c>
      <c r="F4854">
        <v>0.71263079602696999</v>
      </c>
      <c r="G4854">
        <v>0.54056171423172095</v>
      </c>
      <c r="H4854">
        <v>0.45832680756303001</v>
      </c>
      <c r="I4854">
        <v>0.39567172248806598</v>
      </c>
      <c r="J4854">
        <v>0.31601029978325101</v>
      </c>
      <c r="K4854">
        <v>0.22269128011266601</v>
      </c>
      <c r="L4854">
        <v>362.21497045954402</v>
      </c>
      <c r="M4854">
        <v>6.4655275301624098</v>
      </c>
      <c r="N4854">
        <v>56.022500431153901</v>
      </c>
      <c r="O4854">
        <v>51.385365817650502</v>
      </c>
      <c r="P4854">
        <v>-3.1533961587349703E-2</v>
      </c>
      <c r="Q4854">
        <v>0</v>
      </c>
      <c r="R4854">
        <v>0.986002323311717</v>
      </c>
      <c r="S4854" t="s">
        <v>10405</v>
      </c>
      <c r="T4854" t="s">
        <v>11100</v>
      </c>
      <c r="U4854" t="s">
        <v>11100</v>
      </c>
      <c r="V4854" t="s">
        <v>11100</v>
      </c>
      <c r="W4854" t="s">
        <v>15902</v>
      </c>
      <c r="X4854">
        <v>5</v>
      </c>
      <c r="Y4854" t="s">
        <v>21328</v>
      </c>
      <c r="Z4854" t="s">
        <v>26859</v>
      </c>
      <c r="AA4854">
        <v>0.62169250145795352</v>
      </c>
      <c r="AB4854" t="str">
        <f>HYPERLINK("Melting_Curves/meltCurve_Q9HA47_3_UCK1.pdf", "Melting_Curves/meltCurve_Q9HA47_3_UCK1.pdf")</f>
        <v>Melting_Curves/meltCurve_Q9HA47_3_UCK1.pdf</v>
      </c>
    </row>
    <row r="4855" spans="1:28" x14ac:dyDescent="0.25">
      <c r="A4855" t="s">
        <v>4859</v>
      </c>
      <c r="B4855">
        <v>0.99299721793515405</v>
      </c>
      <c r="C4855">
        <v>1.0356093570223099</v>
      </c>
      <c r="D4855">
        <v>2.0281516183999102</v>
      </c>
      <c r="E4855">
        <v>1.07863677480089</v>
      </c>
      <c r="F4855">
        <v>0.99187029111015501</v>
      </c>
      <c r="G4855">
        <v>1.30059720587358</v>
      </c>
      <c r="H4855">
        <v>0.604243595357004</v>
      </c>
      <c r="I4855">
        <v>0.77970232385212801</v>
      </c>
      <c r="J4855">
        <v>0.83294863135493302</v>
      </c>
      <c r="K4855">
        <v>0.55898215813943797</v>
      </c>
      <c r="L4855">
        <v>5275.1170462523396</v>
      </c>
      <c r="M4855">
        <v>94.386751308925696</v>
      </c>
      <c r="O4855">
        <v>55.863241461646702</v>
      </c>
      <c r="P4855">
        <v>-0.13001703073860099</v>
      </c>
      <c r="Q4855">
        <v>0.69219523618482304</v>
      </c>
      <c r="R4855">
        <v>0.228753166181594</v>
      </c>
      <c r="S4855" t="s">
        <v>10406</v>
      </c>
      <c r="T4855" t="s">
        <v>11100</v>
      </c>
      <c r="U4855" t="s">
        <v>11100</v>
      </c>
      <c r="V4855" t="s">
        <v>11100</v>
      </c>
      <c r="W4855" t="s">
        <v>15903</v>
      </c>
      <c r="X4855">
        <v>9</v>
      </c>
      <c r="Y4855" t="s">
        <v>21329</v>
      </c>
      <c r="Z4855" t="s">
        <v>26860</v>
      </c>
      <c r="AA4855">
        <v>0.88620449013691671</v>
      </c>
      <c r="AB4855" t="str">
        <f>HYPERLINK("Melting_Curves/meltCurve_Q9HA64_FN3KRP.pdf", "Melting_Curves/meltCurve_Q9HA64_FN3KRP.pdf")</f>
        <v>Melting_Curves/meltCurve_Q9HA64_FN3KRP.pdf</v>
      </c>
    </row>
    <row r="4856" spans="1:28" x14ac:dyDescent="0.25">
      <c r="A4856" t="s">
        <v>4860</v>
      </c>
      <c r="B4856">
        <v>0.99299721793515405</v>
      </c>
      <c r="C4856">
        <v>1.00054511468277</v>
      </c>
      <c r="D4856">
        <v>1.0070132372107901</v>
      </c>
      <c r="E4856">
        <v>0.89769858880008802</v>
      </c>
      <c r="F4856">
        <v>0.83627818656682296</v>
      </c>
      <c r="G4856">
        <v>0.61155815016664705</v>
      </c>
      <c r="H4856">
        <v>0.57534387582711199</v>
      </c>
      <c r="I4856">
        <v>0.56502393244328597</v>
      </c>
      <c r="J4856">
        <v>0.395673429810254</v>
      </c>
      <c r="K4856">
        <v>0.210544089171462</v>
      </c>
      <c r="L4856">
        <v>476.68215592558403</v>
      </c>
      <c r="M4856">
        <v>7.9856943866705397</v>
      </c>
      <c r="N4856">
        <v>59.692006756920399</v>
      </c>
      <c r="O4856">
        <v>56.297496449878501</v>
      </c>
      <c r="P4856">
        <v>-3.5502398281188299E-2</v>
      </c>
      <c r="Q4856">
        <v>0</v>
      </c>
      <c r="R4856">
        <v>0.95475422292843504</v>
      </c>
      <c r="S4856" t="s">
        <v>10407</v>
      </c>
      <c r="T4856" t="s">
        <v>11100</v>
      </c>
      <c r="U4856" t="s">
        <v>11100</v>
      </c>
      <c r="V4856" t="s">
        <v>11100</v>
      </c>
      <c r="W4856" t="s">
        <v>15904</v>
      </c>
      <c r="X4856">
        <v>7</v>
      </c>
      <c r="Y4856" t="s">
        <v>21330</v>
      </c>
      <c r="Z4856" t="s">
        <v>26861</v>
      </c>
      <c r="AA4856">
        <v>0.71656411318566782</v>
      </c>
      <c r="AB4856" t="str">
        <f>HYPERLINK("Melting_Curves/meltCurve_Q9HA77_CARS2.pdf", "Melting_Curves/meltCurve_Q9HA77_CARS2.pdf")</f>
        <v>Melting_Curves/meltCurve_Q9HA77_CARS2.pdf</v>
      </c>
    </row>
    <row r="4857" spans="1:28" x14ac:dyDescent="0.25">
      <c r="A4857" t="s">
        <v>4861</v>
      </c>
      <c r="B4857">
        <v>0.99299721793515405</v>
      </c>
      <c r="C4857">
        <v>0.98665614574446703</v>
      </c>
      <c r="D4857">
        <v>1.13918480521582</v>
      </c>
      <c r="E4857">
        <v>0.89818130329643897</v>
      </c>
      <c r="F4857">
        <v>0.77237280540553299</v>
      </c>
      <c r="G4857">
        <v>0.57957019178538205</v>
      </c>
      <c r="H4857">
        <v>0.35493975501179198</v>
      </c>
      <c r="I4857">
        <v>0.194892387454219</v>
      </c>
      <c r="J4857">
        <v>0.130308250365373</v>
      </c>
      <c r="K4857">
        <v>8.7188556564323699E-2</v>
      </c>
      <c r="L4857">
        <v>820.41453682121801</v>
      </c>
      <c r="M4857">
        <v>15.0297927714944</v>
      </c>
      <c r="N4857">
        <v>54.846690481253901</v>
      </c>
      <c r="O4857">
        <v>53.6469024157456</v>
      </c>
      <c r="P4857">
        <v>-6.7631616064962499E-2</v>
      </c>
      <c r="Q4857">
        <v>3.4487546395306802E-2</v>
      </c>
      <c r="R4857">
        <v>0.98152821310431804</v>
      </c>
      <c r="S4857" t="s">
        <v>10408</v>
      </c>
      <c r="T4857" t="s">
        <v>11100</v>
      </c>
      <c r="U4857" t="s">
        <v>11100</v>
      </c>
      <c r="V4857" t="s">
        <v>11100</v>
      </c>
      <c r="W4857" t="s">
        <v>15905</v>
      </c>
      <c r="X4857">
        <v>5</v>
      </c>
      <c r="Y4857" t="s">
        <v>21331</v>
      </c>
      <c r="Z4857" t="s">
        <v>26862</v>
      </c>
      <c r="AA4857">
        <v>0.61496228296124611</v>
      </c>
      <c r="AB4857" t="str">
        <f>HYPERLINK("Melting_Curves/meltCurve_Q9HAB8_PPCS.pdf", "Melting_Curves/meltCurve_Q9HAB8_PPCS.pdf")</f>
        <v>Melting_Curves/meltCurve_Q9HAB8_PPCS.pdf</v>
      </c>
    </row>
    <row r="4858" spans="1:28" x14ac:dyDescent="0.25">
      <c r="A4858" t="s">
        <v>4862</v>
      </c>
      <c r="B4858">
        <v>0.99299721793515405</v>
      </c>
      <c r="C4858">
        <v>0.97346084907438302</v>
      </c>
      <c r="D4858">
        <v>0.90530160254278202</v>
      </c>
      <c r="E4858">
        <v>0.90453578041230798</v>
      </c>
      <c r="F4858">
        <v>0.78629942781743101</v>
      </c>
      <c r="G4858">
        <v>0.56576378230157498</v>
      </c>
      <c r="H4858">
        <v>0.41712021769296698</v>
      </c>
      <c r="I4858">
        <v>0.34617716391842601</v>
      </c>
      <c r="J4858">
        <v>0.20189722407781999</v>
      </c>
      <c r="K4858">
        <v>0.117013385450876</v>
      </c>
      <c r="L4858">
        <v>575.59914298250806</v>
      </c>
      <c r="M4858">
        <v>10.3141300010205</v>
      </c>
      <c r="N4858">
        <v>55.806833297317297</v>
      </c>
      <c r="O4858">
        <v>53.831167513388799</v>
      </c>
      <c r="P4858">
        <v>-4.7921060328470898E-2</v>
      </c>
      <c r="Q4858">
        <v>0</v>
      </c>
      <c r="R4858">
        <v>0.99127139836757405</v>
      </c>
      <c r="S4858" t="s">
        <v>10409</v>
      </c>
      <c r="T4858" t="s">
        <v>11100</v>
      </c>
      <c r="U4858" t="s">
        <v>11100</v>
      </c>
      <c r="V4858" t="s">
        <v>11100</v>
      </c>
      <c r="W4858" t="s">
        <v>15906</v>
      </c>
      <c r="X4858">
        <v>8</v>
      </c>
      <c r="Y4858" t="s">
        <v>21332</v>
      </c>
      <c r="Z4858" t="s">
        <v>26863</v>
      </c>
      <c r="AA4858">
        <v>0.63492735669837075</v>
      </c>
      <c r="AB4858" t="str">
        <f>HYPERLINK("Melting_Curves/meltCurve_Q9HAD4_WDR41.pdf", "Melting_Curves/meltCurve_Q9HAD4_WDR41.pdf")</f>
        <v>Melting_Curves/meltCurve_Q9HAD4_WDR41.pdf</v>
      </c>
    </row>
    <row r="4859" spans="1:28" x14ac:dyDescent="0.25">
      <c r="A4859" t="s">
        <v>4863</v>
      </c>
      <c r="B4859">
        <v>0.99299721793515405</v>
      </c>
      <c r="C4859">
        <v>0.821239082452629</v>
      </c>
      <c r="D4859">
        <v>0.96666616255354498</v>
      </c>
      <c r="E4859">
        <v>0.88191854972495898</v>
      </c>
      <c r="F4859">
        <v>0.74132780120758002</v>
      </c>
      <c r="G4859">
        <v>0.73095304302489195</v>
      </c>
      <c r="H4859">
        <v>0.89394934601123399</v>
      </c>
      <c r="I4859">
        <v>0.96203673114023203</v>
      </c>
      <c r="J4859">
        <v>0.81086372418808805</v>
      </c>
      <c r="K4859">
        <v>0.69680344678060302</v>
      </c>
      <c r="L4859">
        <v>433.84279257939801</v>
      </c>
      <c r="M4859">
        <v>10.568807150987301</v>
      </c>
      <c r="O4859">
        <v>39.661485763658703</v>
      </c>
      <c r="P4859">
        <v>-1.2954768410285099E-2</v>
      </c>
      <c r="Q4859">
        <v>0.80561542183982904</v>
      </c>
      <c r="R4859">
        <v>0.24217954508439199</v>
      </c>
      <c r="S4859" t="s">
        <v>10410</v>
      </c>
      <c r="T4859" t="s">
        <v>11100</v>
      </c>
      <c r="U4859" t="s">
        <v>11100</v>
      </c>
      <c r="V4859" t="s">
        <v>11100</v>
      </c>
      <c r="W4859" t="s">
        <v>15907</v>
      </c>
      <c r="X4859">
        <v>3</v>
      </c>
      <c r="Y4859" t="s">
        <v>21333</v>
      </c>
      <c r="Z4859" t="s">
        <v>26864</v>
      </c>
      <c r="AA4859">
        <v>0.84408169787629794</v>
      </c>
      <c r="AB4859" t="str">
        <f>HYPERLINK("Melting_Curves/meltCurve_Q9HAF1_2_MEAF6.pdf", "Melting_Curves/meltCurve_Q9HAF1_2_MEAF6.pdf")</f>
        <v>Melting_Curves/meltCurve_Q9HAF1_2_MEAF6.pdf</v>
      </c>
    </row>
    <row r="4860" spans="1:28" x14ac:dyDescent="0.25">
      <c r="A4860" t="s">
        <v>4864</v>
      </c>
      <c r="B4860">
        <v>0.99299721793515405</v>
      </c>
      <c r="C4860">
        <v>0.92983012457481296</v>
      </c>
      <c r="D4860">
        <v>0.84701395586829398</v>
      </c>
      <c r="E4860">
        <v>0.82543187422680897</v>
      </c>
      <c r="F4860">
        <v>0.61020537307037503</v>
      </c>
      <c r="G4860">
        <v>0.34677964641450998</v>
      </c>
      <c r="H4860">
        <v>0.15893926844147599</v>
      </c>
      <c r="I4860">
        <v>0.16673339549070501</v>
      </c>
      <c r="J4860">
        <v>0.145020399495986</v>
      </c>
      <c r="K4860">
        <v>0.214674290749261</v>
      </c>
      <c r="L4860">
        <v>797.30721372355799</v>
      </c>
      <c r="M4860">
        <v>15.879942680504699</v>
      </c>
      <c r="N4860">
        <v>51.163110494155099</v>
      </c>
      <c r="O4860">
        <v>49.432463779606799</v>
      </c>
      <c r="P4860">
        <v>-7.0019394214883707E-2</v>
      </c>
      <c r="Q4860">
        <v>0.128220640213177</v>
      </c>
      <c r="R4860">
        <v>0.97703463964500004</v>
      </c>
      <c r="S4860" t="s">
        <v>10411</v>
      </c>
      <c r="T4860" t="s">
        <v>11100</v>
      </c>
      <c r="U4860" t="s">
        <v>11100</v>
      </c>
      <c r="V4860" t="s">
        <v>11100</v>
      </c>
      <c r="W4860" t="s">
        <v>15908</v>
      </c>
      <c r="X4860">
        <v>2</v>
      </c>
      <c r="Y4860" t="s">
        <v>21334</v>
      </c>
      <c r="Z4860" t="s">
        <v>26865</v>
      </c>
      <c r="AA4860">
        <v>0.52870566057830914</v>
      </c>
      <c r="AB4860" t="str">
        <f>HYPERLINK("Melting_Curves/meltCurve_Q9HAT8_PELI2.pdf", "Melting_Curves/meltCurve_Q9HAT8_PELI2.pdf")</f>
        <v>Melting_Curves/meltCurve_Q9HAT8_PELI2.pdf</v>
      </c>
    </row>
    <row r="4861" spans="1:28" x14ac:dyDescent="0.25">
      <c r="A4861" t="s">
        <v>4865</v>
      </c>
      <c r="B4861">
        <v>0.99299721793515405</v>
      </c>
      <c r="C4861">
        <v>0.93990096885267405</v>
      </c>
      <c r="D4861">
        <v>0.89779417892080804</v>
      </c>
      <c r="E4861">
        <v>0.78539304620539796</v>
      </c>
      <c r="F4861">
        <v>0.83587897094320796</v>
      </c>
      <c r="G4861">
        <v>0.64035108006574704</v>
      </c>
      <c r="H4861">
        <v>0.67010442150746896</v>
      </c>
      <c r="I4861">
        <v>0.30063849966435402</v>
      </c>
      <c r="J4861">
        <v>0.118417203218256</v>
      </c>
      <c r="K4861">
        <v>9.9501437203420806E-2</v>
      </c>
      <c r="L4861">
        <v>653.99160818589303</v>
      </c>
      <c r="M4861">
        <v>11.458705909064401</v>
      </c>
      <c r="N4861">
        <v>57.073775534904001</v>
      </c>
      <c r="O4861">
        <v>55.4184922836494</v>
      </c>
      <c r="P4861">
        <v>-5.17066047166026E-2</v>
      </c>
      <c r="Q4861">
        <v>0</v>
      </c>
      <c r="R4861">
        <v>0.921920846395474</v>
      </c>
      <c r="S4861" t="s">
        <v>10412</v>
      </c>
      <c r="T4861" t="s">
        <v>11100</v>
      </c>
      <c r="U4861" t="s">
        <v>11100</v>
      </c>
      <c r="V4861" t="s">
        <v>11100</v>
      </c>
      <c r="W4861" t="s">
        <v>15909</v>
      </c>
      <c r="X4861">
        <v>12</v>
      </c>
      <c r="Y4861" t="s">
        <v>21335</v>
      </c>
      <c r="Z4861" t="s">
        <v>26866</v>
      </c>
      <c r="AA4861">
        <v>0.67217497420790351</v>
      </c>
      <c r="AB4861" t="str">
        <f>HYPERLINK("Melting_Curves/meltCurve_Q9HAV0_GNB4.pdf", "Melting_Curves/meltCurve_Q9HAV0_GNB4.pdf")</f>
        <v>Melting_Curves/meltCurve_Q9HAV0_GNB4.pdf</v>
      </c>
    </row>
    <row r="4862" spans="1:28" x14ac:dyDescent="0.25">
      <c r="A4862" t="s">
        <v>4866</v>
      </c>
      <c r="B4862">
        <v>0.99299721793515405</v>
      </c>
      <c r="C4862">
        <v>0.99773550043994197</v>
      </c>
      <c r="D4862">
        <v>0.94604593893714894</v>
      </c>
      <c r="E4862">
        <v>0.865241717735167</v>
      </c>
      <c r="F4862">
        <v>0.754490601244449</v>
      </c>
      <c r="G4862">
        <v>0.281442976833848</v>
      </c>
      <c r="H4862">
        <v>0.192535869139215</v>
      </c>
      <c r="I4862">
        <v>0.17639870482447201</v>
      </c>
      <c r="J4862">
        <v>0.14519845410361701</v>
      </c>
      <c r="K4862">
        <v>0.130451725052459</v>
      </c>
      <c r="L4862">
        <v>1474.4014005399799</v>
      </c>
      <c r="M4862">
        <v>28.721126449602199</v>
      </c>
      <c r="N4862">
        <v>51.941914172898002</v>
      </c>
      <c r="O4862">
        <v>51.0881502740191</v>
      </c>
      <c r="P4862">
        <v>-0.12051623605949401</v>
      </c>
      <c r="Q4862">
        <v>0.14252614456496601</v>
      </c>
      <c r="R4862">
        <v>0.98839303627888597</v>
      </c>
      <c r="S4862" t="s">
        <v>10413</v>
      </c>
      <c r="T4862" t="s">
        <v>11100</v>
      </c>
      <c r="U4862" t="s">
        <v>11100</v>
      </c>
      <c r="V4862" t="s">
        <v>11100</v>
      </c>
      <c r="W4862" t="s">
        <v>15910</v>
      </c>
      <c r="X4862">
        <v>29</v>
      </c>
      <c r="Y4862" t="s">
        <v>21336</v>
      </c>
      <c r="Z4862" t="s">
        <v>26867</v>
      </c>
      <c r="AA4862">
        <v>0.55809563573435073</v>
      </c>
      <c r="AB4862" t="str">
        <f>HYPERLINK("Melting_Curves/meltCurve_Q9HAV4_XPO5.pdf", "Melting_Curves/meltCurve_Q9HAV4_XPO5.pdf")</f>
        <v>Melting_Curves/meltCurve_Q9HAV4_XPO5.pdf</v>
      </c>
    </row>
    <row r="4863" spans="1:28" x14ac:dyDescent="0.25">
      <c r="A4863" t="s">
        <v>4867</v>
      </c>
      <c r="B4863">
        <v>0.99299721793515405</v>
      </c>
      <c r="C4863">
        <v>0.989677969262725</v>
      </c>
      <c r="D4863">
        <v>1.05750426279504</v>
      </c>
      <c r="E4863">
        <v>1.03096757035618</v>
      </c>
      <c r="F4863">
        <v>0.92002397089825205</v>
      </c>
      <c r="G4863">
        <v>0.52709388856514705</v>
      </c>
      <c r="H4863">
        <v>0.60157892954992498</v>
      </c>
      <c r="I4863">
        <v>0.53736283014176001</v>
      </c>
      <c r="J4863">
        <v>0.69203254500573197</v>
      </c>
      <c r="K4863">
        <v>0.475117144901747</v>
      </c>
      <c r="L4863">
        <v>12624.5889559264</v>
      </c>
      <c r="M4863">
        <v>250</v>
      </c>
      <c r="O4863">
        <v>50.495124285376299</v>
      </c>
      <c r="P4863">
        <v>-0.53639207052078897</v>
      </c>
      <c r="Q4863">
        <v>0.56663705242623597</v>
      </c>
      <c r="R4863">
        <v>0.93621444241491003</v>
      </c>
      <c r="S4863" t="s">
        <v>10414</v>
      </c>
      <c r="T4863" t="s">
        <v>11100</v>
      </c>
      <c r="U4863" t="s">
        <v>11100</v>
      </c>
      <c r="V4863" t="s">
        <v>11100</v>
      </c>
      <c r="W4863" t="s">
        <v>15911</v>
      </c>
      <c r="X4863">
        <v>1</v>
      </c>
      <c r="Y4863" t="s">
        <v>21337</v>
      </c>
      <c r="Z4863" t="s">
        <v>26868</v>
      </c>
      <c r="AA4863">
        <v>0.76166503428181642</v>
      </c>
      <c r="AB4863" t="str">
        <f>HYPERLINK("Melting_Curves/meltCurve_Q9HAV5_EDA2R.pdf", "Melting_Curves/meltCurve_Q9HAV5_EDA2R.pdf")</f>
        <v>Melting_Curves/meltCurve_Q9HAV5_EDA2R.pdf</v>
      </c>
    </row>
    <row r="4864" spans="1:28" x14ac:dyDescent="0.25">
      <c r="A4864" t="s">
        <v>4868</v>
      </c>
      <c r="B4864">
        <v>0.99299721793515405</v>
      </c>
      <c r="C4864">
        <v>1.15831692501782</v>
      </c>
      <c r="D4864">
        <v>1.32383718216014</v>
      </c>
      <c r="E4864">
        <v>1.15104623120151</v>
      </c>
      <c r="F4864">
        <v>0.93646759369350197</v>
      </c>
      <c r="G4864">
        <v>0.79154911448201803</v>
      </c>
      <c r="H4864">
        <v>0.213780370284925</v>
      </c>
      <c r="I4864">
        <v>0.119495716234085</v>
      </c>
      <c r="J4864">
        <v>0.10281004020008599</v>
      </c>
      <c r="K4864">
        <v>8.8124968551055394E-2</v>
      </c>
      <c r="L4864">
        <v>2586.1541366162</v>
      </c>
      <c r="M4864">
        <v>46.9070912831341</v>
      </c>
      <c r="N4864">
        <v>55.391433997752102</v>
      </c>
      <c r="O4864">
        <v>55.033635891529599</v>
      </c>
      <c r="P4864">
        <v>-0.19218191475377899</v>
      </c>
      <c r="Q4864">
        <v>9.8093384414165902E-2</v>
      </c>
      <c r="R4864">
        <v>0.93076772822297305</v>
      </c>
      <c r="S4864" t="s">
        <v>10415</v>
      </c>
      <c r="T4864" t="s">
        <v>11100</v>
      </c>
      <c r="U4864" t="s">
        <v>11100</v>
      </c>
      <c r="V4864" t="s">
        <v>11100</v>
      </c>
      <c r="W4864" t="s">
        <v>15912</v>
      </c>
      <c r="X4864">
        <v>17</v>
      </c>
      <c r="Y4864" t="s">
        <v>21338</v>
      </c>
      <c r="Z4864" t="s">
        <v>26869</v>
      </c>
      <c r="AA4864">
        <v>0.64573265335818941</v>
      </c>
      <c r="AB4864" t="str">
        <f>HYPERLINK("Melting_Curves/meltCurve_Q9HAV7_GRPEL1.pdf", "Melting_Curves/meltCurve_Q9HAV7_GRPEL1.pdf")</f>
        <v>Melting_Curves/meltCurve_Q9HAV7_GRPEL1.pdf</v>
      </c>
    </row>
    <row r="4865" spans="1:28" x14ac:dyDescent="0.25">
      <c r="A4865" t="s">
        <v>4869</v>
      </c>
      <c r="B4865">
        <v>0.99299721793515405</v>
      </c>
      <c r="C4865">
        <v>0.96830072690077995</v>
      </c>
      <c r="D4865">
        <v>0.96624324439863096</v>
      </c>
      <c r="E4865">
        <v>0.91015506067137597</v>
      </c>
      <c r="F4865">
        <v>0.79388123685325296</v>
      </c>
      <c r="G4865">
        <v>0.56067063791376104</v>
      </c>
      <c r="H4865">
        <v>0.47577107104128002</v>
      </c>
      <c r="I4865">
        <v>0.432249760271952</v>
      </c>
      <c r="J4865">
        <v>0.28548940232560899</v>
      </c>
      <c r="K4865">
        <v>0.216320454890501</v>
      </c>
      <c r="L4865">
        <v>565.34124138395896</v>
      </c>
      <c r="M4865">
        <v>10.206365920561201</v>
      </c>
      <c r="N4865">
        <v>56.849011946159301</v>
      </c>
      <c r="O4865">
        <v>53.390908115325097</v>
      </c>
      <c r="P4865">
        <v>-4.2306635052371998E-2</v>
      </c>
      <c r="Q4865">
        <v>0.115150642379963</v>
      </c>
      <c r="R4865">
        <v>0.98666317091853795</v>
      </c>
      <c r="S4865" t="s">
        <v>10416</v>
      </c>
      <c r="T4865" t="s">
        <v>11100</v>
      </c>
      <c r="U4865" t="s">
        <v>11100</v>
      </c>
      <c r="V4865" t="s">
        <v>11100</v>
      </c>
      <c r="W4865" t="s">
        <v>15913</v>
      </c>
      <c r="X4865">
        <v>18</v>
      </c>
      <c r="Y4865" t="s">
        <v>21339</v>
      </c>
      <c r="Z4865" t="s">
        <v>26870</v>
      </c>
      <c r="AA4865">
        <v>0.66668709940738069</v>
      </c>
      <c r="AB4865" t="str">
        <f>HYPERLINK("Melting_Curves/meltCurve_Q9HB07_C12orf10.pdf", "Melting_Curves/meltCurve_Q9HB07_C12orf10.pdf")</f>
        <v>Melting_Curves/meltCurve_Q9HB07_C12orf10.pdf</v>
      </c>
    </row>
    <row r="4866" spans="1:28" x14ac:dyDescent="0.25">
      <c r="A4866" t="s">
        <v>4870</v>
      </c>
      <c r="B4866">
        <v>0.99299721793515405</v>
      </c>
      <c r="C4866">
        <v>0.88010842429566705</v>
      </c>
      <c r="D4866">
        <v>0.93439814504832797</v>
      </c>
      <c r="E4866">
        <v>0.84980944383718304</v>
      </c>
      <c r="F4866">
        <v>0.70268435310223998</v>
      </c>
      <c r="G4866">
        <v>0.42598605879192197</v>
      </c>
      <c r="H4866">
        <v>0.36592168482130999</v>
      </c>
      <c r="I4866">
        <v>0.27861714481869798</v>
      </c>
      <c r="J4866">
        <v>0.38679307211045899</v>
      </c>
      <c r="K4866">
        <v>0.24685391627588801</v>
      </c>
      <c r="L4866">
        <v>792.07417870670395</v>
      </c>
      <c r="M4866">
        <v>15.6721727325722</v>
      </c>
      <c r="N4866">
        <v>53.175009385237502</v>
      </c>
      <c r="O4866">
        <v>49.738757801369097</v>
      </c>
      <c r="P4866">
        <v>-5.7508151441266003E-2</v>
      </c>
      <c r="Q4866">
        <v>0.27000790279385301</v>
      </c>
      <c r="R4866">
        <v>0.96366249721334096</v>
      </c>
      <c r="S4866" t="s">
        <v>10417</v>
      </c>
      <c r="T4866" t="s">
        <v>11100</v>
      </c>
      <c r="U4866" t="s">
        <v>11100</v>
      </c>
      <c r="V4866" t="s">
        <v>11100</v>
      </c>
      <c r="W4866" t="s">
        <v>15914</v>
      </c>
      <c r="X4866">
        <v>2</v>
      </c>
      <c r="Y4866" t="s">
        <v>21340</v>
      </c>
      <c r="Z4866" t="s">
        <v>26871</v>
      </c>
      <c r="AA4866">
        <v>0.61356125845654552</v>
      </c>
      <c r="AB4866" t="str">
        <f>HYPERLINK("Melting_Curves/meltCurve_Q9HB09_BCL2L12.pdf", "Melting_Curves/meltCurve_Q9HB09_BCL2L12.pdf")</f>
        <v>Melting_Curves/meltCurve_Q9HB09_BCL2L12.pdf</v>
      </c>
    </row>
    <row r="4867" spans="1:28" x14ac:dyDescent="0.25">
      <c r="A4867" t="s">
        <v>4871</v>
      </c>
      <c r="B4867">
        <v>0.99299721793515405</v>
      </c>
      <c r="C4867">
        <v>0.93262039623183901</v>
      </c>
      <c r="D4867">
        <v>0.92341848340601596</v>
      </c>
      <c r="E4867">
        <v>0.832745151733291</v>
      </c>
      <c r="F4867">
        <v>0.47867888461309199</v>
      </c>
      <c r="G4867">
        <v>0.25276025186710599</v>
      </c>
      <c r="H4867">
        <v>0.24702372922803001</v>
      </c>
      <c r="I4867">
        <v>0.25268289191420001</v>
      </c>
      <c r="J4867">
        <v>0.213777520384411</v>
      </c>
      <c r="K4867">
        <v>0.16848235653645499</v>
      </c>
      <c r="L4867">
        <v>1189.3635752453999</v>
      </c>
      <c r="M4867">
        <v>24.3480196298833</v>
      </c>
      <c r="N4867">
        <v>49.942830158251198</v>
      </c>
      <c r="O4867">
        <v>48.522534521591602</v>
      </c>
      <c r="P4867">
        <v>-9.9514210729974198E-2</v>
      </c>
      <c r="Q4867">
        <v>0.20673472384684999</v>
      </c>
      <c r="R4867">
        <v>0.98957184790485198</v>
      </c>
      <c r="S4867" t="s">
        <v>10418</v>
      </c>
      <c r="T4867" t="s">
        <v>11100</v>
      </c>
      <c r="U4867" t="s">
        <v>11100</v>
      </c>
      <c r="V4867" t="s">
        <v>11100</v>
      </c>
      <c r="W4867" t="s">
        <v>15915</v>
      </c>
      <c r="X4867">
        <v>3</v>
      </c>
      <c r="Y4867" t="s">
        <v>21341</v>
      </c>
      <c r="Z4867" t="s">
        <v>26872</v>
      </c>
      <c r="AA4867">
        <v>0.52723586010225365</v>
      </c>
      <c r="AB4867" t="str">
        <f>HYPERLINK("Melting_Curves/meltCurve_Q9HB20_PLEKHA3.pdf", "Melting_Curves/meltCurve_Q9HB20_PLEKHA3.pdf")</f>
        <v>Melting_Curves/meltCurve_Q9HB20_PLEKHA3.pdf</v>
      </c>
    </row>
    <row r="4868" spans="1:28" x14ac:dyDescent="0.25">
      <c r="A4868" t="s">
        <v>4872</v>
      </c>
      <c r="B4868">
        <v>0.99299721793515405</v>
      </c>
      <c r="C4868">
        <v>0.98129947266829498</v>
      </c>
      <c r="D4868">
        <v>0.93456163448653296</v>
      </c>
      <c r="E4868">
        <v>0.84814345208640196</v>
      </c>
      <c r="F4868">
        <v>0.69910081586569695</v>
      </c>
      <c r="G4868">
        <v>0.56538818144331904</v>
      </c>
      <c r="H4868">
        <v>0.62424987192117198</v>
      </c>
      <c r="I4868">
        <v>0.79735367637020704</v>
      </c>
      <c r="J4868">
        <v>0.59998592046292898</v>
      </c>
      <c r="K4868">
        <v>0.24203736448014901</v>
      </c>
      <c r="L4868">
        <v>289.91499741784099</v>
      </c>
      <c r="M4868">
        <v>4.5361735154452703</v>
      </c>
      <c r="N4868">
        <v>63.911799336222401</v>
      </c>
      <c r="O4868">
        <v>54.435384926217097</v>
      </c>
      <c r="P4868">
        <v>-2.1010249871913699E-2</v>
      </c>
      <c r="Q4868">
        <v>0</v>
      </c>
      <c r="R4868">
        <v>0.71173538873837505</v>
      </c>
      <c r="S4868" t="s">
        <v>10419</v>
      </c>
      <c r="T4868" t="s">
        <v>11100</v>
      </c>
      <c r="U4868" t="s">
        <v>11100</v>
      </c>
      <c r="V4868" t="s">
        <v>11100</v>
      </c>
      <c r="W4868" t="s">
        <v>15916</v>
      </c>
      <c r="X4868">
        <v>6</v>
      </c>
      <c r="Y4868" t="s">
        <v>21342</v>
      </c>
      <c r="Z4868" t="s">
        <v>26873</v>
      </c>
      <c r="AA4868">
        <v>0.72804252563102756</v>
      </c>
      <c r="AB4868" t="str">
        <f>HYPERLINK("Melting_Curves/meltCurve_Q9HB40_SCPEP1.pdf", "Melting_Curves/meltCurve_Q9HB40_SCPEP1.pdf")</f>
        <v>Melting_Curves/meltCurve_Q9HB40_SCPEP1.pdf</v>
      </c>
    </row>
    <row r="4869" spans="1:28" x14ac:dyDescent="0.25">
      <c r="A4869" t="s">
        <v>4873</v>
      </c>
      <c r="B4869">
        <v>0.99299721793515405</v>
      </c>
      <c r="C4869">
        <v>0.91810420714224905</v>
      </c>
      <c r="D4869">
        <v>1.01662539271194</v>
      </c>
      <c r="E4869">
        <v>0.83587390193230904</v>
      </c>
      <c r="F4869">
        <v>0.69648531380657297</v>
      </c>
      <c r="G4869">
        <v>0.52265342444415597</v>
      </c>
      <c r="H4869">
        <v>0.29960453808447901</v>
      </c>
      <c r="I4869">
        <v>0.151616662603619</v>
      </c>
      <c r="J4869">
        <v>9.9407919352654098E-2</v>
      </c>
      <c r="K4869">
        <v>8.3743980745629498E-2</v>
      </c>
      <c r="L4869">
        <v>683.64341103696495</v>
      </c>
      <c r="M4869">
        <v>12.7513313951637</v>
      </c>
      <c r="N4869">
        <v>53.613489049412898</v>
      </c>
      <c r="O4869">
        <v>52.3462050312069</v>
      </c>
      <c r="P4869">
        <v>-6.0910623303981198E-2</v>
      </c>
      <c r="Q4869">
        <v>0</v>
      </c>
      <c r="R4869">
        <v>0.99108152445908304</v>
      </c>
      <c r="S4869" t="s">
        <v>10420</v>
      </c>
      <c r="T4869" t="s">
        <v>11100</v>
      </c>
      <c r="U4869" t="s">
        <v>11100</v>
      </c>
      <c r="V4869" t="s">
        <v>11100</v>
      </c>
      <c r="W4869" t="s">
        <v>15917</v>
      </c>
      <c r="X4869">
        <v>17</v>
      </c>
      <c r="Y4869" t="s">
        <v>21343</v>
      </c>
      <c r="Z4869" t="s">
        <v>26874</v>
      </c>
      <c r="AA4869">
        <v>0.57253211997359066</v>
      </c>
      <c r="AB4869" t="str">
        <f>HYPERLINK("Melting_Curves/meltCurve_Q9HB71_CACYBP.pdf", "Melting_Curves/meltCurve_Q9HB71_CACYBP.pdf")</f>
        <v>Melting_Curves/meltCurve_Q9HB71_CACYBP.pdf</v>
      </c>
    </row>
    <row r="4870" spans="1:28" x14ac:dyDescent="0.25">
      <c r="A4870" t="s">
        <v>4874</v>
      </c>
      <c r="B4870">
        <v>0.99299721793515405</v>
      </c>
      <c r="C4870">
        <v>1.09792143258556</v>
      </c>
      <c r="D4870">
        <v>0.98828738945457395</v>
      </c>
      <c r="E4870">
        <v>0.87744105306104503</v>
      </c>
      <c r="F4870">
        <v>0.92962764987276003</v>
      </c>
      <c r="G4870">
        <v>0.62819348474099101</v>
      </c>
      <c r="H4870">
        <v>0.81103921647538202</v>
      </c>
      <c r="I4870">
        <v>0.98224352176201002</v>
      </c>
      <c r="J4870">
        <v>0.91493478070139</v>
      </c>
      <c r="K4870">
        <v>0.50680854688850796</v>
      </c>
      <c r="L4870">
        <v>270.11796188753698</v>
      </c>
      <c r="M4870">
        <v>3.1565794468042001</v>
      </c>
      <c r="O4870">
        <v>64.400656054783894</v>
      </c>
      <c r="P4870">
        <v>-1.2580105470849401E-2</v>
      </c>
      <c r="Q4870">
        <v>0</v>
      </c>
      <c r="R4870">
        <v>0.36241984600001598</v>
      </c>
      <c r="S4870" t="s">
        <v>10421</v>
      </c>
      <c r="T4870" t="s">
        <v>11100</v>
      </c>
      <c r="U4870" t="s">
        <v>11100</v>
      </c>
      <c r="V4870" t="s">
        <v>11100</v>
      </c>
      <c r="W4870" t="s">
        <v>15918</v>
      </c>
      <c r="X4870">
        <v>4</v>
      </c>
      <c r="Y4870" t="s">
        <v>21344</v>
      </c>
      <c r="Z4870" t="s">
        <v>26875</v>
      </c>
      <c r="AA4870">
        <v>0.87094445169239698</v>
      </c>
      <c r="AB4870" t="str">
        <f>HYPERLINK("Melting_Curves/meltCurve_Q9HB90_RRAGC.pdf", "Melting_Curves/meltCurve_Q9HB90_RRAGC.pdf")</f>
        <v>Melting_Curves/meltCurve_Q9HB90_RRAGC.pdf</v>
      </c>
    </row>
    <row r="4871" spans="1:28" x14ac:dyDescent="0.25">
      <c r="A4871" t="s">
        <v>4875</v>
      </c>
      <c r="B4871">
        <v>0.99299721793515405</v>
      </c>
      <c r="C4871">
        <v>0.89281486564215096</v>
      </c>
      <c r="D4871">
        <v>0.91959730361987602</v>
      </c>
      <c r="E4871">
        <v>0.68853770804825198</v>
      </c>
      <c r="F4871">
        <v>0.61376459572776998</v>
      </c>
      <c r="G4871">
        <v>0.45622753618755002</v>
      </c>
      <c r="H4871">
        <v>0.39125596269712598</v>
      </c>
      <c r="I4871">
        <v>0.39597150531785402</v>
      </c>
      <c r="J4871">
        <v>0.41490631873549599</v>
      </c>
      <c r="K4871">
        <v>0.371150088079019</v>
      </c>
      <c r="L4871">
        <v>623.338507473748</v>
      </c>
      <c r="M4871">
        <v>13.1205500954001</v>
      </c>
      <c r="N4871">
        <v>52.6899118615245</v>
      </c>
      <c r="O4871">
        <v>46.445595746432701</v>
      </c>
      <c r="P4871">
        <v>-4.5037288330962398E-2</v>
      </c>
      <c r="Q4871">
        <v>0.362396431272418</v>
      </c>
      <c r="R4871">
        <v>0.97971267913079796</v>
      </c>
      <c r="S4871" t="s">
        <v>10422</v>
      </c>
      <c r="T4871" t="s">
        <v>11100</v>
      </c>
      <c r="U4871" t="s">
        <v>11100</v>
      </c>
      <c r="V4871" t="s">
        <v>11100</v>
      </c>
      <c r="W4871" t="s">
        <v>15919</v>
      </c>
      <c r="X4871">
        <v>2</v>
      </c>
      <c r="Y4871" t="s">
        <v>21345</v>
      </c>
      <c r="Z4871" t="s">
        <v>26876</v>
      </c>
      <c r="AA4871">
        <v>0.6035089395698866</v>
      </c>
      <c r="AB4871" t="str">
        <f>HYPERLINK("Melting_Curves/meltCurve_Q9HBD4_SMARCA4.pdf", "Melting_Curves/meltCurve_Q9HBD4_SMARCA4.pdf")</f>
        <v>Melting_Curves/meltCurve_Q9HBD4_SMARCA4.pdf</v>
      </c>
    </row>
    <row r="4872" spans="1:28" x14ac:dyDescent="0.25">
      <c r="A4872" t="s">
        <v>4876</v>
      </c>
      <c r="B4872">
        <v>0.99299721793515405</v>
      </c>
      <c r="C4872">
        <v>0.96450050189952297</v>
      </c>
      <c r="D4872">
        <v>1.28224743610198</v>
      </c>
      <c r="E4872">
        <v>0.88402199714141705</v>
      </c>
      <c r="F4872">
        <v>0.77240698556345899</v>
      </c>
      <c r="G4872">
        <v>0.61682035100894805</v>
      </c>
      <c r="H4872">
        <v>0.382978543443593</v>
      </c>
      <c r="I4872">
        <v>0.35743734827641899</v>
      </c>
      <c r="J4872">
        <v>0.28834718445316698</v>
      </c>
      <c r="K4872">
        <v>0.18946853677526401</v>
      </c>
      <c r="L4872">
        <v>880.09615251143305</v>
      </c>
      <c r="M4872">
        <v>16.420333017702401</v>
      </c>
      <c r="N4872">
        <v>55.475438229847903</v>
      </c>
      <c r="O4872">
        <v>52.821923457965703</v>
      </c>
      <c r="P4872">
        <v>-6.1153206407684998E-2</v>
      </c>
      <c r="Q4872">
        <v>0.21317035685989399</v>
      </c>
      <c r="R4872">
        <v>0.915565162480107</v>
      </c>
      <c r="S4872" t="s">
        <v>10423</v>
      </c>
      <c r="T4872" t="s">
        <v>11100</v>
      </c>
      <c r="U4872" t="s">
        <v>11100</v>
      </c>
      <c r="V4872" t="s">
        <v>11100</v>
      </c>
      <c r="W4872" t="s">
        <v>15920</v>
      </c>
      <c r="X4872">
        <v>9</v>
      </c>
      <c r="Y4872" t="s">
        <v>21346</v>
      </c>
      <c r="Z4872" t="s">
        <v>26877</v>
      </c>
      <c r="AA4872">
        <v>0.66074283051185745</v>
      </c>
      <c r="AB4872" t="str">
        <f>HYPERLINK("Melting_Curves/meltCurve_Q9HBH1_PDF.pdf", "Melting_Curves/meltCurve_Q9HBH1_PDF.pdf")</f>
        <v>Melting_Curves/meltCurve_Q9HBH1_PDF.pdf</v>
      </c>
    </row>
    <row r="4873" spans="1:28" x14ac:dyDescent="0.25">
      <c r="A4873" t="s">
        <v>4877</v>
      </c>
      <c r="B4873">
        <v>0.99299721793515405</v>
      </c>
      <c r="C4873">
        <v>1.01976528272016</v>
      </c>
      <c r="D4873">
        <v>0.97301977980539001</v>
      </c>
      <c r="E4873">
        <v>0.94006518397219896</v>
      </c>
      <c r="F4873">
        <v>0.80480107603989404</v>
      </c>
      <c r="G4873">
        <v>0.42366929253746</v>
      </c>
      <c r="H4873">
        <v>0.18653721675971</v>
      </c>
      <c r="I4873">
        <v>0.18578448165339201</v>
      </c>
      <c r="J4873">
        <v>0.18241468202372499</v>
      </c>
      <c r="K4873">
        <v>0.130913075661374</v>
      </c>
      <c r="L4873">
        <v>1461.34088647508</v>
      </c>
      <c r="M4873">
        <v>27.949055289569898</v>
      </c>
      <c r="N4873">
        <v>52.969526096951498</v>
      </c>
      <c r="O4873">
        <v>52.020405328402397</v>
      </c>
      <c r="P4873">
        <v>-0.113981124037492</v>
      </c>
      <c r="Q4873">
        <v>0.15141421700500499</v>
      </c>
      <c r="R4873">
        <v>0.996646041043042</v>
      </c>
      <c r="S4873" t="s">
        <v>10424</v>
      </c>
      <c r="T4873" t="s">
        <v>11100</v>
      </c>
      <c r="U4873" t="s">
        <v>11100</v>
      </c>
      <c r="V4873" t="s">
        <v>11100</v>
      </c>
      <c r="W4873" t="s">
        <v>15921</v>
      </c>
      <c r="X4873">
        <v>11</v>
      </c>
      <c r="Y4873" t="s">
        <v>21347</v>
      </c>
      <c r="Z4873" t="s">
        <v>26878</v>
      </c>
      <c r="AA4873">
        <v>0.58992992102506014</v>
      </c>
      <c r="AB4873" t="str">
        <f>HYPERLINK("Melting_Curves/meltCurve_Q9HBH5_RDH14.pdf", "Melting_Curves/meltCurve_Q9HBH5_RDH14.pdf")</f>
        <v>Melting_Curves/meltCurve_Q9HBH5_RDH14.pdf</v>
      </c>
    </row>
    <row r="4874" spans="1:28" x14ac:dyDescent="0.25">
      <c r="A4874" t="s">
        <v>4878</v>
      </c>
      <c r="B4874">
        <v>0.99299721793515405</v>
      </c>
      <c r="C4874">
        <v>1.04258905984731</v>
      </c>
      <c r="D4874">
        <v>0.949211315407825</v>
      </c>
      <c r="E4874">
        <v>0.80922583033362805</v>
      </c>
      <c r="F4874">
        <v>0.72220737380126399</v>
      </c>
      <c r="G4874">
        <v>0.495468007464541</v>
      </c>
      <c r="H4874">
        <v>0.242428705177307</v>
      </c>
      <c r="I4874">
        <v>0.23167683078957799</v>
      </c>
      <c r="J4874">
        <v>0.138459449349145</v>
      </c>
      <c r="K4874">
        <v>0.117271555786935</v>
      </c>
      <c r="L4874">
        <v>698.33590688214599</v>
      </c>
      <c r="M4874">
        <v>13.225667540593401</v>
      </c>
      <c r="N4874">
        <v>53.3256903280625</v>
      </c>
      <c r="O4874">
        <v>51.638200533457002</v>
      </c>
      <c r="P4874">
        <v>-6.0137790260567502E-2</v>
      </c>
      <c r="Q4874">
        <v>6.0949032891870397E-2</v>
      </c>
      <c r="R4874">
        <v>0.98981220776086498</v>
      </c>
      <c r="S4874" t="s">
        <v>10425</v>
      </c>
      <c r="T4874" t="s">
        <v>11100</v>
      </c>
      <c r="U4874" t="s">
        <v>11100</v>
      </c>
      <c r="V4874" t="s">
        <v>11100</v>
      </c>
      <c r="W4874" t="s">
        <v>15922</v>
      </c>
      <c r="X4874">
        <v>2</v>
      </c>
      <c r="Y4874" t="s">
        <v>21348</v>
      </c>
      <c r="Z4874" t="s">
        <v>26879</v>
      </c>
      <c r="AA4874">
        <v>0.57459968327050293</v>
      </c>
      <c r="AB4874" t="str">
        <f>HYPERLINK("Melting_Curves/meltCurve_Q9HBI1_3_PARVB.pdf", "Melting_Curves/meltCurve_Q9HBI1_3_PARVB.pdf")</f>
        <v>Melting_Curves/meltCurve_Q9HBI1_3_PARVB.pdf</v>
      </c>
    </row>
    <row r="4875" spans="1:28" x14ac:dyDescent="0.25">
      <c r="A4875" t="s">
        <v>4879</v>
      </c>
      <c r="B4875">
        <v>0.99299721793515405</v>
      </c>
      <c r="C4875">
        <v>0.939958016655151</v>
      </c>
      <c r="D4875">
        <v>1.01711686105488</v>
      </c>
      <c r="E4875">
        <v>0.8708571050435</v>
      </c>
      <c r="F4875">
        <v>0.45442561507206602</v>
      </c>
      <c r="G4875">
        <v>0.24935582805761999</v>
      </c>
      <c r="H4875">
        <v>0.27091922466233997</v>
      </c>
      <c r="I4875">
        <v>0.23328535070718001</v>
      </c>
      <c r="J4875">
        <v>0.30048863403861198</v>
      </c>
      <c r="K4875">
        <v>0.27390321007465701</v>
      </c>
      <c r="L4875">
        <v>1787.3460539002699</v>
      </c>
      <c r="M4875">
        <v>36.7232190964449</v>
      </c>
      <c r="N4875">
        <v>49.675761664256697</v>
      </c>
      <c r="O4875">
        <v>48.527084413235002</v>
      </c>
      <c r="P4875">
        <v>-0.13959342044209</v>
      </c>
      <c r="Q4875">
        <v>0.26215161479749199</v>
      </c>
      <c r="R4875">
        <v>0.99261407768714705</v>
      </c>
      <c r="S4875" t="s">
        <v>10426</v>
      </c>
      <c r="T4875" t="s">
        <v>11100</v>
      </c>
      <c r="U4875" t="s">
        <v>11100</v>
      </c>
      <c r="V4875" t="s">
        <v>11100</v>
      </c>
      <c r="W4875" t="s">
        <v>15923</v>
      </c>
      <c r="X4875">
        <v>5</v>
      </c>
      <c r="Y4875" t="s">
        <v>21349</v>
      </c>
      <c r="Z4875" t="s">
        <v>26880</v>
      </c>
      <c r="AA4875">
        <v>0.55214080190617365</v>
      </c>
      <c r="AB4875" t="str">
        <f>HYPERLINK("Melting_Curves/meltCurve_Q9HBK9_AS3MT.pdf", "Melting_Curves/meltCurve_Q9HBK9_AS3MT.pdf")</f>
        <v>Melting_Curves/meltCurve_Q9HBK9_AS3MT.pdf</v>
      </c>
    </row>
    <row r="4876" spans="1:28" x14ac:dyDescent="0.25">
      <c r="A4876" t="s">
        <v>4880</v>
      </c>
      <c r="B4876">
        <v>0.99299721793515405</v>
      </c>
      <c r="C4876">
        <v>0.899744596460612</v>
      </c>
      <c r="D4876">
        <v>0.85316516928563102</v>
      </c>
      <c r="E4876">
        <v>0.859894053050406</v>
      </c>
      <c r="F4876">
        <v>0.708342095962888</v>
      </c>
      <c r="G4876">
        <v>0.58275626646399503</v>
      </c>
      <c r="H4876">
        <v>0.59644099499208303</v>
      </c>
      <c r="I4876">
        <v>0.65994579193126901</v>
      </c>
      <c r="J4876">
        <v>0.71796060661331895</v>
      </c>
      <c r="K4876">
        <v>0.73384360542439897</v>
      </c>
      <c r="L4876">
        <v>631.64951570360699</v>
      </c>
      <c r="M4876">
        <v>14.192764700012001</v>
      </c>
      <c r="O4876">
        <v>43.649467393041697</v>
      </c>
      <c r="P4876">
        <v>-2.7918206661170099E-2</v>
      </c>
      <c r="Q4876">
        <v>0.65659641044802097</v>
      </c>
      <c r="R4876">
        <v>0.79485854555410396</v>
      </c>
      <c r="S4876" t="s">
        <v>10427</v>
      </c>
      <c r="T4876" t="s">
        <v>11100</v>
      </c>
      <c r="U4876" t="s">
        <v>11100</v>
      </c>
      <c r="V4876" t="s">
        <v>11100</v>
      </c>
      <c r="W4876" t="s">
        <v>15924</v>
      </c>
      <c r="X4876">
        <v>5</v>
      </c>
      <c r="Y4876" t="s">
        <v>21350</v>
      </c>
      <c r="Z4876" t="s">
        <v>26881</v>
      </c>
      <c r="AA4876">
        <v>0.75181711449920896</v>
      </c>
      <c r="AB4876" t="str">
        <f>HYPERLINK("Melting_Curves/meltCurve_Q9HBL7_PLGRKT.pdf", "Melting_Curves/meltCurve_Q9HBL7_PLGRKT.pdf")</f>
        <v>Melting_Curves/meltCurve_Q9HBL7_PLGRKT.pdf</v>
      </c>
    </row>
    <row r="4877" spans="1:28" x14ac:dyDescent="0.25">
      <c r="A4877" t="s">
        <v>4881</v>
      </c>
      <c r="B4877">
        <v>0.99299721793515405</v>
      </c>
      <c r="C4877">
        <v>0.93650384360670202</v>
      </c>
      <c r="D4877">
        <v>1.0380836567763201</v>
      </c>
      <c r="E4877">
        <v>0.91547393076530104</v>
      </c>
      <c r="F4877">
        <v>0.62280753593024196</v>
      </c>
      <c r="G4877">
        <v>0.34577744011547001</v>
      </c>
      <c r="H4877">
        <v>0.13381101410388099</v>
      </c>
      <c r="I4877">
        <v>8.8424541332296103E-2</v>
      </c>
      <c r="J4877">
        <v>7.5016503433319795E-2</v>
      </c>
      <c r="K4877">
        <v>7.7448912974116102E-2</v>
      </c>
      <c r="L4877">
        <v>1105.9425600637401</v>
      </c>
      <c r="M4877">
        <v>21.535912473667501</v>
      </c>
      <c r="N4877">
        <v>51.676996986680798</v>
      </c>
      <c r="O4877">
        <v>50.916776657374101</v>
      </c>
      <c r="P4877">
        <v>-9.9073354842510494E-2</v>
      </c>
      <c r="Q4877">
        <v>6.3076925217438698E-2</v>
      </c>
      <c r="R4877">
        <v>0.99482010951327204</v>
      </c>
      <c r="S4877" t="s">
        <v>10428</v>
      </c>
      <c r="T4877" t="s">
        <v>11100</v>
      </c>
      <c r="U4877" t="s">
        <v>11100</v>
      </c>
      <c r="V4877" t="s">
        <v>11100</v>
      </c>
      <c r="W4877" t="s">
        <v>15925</v>
      </c>
      <c r="X4877">
        <v>5</v>
      </c>
      <c r="Y4877" t="s">
        <v>21351</v>
      </c>
      <c r="Z4877" t="s">
        <v>26882</v>
      </c>
      <c r="AA4877">
        <v>0.52214317791079123</v>
      </c>
      <c r="AB4877" t="str">
        <f>HYPERLINK("Melting_Curves/meltCurve_Q9HBM1_SPC25.pdf", "Melting_Curves/meltCurve_Q9HBM1_SPC25.pdf")</f>
        <v>Melting_Curves/meltCurve_Q9HBM1_SPC25.pdf</v>
      </c>
    </row>
    <row r="4878" spans="1:28" x14ac:dyDescent="0.25">
      <c r="A4878" t="s">
        <v>4882</v>
      </c>
      <c r="B4878">
        <v>0.99299721793515405</v>
      </c>
      <c r="C4878">
        <v>0.81611985605402704</v>
      </c>
      <c r="D4878">
        <v>1.07179556835774</v>
      </c>
      <c r="E4878">
        <v>0.79682817486104396</v>
      </c>
      <c r="F4878">
        <v>0.64107815004371604</v>
      </c>
      <c r="G4878">
        <v>0.57574998706566405</v>
      </c>
      <c r="H4878">
        <v>0.45224656668339802</v>
      </c>
      <c r="I4878">
        <v>0.69149186746607605</v>
      </c>
      <c r="J4878">
        <v>0.54235122225523702</v>
      </c>
      <c r="K4878">
        <v>0.67773106077887801</v>
      </c>
      <c r="L4878">
        <v>2815.6833616282402</v>
      </c>
      <c r="M4878">
        <v>60.393381840085198</v>
      </c>
      <c r="O4878">
        <v>46.5713460301941</v>
      </c>
      <c r="P4878">
        <v>-0.13113072558816499</v>
      </c>
      <c r="Q4878">
        <v>0.59552310124739705</v>
      </c>
      <c r="R4878">
        <v>0.76668500705389797</v>
      </c>
      <c r="S4878" t="s">
        <v>10429</v>
      </c>
      <c r="T4878" t="s">
        <v>11100</v>
      </c>
      <c r="U4878" t="s">
        <v>11100</v>
      </c>
      <c r="V4878" t="s">
        <v>11100</v>
      </c>
      <c r="W4878" t="s">
        <v>15926</v>
      </c>
      <c r="X4878">
        <v>7</v>
      </c>
      <c r="Y4878" t="s">
        <v>21352</v>
      </c>
      <c r="Z4878" t="s">
        <v>26883</v>
      </c>
      <c r="AA4878">
        <v>0.72582663121392543</v>
      </c>
      <c r="AB4878" t="str">
        <f>HYPERLINK("Melting_Curves/meltCurve_Q9HBM6_TAF9B.pdf", "Melting_Curves/meltCurve_Q9HBM6_TAF9B.pdf")</f>
        <v>Melting_Curves/meltCurve_Q9HBM6_TAF9B.pdf</v>
      </c>
    </row>
    <row r="4879" spans="1:28" x14ac:dyDescent="0.25">
      <c r="A4879" t="s">
        <v>4883</v>
      </c>
      <c r="B4879">
        <v>0.99299721793515405</v>
      </c>
      <c r="C4879">
        <v>0.98716327603123699</v>
      </c>
      <c r="D4879">
        <v>1.0865951817581601</v>
      </c>
      <c r="E4879">
        <v>0.89946758160380602</v>
      </c>
      <c r="F4879">
        <v>0.80981757241779595</v>
      </c>
      <c r="G4879">
        <v>0.582155796053202</v>
      </c>
      <c r="H4879">
        <v>0.23636409765986999</v>
      </c>
      <c r="I4879">
        <v>0.14999643731849599</v>
      </c>
      <c r="J4879">
        <v>9.2108917983325295E-2</v>
      </c>
      <c r="K4879">
        <v>7.7745954997047007E-2</v>
      </c>
      <c r="L4879">
        <v>1044.9178890600499</v>
      </c>
      <c r="M4879">
        <v>19.350514570813299</v>
      </c>
      <c r="N4879">
        <v>54.284633187224102</v>
      </c>
      <c r="O4879">
        <v>53.432700456515597</v>
      </c>
      <c r="P4879">
        <v>-8.6164906058946597E-2</v>
      </c>
      <c r="Q4879">
        <v>4.8324454100902102E-2</v>
      </c>
      <c r="R4879">
        <v>0.98963522214540001</v>
      </c>
      <c r="S4879" t="s">
        <v>10430</v>
      </c>
      <c r="T4879" t="s">
        <v>11100</v>
      </c>
      <c r="U4879" t="s">
        <v>11100</v>
      </c>
      <c r="V4879" t="s">
        <v>11100</v>
      </c>
      <c r="W4879" t="s">
        <v>15927</v>
      </c>
      <c r="X4879">
        <v>6</v>
      </c>
      <c r="Y4879" t="s">
        <v>21353</v>
      </c>
      <c r="Z4879" t="s">
        <v>26884</v>
      </c>
      <c r="AA4879">
        <v>0.59958832642265492</v>
      </c>
      <c r="AB4879" t="str">
        <f>HYPERLINK("Melting_Curves/meltCurve_Q9HBM8_AGPAT1.pdf", "Melting_Curves/meltCurve_Q9HBM8_AGPAT1.pdf")</f>
        <v>Melting_Curves/meltCurve_Q9HBM8_AGPAT1.pdf</v>
      </c>
    </row>
    <row r="4880" spans="1:28" x14ac:dyDescent="0.25">
      <c r="A4880" t="s">
        <v>4884</v>
      </c>
      <c r="B4880">
        <v>0.99299721793515405</v>
      </c>
      <c r="C4880">
        <v>0.98782106994974495</v>
      </c>
      <c r="D4880">
        <v>0.94908440352752399</v>
      </c>
      <c r="E4880">
        <v>1.0702094353218401</v>
      </c>
      <c r="F4880">
        <v>0.704624233810624</v>
      </c>
      <c r="G4880">
        <v>0.65180345407778195</v>
      </c>
      <c r="H4880">
        <v>0.45758161305672101</v>
      </c>
      <c r="I4880">
        <v>0.35506154688740099</v>
      </c>
      <c r="J4880">
        <v>0.387128946162622</v>
      </c>
      <c r="K4880">
        <v>0.23220878543222101</v>
      </c>
      <c r="L4880">
        <v>816.42891761072497</v>
      </c>
      <c r="M4880">
        <v>15.2267278297413</v>
      </c>
      <c r="N4880">
        <v>56.341408808328502</v>
      </c>
      <c r="O4880">
        <v>52.718857590662097</v>
      </c>
      <c r="P4880">
        <v>-5.3403544658810101E-2</v>
      </c>
      <c r="Q4880">
        <v>0.26048308589096197</v>
      </c>
      <c r="R4880">
        <v>0.95298897888453205</v>
      </c>
      <c r="S4880" t="s">
        <v>10431</v>
      </c>
      <c r="T4880" t="s">
        <v>11100</v>
      </c>
      <c r="U4880" t="s">
        <v>11100</v>
      </c>
      <c r="V4880" t="s">
        <v>11100</v>
      </c>
      <c r="W4880" t="s">
        <v>15928</v>
      </c>
      <c r="X4880">
        <v>2</v>
      </c>
      <c r="Y4880" t="s">
        <v>21354</v>
      </c>
      <c r="Z4880" t="s">
        <v>26885</v>
      </c>
      <c r="AA4880">
        <v>0.68245418623070964</v>
      </c>
      <c r="AB4880" t="str">
        <f>HYPERLINK("Melting_Curves/meltCurve_Q9HBN3_POLL.pdf", "Melting_Curves/meltCurve_Q9HBN3_POLL.pdf")</f>
        <v>Melting_Curves/meltCurve_Q9HBN3_POLL.pdf</v>
      </c>
    </row>
    <row r="4881" spans="1:28" x14ac:dyDescent="0.25">
      <c r="A4881" t="s">
        <v>4885</v>
      </c>
      <c r="B4881">
        <v>0.99299721793515405</v>
      </c>
      <c r="C4881">
        <v>0.74725564697751901</v>
      </c>
      <c r="D4881">
        <v>0.92651522206287396</v>
      </c>
      <c r="E4881">
        <v>0.77027619950326398</v>
      </c>
      <c r="F4881">
        <v>0.67157322124360597</v>
      </c>
      <c r="G4881">
        <v>0.54933298269024899</v>
      </c>
      <c r="H4881">
        <v>0.53151575472537405</v>
      </c>
      <c r="I4881">
        <v>0.611529742876881</v>
      </c>
      <c r="J4881">
        <v>0.52804127795853395</v>
      </c>
      <c r="K4881">
        <v>0.37167578118385602</v>
      </c>
      <c r="L4881">
        <v>272.07684992632102</v>
      </c>
      <c r="M4881">
        <v>5.1334368993223496</v>
      </c>
      <c r="N4881">
        <v>61.955274863163197</v>
      </c>
      <c r="O4881">
        <v>46.5378363462425</v>
      </c>
      <c r="P4881">
        <v>-2.04681947817178E-2</v>
      </c>
      <c r="Q4881">
        <v>0.26190365420789502</v>
      </c>
      <c r="R4881">
        <v>0.827774842149267</v>
      </c>
      <c r="S4881" t="s">
        <v>10432</v>
      </c>
      <c r="T4881" t="s">
        <v>11100</v>
      </c>
      <c r="U4881" t="s">
        <v>11100</v>
      </c>
      <c r="V4881" t="s">
        <v>11100</v>
      </c>
      <c r="W4881" t="s">
        <v>15929</v>
      </c>
      <c r="X4881">
        <v>3</v>
      </c>
      <c r="Y4881" t="s">
        <v>21355</v>
      </c>
      <c r="Z4881" t="s">
        <v>26886</v>
      </c>
      <c r="AA4881">
        <v>0.66599945553934192</v>
      </c>
      <c r="AB4881" t="str">
        <f>HYPERLINK("Melting_Curves/meltCurve_Q9HBR0_SLC38A10.pdf", "Melting_Curves/meltCurve_Q9HBR0_SLC38A10.pdf")</f>
        <v>Melting_Curves/meltCurve_Q9HBR0_SLC38A10.pdf</v>
      </c>
    </row>
    <row r="4882" spans="1:28" x14ac:dyDescent="0.25">
      <c r="A4882" t="s">
        <v>4886</v>
      </c>
      <c r="B4882">
        <v>0.99299721793515405</v>
      </c>
      <c r="C4882">
        <v>1.0147416159451501</v>
      </c>
      <c r="D4882">
        <v>1.0577423084743101</v>
      </c>
      <c r="E4882">
        <v>0.91201444341970594</v>
      </c>
      <c r="F4882">
        <v>0.75246016026723705</v>
      </c>
      <c r="G4882">
        <v>0.66990989956698099</v>
      </c>
      <c r="H4882">
        <v>0.66405507609631098</v>
      </c>
      <c r="I4882">
        <v>0.74665285345703303</v>
      </c>
      <c r="J4882">
        <v>0.839651290147714</v>
      </c>
      <c r="K4882">
        <v>0.79083371090214905</v>
      </c>
      <c r="L4882">
        <v>3898.8593321516501</v>
      </c>
      <c r="M4882">
        <v>83.013205217434304</v>
      </c>
      <c r="O4882">
        <v>46.939494597316902</v>
      </c>
      <c r="P4882">
        <v>-0.11331450978006199</v>
      </c>
      <c r="Q4882">
        <v>0.74370699578247201</v>
      </c>
      <c r="R4882">
        <v>0.85464874961929405</v>
      </c>
      <c r="S4882" t="s">
        <v>10433</v>
      </c>
      <c r="T4882" t="s">
        <v>11100</v>
      </c>
      <c r="U4882" t="s">
        <v>11100</v>
      </c>
      <c r="V4882" t="s">
        <v>11100</v>
      </c>
      <c r="W4882" t="s">
        <v>15930</v>
      </c>
      <c r="X4882">
        <v>7</v>
      </c>
      <c r="Y4882" t="s">
        <v>21356</v>
      </c>
      <c r="Z4882" t="s">
        <v>26887</v>
      </c>
      <c r="AA4882">
        <v>0.82904576273427977</v>
      </c>
      <c r="AB4882" t="str">
        <f>HYPERLINK("Melting_Curves/meltCurve_Q9HC21_SLC25A19.pdf", "Melting_Curves/meltCurve_Q9HC21_SLC25A19.pdf")</f>
        <v>Melting_Curves/meltCurve_Q9HC21_SLC25A19.pdf</v>
      </c>
    </row>
    <row r="4883" spans="1:28" x14ac:dyDescent="0.25">
      <c r="A4883" t="s">
        <v>4887</v>
      </c>
      <c r="B4883">
        <v>0.99299721793515405</v>
      </c>
      <c r="C4883">
        <v>1.04185603286324</v>
      </c>
      <c r="D4883">
        <v>1.0447843139023101</v>
      </c>
      <c r="E4883">
        <v>0.88541105432404199</v>
      </c>
      <c r="F4883">
        <v>0.75048173974251697</v>
      </c>
      <c r="G4883">
        <v>0.512142944510527</v>
      </c>
      <c r="H4883">
        <v>0.19972908114556401</v>
      </c>
      <c r="I4883">
        <v>0.15963466332020301</v>
      </c>
      <c r="J4883">
        <v>0.13868444131390201</v>
      </c>
      <c r="K4883">
        <v>0.113465524513546</v>
      </c>
      <c r="L4883">
        <v>1012.13733250732</v>
      </c>
      <c r="M4883">
        <v>19.163136716294801</v>
      </c>
      <c r="N4883">
        <v>53.388233984545003</v>
      </c>
      <c r="O4883">
        <v>52.251814726782897</v>
      </c>
      <c r="P4883">
        <v>-8.3189793712638405E-2</v>
      </c>
      <c r="Q4883">
        <v>9.2705886649727107E-2</v>
      </c>
      <c r="R4883">
        <v>0.99124933752649802</v>
      </c>
      <c r="S4883" t="s">
        <v>10434</v>
      </c>
      <c r="T4883" t="s">
        <v>11100</v>
      </c>
      <c r="U4883" t="s">
        <v>11100</v>
      </c>
      <c r="V4883" t="s">
        <v>11100</v>
      </c>
      <c r="W4883" t="s">
        <v>15931</v>
      </c>
      <c r="X4883">
        <v>28</v>
      </c>
      <c r="Y4883" t="s">
        <v>21357</v>
      </c>
      <c r="Z4883" t="s">
        <v>26888</v>
      </c>
      <c r="AA4883">
        <v>0.58327865737148687</v>
      </c>
      <c r="AB4883" t="str">
        <f>HYPERLINK("Melting_Curves/meltCurve_Q9HC38_2_GLOD4.pdf", "Melting_Curves/meltCurve_Q9HC38_2_GLOD4.pdf")</f>
        <v>Melting_Curves/meltCurve_Q9HC38_2_GLOD4.pdf</v>
      </c>
    </row>
    <row r="4884" spans="1:28" x14ac:dyDescent="0.25">
      <c r="A4884" t="s">
        <v>4888</v>
      </c>
      <c r="B4884">
        <v>0.99299721793515405</v>
      </c>
      <c r="C4884">
        <v>1.60194219366702</v>
      </c>
      <c r="D4884">
        <v>1.2639876465958599</v>
      </c>
      <c r="E4884">
        <v>1.1050001635675699</v>
      </c>
      <c r="F4884">
        <v>0.98853331925746002</v>
      </c>
      <c r="G4884">
        <v>0.19871046480298801</v>
      </c>
      <c r="H4884">
        <v>0.78527094043139101</v>
      </c>
      <c r="I4884">
        <v>1.2864051365487399</v>
      </c>
      <c r="J4884">
        <v>1.3826489136345199</v>
      </c>
      <c r="K4884">
        <v>1.1603867089100099</v>
      </c>
      <c r="L4884">
        <v>12569.465262918</v>
      </c>
      <c r="M4884">
        <v>211.01086924524699</v>
      </c>
      <c r="O4884">
        <v>59.562507054060099</v>
      </c>
      <c r="P4884">
        <v>0.24542316424782201</v>
      </c>
      <c r="Q4884">
        <v>1.2771045642271099</v>
      </c>
      <c r="R4884">
        <v>0.128556720743744</v>
      </c>
      <c r="S4884" t="s">
        <v>10435</v>
      </c>
      <c r="T4884" t="s">
        <v>11100</v>
      </c>
      <c r="U4884" t="s">
        <v>11100</v>
      </c>
      <c r="V4884" t="s">
        <v>11100</v>
      </c>
      <c r="W4884" t="s">
        <v>15932</v>
      </c>
      <c r="X4884">
        <v>1</v>
      </c>
      <c r="Y4884" t="s">
        <v>21358</v>
      </c>
      <c r="Z4884" t="s">
        <v>26889</v>
      </c>
      <c r="AA4884">
        <v>1.068608692573711</v>
      </c>
      <c r="AB4884" t="str">
        <f>HYPERLINK("Melting_Curves/meltCurve_Q9HC44_GPBP1L1.pdf", "Melting_Curves/meltCurve_Q9HC44_GPBP1L1.pdf")</f>
        <v>Melting_Curves/meltCurve_Q9HC44_GPBP1L1.pdf</v>
      </c>
    </row>
    <row r="4885" spans="1:28" x14ac:dyDescent="0.25">
      <c r="A4885" t="s">
        <v>4889</v>
      </c>
      <c r="B4885">
        <v>0.99299721793515405</v>
      </c>
      <c r="C4885">
        <v>0.91339763647598204</v>
      </c>
      <c r="D4885">
        <v>0.89048076510241103</v>
      </c>
      <c r="E4885">
        <v>0.81893403331530601</v>
      </c>
      <c r="F4885">
        <v>0.65172817505355096</v>
      </c>
      <c r="G4885">
        <v>0.48835318528000299</v>
      </c>
      <c r="H4885">
        <v>0.470452453813754</v>
      </c>
      <c r="I4885">
        <v>0.54294256689420695</v>
      </c>
      <c r="J4885">
        <v>0.64017986391634896</v>
      </c>
      <c r="K4885">
        <v>0.59222969931991498</v>
      </c>
      <c r="L4885">
        <v>897.06328417922703</v>
      </c>
      <c r="M4885">
        <v>19.2533989684615</v>
      </c>
      <c r="O4885">
        <v>46.098542388482699</v>
      </c>
      <c r="P4885">
        <v>-4.7649651703347597E-2</v>
      </c>
      <c r="Q4885">
        <v>0.54366554928383704</v>
      </c>
      <c r="R4885">
        <v>0.89278792438507704</v>
      </c>
      <c r="S4885" t="s">
        <v>10436</v>
      </c>
      <c r="T4885" t="s">
        <v>11100</v>
      </c>
      <c r="U4885" t="s">
        <v>11100</v>
      </c>
      <c r="V4885" t="s">
        <v>11100</v>
      </c>
      <c r="W4885" t="s">
        <v>15933</v>
      </c>
      <c r="X4885">
        <v>22</v>
      </c>
      <c r="Y4885" t="s">
        <v>21359</v>
      </c>
      <c r="Z4885" t="s">
        <v>26890</v>
      </c>
      <c r="AA4885">
        <v>0.69601275708004695</v>
      </c>
      <c r="AB4885" t="str">
        <f>HYPERLINK("Melting_Curves/meltCurve_Q9HCC0_MCCC2.pdf", "Melting_Curves/meltCurve_Q9HCC0_MCCC2.pdf")</f>
        <v>Melting_Curves/meltCurve_Q9HCC0_MCCC2.pdf</v>
      </c>
    </row>
    <row r="4886" spans="1:28" x14ac:dyDescent="0.25">
      <c r="A4886" t="s">
        <v>4890</v>
      </c>
      <c r="B4886">
        <v>0.99299721793515405</v>
      </c>
      <c r="C4886">
        <v>1.0677884721708699</v>
      </c>
      <c r="D4886">
        <v>1.02226005617432</v>
      </c>
      <c r="E4886">
        <v>0.86477010237192398</v>
      </c>
      <c r="F4886">
        <v>0.54960250171285796</v>
      </c>
      <c r="G4886">
        <v>0.27480127983167602</v>
      </c>
      <c r="H4886">
        <v>0.26601040508627</v>
      </c>
      <c r="I4886">
        <v>0.22953048657070499</v>
      </c>
      <c r="J4886">
        <v>0.26935502605073203</v>
      </c>
      <c r="K4886">
        <v>0.30281648675952699</v>
      </c>
      <c r="L4886">
        <v>1502.9814091639601</v>
      </c>
      <c r="M4886">
        <v>30.505613140272601</v>
      </c>
      <c r="N4886">
        <v>50.470803914712199</v>
      </c>
      <c r="O4886">
        <v>49.058748559509297</v>
      </c>
      <c r="P4886">
        <v>-0.11532071164984201</v>
      </c>
      <c r="Q4886">
        <v>0.25817527729058698</v>
      </c>
      <c r="R4886">
        <v>0.99049187077075296</v>
      </c>
      <c r="S4886" t="s">
        <v>10437</v>
      </c>
      <c r="T4886" t="s">
        <v>11100</v>
      </c>
      <c r="U4886" t="s">
        <v>11100</v>
      </c>
      <c r="V4886" t="s">
        <v>11100</v>
      </c>
      <c r="W4886" t="s">
        <v>15934</v>
      </c>
      <c r="X4886">
        <v>3</v>
      </c>
      <c r="Y4886" t="s">
        <v>21360</v>
      </c>
      <c r="Z4886" t="s">
        <v>26891</v>
      </c>
      <c r="AA4886">
        <v>0.56590582142365209</v>
      </c>
      <c r="AB4886" t="str">
        <f>HYPERLINK("Melting_Curves/meltCurve_Q9HCD6_TANC2.pdf", "Melting_Curves/meltCurve_Q9HCD6_TANC2.pdf")</f>
        <v>Melting_Curves/meltCurve_Q9HCD6_TANC2.pdf</v>
      </c>
    </row>
    <row r="4887" spans="1:28" x14ac:dyDescent="0.25">
      <c r="A4887" t="s">
        <v>4891</v>
      </c>
      <c r="B4887">
        <v>0.99299721793515405</v>
      </c>
      <c r="C4887">
        <v>0.98352454309401105</v>
      </c>
      <c r="D4887">
        <v>1.2819781778199499</v>
      </c>
      <c r="E4887">
        <v>0.98695632415639301</v>
      </c>
      <c r="F4887">
        <v>0.84807006314245803</v>
      </c>
      <c r="G4887">
        <v>0.95561847517801202</v>
      </c>
      <c r="H4887">
        <v>0.36087672394124198</v>
      </c>
      <c r="I4887">
        <v>0.16305159920685899</v>
      </c>
      <c r="J4887">
        <v>0.12771378864472299</v>
      </c>
      <c r="K4887">
        <v>0.114224387544841</v>
      </c>
      <c r="L4887">
        <v>3187.5375711837901</v>
      </c>
      <c r="M4887">
        <v>56.529074055693599</v>
      </c>
      <c r="N4887">
        <v>56.6891338319802</v>
      </c>
      <c r="O4887">
        <v>56.317143160570403</v>
      </c>
      <c r="P4887">
        <v>-0.218355072630287</v>
      </c>
      <c r="Q4887">
        <v>0.12985468652197599</v>
      </c>
      <c r="R4887">
        <v>0.94060598137719098</v>
      </c>
      <c r="S4887" t="s">
        <v>10438</v>
      </c>
      <c r="T4887" t="s">
        <v>11100</v>
      </c>
      <c r="U4887" t="s">
        <v>11100</v>
      </c>
      <c r="V4887" t="s">
        <v>11100</v>
      </c>
      <c r="W4887" t="s">
        <v>15935</v>
      </c>
      <c r="X4887">
        <v>7</v>
      </c>
      <c r="Y4887" t="s">
        <v>21361</v>
      </c>
      <c r="Z4887" t="s">
        <v>26892</v>
      </c>
      <c r="AA4887">
        <v>0.69387398745688578</v>
      </c>
      <c r="AB4887" t="str">
        <f>HYPERLINK("Melting_Curves/meltCurve_Q9HCE5_METTL14.pdf", "Melting_Curves/meltCurve_Q9HCE5_METTL14.pdf")</f>
        <v>Melting_Curves/meltCurve_Q9HCE5_METTL14.pdf</v>
      </c>
    </row>
    <row r="4888" spans="1:28" x14ac:dyDescent="0.25">
      <c r="A4888" t="s">
        <v>4892</v>
      </c>
      <c r="B4888">
        <v>0.99299721793515405</v>
      </c>
      <c r="C4888">
        <v>1.0190510042444001</v>
      </c>
      <c r="D4888">
        <v>0.87489455956150597</v>
      </c>
      <c r="E4888">
        <v>0.72963568148325797</v>
      </c>
      <c r="F4888">
        <v>0.47585358246277198</v>
      </c>
      <c r="G4888">
        <v>0.20322120750542</v>
      </c>
      <c r="H4888">
        <v>0.15322365724108</v>
      </c>
      <c r="I4888">
        <v>0.146908544331842</v>
      </c>
      <c r="J4888">
        <v>0.167086229612288</v>
      </c>
      <c r="K4888">
        <v>0.13279021083907599</v>
      </c>
      <c r="L4888">
        <v>891.59214971788799</v>
      </c>
      <c r="M4888">
        <v>18.349757707400499</v>
      </c>
      <c r="N4888">
        <v>49.357219240966302</v>
      </c>
      <c r="O4888">
        <v>48.022731183983502</v>
      </c>
      <c r="P4888">
        <v>-8.3660871344898302E-2</v>
      </c>
      <c r="Q4888">
        <v>0.12425223233998201</v>
      </c>
      <c r="R4888">
        <v>0.99285376609811604</v>
      </c>
      <c r="S4888" t="s">
        <v>10439</v>
      </c>
      <c r="T4888" t="s">
        <v>11100</v>
      </c>
      <c r="U4888" t="s">
        <v>11100</v>
      </c>
      <c r="V4888" t="s">
        <v>11100</v>
      </c>
      <c r="W4888" t="s">
        <v>15936</v>
      </c>
      <c r="X4888">
        <v>4</v>
      </c>
      <c r="Y4888" t="s">
        <v>21362</v>
      </c>
      <c r="Z4888" t="s">
        <v>26893</v>
      </c>
      <c r="AA4888">
        <v>0.47603396391389219</v>
      </c>
      <c r="AB4888" t="str">
        <f>HYPERLINK("Melting_Curves/meltCurve_Q9HCJ3_2_RAVER2.pdf", "Melting_Curves/meltCurve_Q9HCJ3_2_RAVER2.pdf")</f>
        <v>Melting_Curves/meltCurve_Q9HCJ3_2_RAVER2.pdf</v>
      </c>
    </row>
    <row r="4889" spans="1:28" x14ac:dyDescent="0.25">
      <c r="A4889" t="s">
        <v>4893</v>
      </c>
      <c r="B4889">
        <v>0.99299721793515405</v>
      </c>
      <c r="C4889">
        <v>1.0188112388206001</v>
      </c>
      <c r="D4889">
        <v>1.09638240655643</v>
      </c>
      <c r="E4889">
        <v>0.95531836877577703</v>
      </c>
      <c r="F4889">
        <v>0.83410223573921505</v>
      </c>
      <c r="G4889">
        <v>0.89912705110581403</v>
      </c>
      <c r="H4889">
        <v>0.98491701832591805</v>
      </c>
      <c r="I4889">
        <v>0.84795716959647505</v>
      </c>
      <c r="J4889">
        <v>0.90948373172678998</v>
      </c>
      <c r="K4889">
        <v>0.80186874261721697</v>
      </c>
      <c r="L4889">
        <v>11674.5943226074</v>
      </c>
      <c r="M4889">
        <v>250</v>
      </c>
      <c r="O4889">
        <v>46.695389356542499</v>
      </c>
      <c r="P4889">
        <v>-0.161182950162647</v>
      </c>
      <c r="Q4889">
        <v>0.87957599146029297</v>
      </c>
      <c r="R4889">
        <v>0.59383685687921395</v>
      </c>
      <c r="S4889" t="s">
        <v>10440</v>
      </c>
      <c r="T4889" t="s">
        <v>11100</v>
      </c>
      <c r="U4889" t="s">
        <v>11100</v>
      </c>
      <c r="V4889" t="s">
        <v>11100</v>
      </c>
      <c r="W4889" t="s">
        <v>15937</v>
      </c>
      <c r="X4889">
        <v>6</v>
      </c>
      <c r="Y4889" t="s">
        <v>21363</v>
      </c>
      <c r="Z4889" t="s">
        <v>26894</v>
      </c>
      <c r="AA4889">
        <v>0.91851644312239056</v>
      </c>
      <c r="AB4889" t="str">
        <f>HYPERLINK("Melting_Curves/meltCurve_Q9HCN4_3_GPN1.pdf", "Melting_Curves/meltCurve_Q9HCN4_3_GPN1.pdf")</f>
        <v>Melting_Curves/meltCurve_Q9HCN4_3_GPN1.pdf</v>
      </c>
    </row>
    <row r="4890" spans="1:28" x14ac:dyDescent="0.25">
      <c r="A4890" t="s">
        <v>4894</v>
      </c>
      <c r="B4890">
        <v>0.99299721793515405</v>
      </c>
      <c r="C4890">
        <v>1.0296079715744599</v>
      </c>
      <c r="D4890">
        <v>1.17835944597663</v>
      </c>
      <c r="E4890">
        <v>0.95548451062102402</v>
      </c>
      <c r="F4890">
        <v>0.698345266132955</v>
      </c>
      <c r="G4890">
        <v>0.71007937983027203</v>
      </c>
      <c r="H4890">
        <v>0.55795148674566297</v>
      </c>
      <c r="I4890">
        <v>0.45398865236067398</v>
      </c>
      <c r="J4890">
        <v>0.452108045522778</v>
      </c>
      <c r="K4890">
        <v>0.37542696456921298</v>
      </c>
      <c r="L4890">
        <v>794.57878758987204</v>
      </c>
      <c r="M4890">
        <v>14.9907667268641</v>
      </c>
      <c r="N4890">
        <v>58.813025463776</v>
      </c>
      <c r="O4890">
        <v>52.0881480979589</v>
      </c>
      <c r="P4890">
        <v>-4.4163938586698301E-2</v>
      </c>
      <c r="Q4890">
        <v>0.38623957811722598</v>
      </c>
      <c r="R4890">
        <v>0.91796621324708905</v>
      </c>
      <c r="S4890" t="s">
        <v>10441</v>
      </c>
      <c r="T4890" t="s">
        <v>11100</v>
      </c>
      <c r="U4890" t="s">
        <v>11100</v>
      </c>
      <c r="V4890" t="s">
        <v>11100</v>
      </c>
      <c r="W4890" t="s">
        <v>15938</v>
      </c>
      <c r="X4890">
        <v>5</v>
      </c>
      <c r="Y4890" t="s">
        <v>21364</v>
      </c>
      <c r="Z4890" t="s">
        <v>26895</v>
      </c>
      <c r="AA4890">
        <v>0.72462836313812284</v>
      </c>
      <c r="AB4890" t="str">
        <f>HYPERLINK("Melting_Curves/meltCurve_Q9HCN8_SDF2L1.pdf", "Melting_Curves/meltCurve_Q9HCN8_SDF2L1.pdf")</f>
        <v>Melting_Curves/meltCurve_Q9HCN8_SDF2L1.pdf</v>
      </c>
    </row>
    <row r="4891" spans="1:28" x14ac:dyDescent="0.25">
      <c r="A4891" t="s">
        <v>4895</v>
      </c>
      <c r="B4891">
        <v>0.99299721793515405</v>
      </c>
      <c r="C4891">
        <v>0.96890181889623395</v>
      </c>
      <c r="D4891">
        <v>0.85408990191328005</v>
      </c>
      <c r="E4891">
        <v>0.81528882519439005</v>
      </c>
      <c r="F4891">
        <v>0.69157936426842204</v>
      </c>
      <c r="G4891">
        <v>0.57438687046663095</v>
      </c>
      <c r="H4891">
        <v>0.476180732973087</v>
      </c>
      <c r="I4891">
        <v>0.40383047204891098</v>
      </c>
      <c r="J4891">
        <v>0.25651264834450599</v>
      </c>
      <c r="K4891">
        <v>0.191744297783948</v>
      </c>
      <c r="L4891">
        <v>408.75373190545901</v>
      </c>
      <c r="M4891">
        <v>7.3011241075965101</v>
      </c>
      <c r="N4891">
        <v>55.985041212822097</v>
      </c>
      <c r="O4891">
        <v>52.243800455871103</v>
      </c>
      <c r="P4891">
        <v>-3.4993238043628902E-2</v>
      </c>
      <c r="Q4891">
        <v>0</v>
      </c>
      <c r="R4891">
        <v>0.98914316876392605</v>
      </c>
      <c r="S4891" t="s">
        <v>10442</v>
      </c>
      <c r="T4891" t="s">
        <v>11100</v>
      </c>
      <c r="U4891" t="s">
        <v>11100</v>
      </c>
      <c r="V4891" t="s">
        <v>11100</v>
      </c>
      <c r="W4891" t="s">
        <v>15939</v>
      </c>
      <c r="X4891">
        <v>7</v>
      </c>
      <c r="Y4891" t="s">
        <v>21365</v>
      </c>
      <c r="Z4891" t="s">
        <v>26896</v>
      </c>
      <c r="AA4891">
        <v>0.62711456611400795</v>
      </c>
      <c r="AB4891" t="str">
        <f>HYPERLINK("Melting_Curves/meltCurve_Q9HCU5_PREB.pdf", "Melting_Curves/meltCurve_Q9HCU5_PREB.pdf")</f>
        <v>Melting_Curves/meltCurve_Q9HCU5_PREB.pdf</v>
      </c>
    </row>
    <row r="4892" spans="1:28" x14ac:dyDescent="0.25">
      <c r="A4892" t="s">
        <v>4896</v>
      </c>
      <c r="B4892">
        <v>0.99299721793515405</v>
      </c>
      <c r="C4892">
        <v>0.97133092671653398</v>
      </c>
      <c r="D4892">
        <v>1.1868060696023699</v>
      </c>
      <c r="E4892">
        <v>0.92527428890907304</v>
      </c>
      <c r="F4892">
        <v>0.86077285271473503</v>
      </c>
      <c r="G4892">
        <v>0.68232822086393896</v>
      </c>
      <c r="H4892">
        <v>0.44858935793615301</v>
      </c>
      <c r="I4892">
        <v>0.40439916861963499</v>
      </c>
      <c r="J4892">
        <v>0.32313283231421902</v>
      </c>
      <c r="K4892">
        <v>0.23531397518178501</v>
      </c>
      <c r="L4892">
        <v>915.63963318584194</v>
      </c>
      <c r="M4892">
        <v>16.723543460584601</v>
      </c>
      <c r="N4892">
        <v>57.001272571461101</v>
      </c>
      <c r="O4892">
        <v>53.9866322547593</v>
      </c>
      <c r="P4892">
        <v>-5.8737641988886202E-2</v>
      </c>
      <c r="Q4892">
        <v>0.241586935480017</v>
      </c>
      <c r="R4892">
        <v>0.95383868763575497</v>
      </c>
      <c r="S4892" t="s">
        <v>10443</v>
      </c>
      <c r="T4892" t="s">
        <v>11100</v>
      </c>
      <c r="U4892" t="s">
        <v>11100</v>
      </c>
      <c r="V4892" t="s">
        <v>11100</v>
      </c>
      <c r="W4892" t="s">
        <v>15940</v>
      </c>
      <c r="X4892">
        <v>14</v>
      </c>
      <c r="Y4892" t="s">
        <v>21366</v>
      </c>
      <c r="Z4892" t="s">
        <v>26897</v>
      </c>
      <c r="AA4892">
        <v>0.70075111659572542</v>
      </c>
      <c r="AB4892" t="str">
        <f>HYPERLINK("Melting_Curves/meltCurve_Q9HD15_SRA1.pdf", "Melting_Curves/meltCurve_Q9HD15_SRA1.pdf")</f>
        <v>Melting_Curves/meltCurve_Q9HD15_SRA1.pdf</v>
      </c>
    </row>
    <row r="4893" spans="1:28" x14ac:dyDescent="0.25">
      <c r="A4893" t="s">
        <v>4897</v>
      </c>
      <c r="B4893">
        <v>0.99299721793515405</v>
      </c>
      <c r="C4893">
        <v>1.02672461680236</v>
      </c>
      <c r="D4893">
        <v>0.93539133762263904</v>
      </c>
      <c r="E4893">
        <v>0.87108270031784096</v>
      </c>
      <c r="F4893">
        <v>0.798463230050939</v>
      </c>
      <c r="G4893">
        <v>0.61391965914036895</v>
      </c>
      <c r="H4893">
        <v>0.30506108648585401</v>
      </c>
      <c r="I4893">
        <v>0.16332288918652099</v>
      </c>
      <c r="J4893">
        <v>0.155912449881314</v>
      </c>
      <c r="K4893">
        <v>0.135877704305538</v>
      </c>
      <c r="L4893">
        <v>841.05159236669601</v>
      </c>
      <c r="M4893">
        <v>15.517818370588699</v>
      </c>
      <c r="N4893">
        <v>54.680224589773402</v>
      </c>
      <c r="O4893">
        <v>53.322936785304002</v>
      </c>
      <c r="P4893">
        <v>-6.8117143723890397E-2</v>
      </c>
      <c r="Q4893">
        <v>6.3815585040822603E-2</v>
      </c>
      <c r="R4893">
        <v>0.98889216405831204</v>
      </c>
      <c r="S4893" t="s">
        <v>10444</v>
      </c>
      <c r="T4893" t="s">
        <v>11100</v>
      </c>
      <c r="U4893" t="s">
        <v>11100</v>
      </c>
      <c r="V4893" t="s">
        <v>11100</v>
      </c>
      <c r="W4893" t="s">
        <v>15941</v>
      </c>
      <c r="X4893">
        <v>19</v>
      </c>
      <c r="Y4893" t="s">
        <v>21367</v>
      </c>
      <c r="Z4893" t="s">
        <v>26898</v>
      </c>
      <c r="AA4893">
        <v>0.61499345234025116</v>
      </c>
      <c r="AB4893" t="str">
        <f>HYPERLINK("Melting_Curves/meltCurve_Q9HD20_2_ATP13A1.pdf", "Melting_Curves/meltCurve_Q9HD20_2_ATP13A1.pdf")</f>
        <v>Melting_Curves/meltCurve_Q9HD20_2_ATP13A1.pdf</v>
      </c>
    </row>
    <row r="4894" spans="1:28" x14ac:dyDescent="0.25">
      <c r="A4894" t="s">
        <v>4898</v>
      </c>
      <c r="B4894">
        <v>0.99299721793515405</v>
      </c>
      <c r="C4894">
        <v>0.96115208429255095</v>
      </c>
      <c r="D4894">
        <v>0.88982725803823504</v>
      </c>
      <c r="E4894">
        <v>0.81991072724113401</v>
      </c>
      <c r="F4894">
        <v>0.43342793198282198</v>
      </c>
      <c r="G4894">
        <v>0.23867345043896801</v>
      </c>
      <c r="H4894">
        <v>0.185277618490093</v>
      </c>
      <c r="I4894">
        <v>0.15085011112098801</v>
      </c>
      <c r="J4894">
        <v>0.15368877955091101</v>
      </c>
      <c r="K4894">
        <v>0.12705037929506199</v>
      </c>
      <c r="L4894">
        <v>1047.0004557638699</v>
      </c>
      <c r="M4894">
        <v>21.409767640228999</v>
      </c>
      <c r="N4894">
        <v>49.649875753070503</v>
      </c>
      <c r="O4894">
        <v>48.482290770907802</v>
      </c>
      <c r="P4894">
        <v>-9.5201956786876901E-2</v>
      </c>
      <c r="Q4894">
        <v>0.13768438719725701</v>
      </c>
      <c r="R4894">
        <v>0.99353154791128495</v>
      </c>
      <c r="S4894" t="s">
        <v>10445</v>
      </c>
      <c r="T4894" t="s">
        <v>11100</v>
      </c>
      <c r="U4894" t="s">
        <v>11100</v>
      </c>
      <c r="V4894" t="s">
        <v>11100</v>
      </c>
      <c r="W4894" t="s">
        <v>15942</v>
      </c>
      <c r="X4894">
        <v>6</v>
      </c>
      <c r="Y4894" t="s">
        <v>21368</v>
      </c>
      <c r="Z4894" t="s">
        <v>26899</v>
      </c>
      <c r="AA4894">
        <v>0.48983271088943581</v>
      </c>
      <c r="AB4894" t="str">
        <f>HYPERLINK("Melting_Curves/meltCurve_Q9HD26_2_GOPC.pdf", "Melting_Curves/meltCurve_Q9HD26_2_GOPC.pdf")</f>
        <v>Melting_Curves/meltCurve_Q9HD26_2_GOPC.pdf</v>
      </c>
    </row>
    <row r="4895" spans="1:28" x14ac:dyDescent="0.25">
      <c r="A4895" t="s">
        <v>4899</v>
      </c>
      <c r="B4895">
        <v>0.99299721793515405</v>
      </c>
      <c r="C4895">
        <v>0.86012676839622804</v>
      </c>
      <c r="D4895">
        <v>0.99781671226912805</v>
      </c>
      <c r="E4895">
        <v>0.73145589512255205</v>
      </c>
      <c r="F4895">
        <v>0.60831264385240502</v>
      </c>
      <c r="G4895">
        <v>1.07402057561233</v>
      </c>
      <c r="H4895">
        <v>0.22257012492159201</v>
      </c>
      <c r="I4895">
        <v>0.35095671204580797</v>
      </c>
      <c r="J4895">
        <v>0.27040374074195</v>
      </c>
      <c r="K4895">
        <v>0.19509637364336699</v>
      </c>
      <c r="L4895">
        <v>489.738779969929</v>
      </c>
      <c r="M4895">
        <v>8.63189978321887</v>
      </c>
      <c r="N4895">
        <v>56.735918162214297</v>
      </c>
      <c r="O4895">
        <v>53.9372920622612</v>
      </c>
      <c r="P4895">
        <v>-4.0042971319564503E-2</v>
      </c>
      <c r="Q4895">
        <v>0</v>
      </c>
      <c r="R4895">
        <v>0.69695897913665605</v>
      </c>
      <c r="S4895" t="s">
        <v>10446</v>
      </c>
      <c r="T4895" t="s">
        <v>11100</v>
      </c>
      <c r="U4895" t="s">
        <v>11100</v>
      </c>
      <c r="V4895" t="s">
        <v>11100</v>
      </c>
      <c r="W4895" t="s">
        <v>15943</v>
      </c>
      <c r="X4895">
        <v>1</v>
      </c>
      <c r="Y4895" t="s">
        <v>21369</v>
      </c>
      <c r="Z4895" t="s">
        <v>26900</v>
      </c>
      <c r="AA4895">
        <v>0.6530791410033211</v>
      </c>
      <c r="AB4895" t="str">
        <f>HYPERLINK("Melting_Curves/meltCurve_Q9HD40_3_SEPSECS.pdf", "Melting_Curves/meltCurve_Q9HD40_3_SEPSECS.pdf")</f>
        <v>Melting_Curves/meltCurve_Q9HD40_3_SEPSECS.pdf</v>
      </c>
    </row>
    <row r="4896" spans="1:28" x14ac:dyDescent="0.25">
      <c r="A4896" t="s">
        <v>4900</v>
      </c>
      <c r="B4896">
        <v>0.99299721793515405</v>
      </c>
      <c r="C4896">
        <v>0.90820021831804099</v>
      </c>
      <c r="D4896">
        <v>1.2104526951166701</v>
      </c>
      <c r="E4896">
        <v>0.84059895275171204</v>
      </c>
      <c r="F4896">
        <v>0.67562401930559501</v>
      </c>
      <c r="G4896">
        <v>0.65106271934411997</v>
      </c>
      <c r="H4896">
        <v>0.46871285763265602</v>
      </c>
      <c r="I4896">
        <v>0.40367247632061698</v>
      </c>
      <c r="J4896">
        <v>0.35246100298703298</v>
      </c>
      <c r="K4896">
        <v>0.31739950559326202</v>
      </c>
      <c r="L4896">
        <v>722.031806164366</v>
      </c>
      <c r="M4896">
        <v>13.7745608076773</v>
      </c>
      <c r="N4896">
        <v>56.241980465215597</v>
      </c>
      <c r="O4896">
        <v>51.350040899966103</v>
      </c>
      <c r="P4896">
        <v>-4.66802577864368E-2</v>
      </c>
      <c r="Q4896">
        <v>0.30402274680285402</v>
      </c>
      <c r="R4896">
        <v>0.90318737650292802</v>
      </c>
      <c r="S4896" t="s">
        <v>10447</v>
      </c>
      <c r="T4896" t="s">
        <v>11100</v>
      </c>
      <c r="U4896" t="s">
        <v>11100</v>
      </c>
      <c r="V4896" t="s">
        <v>11100</v>
      </c>
      <c r="W4896" t="s">
        <v>11133</v>
      </c>
      <c r="X4896">
        <v>11</v>
      </c>
      <c r="Y4896" t="s">
        <v>16625</v>
      </c>
      <c r="Z4896" t="s">
        <v>26901</v>
      </c>
      <c r="AA4896">
        <v>0.67583252303387054</v>
      </c>
      <c r="AB4896" t="str">
        <f>HYPERLINK("Melting_Curves/meltCurve_Q9HD42_CHMP1A.pdf", "Melting_Curves/meltCurve_Q9HD42_CHMP1A.pdf")</f>
        <v>Melting_Curves/meltCurve_Q9HD42_CHMP1A.pdf</v>
      </c>
    </row>
    <row r="4897" spans="1:28" x14ac:dyDescent="0.25">
      <c r="A4897" t="s">
        <v>4901</v>
      </c>
      <c r="B4897">
        <v>0.99299721793515405</v>
      </c>
      <c r="C4897">
        <v>1.1465817701754499</v>
      </c>
      <c r="D4897">
        <v>0.95698896165754099</v>
      </c>
      <c r="E4897">
        <v>0.94497717685489802</v>
      </c>
      <c r="F4897">
        <v>0.84125549394013499</v>
      </c>
      <c r="G4897">
        <v>0.74341110267142596</v>
      </c>
      <c r="H4897">
        <v>0.34604941633617597</v>
      </c>
      <c r="I4897">
        <v>0.18970283966243101</v>
      </c>
      <c r="J4897">
        <v>0.17917166246672001</v>
      </c>
      <c r="K4897">
        <v>0.14959432689423399</v>
      </c>
      <c r="L4897">
        <v>1207.18474191113</v>
      </c>
      <c r="M4897">
        <v>21.897278512337</v>
      </c>
      <c r="N4897">
        <v>55.8299679706859</v>
      </c>
      <c r="O4897">
        <v>54.675836653548203</v>
      </c>
      <c r="P4897">
        <v>-8.8098120527170004E-2</v>
      </c>
      <c r="Q4897">
        <v>0.120122839756912</v>
      </c>
      <c r="R4897">
        <v>0.973507828699402</v>
      </c>
      <c r="S4897" t="s">
        <v>10448</v>
      </c>
      <c r="T4897" t="s">
        <v>11100</v>
      </c>
      <c r="U4897" t="s">
        <v>11100</v>
      </c>
      <c r="V4897" t="s">
        <v>11100</v>
      </c>
      <c r="W4897" t="s">
        <v>15944</v>
      </c>
      <c r="X4897">
        <v>4</v>
      </c>
      <c r="Y4897" t="s">
        <v>21370</v>
      </c>
      <c r="Z4897" t="s">
        <v>26902</v>
      </c>
      <c r="AA4897">
        <v>0.66074988940439461</v>
      </c>
      <c r="AB4897" t="str">
        <f>HYPERLINK("Melting_Curves/meltCurve_Q9HD45_TM9SF3.pdf", "Melting_Curves/meltCurve_Q9HD45_TM9SF3.pdf")</f>
        <v>Melting_Curves/meltCurve_Q9HD45_TM9SF3.pdf</v>
      </c>
    </row>
    <row r="4898" spans="1:28" x14ac:dyDescent="0.25">
      <c r="A4898" t="s">
        <v>4902</v>
      </c>
      <c r="B4898">
        <v>0.99299721793515405</v>
      </c>
      <c r="C4898">
        <v>0.829735536097993</v>
      </c>
      <c r="D4898">
        <v>0.862161082176927</v>
      </c>
      <c r="E4898">
        <v>0.71449672737018899</v>
      </c>
      <c r="F4898">
        <v>0.70958512702516496</v>
      </c>
      <c r="G4898">
        <v>0.61742723342865102</v>
      </c>
      <c r="H4898">
        <v>0.53750245734802704</v>
      </c>
      <c r="I4898">
        <v>0.510224997111411</v>
      </c>
      <c r="J4898">
        <v>0.39503681248409001</v>
      </c>
      <c r="K4898">
        <v>0.37079016446610702</v>
      </c>
      <c r="L4898">
        <v>254.55636885667599</v>
      </c>
      <c r="M4898">
        <v>4.2855289632481499</v>
      </c>
      <c r="N4898">
        <v>59.399058709846301</v>
      </c>
      <c r="O4898">
        <v>49.795466061829003</v>
      </c>
      <c r="P4898">
        <v>-2.1736786455987801E-2</v>
      </c>
      <c r="Q4898">
        <v>0</v>
      </c>
      <c r="R4898">
        <v>0.96410708869987605</v>
      </c>
      <c r="S4898" t="s">
        <v>10449</v>
      </c>
      <c r="T4898" t="s">
        <v>11100</v>
      </c>
      <c r="U4898" t="s">
        <v>11100</v>
      </c>
      <c r="V4898" t="s">
        <v>11100</v>
      </c>
      <c r="W4898" t="s">
        <v>15945</v>
      </c>
      <c r="X4898">
        <v>7</v>
      </c>
      <c r="Y4898" t="s">
        <v>21371</v>
      </c>
      <c r="Z4898" t="s">
        <v>26903</v>
      </c>
      <c r="AA4898">
        <v>0.65255080688702927</v>
      </c>
      <c r="AB4898" t="str">
        <f>HYPERLINK("Melting_Curves/meltCurve_Q9HD47_2_RANGRF.pdf", "Melting_Curves/meltCurve_Q9HD47_2_RANGRF.pdf")</f>
        <v>Melting_Curves/meltCurve_Q9HD47_2_RANGRF.pdf</v>
      </c>
    </row>
    <row r="4899" spans="1:28" x14ac:dyDescent="0.25">
      <c r="A4899" t="s">
        <v>4903</v>
      </c>
      <c r="B4899">
        <v>0.99299721793515405</v>
      </c>
      <c r="C4899">
        <v>0.94446634663363205</v>
      </c>
      <c r="D4899">
        <v>1.12048143305762</v>
      </c>
      <c r="E4899">
        <v>0.80111607092403903</v>
      </c>
      <c r="F4899">
        <v>0.87022757153641705</v>
      </c>
      <c r="G4899">
        <v>0.62062792188863203</v>
      </c>
      <c r="H4899">
        <v>0.94295974561272899</v>
      </c>
      <c r="I4899">
        <v>0.88317574518154796</v>
      </c>
      <c r="J4899">
        <v>1.28874735057506</v>
      </c>
      <c r="K4899">
        <v>0.60894428433786796</v>
      </c>
      <c r="L4899">
        <v>11199.9940283382</v>
      </c>
      <c r="M4899">
        <v>250</v>
      </c>
      <c r="O4899">
        <v>44.7971100638715</v>
      </c>
      <c r="P4899">
        <v>-0.196162837536169</v>
      </c>
      <c r="Q4899">
        <v>0.85939955126082301</v>
      </c>
      <c r="R4899">
        <v>0.13644365849996101</v>
      </c>
      <c r="S4899" t="s">
        <v>10450</v>
      </c>
      <c r="T4899" t="s">
        <v>11100</v>
      </c>
      <c r="U4899" t="s">
        <v>11100</v>
      </c>
      <c r="V4899" t="s">
        <v>11100</v>
      </c>
      <c r="W4899" t="s">
        <v>15946</v>
      </c>
      <c r="X4899">
        <v>1</v>
      </c>
      <c r="Y4899" t="s">
        <v>21372</v>
      </c>
      <c r="Z4899" t="s">
        <v>26904</v>
      </c>
      <c r="AA4899">
        <v>0.8959666104496572</v>
      </c>
      <c r="AB4899" t="str">
        <f>HYPERLINK("Melting_Curves/meltCurve_Q9HDC5_JPH1.pdf", "Melting_Curves/meltCurve_Q9HDC5_JPH1.pdf")</f>
        <v>Melting_Curves/meltCurve_Q9HDC5_JPH1.pdf</v>
      </c>
    </row>
    <row r="4900" spans="1:28" x14ac:dyDescent="0.25">
      <c r="A4900" t="s">
        <v>4904</v>
      </c>
      <c r="B4900">
        <v>0.99299721793515405</v>
      </c>
      <c r="C4900">
        <v>0.94952490999085604</v>
      </c>
      <c r="D4900">
        <v>0.87705072822547603</v>
      </c>
      <c r="E4900">
        <v>0.79665029165652301</v>
      </c>
      <c r="F4900">
        <v>0.692186496019213</v>
      </c>
      <c r="G4900">
        <v>0.49139339137303101</v>
      </c>
      <c r="H4900">
        <v>0.60302754274529502</v>
      </c>
      <c r="I4900">
        <v>0.74364145199871701</v>
      </c>
      <c r="J4900">
        <v>0.48181933118141401</v>
      </c>
      <c r="K4900">
        <v>0.225349289194608</v>
      </c>
      <c r="L4900">
        <v>279.51842762371598</v>
      </c>
      <c r="M4900">
        <v>4.5908534594315897</v>
      </c>
      <c r="N4900">
        <v>60.885940208304397</v>
      </c>
      <c r="O4900">
        <v>52.023841962412803</v>
      </c>
      <c r="P4900">
        <v>-2.2241804845642001E-2</v>
      </c>
      <c r="Q4900">
        <v>0</v>
      </c>
      <c r="R4900">
        <v>0.76551664239814798</v>
      </c>
      <c r="S4900" t="s">
        <v>10451</v>
      </c>
      <c r="T4900" t="s">
        <v>11100</v>
      </c>
      <c r="U4900" t="s">
        <v>11100</v>
      </c>
      <c r="V4900" t="s">
        <v>11100</v>
      </c>
      <c r="W4900" t="s">
        <v>15947</v>
      </c>
      <c r="X4900">
        <v>8</v>
      </c>
      <c r="Y4900" t="s">
        <v>21373</v>
      </c>
      <c r="Z4900" t="s">
        <v>26905</v>
      </c>
      <c r="AA4900">
        <v>0.68371464442465879</v>
      </c>
      <c r="AB4900" t="str">
        <f>HYPERLINK("Melting_Curves/meltCurve_Q9HDC9_APMAP.pdf", "Melting_Curves/meltCurve_Q9HDC9_APMAP.pdf")</f>
        <v>Melting_Curves/meltCurve_Q9HDC9_APMAP.pdf</v>
      </c>
    </row>
    <row r="4901" spans="1:28" x14ac:dyDescent="0.25">
      <c r="A4901" t="s">
        <v>4905</v>
      </c>
      <c r="B4901">
        <v>0.99299721793515405</v>
      </c>
      <c r="C4901">
        <v>0.95322241891026405</v>
      </c>
      <c r="D4901">
        <v>1.2888638889420201</v>
      </c>
      <c r="E4901">
        <v>1.1673390321266299</v>
      </c>
      <c r="F4901">
        <v>1.03168878163773</v>
      </c>
      <c r="G4901">
        <v>1.0546047940204399</v>
      </c>
      <c r="H4901">
        <v>0.54174978865377699</v>
      </c>
      <c r="I4901">
        <v>0.49208608638351098</v>
      </c>
      <c r="J4901">
        <v>0.38482946679943297</v>
      </c>
      <c r="K4901">
        <v>0.27675847401867898</v>
      </c>
      <c r="L4901">
        <v>11550.256587252399</v>
      </c>
      <c r="M4901">
        <v>202.29390088781801</v>
      </c>
      <c r="N4901">
        <v>57.513145247436</v>
      </c>
      <c r="O4901">
        <v>57.090848608887498</v>
      </c>
      <c r="P4901">
        <v>-0.54518554445468803</v>
      </c>
      <c r="Q4901">
        <v>0.38455686611898199</v>
      </c>
      <c r="R4901">
        <v>0.878305793405183</v>
      </c>
      <c r="S4901" t="s">
        <v>10452</v>
      </c>
      <c r="T4901" t="s">
        <v>11100</v>
      </c>
      <c r="U4901" t="s">
        <v>11100</v>
      </c>
      <c r="V4901" t="s">
        <v>11100</v>
      </c>
      <c r="W4901" t="s">
        <v>15948</v>
      </c>
      <c r="X4901">
        <v>13</v>
      </c>
      <c r="Y4901" t="s">
        <v>17193</v>
      </c>
      <c r="Z4901" t="s">
        <v>26906</v>
      </c>
      <c r="AA4901">
        <v>0.79692442406778008</v>
      </c>
      <c r="AB4901" t="str">
        <f>HYPERLINK("Melting_Curves/meltCurve_Q9NNW7_2_TXNRD2.pdf", "Melting_Curves/meltCurve_Q9NNW7_2_TXNRD2.pdf")</f>
        <v>Melting_Curves/meltCurve_Q9NNW7_2_TXNRD2.pdf</v>
      </c>
    </row>
    <row r="4902" spans="1:28" x14ac:dyDescent="0.25">
      <c r="A4902" t="s">
        <v>4906</v>
      </c>
      <c r="B4902">
        <v>0.99299721793515405</v>
      </c>
      <c r="C4902">
        <v>0.86647234776042004</v>
      </c>
      <c r="D4902">
        <v>0.91877856445807204</v>
      </c>
      <c r="E4902">
        <v>0.75933345084816495</v>
      </c>
      <c r="F4902">
        <v>0.56967162592751397</v>
      </c>
      <c r="G4902">
        <v>0.29125944664263997</v>
      </c>
      <c r="H4902">
        <v>0.19721451553185801</v>
      </c>
      <c r="I4902">
        <v>0.30232376877636402</v>
      </c>
      <c r="J4902">
        <v>0.26471554875591002</v>
      </c>
      <c r="K4902">
        <v>0.266390737903757</v>
      </c>
      <c r="L4902">
        <v>875.76894172172695</v>
      </c>
      <c r="M4902">
        <v>18.0191607901568</v>
      </c>
      <c r="N4902">
        <v>50.375749514193998</v>
      </c>
      <c r="O4902">
        <v>48.015353068139603</v>
      </c>
      <c r="P4902">
        <v>-7.1786762890204706E-2</v>
      </c>
      <c r="Q4902">
        <v>0.234881694659063</v>
      </c>
      <c r="R4902">
        <v>0.96464289586616403</v>
      </c>
      <c r="S4902" t="s">
        <v>10453</v>
      </c>
      <c r="T4902" t="s">
        <v>11100</v>
      </c>
      <c r="U4902" t="s">
        <v>11100</v>
      </c>
      <c r="V4902" t="s">
        <v>11100</v>
      </c>
      <c r="W4902" t="s">
        <v>15949</v>
      </c>
      <c r="X4902">
        <v>7</v>
      </c>
      <c r="Y4902" t="s">
        <v>21374</v>
      </c>
      <c r="Z4902" t="s">
        <v>26907</v>
      </c>
      <c r="AA4902">
        <v>0.54295204974030231</v>
      </c>
      <c r="AB4902" t="str">
        <f>HYPERLINK("Melting_Curves/meltCurve_Q9NNX1_2_TUFT1.pdf", "Melting_Curves/meltCurve_Q9NNX1_2_TUFT1.pdf")</f>
        <v>Melting_Curves/meltCurve_Q9NNX1_2_TUFT1.pdf</v>
      </c>
    </row>
    <row r="4903" spans="1:28" x14ac:dyDescent="0.25">
      <c r="A4903" t="s">
        <v>4907</v>
      </c>
      <c r="B4903">
        <v>0.99299721793515405</v>
      </c>
      <c r="C4903">
        <v>0.87470059452856197</v>
      </c>
      <c r="D4903">
        <v>0.93955540087143996</v>
      </c>
      <c r="E4903">
        <v>0.84772864473633103</v>
      </c>
      <c r="F4903">
        <v>0.75421197426768105</v>
      </c>
      <c r="G4903">
        <v>0.54705843840927804</v>
      </c>
      <c r="H4903">
        <v>0.457529584673523</v>
      </c>
      <c r="I4903">
        <v>0.564060715336547</v>
      </c>
      <c r="J4903">
        <v>0.35535531421302702</v>
      </c>
      <c r="K4903">
        <v>0.24618552533884899</v>
      </c>
      <c r="L4903">
        <v>364.24156372429599</v>
      </c>
      <c r="M4903">
        <v>6.2778853039901801</v>
      </c>
      <c r="N4903">
        <v>58.019771667476</v>
      </c>
      <c r="O4903">
        <v>52.966466369736601</v>
      </c>
      <c r="P4903">
        <v>-2.9713005403338301E-2</v>
      </c>
      <c r="Q4903">
        <v>0</v>
      </c>
      <c r="R4903">
        <v>0.93404180183715402</v>
      </c>
      <c r="S4903" t="s">
        <v>10454</v>
      </c>
      <c r="T4903" t="s">
        <v>11100</v>
      </c>
      <c r="U4903" t="s">
        <v>11100</v>
      </c>
      <c r="V4903" t="s">
        <v>11100</v>
      </c>
      <c r="W4903" t="s">
        <v>15950</v>
      </c>
      <c r="X4903">
        <v>1</v>
      </c>
      <c r="Y4903" t="s">
        <v>21375</v>
      </c>
      <c r="Z4903" t="s">
        <v>26908</v>
      </c>
      <c r="AA4903">
        <v>0.66225712827536365</v>
      </c>
      <c r="AB4903" t="str">
        <f>HYPERLINK("Melting_Curves/meltCurve_Q9NP58_4_ABCB6.pdf", "Melting_Curves/meltCurve_Q9NP58_4_ABCB6.pdf")</f>
        <v>Melting_Curves/meltCurve_Q9NP58_4_ABCB6.pdf</v>
      </c>
    </row>
    <row r="4904" spans="1:28" x14ac:dyDescent="0.25">
      <c r="A4904" t="s">
        <v>4908</v>
      </c>
      <c r="B4904">
        <v>0.99299721793515405</v>
      </c>
      <c r="C4904">
        <v>1.0510137011230301</v>
      </c>
      <c r="D4904">
        <v>1.14074516793589</v>
      </c>
      <c r="E4904">
        <v>0.92488486399793801</v>
      </c>
      <c r="F4904">
        <v>0.784450924151888</v>
      </c>
      <c r="G4904">
        <v>0.54324840968291599</v>
      </c>
      <c r="H4904">
        <v>0.31646310456403798</v>
      </c>
      <c r="I4904">
        <v>0.21282272338972799</v>
      </c>
      <c r="J4904">
        <v>0.1648966385158</v>
      </c>
      <c r="K4904">
        <v>0.14407095749826401</v>
      </c>
      <c r="L4904">
        <v>1004.67018450236</v>
      </c>
      <c r="M4904">
        <v>18.810166227721201</v>
      </c>
      <c r="N4904">
        <v>54.284159805385897</v>
      </c>
      <c r="O4904">
        <v>52.818339478481498</v>
      </c>
      <c r="P4904">
        <v>-7.74134832998742E-2</v>
      </c>
      <c r="Q4904">
        <v>0.13053781536761699</v>
      </c>
      <c r="R4904">
        <v>0.981524970030487</v>
      </c>
      <c r="S4904" t="s">
        <v>10455</v>
      </c>
      <c r="T4904" t="s">
        <v>11100</v>
      </c>
      <c r="U4904" t="s">
        <v>11100</v>
      </c>
      <c r="V4904" t="s">
        <v>11100</v>
      </c>
      <c r="W4904" t="s">
        <v>15951</v>
      </c>
      <c r="X4904">
        <v>16</v>
      </c>
      <c r="Y4904" t="s">
        <v>17402</v>
      </c>
      <c r="Z4904" t="s">
        <v>26909</v>
      </c>
      <c r="AA4904">
        <v>0.61787825940242358</v>
      </c>
      <c r="AB4904" t="str">
        <f>HYPERLINK("Melting_Curves/meltCurve_Q9NP61_ARFGAP3.pdf", "Melting_Curves/meltCurve_Q9NP61_ARFGAP3.pdf")</f>
        <v>Melting_Curves/meltCurve_Q9NP61_ARFGAP3.pdf</v>
      </c>
    </row>
    <row r="4905" spans="1:28" x14ac:dyDescent="0.25">
      <c r="A4905" t="s">
        <v>4909</v>
      </c>
      <c r="B4905">
        <v>0.99299721793515405</v>
      </c>
      <c r="C4905">
        <v>1.0225323572998499</v>
      </c>
      <c r="D4905">
        <v>0.91948061858684704</v>
      </c>
      <c r="E4905">
        <v>0.95953979952818003</v>
      </c>
      <c r="F4905">
        <v>0.79211233285915195</v>
      </c>
      <c r="G4905">
        <v>0.62042413348443803</v>
      </c>
      <c r="H4905">
        <v>0.52226786553726801</v>
      </c>
      <c r="I4905">
        <v>0.48051629588984202</v>
      </c>
      <c r="J4905">
        <v>0.42977282149186802</v>
      </c>
      <c r="K4905">
        <v>0.26910387669212299</v>
      </c>
      <c r="L4905">
        <v>568.700549539593</v>
      </c>
      <c r="M4905">
        <v>10.2932249519896</v>
      </c>
      <c r="N4905">
        <v>58.603862360977402</v>
      </c>
      <c r="O4905">
        <v>53.286525148595501</v>
      </c>
      <c r="P4905">
        <v>-3.7559397398956702E-2</v>
      </c>
      <c r="Q4905">
        <v>0.22258042409748999</v>
      </c>
      <c r="R4905">
        <v>0.97272651768450702</v>
      </c>
      <c r="S4905" t="s">
        <v>10456</v>
      </c>
      <c r="T4905" t="s">
        <v>11100</v>
      </c>
      <c r="U4905" t="s">
        <v>11100</v>
      </c>
      <c r="V4905" t="s">
        <v>11100</v>
      </c>
      <c r="W4905" t="s">
        <v>15952</v>
      </c>
      <c r="X4905">
        <v>11</v>
      </c>
      <c r="Y4905" t="s">
        <v>21376</v>
      </c>
      <c r="Z4905" t="s">
        <v>26910</v>
      </c>
      <c r="AA4905">
        <v>0.70424984514877909</v>
      </c>
      <c r="AB4905" t="str">
        <f>HYPERLINK("Melting_Curves/meltCurve_Q9NP72_RAB18.pdf", "Melting_Curves/meltCurve_Q9NP72_RAB18.pdf")</f>
        <v>Melting_Curves/meltCurve_Q9NP72_RAB18.pdf</v>
      </c>
    </row>
    <row r="4906" spans="1:28" x14ac:dyDescent="0.25">
      <c r="A4906" t="s">
        <v>4910</v>
      </c>
      <c r="B4906">
        <v>0.99299721793515405</v>
      </c>
      <c r="C4906">
        <v>1.09606662204379</v>
      </c>
      <c r="D4906">
        <v>1.04570910644131</v>
      </c>
      <c r="E4906">
        <v>0.92144137603387199</v>
      </c>
      <c r="F4906">
        <v>0.75168909969130104</v>
      </c>
      <c r="G4906">
        <v>0.358726279060814</v>
      </c>
      <c r="H4906">
        <v>0.24540837766590101</v>
      </c>
      <c r="I4906">
        <v>0.23414530939613801</v>
      </c>
      <c r="J4906">
        <v>0.20244821359918999</v>
      </c>
      <c r="K4906">
        <v>0.16332774832015601</v>
      </c>
      <c r="L4906">
        <v>1451.9083732141901</v>
      </c>
      <c r="M4906">
        <v>28.218432474385999</v>
      </c>
      <c r="N4906">
        <v>52.369668327226599</v>
      </c>
      <c r="O4906">
        <v>51.196160653588301</v>
      </c>
      <c r="P4906">
        <v>-0.11092978466171299</v>
      </c>
      <c r="Q4906">
        <v>0.194975573928406</v>
      </c>
      <c r="R4906">
        <v>0.98859930506306204</v>
      </c>
      <c r="S4906" t="s">
        <v>10457</v>
      </c>
      <c r="T4906" t="s">
        <v>11100</v>
      </c>
      <c r="U4906" t="s">
        <v>11100</v>
      </c>
      <c r="V4906" t="s">
        <v>11100</v>
      </c>
      <c r="W4906" t="s">
        <v>15953</v>
      </c>
      <c r="X4906">
        <v>6</v>
      </c>
      <c r="Y4906" t="s">
        <v>21377</v>
      </c>
      <c r="Z4906" t="s">
        <v>26911</v>
      </c>
      <c r="AA4906">
        <v>0.58847188380987847</v>
      </c>
      <c r="AB4906" t="str">
        <f>HYPERLINK("Melting_Curves/meltCurve_Q9NP77_SSU72.pdf", "Melting_Curves/meltCurve_Q9NP77_SSU72.pdf")</f>
        <v>Melting_Curves/meltCurve_Q9NP77_SSU72.pdf</v>
      </c>
    </row>
    <row r="4907" spans="1:28" x14ac:dyDescent="0.25">
      <c r="A4907" t="s">
        <v>4911</v>
      </c>
      <c r="B4907">
        <v>0.99299721793515405</v>
      </c>
      <c r="C4907">
        <v>1.0589692421722401</v>
      </c>
      <c r="D4907">
        <v>0.93216748749349898</v>
      </c>
      <c r="E4907">
        <v>0.97949072516103797</v>
      </c>
      <c r="F4907">
        <v>0.71920620342258501</v>
      </c>
      <c r="G4907">
        <v>0.30949864427061102</v>
      </c>
      <c r="H4907">
        <v>0.12958756028039201</v>
      </c>
      <c r="I4907">
        <v>0.101035239663469</v>
      </c>
      <c r="J4907">
        <v>5.8175895667735698E-2</v>
      </c>
      <c r="K4907">
        <v>6.3095946789568605E-2</v>
      </c>
      <c r="L4907">
        <v>1426.2812433987001</v>
      </c>
      <c r="M4907">
        <v>27.550932019862099</v>
      </c>
      <c r="N4907">
        <v>52.043651736713898</v>
      </c>
      <c r="O4907">
        <v>51.498447605378502</v>
      </c>
      <c r="P4907">
        <v>-0.124695194422053</v>
      </c>
      <c r="Q4907">
        <v>6.7682873746254299E-2</v>
      </c>
      <c r="R4907">
        <v>0.99490172188785397</v>
      </c>
      <c r="S4907" t="s">
        <v>10458</v>
      </c>
      <c r="T4907" t="s">
        <v>11100</v>
      </c>
      <c r="U4907" t="s">
        <v>11100</v>
      </c>
      <c r="V4907" t="s">
        <v>11100</v>
      </c>
      <c r="W4907" t="s">
        <v>15954</v>
      </c>
      <c r="X4907">
        <v>4</v>
      </c>
      <c r="Y4907" t="s">
        <v>21378</v>
      </c>
      <c r="Z4907" t="s">
        <v>26912</v>
      </c>
      <c r="AA4907">
        <v>0.53355853427570799</v>
      </c>
      <c r="AB4907" t="str">
        <f>HYPERLINK("Melting_Curves/meltCurve_Q9NP79_VTA1.pdf", "Melting_Curves/meltCurve_Q9NP79_VTA1.pdf")</f>
        <v>Melting_Curves/meltCurve_Q9NP79_VTA1.pdf</v>
      </c>
    </row>
    <row r="4908" spans="1:28" x14ac:dyDescent="0.25">
      <c r="A4908" t="s">
        <v>4912</v>
      </c>
      <c r="B4908">
        <v>0.99299721793515405</v>
      </c>
      <c r="C4908">
        <v>0.98136977993320795</v>
      </c>
      <c r="D4908">
        <v>0.85715702804278104</v>
      </c>
      <c r="E4908">
        <v>0.82576672067900503</v>
      </c>
      <c r="F4908">
        <v>0.73401718023361595</v>
      </c>
      <c r="G4908">
        <v>0.51951212893247101</v>
      </c>
      <c r="H4908">
        <v>0.41678932664282697</v>
      </c>
      <c r="I4908">
        <v>0.119605015058745</v>
      </c>
      <c r="J4908">
        <v>6.7538361774441696E-2</v>
      </c>
      <c r="K4908">
        <v>8.8083568640108606E-2</v>
      </c>
      <c r="L4908">
        <v>642.85762635962305</v>
      </c>
      <c r="M4908">
        <v>11.926030711745501</v>
      </c>
      <c r="N4908">
        <v>53.903734468932903</v>
      </c>
      <c r="O4908">
        <v>52.4551939561917</v>
      </c>
      <c r="P4908">
        <v>-5.6853150253516303E-2</v>
      </c>
      <c r="Q4908">
        <v>0</v>
      </c>
      <c r="R4908">
        <v>0.97527512948223005</v>
      </c>
      <c r="S4908" t="s">
        <v>10459</v>
      </c>
      <c r="T4908" t="s">
        <v>11100</v>
      </c>
      <c r="U4908" t="s">
        <v>11100</v>
      </c>
      <c r="V4908" t="s">
        <v>11100</v>
      </c>
      <c r="W4908" t="s">
        <v>15955</v>
      </c>
      <c r="X4908">
        <v>3</v>
      </c>
      <c r="Y4908" t="s">
        <v>21379</v>
      </c>
      <c r="Z4908" t="s">
        <v>26913</v>
      </c>
      <c r="AA4908">
        <v>0.58172433764378406</v>
      </c>
      <c r="AB4908" t="str">
        <f>HYPERLINK("Melting_Curves/meltCurve_Q9NP80_3_PNPLA8.pdf", "Melting_Curves/meltCurve_Q9NP80_3_PNPLA8.pdf")</f>
        <v>Melting_Curves/meltCurve_Q9NP80_3_PNPLA8.pdf</v>
      </c>
    </row>
    <row r="4909" spans="1:28" x14ac:dyDescent="0.25">
      <c r="A4909" t="s">
        <v>4913</v>
      </c>
      <c r="B4909">
        <v>0.99299721793515405</v>
      </c>
      <c r="C4909">
        <v>0.97931452635794303</v>
      </c>
      <c r="D4909">
        <v>0.86321006153194701</v>
      </c>
      <c r="E4909">
        <v>0.74517608978195804</v>
      </c>
      <c r="F4909">
        <v>0.71922146269895304</v>
      </c>
      <c r="G4909">
        <v>0.80124931853708403</v>
      </c>
      <c r="H4909">
        <v>0.84341227256933204</v>
      </c>
      <c r="I4909">
        <v>0.65780559337017397</v>
      </c>
      <c r="J4909">
        <v>0.35092630035731298</v>
      </c>
      <c r="K4909">
        <v>0.34539391513026002</v>
      </c>
      <c r="L4909">
        <v>339.84190467671698</v>
      </c>
      <c r="M4909">
        <v>5.34478648493275</v>
      </c>
      <c r="N4909">
        <v>63.583813054602601</v>
      </c>
      <c r="O4909">
        <v>56.323591467166203</v>
      </c>
      <c r="P4909">
        <v>-2.3839060640762501E-2</v>
      </c>
      <c r="Q4909">
        <v>0</v>
      </c>
      <c r="R4909">
        <v>0.75591131569272796</v>
      </c>
      <c r="S4909" t="s">
        <v>10460</v>
      </c>
      <c r="T4909" t="s">
        <v>11100</v>
      </c>
      <c r="U4909" t="s">
        <v>11100</v>
      </c>
      <c r="V4909" t="s">
        <v>11100</v>
      </c>
      <c r="W4909" t="s">
        <v>15956</v>
      </c>
      <c r="X4909">
        <v>2</v>
      </c>
      <c r="Y4909" t="s">
        <v>21380</v>
      </c>
      <c r="Z4909" t="s">
        <v>26914</v>
      </c>
      <c r="AA4909">
        <v>0.74496986808151278</v>
      </c>
      <c r="AB4909" t="str">
        <f>HYPERLINK("Melting_Curves/meltCurve_Q9NPA0_EMC7.pdf", "Melting_Curves/meltCurve_Q9NPA0_EMC7.pdf")</f>
        <v>Melting_Curves/meltCurve_Q9NPA0_EMC7.pdf</v>
      </c>
    </row>
    <row r="4910" spans="1:28" x14ac:dyDescent="0.25">
      <c r="A4910" t="s">
        <v>4914</v>
      </c>
      <c r="B4910">
        <v>0.99299721793515405</v>
      </c>
      <c r="C4910">
        <v>0.86899215202407598</v>
      </c>
      <c r="D4910">
        <v>0.69729022356443704</v>
      </c>
      <c r="E4910">
        <v>0.65238561839473097</v>
      </c>
      <c r="F4910">
        <v>0.48424776814991699</v>
      </c>
      <c r="G4910">
        <v>0.22340674819425799</v>
      </c>
      <c r="H4910">
        <v>0.25371373814798398</v>
      </c>
      <c r="I4910">
        <v>0.17000587185896401</v>
      </c>
      <c r="J4910">
        <v>0.33587562784521902</v>
      </c>
      <c r="K4910">
        <v>5.1198284115050202E-2</v>
      </c>
      <c r="L4910">
        <v>464.647462514165</v>
      </c>
      <c r="M4910">
        <v>9.7858498340354796</v>
      </c>
      <c r="N4910">
        <v>48.672912431205802</v>
      </c>
      <c r="O4910">
        <v>45.626137241906797</v>
      </c>
      <c r="P4910">
        <v>-4.7934624109997201E-2</v>
      </c>
      <c r="Q4910">
        <v>0.106498922304799</v>
      </c>
      <c r="R4910">
        <v>0.93370792142360304</v>
      </c>
      <c r="S4910" t="s">
        <v>10461</v>
      </c>
      <c r="T4910" t="s">
        <v>11100</v>
      </c>
      <c r="U4910" t="s">
        <v>11100</v>
      </c>
      <c r="V4910" t="s">
        <v>11100</v>
      </c>
      <c r="W4910" t="s">
        <v>15957</v>
      </c>
      <c r="X4910">
        <v>3</v>
      </c>
      <c r="Y4910" t="s">
        <v>21381</v>
      </c>
      <c r="Z4910" t="s">
        <v>26915</v>
      </c>
      <c r="AA4910">
        <v>0.45702905985560038</v>
      </c>
      <c r="AB4910" t="str">
        <f>HYPERLINK("Melting_Curves/meltCurve_Q9NPA3_MID1IP1.pdf", "Melting_Curves/meltCurve_Q9NPA3_MID1IP1.pdf")</f>
        <v>Melting_Curves/meltCurve_Q9NPA3_MID1IP1.pdf</v>
      </c>
    </row>
    <row r="4911" spans="1:28" x14ac:dyDescent="0.25">
      <c r="A4911" t="s">
        <v>4915</v>
      </c>
      <c r="B4911">
        <v>0.99299721793515405</v>
      </c>
      <c r="C4911">
        <v>0.84202225738405601</v>
      </c>
      <c r="D4911">
        <v>1.10835924972235</v>
      </c>
      <c r="E4911">
        <v>0.93835447973173602</v>
      </c>
      <c r="F4911">
        <v>0.85205849704054404</v>
      </c>
      <c r="G4911">
        <v>0.784731219727687</v>
      </c>
      <c r="H4911">
        <v>0.61660154752428298</v>
      </c>
      <c r="I4911">
        <v>0.72475971081016399</v>
      </c>
      <c r="J4911">
        <v>0.74149376320454097</v>
      </c>
      <c r="K4911">
        <v>0.82184751333258299</v>
      </c>
      <c r="L4911">
        <v>1490.58653113429</v>
      </c>
      <c r="M4911">
        <v>30.016857384871301</v>
      </c>
      <c r="O4911">
        <v>49.439490399978503</v>
      </c>
      <c r="P4911">
        <v>-4.0663984042501898E-2</v>
      </c>
      <c r="Q4911">
        <v>0.73209813999421203</v>
      </c>
      <c r="R4911">
        <v>0.66077860345070705</v>
      </c>
      <c r="S4911" t="s">
        <v>10462</v>
      </c>
      <c r="T4911" t="s">
        <v>11100</v>
      </c>
      <c r="U4911" t="s">
        <v>11100</v>
      </c>
      <c r="V4911" t="s">
        <v>11100</v>
      </c>
      <c r="W4911" t="s">
        <v>15958</v>
      </c>
      <c r="X4911">
        <v>8</v>
      </c>
      <c r="Y4911" t="s">
        <v>21382</v>
      </c>
      <c r="Z4911" t="s">
        <v>26916</v>
      </c>
      <c r="AA4911">
        <v>0.84677031794395963</v>
      </c>
      <c r="AB4911" t="str">
        <f>HYPERLINK("Melting_Curves/meltCurve_Q9NPA8_2_ENY2.pdf", "Melting_Curves/meltCurve_Q9NPA8_2_ENY2.pdf")</f>
        <v>Melting_Curves/meltCurve_Q9NPA8_2_ENY2.pdf</v>
      </c>
    </row>
    <row r="4912" spans="1:28" x14ac:dyDescent="0.25">
      <c r="A4912" t="s">
        <v>4916</v>
      </c>
      <c r="B4912">
        <v>0.99299721793515405</v>
      </c>
      <c r="C4912">
        <v>1.0013931583176401</v>
      </c>
      <c r="D4912">
        <v>1.07079851009078</v>
      </c>
      <c r="E4912">
        <v>0.78302779156729496</v>
      </c>
      <c r="F4912">
        <v>0.71993432657530798</v>
      </c>
      <c r="G4912">
        <v>0.46408679786498902</v>
      </c>
      <c r="H4912">
        <v>0.24597695322381999</v>
      </c>
      <c r="I4912">
        <v>0.238763577143844</v>
      </c>
      <c r="J4912">
        <v>0.19077504793109301</v>
      </c>
      <c r="K4912">
        <v>0.174293504579557</v>
      </c>
      <c r="L4912">
        <v>837.48972899263401</v>
      </c>
      <c r="M4912">
        <v>16.1862011714631</v>
      </c>
      <c r="N4912">
        <v>52.919482881194199</v>
      </c>
      <c r="O4912">
        <v>50.970538130810503</v>
      </c>
      <c r="P4912">
        <v>-6.7381400048105E-2</v>
      </c>
      <c r="Q4912">
        <v>0.15132429509265999</v>
      </c>
      <c r="R4912">
        <v>0.98002107769036695</v>
      </c>
      <c r="S4912" t="s">
        <v>10463</v>
      </c>
      <c r="T4912" t="s">
        <v>11100</v>
      </c>
      <c r="U4912" t="s">
        <v>11100</v>
      </c>
      <c r="V4912" t="s">
        <v>11100</v>
      </c>
      <c r="W4912" t="s">
        <v>15959</v>
      </c>
      <c r="X4912">
        <v>4</v>
      </c>
      <c r="Y4912" t="s">
        <v>21383</v>
      </c>
      <c r="Z4912" t="s">
        <v>26917</v>
      </c>
      <c r="AA4912">
        <v>0.58331606162755845</v>
      </c>
      <c r="AB4912" t="str">
        <f>HYPERLINK("Melting_Curves/meltCurve_Q9NPB8_GPCPD1.pdf", "Melting_Curves/meltCurve_Q9NPB8_GPCPD1.pdf")</f>
        <v>Melting_Curves/meltCurve_Q9NPB8_GPCPD1.pdf</v>
      </c>
    </row>
    <row r="4913" spans="1:28" x14ac:dyDescent="0.25">
      <c r="A4913" t="s">
        <v>4917</v>
      </c>
      <c r="B4913">
        <v>0.99299721793515405</v>
      </c>
      <c r="C4913">
        <v>0.98658326790905404</v>
      </c>
      <c r="D4913">
        <v>0.79718365269984803</v>
      </c>
      <c r="E4913">
        <v>0.77525411150407297</v>
      </c>
      <c r="F4913">
        <v>0.81760119707732504</v>
      </c>
      <c r="G4913">
        <v>1.2150805508557001</v>
      </c>
      <c r="H4913">
        <v>1.6565442682061</v>
      </c>
      <c r="I4913">
        <v>1.8324409439473299</v>
      </c>
      <c r="J4913">
        <v>1.1631127499860201</v>
      </c>
      <c r="K4913">
        <v>0.40036529854503899</v>
      </c>
      <c r="L4913">
        <v>15000</v>
      </c>
      <c r="M4913">
        <v>224.284371081437</v>
      </c>
      <c r="N4913">
        <v>66.879381064157997</v>
      </c>
      <c r="O4913">
        <v>66.874059548165704</v>
      </c>
      <c r="P4913">
        <v>-0.83845798337520805</v>
      </c>
      <c r="Q4913">
        <v>0</v>
      </c>
      <c r="R4913">
        <v>0.194362093814542</v>
      </c>
      <c r="S4913" t="s">
        <v>10464</v>
      </c>
      <c r="T4913" t="s">
        <v>11100</v>
      </c>
      <c r="U4913" t="s">
        <v>11100</v>
      </c>
      <c r="V4913" t="s">
        <v>11100</v>
      </c>
      <c r="W4913" t="s">
        <v>15960</v>
      </c>
      <c r="X4913">
        <v>6</v>
      </c>
      <c r="Y4913" t="s">
        <v>21384</v>
      </c>
      <c r="Z4913" t="s">
        <v>26918</v>
      </c>
      <c r="AA4913">
        <v>0.99097020112719936</v>
      </c>
      <c r="AB4913" t="str">
        <f>HYPERLINK("Melting_Curves/meltCurve_Q9NPD3_EXOSC4.pdf", "Melting_Curves/meltCurve_Q9NPD3_EXOSC4.pdf")</f>
        <v>Melting_Curves/meltCurve_Q9NPD3_EXOSC4.pdf</v>
      </c>
    </row>
    <row r="4914" spans="1:28" x14ac:dyDescent="0.25">
      <c r="A4914" t="s">
        <v>4918</v>
      </c>
      <c r="B4914">
        <v>0.99299721793515405</v>
      </c>
      <c r="C4914">
        <v>1.0131307703730399</v>
      </c>
      <c r="D4914">
        <v>0.89713204296561999</v>
      </c>
      <c r="E4914">
        <v>0.89010445386767501</v>
      </c>
      <c r="F4914">
        <v>0.72544738909813999</v>
      </c>
      <c r="G4914">
        <v>0.33953985562831801</v>
      </c>
      <c r="H4914">
        <v>0.25063112054137598</v>
      </c>
      <c r="I4914">
        <v>0.216489532978246</v>
      </c>
      <c r="J4914">
        <v>0.22018101084165001</v>
      </c>
      <c r="K4914">
        <v>0.18540756009551601</v>
      </c>
      <c r="L4914">
        <v>1226.10195046841</v>
      </c>
      <c r="M4914">
        <v>24.001397626609901</v>
      </c>
      <c r="N4914">
        <v>52.1526926132304</v>
      </c>
      <c r="O4914">
        <v>50.733961627665501</v>
      </c>
      <c r="P4914">
        <v>-9.5308851320268395E-2</v>
      </c>
      <c r="Q4914">
        <v>0.19416067082403199</v>
      </c>
      <c r="R4914">
        <v>0.98741102932767999</v>
      </c>
      <c r="S4914" t="s">
        <v>10465</v>
      </c>
      <c r="T4914" t="s">
        <v>11100</v>
      </c>
      <c r="U4914" t="s">
        <v>11100</v>
      </c>
      <c r="V4914" t="s">
        <v>11100</v>
      </c>
      <c r="W4914" t="s">
        <v>15961</v>
      </c>
      <c r="X4914">
        <v>8</v>
      </c>
      <c r="Y4914" t="s">
        <v>21385</v>
      </c>
      <c r="Z4914" t="s">
        <v>26919</v>
      </c>
      <c r="AA4914">
        <v>0.58015892048471929</v>
      </c>
      <c r="AB4914" t="str">
        <f>HYPERLINK("Melting_Curves/meltCurve_Q9NPD8_UBE2T.pdf", "Melting_Curves/meltCurve_Q9NPD8_UBE2T.pdf")</f>
        <v>Melting_Curves/meltCurve_Q9NPD8_UBE2T.pdf</v>
      </c>
    </row>
    <row r="4915" spans="1:28" x14ac:dyDescent="0.25">
      <c r="A4915" t="s">
        <v>4919</v>
      </c>
      <c r="B4915">
        <v>0.99299721793515405</v>
      </c>
      <c r="C4915">
        <v>1.0143247338807799</v>
      </c>
      <c r="D4915">
        <v>0.98112684117802496</v>
      </c>
      <c r="E4915">
        <v>0.95944917366456295</v>
      </c>
      <c r="F4915">
        <v>0.81948573001207203</v>
      </c>
      <c r="G4915">
        <v>0.69892554183547895</v>
      </c>
      <c r="H4915">
        <v>0.64979006180577403</v>
      </c>
      <c r="I4915">
        <v>0.83464236337631803</v>
      </c>
      <c r="J4915">
        <v>0.96365560249675197</v>
      </c>
      <c r="K4915">
        <v>1.09786860539325</v>
      </c>
      <c r="L4915">
        <v>11698.731614124001</v>
      </c>
      <c r="M4915">
        <v>250</v>
      </c>
      <c r="O4915">
        <v>46.791931710093799</v>
      </c>
      <c r="P4915">
        <v>-0.20828735466677001</v>
      </c>
      <c r="Q4915">
        <v>0.84406131676759999</v>
      </c>
      <c r="R4915">
        <v>0.26472544081569199</v>
      </c>
      <c r="S4915" t="s">
        <v>10466</v>
      </c>
      <c r="T4915" t="s">
        <v>11100</v>
      </c>
      <c r="U4915" t="s">
        <v>11100</v>
      </c>
      <c r="V4915" t="s">
        <v>11100</v>
      </c>
      <c r="W4915" t="s">
        <v>15962</v>
      </c>
      <c r="X4915">
        <v>3</v>
      </c>
      <c r="Y4915" t="s">
        <v>21386</v>
      </c>
      <c r="Z4915" t="s">
        <v>26920</v>
      </c>
      <c r="AA4915">
        <v>0.89498772093282397</v>
      </c>
      <c r="AB4915" t="str">
        <f>HYPERLINK("Melting_Curves/meltCurve_Q9NPF0_CD320.pdf", "Melting_Curves/meltCurve_Q9NPF0_CD320.pdf")</f>
        <v>Melting_Curves/meltCurve_Q9NPF0_CD320.pdf</v>
      </c>
    </row>
    <row r="4916" spans="1:28" x14ac:dyDescent="0.25">
      <c r="A4916" t="s">
        <v>4920</v>
      </c>
      <c r="B4916">
        <v>0.99299721793515405</v>
      </c>
      <c r="C4916">
        <v>1.0501906542032799</v>
      </c>
      <c r="D4916">
        <v>0.97404005879289701</v>
      </c>
      <c r="E4916">
        <v>0.95919297989242602</v>
      </c>
      <c r="F4916">
        <v>0.806558642847786</v>
      </c>
      <c r="G4916">
        <v>0.70888719793593202</v>
      </c>
      <c r="H4916">
        <v>0.66161175341699296</v>
      </c>
      <c r="I4916">
        <v>0.47611362962426701</v>
      </c>
      <c r="J4916">
        <v>0.315436003703429</v>
      </c>
      <c r="K4916">
        <v>0.19007701870072</v>
      </c>
      <c r="L4916">
        <v>603.21754620050501</v>
      </c>
      <c r="M4916">
        <v>10.132476816399301</v>
      </c>
      <c r="N4916">
        <v>59.533079352916701</v>
      </c>
      <c r="O4916">
        <v>57.3537972588732</v>
      </c>
      <c r="P4916">
        <v>-4.4186974540948498E-2</v>
      </c>
      <c r="Q4916">
        <v>0</v>
      </c>
      <c r="R4916">
        <v>0.97819724853411505</v>
      </c>
      <c r="S4916" t="s">
        <v>10467</v>
      </c>
      <c r="T4916" t="s">
        <v>11100</v>
      </c>
      <c r="U4916" t="s">
        <v>11100</v>
      </c>
      <c r="V4916" t="s">
        <v>11100</v>
      </c>
      <c r="W4916" t="s">
        <v>15963</v>
      </c>
      <c r="X4916">
        <v>13</v>
      </c>
      <c r="Y4916" t="s">
        <v>21387</v>
      </c>
      <c r="Z4916" t="s">
        <v>26921</v>
      </c>
      <c r="AA4916">
        <v>0.72964088722797171</v>
      </c>
      <c r="AB4916" t="str">
        <f>HYPERLINK("Melting_Curves/meltCurve_Q9NPF4_OSGEP.pdf", "Melting_Curves/meltCurve_Q9NPF4_OSGEP.pdf")</f>
        <v>Melting_Curves/meltCurve_Q9NPF4_OSGEP.pdf</v>
      </c>
    </row>
    <row r="4917" spans="1:28" x14ac:dyDescent="0.25">
      <c r="A4917" t="s">
        <v>4921</v>
      </c>
      <c r="B4917">
        <v>0.99299721793515405</v>
      </c>
      <c r="C4917">
        <v>0.80080210682091002</v>
      </c>
      <c r="D4917">
        <v>0.83987771147314405</v>
      </c>
      <c r="E4917">
        <v>0.76848645574403696</v>
      </c>
      <c r="F4917">
        <v>0.52822115293184102</v>
      </c>
      <c r="G4917">
        <v>0.36178219311176801</v>
      </c>
      <c r="H4917">
        <v>0.31172905591171601</v>
      </c>
      <c r="I4917">
        <v>0.197178543253932</v>
      </c>
      <c r="J4917">
        <v>7.4384939322565305E-2</v>
      </c>
      <c r="K4917">
        <v>0.19112976119175701</v>
      </c>
      <c r="L4917">
        <v>430.320560748807</v>
      </c>
      <c r="M4917">
        <v>8.4169879568836201</v>
      </c>
      <c r="N4917">
        <v>51.1252434857658</v>
      </c>
      <c r="O4917">
        <v>48.4839046734674</v>
      </c>
      <c r="P4917">
        <v>-4.3441515491822798E-2</v>
      </c>
      <c r="Q4917">
        <v>0</v>
      </c>
      <c r="R4917">
        <v>0.96494171052884303</v>
      </c>
      <c r="S4917" t="s">
        <v>10468</v>
      </c>
      <c r="T4917" t="s">
        <v>11100</v>
      </c>
      <c r="U4917" t="s">
        <v>11100</v>
      </c>
      <c r="V4917" t="s">
        <v>11100</v>
      </c>
      <c r="W4917" t="s">
        <v>15964</v>
      </c>
      <c r="X4917">
        <v>1</v>
      </c>
      <c r="Y4917" t="s">
        <v>21388</v>
      </c>
      <c r="Z4917" t="s">
        <v>26922</v>
      </c>
      <c r="AA4917">
        <v>0.50411971332613126</v>
      </c>
      <c r="AB4917" t="str">
        <f>HYPERLINK("Melting_Curves/meltCurve_Q9NPG8_ZDHHC4.pdf", "Melting_Curves/meltCurve_Q9NPG8_ZDHHC4.pdf")</f>
        <v>Melting_Curves/meltCurve_Q9NPG8_ZDHHC4.pdf</v>
      </c>
    </row>
    <row r="4918" spans="1:28" x14ac:dyDescent="0.25">
      <c r="A4918" t="s">
        <v>4922</v>
      </c>
      <c r="B4918">
        <v>0.99299721793515405</v>
      </c>
      <c r="C4918">
        <v>0.89134082603130205</v>
      </c>
      <c r="D4918">
        <v>0.75865238176841399</v>
      </c>
      <c r="E4918">
        <v>0.73445779294678104</v>
      </c>
      <c r="F4918">
        <v>0.56017321747328497</v>
      </c>
      <c r="G4918">
        <v>0.345822665030111</v>
      </c>
      <c r="H4918">
        <v>0.33286568056776999</v>
      </c>
      <c r="I4918">
        <v>0.27927290670863603</v>
      </c>
      <c r="J4918">
        <v>0.159762508287637</v>
      </c>
      <c r="K4918">
        <v>0.162114066825023</v>
      </c>
      <c r="L4918">
        <v>404.001420706293</v>
      </c>
      <c r="M4918">
        <v>7.9577844394203296</v>
      </c>
      <c r="N4918">
        <v>51.263782332898202</v>
      </c>
      <c r="O4918">
        <v>47.862647106654499</v>
      </c>
      <c r="P4918">
        <v>-4.0072659729572503E-2</v>
      </c>
      <c r="Q4918">
        <v>3.7031636658654297E-2</v>
      </c>
      <c r="R4918">
        <v>0.98159500917950704</v>
      </c>
      <c r="S4918" t="s">
        <v>10469</v>
      </c>
      <c r="T4918" t="s">
        <v>11100</v>
      </c>
      <c r="U4918" t="s">
        <v>11100</v>
      </c>
      <c r="V4918" t="s">
        <v>11100</v>
      </c>
      <c r="W4918" t="s">
        <v>15965</v>
      </c>
      <c r="X4918">
        <v>2</v>
      </c>
      <c r="Y4918" t="s">
        <v>21389</v>
      </c>
      <c r="Z4918" t="s">
        <v>26923</v>
      </c>
      <c r="AA4918">
        <v>0.51395610495084476</v>
      </c>
      <c r="AB4918" t="str">
        <f>HYPERLINK("Melting_Curves/meltCurve_Q9NPI6_DCP1A.pdf", "Melting_Curves/meltCurve_Q9NPI6_DCP1A.pdf")</f>
        <v>Melting_Curves/meltCurve_Q9NPI6_DCP1A.pdf</v>
      </c>
    </row>
    <row r="4919" spans="1:28" x14ac:dyDescent="0.25">
      <c r="A4919" t="s">
        <v>4923</v>
      </c>
      <c r="B4919">
        <v>0.99299721793515405</v>
      </c>
      <c r="C4919">
        <v>1.08695910838066</v>
      </c>
      <c r="D4919">
        <v>1.01278119483006</v>
      </c>
      <c r="E4919">
        <v>1.02733919916894</v>
      </c>
      <c r="F4919">
        <v>0.88832198015557795</v>
      </c>
      <c r="G4919">
        <v>0.72786310027260004</v>
      </c>
      <c r="H4919">
        <v>0.72379847535022701</v>
      </c>
      <c r="I4919">
        <v>0.79212761468113202</v>
      </c>
      <c r="J4919">
        <v>0.85558108104127495</v>
      </c>
      <c r="K4919">
        <v>0.52945160954000003</v>
      </c>
      <c r="L4919">
        <v>9397.2895202343207</v>
      </c>
      <c r="M4919">
        <v>186.82158819259399</v>
      </c>
      <c r="O4919">
        <v>50.295123581285097</v>
      </c>
      <c r="P4919">
        <v>-0.25466286888013001</v>
      </c>
      <c r="Q4919">
        <v>0.72576408020292105</v>
      </c>
      <c r="R4919">
        <v>0.74797649664850996</v>
      </c>
      <c r="S4919" t="s">
        <v>10470</v>
      </c>
      <c r="T4919" t="s">
        <v>11100</v>
      </c>
      <c r="U4919" t="s">
        <v>11100</v>
      </c>
      <c r="V4919" t="s">
        <v>11100</v>
      </c>
      <c r="W4919" t="s">
        <v>15966</v>
      </c>
      <c r="X4919">
        <v>5</v>
      </c>
      <c r="Y4919" t="s">
        <v>21390</v>
      </c>
      <c r="Z4919" t="s">
        <v>26924</v>
      </c>
      <c r="AA4919">
        <v>0.84739336986044866</v>
      </c>
      <c r="AB4919" t="str">
        <f>HYPERLINK("Melting_Curves/meltCurve_Q9NPJ3_ACOT13.pdf", "Melting_Curves/meltCurve_Q9NPJ3_ACOT13.pdf")</f>
        <v>Melting_Curves/meltCurve_Q9NPJ3_ACOT13.pdf</v>
      </c>
    </row>
    <row r="4920" spans="1:28" x14ac:dyDescent="0.25">
      <c r="A4920" t="s">
        <v>4924</v>
      </c>
      <c r="B4920">
        <v>0.99299721793515405</v>
      </c>
      <c r="C4920">
        <v>0.78462275770884304</v>
      </c>
      <c r="D4920">
        <v>0.77936296381329195</v>
      </c>
      <c r="E4920">
        <v>0.70844694809463304</v>
      </c>
      <c r="F4920">
        <v>0.78293219846203799</v>
      </c>
      <c r="G4920">
        <v>0.783284328499252</v>
      </c>
      <c r="H4920">
        <v>0.88502092069881899</v>
      </c>
      <c r="I4920">
        <v>0.78772942939249602</v>
      </c>
      <c r="J4920">
        <v>0.64445290831463697</v>
      </c>
      <c r="K4920">
        <v>0.76897763439578903</v>
      </c>
      <c r="L4920">
        <v>3044.7305674693798</v>
      </c>
      <c r="M4920">
        <v>78.834712954714007</v>
      </c>
      <c r="O4920">
        <v>38.596868439731999</v>
      </c>
      <c r="P4920">
        <v>-0.118719057008969</v>
      </c>
      <c r="Q4920">
        <v>0.76750428782701197</v>
      </c>
      <c r="R4920">
        <v>0.57475906540606703</v>
      </c>
      <c r="S4920" t="s">
        <v>10471</v>
      </c>
      <c r="T4920" t="s">
        <v>11100</v>
      </c>
      <c r="U4920" t="s">
        <v>11100</v>
      </c>
      <c r="V4920" t="s">
        <v>11100</v>
      </c>
      <c r="W4920" t="s">
        <v>15967</v>
      </c>
      <c r="X4920">
        <v>3</v>
      </c>
      <c r="Y4920" t="s">
        <v>21391</v>
      </c>
      <c r="Z4920" t="s">
        <v>26925</v>
      </c>
      <c r="AA4920">
        <v>0.78033679220646968</v>
      </c>
      <c r="AB4920" t="str">
        <f>HYPERLINK("Melting_Curves/meltCurve_Q9NPJ6_MED4.pdf", "Melting_Curves/meltCurve_Q9NPJ6_MED4.pdf")</f>
        <v>Melting_Curves/meltCurve_Q9NPJ6_MED4.pdf</v>
      </c>
    </row>
    <row r="4921" spans="1:28" x14ac:dyDescent="0.25">
      <c r="A4921" t="s">
        <v>4925</v>
      </c>
      <c r="B4921">
        <v>0.99299721793515405</v>
      </c>
      <c r="C4921">
        <v>0.95390284182083895</v>
      </c>
      <c r="D4921">
        <v>1.11342146525844</v>
      </c>
      <c r="E4921">
        <v>0.83770155517834899</v>
      </c>
      <c r="F4921">
        <v>0.73473623793411402</v>
      </c>
      <c r="G4921">
        <v>0.71586074746806805</v>
      </c>
      <c r="H4921">
        <v>0.64882838340936999</v>
      </c>
      <c r="I4921">
        <v>0.69722714039092504</v>
      </c>
      <c r="J4921">
        <v>0.70541372930482704</v>
      </c>
      <c r="K4921">
        <v>0.75352618543012195</v>
      </c>
      <c r="L4921">
        <v>8216.7977357812997</v>
      </c>
      <c r="M4921">
        <v>176.56012849818501</v>
      </c>
      <c r="O4921">
        <v>46.5322704126988</v>
      </c>
      <c r="P4921">
        <v>-0.27578800528313901</v>
      </c>
      <c r="Q4921">
        <v>0.70926523320310697</v>
      </c>
      <c r="R4921">
        <v>0.89956473841892504</v>
      </c>
      <c r="S4921" t="s">
        <v>10472</v>
      </c>
      <c r="T4921" t="s">
        <v>11100</v>
      </c>
      <c r="U4921" t="s">
        <v>11100</v>
      </c>
      <c r="V4921" t="s">
        <v>11100</v>
      </c>
      <c r="W4921" t="s">
        <v>15968</v>
      </c>
      <c r="X4921">
        <v>9</v>
      </c>
      <c r="Y4921" t="s">
        <v>21392</v>
      </c>
      <c r="Z4921" t="s">
        <v>26926</v>
      </c>
      <c r="AA4921">
        <v>0.80174945620803717</v>
      </c>
      <c r="AB4921" t="str">
        <f>HYPERLINK("Melting_Curves/meltCurve_Q9NPL8_TIMMDC1.pdf", "Melting_Curves/meltCurve_Q9NPL8_TIMMDC1.pdf")</f>
        <v>Melting_Curves/meltCurve_Q9NPL8_TIMMDC1.pdf</v>
      </c>
    </row>
    <row r="4922" spans="1:28" x14ac:dyDescent="0.25">
      <c r="A4922" t="s">
        <v>4926</v>
      </c>
      <c r="B4922">
        <v>0.99299721793515405</v>
      </c>
      <c r="C4922">
        <v>0.91794523303833497</v>
      </c>
      <c r="D4922">
        <v>0.95658890691868204</v>
      </c>
      <c r="E4922">
        <v>0.85761410682721395</v>
      </c>
      <c r="F4922">
        <v>0.70878623379156602</v>
      </c>
      <c r="G4922">
        <v>0.35974573234380097</v>
      </c>
      <c r="H4922">
        <v>0.21801560235460801</v>
      </c>
      <c r="I4922">
        <v>0.20185057774635601</v>
      </c>
      <c r="J4922">
        <v>0.161309905365775</v>
      </c>
      <c r="K4922">
        <v>0.16630850224570301</v>
      </c>
      <c r="L4922">
        <v>1015.67060972943</v>
      </c>
      <c r="M4922">
        <v>19.8238739308383</v>
      </c>
      <c r="N4922">
        <v>52.163873788047503</v>
      </c>
      <c r="O4922">
        <v>50.721904827529201</v>
      </c>
      <c r="P4922">
        <v>-8.3177373944371399E-2</v>
      </c>
      <c r="Q4922">
        <v>0.148749101741246</v>
      </c>
      <c r="R4922">
        <v>0.98952676416913699</v>
      </c>
      <c r="S4922" t="s">
        <v>10473</v>
      </c>
      <c r="T4922" t="s">
        <v>11100</v>
      </c>
      <c r="U4922" t="s">
        <v>11100</v>
      </c>
      <c r="V4922" t="s">
        <v>11100</v>
      </c>
      <c r="W4922" t="s">
        <v>15969</v>
      </c>
      <c r="X4922">
        <v>13</v>
      </c>
      <c r="Y4922" t="s">
        <v>21393</v>
      </c>
      <c r="Z4922" t="s">
        <v>26927</v>
      </c>
      <c r="AA4922">
        <v>0.56394040938268641</v>
      </c>
      <c r="AB4922" t="str">
        <f>HYPERLINK("Melting_Curves/meltCurve_Q9NPQ8_4_RIC8A.pdf", "Melting_Curves/meltCurve_Q9NPQ8_4_RIC8A.pdf")</f>
        <v>Melting_Curves/meltCurve_Q9NPQ8_4_RIC8A.pdf</v>
      </c>
    </row>
    <row r="4923" spans="1:28" x14ac:dyDescent="0.25">
      <c r="A4923" t="s">
        <v>4927</v>
      </c>
      <c r="B4923">
        <v>0.99299721793515405</v>
      </c>
      <c r="C4923">
        <v>0.99181391422751697</v>
      </c>
      <c r="D4923">
        <v>0.81325617594716804</v>
      </c>
      <c r="E4923">
        <v>0.77967668637330201</v>
      </c>
      <c r="F4923">
        <v>0.60007875810699596</v>
      </c>
      <c r="G4923">
        <v>0.41855398188614901</v>
      </c>
      <c r="H4923">
        <v>0.15488916199823299</v>
      </c>
      <c r="I4923">
        <v>5.2119614485888602E-2</v>
      </c>
      <c r="J4923">
        <v>3.8162010793314299E-2</v>
      </c>
      <c r="K4923">
        <v>3.4176606476175202E-2</v>
      </c>
      <c r="L4923">
        <v>671.45696828791597</v>
      </c>
      <c r="M4923">
        <v>13.0998651595916</v>
      </c>
      <c r="N4923">
        <v>51.256784976342402</v>
      </c>
      <c r="O4923">
        <v>50.106454071963498</v>
      </c>
      <c r="P4923">
        <v>-6.5371362775482E-2</v>
      </c>
      <c r="Q4923">
        <v>0</v>
      </c>
      <c r="R4923">
        <v>0.98272596742539298</v>
      </c>
      <c r="S4923" t="s">
        <v>10474</v>
      </c>
      <c r="T4923" t="s">
        <v>11100</v>
      </c>
      <c r="U4923" t="s">
        <v>11100</v>
      </c>
      <c r="V4923" t="s">
        <v>11100</v>
      </c>
      <c r="W4923" t="s">
        <v>15970</v>
      </c>
      <c r="X4923">
        <v>2</v>
      </c>
      <c r="Y4923" t="s">
        <v>21394</v>
      </c>
      <c r="Z4923" t="s">
        <v>26928</v>
      </c>
      <c r="AA4923">
        <v>0.49855219362940473</v>
      </c>
      <c r="AB4923" t="str">
        <f>HYPERLINK("Melting_Curves/meltCurve_Q9NPR9_GPR108.pdf", "Melting_Curves/meltCurve_Q9NPR9_GPR108.pdf")</f>
        <v>Melting_Curves/meltCurve_Q9NPR9_GPR108.pdf</v>
      </c>
    </row>
    <row r="4924" spans="1:28" x14ac:dyDescent="0.25">
      <c r="A4924" t="s">
        <v>4928</v>
      </c>
      <c r="B4924">
        <v>0.99299721793515405</v>
      </c>
      <c r="C4924">
        <v>1.3152046213983499</v>
      </c>
      <c r="D4924">
        <v>1.22794845247024</v>
      </c>
      <c r="E4924">
        <v>0.78586278889371297</v>
      </c>
      <c r="F4924">
        <v>0.84591482153639996</v>
      </c>
      <c r="G4924">
        <v>0.71713399471910599</v>
      </c>
      <c r="H4924">
        <v>0.57120622261838905</v>
      </c>
      <c r="I4924">
        <v>0.472502416422868</v>
      </c>
      <c r="J4924">
        <v>0.34319397863666901</v>
      </c>
      <c r="K4924">
        <v>0.17223051949528501</v>
      </c>
      <c r="L4924">
        <v>612.91295925798102</v>
      </c>
      <c r="M4924">
        <v>10.3613438543788</v>
      </c>
      <c r="N4924">
        <v>59.153809398933298</v>
      </c>
      <c r="O4924">
        <v>57.077581048505401</v>
      </c>
      <c r="P4924">
        <v>-4.5401989888700402E-2</v>
      </c>
      <c r="Q4924">
        <v>0</v>
      </c>
      <c r="R4924">
        <v>0.83922318213399105</v>
      </c>
      <c r="S4924" t="s">
        <v>10475</v>
      </c>
      <c r="T4924" t="s">
        <v>11100</v>
      </c>
      <c r="U4924" t="s">
        <v>11100</v>
      </c>
      <c r="V4924" t="s">
        <v>11100</v>
      </c>
      <c r="W4924" t="s">
        <v>15971</v>
      </c>
      <c r="X4924">
        <v>3</v>
      </c>
      <c r="Y4924" t="s">
        <v>21395</v>
      </c>
      <c r="Z4924" t="s">
        <v>26929</v>
      </c>
      <c r="AA4924">
        <v>0.7218001369414816</v>
      </c>
      <c r="AB4924" t="str">
        <f>HYPERLINK("Melting_Curves/meltCurve_Q9NQ11_3_ATP13A2.pdf", "Melting_Curves/meltCurve_Q9NQ11_3_ATP13A2.pdf")</f>
        <v>Melting_Curves/meltCurve_Q9NQ11_3_ATP13A2.pdf</v>
      </c>
    </row>
    <row r="4925" spans="1:28" x14ac:dyDescent="0.25">
      <c r="A4925" t="s">
        <v>4929</v>
      </c>
      <c r="B4925">
        <v>0.99299721793515405</v>
      </c>
      <c r="C4925">
        <v>0.86315486141354103</v>
      </c>
      <c r="D4925">
        <v>0.95698651752186004</v>
      </c>
      <c r="E4925">
        <v>0.72553542482908295</v>
      </c>
      <c r="F4925">
        <v>0.69143058706037497</v>
      </c>
      <c r="G4925">
        <v>0.43395977277160702</v>
      </c>
      <c r="H4925">
        <v>0.18694006005632699</v>
      </c>
      <c r="I4925">
        <v>0.14378434553215</v>
      </c>
      <c r="J4925">
        <v>0.122572474499492</v>
      </c>
      <c r="K4925">
        <v>0.108596352380948</v>
      </c>
      <c r="L4925">
        <v>589.21760046176701</v>
      </c>
      <c r="M4925">
        <v>11.3034865233254</v>
      </c>
      <c r="N4925">
        <v>52.141649888329503</v>
      </c>
      <c r="O4925">
        <v>50.575489057985003</v>
      </c>
      <c r="P4925">
        <v>-5.5803099720233201E-2</v>
      </c>
      <c r="Q4925">
        <v>1.5781642268819999E-3</v>
      </c>
      <c r="R4925">
        <v>0.97291418761697002</v>
      </c>
      <c r="S4925" t="s">
        <v>10476</v>
      </c>
      <c r="T4925" t="s">
        <v>11100</v>
      </c>
      <c r="U4925" t="s">
        <v>11100</v>
      </c>
      <c r="V4925" t="s">
        <v>11100</v>
      </c>
      <c r="W4925" t="s">
        <v>15972</v>
      </c>
      <c r="X4925">
        <v>22</v>
      </c>
      <c r="Y4925" t="s">
        <v>21396</v>
      </c>
      <c r="Z4925" t="s">
        <v>26930</v>
      </c>
      <c r="AA4925">
        <v>0.52942607129337349</v>
      </c>
      <c r="AB4925" t="str">
        <f>HYPERLINK("Melting_Curves/meltCurve_Q9NQ29_LUC7L.pdf", "Melting_Curves/meltCurve_Q9NQ29_LUC7L.pdf")</f>
        <v>Melting_Curves/meltCurve_Q9NQ29_LUC7L.pdf</v>
      </c>
    </row>
    <row r="4926" spans="1:28" x14ac:dyDescent="0.25">
      <c r="A4926" t="s">
        <v>4930</v>
      </c>
      <c r="B4926">
        <v>0.99299721793515405</v>
      </c>
      <c r="C4926">
        <v>1.21917476135266</v>
      </c>
      <c r="D4926">
        <v>2.0175121066174402</v>
      </c>
      <c r="E4926">
        <v>1.2228339081812001</v>
      </c>
      <c r="F4926">
        <v>0.87230942000019396</v>
      </c>
      <c r="G4926">
        <v>0.53894232932008401</v>
      </c>
      <c r="H4926">
        <v>0.17218398798690601</v>
      </c>
      <c r="I4926">
        <v>0.15084724028600899</v>
      </c>
      <c r="J4926">
        <v>0.140152010615928</v>
      </c>
      <c r="K4926">
        <v>0.122049189218694</v>
      </c>
      <c r="L4926">
        <v>1930.38282880528</v>
      </c>
      <c r="M4926">
        <v>36.081135671285899</v>
      </c>
      <c r="N4926">
        <v>53.942914269046199</v>
      </c>
      <c r="O4926">
        <v>53.337617666443599</v>
      </c>
      <c r="P4926">
        <v>-0.14748531667279499</v>
      </c>
      <c r="Q4926">
        <v>0.12791094794888699</v>
      </c>
      <c r="R4926">
        <v>0.68593655717343105</v>
      </c>
      <c r="S4926" t="s">
        <v>10477</v>
      </c>
      <c r="T4926" t="s">
        <v>11100</v>
      </c>
      <c r="U4926" t="s">
        <v>11100</v>
      </c>
      <c r="V4926" t="s">
        <v>11100</v>
      </c>
      <c r="W4926" t="s">
        <v>15973</v>
      </c>
      <c r="X4926">
        <v>11</v>
      </c>
      <c r="Y4926" t="s">
        <v>21397</v>
      </c>
      <c r="Z4926" t="s">
        <v>26931</v>
      </c>
      <c r="AA4926">
        <v>0.61151610998360761</v>
      </c>
      <c r="AB4926" t="str">
        <f>HYPERLINK("Melting_Curves/meltCurve_Q9NQ88_TIGAR.pdf", "Melting_Curves/meltCurve_Q9NQ88_TIGAR.pdf")</f>
        <v>Melting_Curves/meltCurve_Q9NQ88_TIGAR.pdf</v>
      </c>
    </row>
    <row r="4927" spans="1:28" x14ac:dyDescent="0.25">
      <c r="A4927" t="s">
        <v>4931</v>
      </c>
      <c r="B4927">
        <v>0.99299721793515405</v>
      </c>
      <c r="C4927">
        <v>1.16315154099774</v>
      </c>
      <c r="D4927">
        <v>1.1535662125913799</v>
      </c>
      <c r="E4927">
        <v>1.0103319010195899</v>
      </c>
      <c r="F4927">
        <v>0.94022595208816995</v>
      </c>
      <c r="G4927">
        <v>0.70621576737741398</v>
      </c>
      <c r="H4927">
        <v>0.70809877423900602</v>
      </c>
      <c r="I4927">
        <v>0.72284895459762599</v>
      </c>
      <c r="J4927">
        <v>0.74485453935444201</v>
      </c>
      <c r="K4927">
        <v>0.49589718026462098</v>
      </c>
      <c r="L4927">
        <v>2503.4695779267199</v>
      </c>
      <c r="M4927">
        <v>48.374529434458097</v>
      </c>
      <c r="O4927">
        <v>51.663590160990303</v>
      </c>
      <c r="P4927">
        <v>-7.8193498306472306E-2</v>
      </c>
      <c r="Q4927">
        <v>0.66596025167385298</v>
      </c>
      <c r="R4927">
        <v>0.79283610595762299</v>
      </c>
      <c r="S4927" t="s">
        <v>10478</v>
      </c>
      <c r="T4927" t="s">
        <v>11100</v>
      </c>
      <c r="U4927" t="s">
        <v>11100</v>
      </c>
      <c r="V4927" t="s">
        <v>11100</v>
      </c>
      <c r="W4927" t="s">
        <v>15974</v>
      </c>
      <c r="X4927">
        <v>11</v>
      </c>
      <c r="Y4927" t="s">
        <v>21398</v>
      </c>
      <c r="Z4927" t="s">
        <v>26932</v>
      </c>
      <c r="AA4927">
        <v>0.83103125872454853</v>
      </c>
      <c r="AB4927" t="str">
        <f>HYPERLINK("Melting_Curves/meltCurve_Q9NQC3_RTN4.pdf", "Melting_Curves/meltCurve_Q9NQC3_RTN4.pdf")</f>
        <v>Melting_Curves/meltCurve_Q9NQC3_RTN4.pdf</v>
      </c>
    </row>
    <row r="4928" spans="1:28" x14ac:dyDescent="0.25">
      <c r="A4928" t="s">
        <v>4932</v>
      </c>
      <c r="B4928">
        <v>0.99299721793515405</v>
      </c>
      <c r="C4928">
        <v>1.0731877569144499</v>
      </c>
      <c r="D4928">
        <v>0.94200483474781505</v>
      </c>
      <c r="E4928">
        <v>0.98850568704994701</v>
      </c>
      <c r="F4928">
        <v>0.79690453069031797</v>
      </c>
      <c r="G4928">
        <v>0.56896643879660602</v>
      </c>
      <c r="H4928">
        <v>0.50494210406925799</v>
      </c>
      <c r="I4928">
        <v>0.42253997875065202</v>
      </c>
      <c r="J4928">
        <v>0.205661792101754</v>
      </c>
      <c r="K4928">
        <v>0.13230885594985201</v>
      </c>
      <c r="L4928">
        <v>606.92800752702306</v>
      </c>
      <c r="M4928">
        <v>10.647143362195401</v>
      </c>
      <c r="N4928">
        <v>57.003835409924299</v>
      </c>
      <c r="O4928">
        <v>55.103252081397798</v>
      </c>
      <c r="P4928">
        <v>-4.8323897275375102E-2</v>
      </c>
      <c r="Q4928">
        <v>0</v>
      </c>
      <c r="R4928">
        <v>0.97044453486215299</v>
      </c>
      <c r="S4928" t="s">
        <v>10479</v>
      </c>
      <c r="T4928" t="s">
        <v>11100</v>
      </c>
      <c r="U4928" t="s">
        <v>11100</v>
      </c>
      <c r="V4928" t="s">
        <v>11100</v>
      </c>
      <c r="W4928" t="s">
        <v>15975</v>
      </c>
      <c r="X4928">
        <v>8</v>
      </c>
      <c r="Y4928" t="s">
        <v>21399</v>
      </c>
      <c r="Z4928" t="s">
        <v>26933</v>
      </c>
      <c r="AA4928">
        <v>0.66809900498259445</v>
      </c>
      <c r="AB4928" t="str">
        <f>HYPERLINK("Melting_Curves/meltCurve_Q9NQE9_HINT3.pdf", "Melting_Curves/meltCurve_Q9NQE9_HINT3.pdf")</f>
        <v>Melting_Curves/meltCurve_Q9NQE9_HINT3.pdf</v>
      </c>
    </row>
    <row r="4929" spans="1:28" x14ac:dyDescent="0.25">
      <c r="A4929" t="s">
        <v>4933</v>
      </c>
      <c r="B4929">
        <v>0.99299721793515405</v>
      </c>
      <c r="C4929">
        <v>0.96836813432980495</v>
      </c>
      <c r="D4929">
        <v>0.92862050053122003</v>
      </c>
      <c r="E4929">
        <v>0.90051601558024097</v>
      </c>
      <c r="F4929">
        <v>0.72742336146489806</v>
      </c>
      <c r="G4929">
        <v>0.369880957879967</v>
      </c>
      <c r="H4929">
        <v>0.22157418584795599</v>
      </c>
      <c r="I4929">
        <v>0.19701305146748899</v>
      </c>
      <c r="J4929">
        <v>0.15723433906693901</v>
      </c>
      <c r="K4929">
        <v>0.137929407513247</v>
      </c>
      <c r="L4929">
        <v>1108.1443358102799</v>
      </c>
      <c r="M4929">
        <v>21.480400945316202</v>
      </c>
      <c r="N4929">
        <v>52.406233602437098</v>
      </c>
      <c r="O4929">
        <v>51.147755579004198</v>
      </c>
      <c r="P4929">
        <v>-9.0045873983786606E-2</v>
      </c>
      <c r="Q4929">
        <v>0.14237521911530901</v>
      </c>
      <c r="R4929">
        <v>0.99413927868256402</v>
      </c>
      <c r="S4929" t="s">
        <v>10480</v>
      </c>
      <c r="T4929" t="s">
        <v>11100</v>
      </c>
      <c r="U4929" t="s">
        <v>11100</v>
      </c>
      <c r="V4929" t="s">
        <v>11100</v>
      </c>
      <c r="W4929" t="s">
        <v>15976</v>
      </c>
      <c r="X4929">
        <v>11</v>
      </c>
      <c r="Y4929" t="s">
        <v>21400</v>
      </c>
      <c r="Z4929" t="s">
        <v>26934</v>
      </c>
      <c r="AA4929">
        <v>0.56933977488397158</v>
      </c>
      <c r="AB4929" t="str">
        <f>HYPERLINK("Melting_Curves/meltCurve_Q9NQG5_RPRD1B.pdf", "Melting_Curves/meltCurve_Q9NQG5_RPRD1B.pdf")</f>
        <v>Melting_Curves/meltCurve_Q9NQG5_RPRD1B.pdf</v>
      </c>
    </row>
    <row r="4930" spans="1:28" x14ac:dyDescent="0.25">
      <c r="A4930" t="s">
        <v>4934</v>
      </c>
      <c r="B4930">
        <v>0.99299721793515405</v>
      </c>
      <c r="C4930">
        <v>0.98199307064798502</v>
      </c>
      <c r="D4930">
        <v>0.88785180175858602</v>
      </c>
      <c r="E4930">
        <v>0.70033578733808799</v>
      </c>
      <c r="F4930">
        <v>0.76470775080771103</v>
      </c>
      <c r="G4930">
        <v>0.46133744121586501</v>
      </c>
      <c r="H4930">
        <v>0.40819277072560001</v>
      </c>
      <c r="I4930">
        <v>0.35860871324701099</v>
      </c>
      <c r="J4930">
        <v>0.478353496087008</v>
      </c>
      <c r="K4930">
        <v>0.22143227448192901</v>
      </c>
      <c r="L4930">
        <v>490.72549470777699</v>
      </c>
      <c r="M4930">
        <v>9.6507005968763604</v>
      </c>
      <c r="N4930">
        <v>54.721425129595303</v>
      </c>
      <c r="O4930">
        <v>48.809315389354303</v>
      </c>
      <c r="P4930">
        <v>-3.7219797441981499E-2</v>
      </c>
      <c r="Q4930">
        <v>0.24744888945813601</v>
      </c>
      <c r="R4930">
        <v>0.92003483657716201</v>
      </c>
      <c r="S4930" t="s">
        <v>10481</v>
      </c>
      <c r="T4930" t="s">
        <v>11100</v>
      </c>
      <c r="U4930" t="s">
        <v>11100</v>
      </c>
      <c r="V4930" t="s">
        <v>11100</v>
      </c>
      <c r="W4930" t="s">
        <v>15977</v>
      </c>
      <c r="X4930">
        <v>1</v>
      </c>
      <c r="Y4930" t="s">
        <v>21401</v>
      </c>
      <c r="Z4930" t="s">
        <v>26935</v>
      </c>
      <c r="AA4930">
        <v>0.61882132129923784</v>
      </c>
      <c r="AB4930" t="str">
        <f>HYPERLINK("Melting_Curves/meltCurve_Q9NQG7_3_HPS4.pdf", "Melting_Curves/meltCurve_Q9NQG7_3_HPS4.pdf")</f>
        <v>Melting_Curves/meltCurve_Q9NQG7_3_HPS4.pdf</v>
      </c>
    </row>
    <row r="4931" spans="1:28" x14ac:dyDescent="0.25">
      <c r="A4931" t="s">
        <v>4935</v>
      </c>
      <c r="B4931">
        <v>0.99299721793515405</v>
      </c>
      <c r="C4931">
        <v>0.92118380697204305</v>
      </c>
      <c r="D4931">
        <v>0.90612214810476499</v>
      </c>
      <c r="E4931">
        <v>0.86165819797037702</v>
      </c>
      <c r="F4931">
        <v>0.73339772968632799</v>
      </c>
      <c r="G4931">
        <v>0.601427135023891</v>
      </c>
      <c r="H4931">
        <v>0.56183632806912098</v>
      </c>
      <c r="I4931">
        <v>0.50781524449426296</v>
      </c>
      <c r="J4931">
        <v>0.20011526221492401</v>
      </c>
      <c r="K4931">
        <v>0.18682365251171601</v>
      </c>
      <c r="L4931">
        <v>451.63178207361898</v>
      </c>
      <c r="M4931">
        <v>7.8748478245010798</v>
      </c>
      <c r="N4931">
        <v>57.351175222376803</v>
      </c>
      <c r="O4931">
        <v>54.006059753434201</v>
      </c>
      <c r="P4931">
        <v>-3.6497264199021197E-2</v>
      </c>
      <c r="Q4931">
        <v>0</v>
      </c>
      <c r="R4931">
        <v>0.95056135614180504</v>
      </c>
      <c r="S4931" t="s">
        <v>10482</v>
      </c>
      <c r="T4931" t="s">
        <v>11100</v>
      </c>
      <c r="U4931" t="s">
        <v>11100</v>
      </c>
      <c r="V4931" t="s">
        <v>11100</v>
      </c>
      <c r="W4931" t="s">
        <v>15978</v>
      </c>
      <c r="X4931">
        <v>7</v>
      </c>
      <c r="Y4931" t="s">
        <v>21402</v>
      </c>
      <c r="Z4931" t="s">
        <v>26936</v>
      </c>
      <c r="AA4931">
        <v>0.6631287946277522</v>
      </c>
      <c r="AB4931" t="str">
        <f>HYPERLINK("Melting_Curves/meltCurve_Q9NQH7_2_XPNPEP3.pdf", "Melting_Curves/meltCurve_Q9NQH7_2_XPNPEP3.pdf")</f>
        <v>Melting_Curves/meltCurve_Q9NQH7_2_XPNPEP3.pdf</v>
      </c>
    </row>
    <row r="4932" spans="1:28" x14ac:dyDescent="0.25">
      <c r="A4932" t="s">
        <v>4936</v>
      </c>
      <c r="B4932">
        <v>0.99299721793515405</v>
      </c>
      <c r="C4932">
        <v>0.99860558945362099</v>
      </c>
      <c r="D4932">
        <v>1.1722633549630299</v>
      </c>
      <c r="E4932">
        <v>1.01794131401195</v>
      </c>
      <c r="F4932">
        <v>0.84315604644365905</v>
      </c>
      <c r="G4932">
        <v>0.67257376770169797</v>
      </c>
      <c r="H4932">
        <v>0.65332483406034503</v>
      </c>
      <c r="I4932">
        <v>0.74301324087553799</v>
      </c>
      <c r="J4932">
        <v>0.69608627635438003</v>
      </c>
      <c r="K4932">
        <v>0.59968570654883502</v>
      </c>
      <c r="L4932">
        <v>12554.1081740552</v>
      </c>
      <c r="M4932">
        <v>250</v>
      </c>
      <c r="O4932">
        <v>50.213242170127103</v>
      </c>
      <c r="P4932">
        <v>-0.40709304667591201</v>
      </c>
      <c r="Q4932">
        <v>0.67293676125796398</v>
      </c>
      <c r="R4932">
        <v>0.87918013124382499</v>
      </c>
      <c r="S4932" t="s">
        <v>10483</v>
      </c>
      <c r="T4932" t="s">
        <v>11100</v>
      </c>
      <c r="U4932" t="s">
        <v>11100</v>
      </c>
      <c r="V4932" t="s">
        <v>11100</v>
      </c>
      <c r="W4932" t="s">
        <v>15979</v>
      </c>
      <c r="X4932">
        <v>5</v>
      </c>
      <c r="Y4932" t="s">
        <v>21403</v>
      </c>
      <c r="Z4932" t="s">
        <v>26937</v>
      </c>
      <c r="AA4932">
        <v>0.81705256110778635</v>
      </c>
      <c r="AB4932" t="str">
        <f>HYPERLINK("Melting_Curves/meltCurve_Q9NQL2_RRAGD.pdf", "Melting_Curves/meltCurve_Q9NQL2_RRAGD.pdf")</f>
        <v>Melting_Curves/meltCurve_Q9NQL2_RRAGD.pdf</v>
      </c>
    </row>
    <row r="4933" spans="1:28" x14ac:dyDescent="0.25">
      <c r="A4933" t="s">
        <v>4937</v>
      </c>
      <c r="B4933">
        <v>0.99299721793515405</v>
      </c>
      <c r="C4933">
        <v>0.90736990286036801</v>
      </c>
      <c r="D4933">
        <v>0.92074173862484598</v>
      </c>
      <c r="E4933">
        <v>0.98856070959661502</v>
      </c>
      <c r="F4933">
        <v>0.82532243074663003</v>
      </c>
      <c r="G4933">
        <v>0.58350611378519002</v>
      </c>
      <c r="H4933">
        <v>0.68980024755145197</v>
      </c>
      <c r="I4933">
        <v>0.88264216153800001</v>
      </c>
      <c r="J4933">
        <v>1.0252772079385299</v>
      </c>
      <c r="K4933">
        <v>0.844683345099286</v>
      </c>
      <c r="L4933">
        <v>3604.0475742185999</v>
      </c>
      <c r="M4933">
        <v>74.240631715411794</v>
      </c>
      <c r="O4933">
        <v>48.510298256665003</v>
      </c>
      <c r="P4933">
        <v>-7.4267474550507306E-2</v>
      </c>
      <c r="Q4933">
        <v>0.805888683988632</v>
      </c>
      <c r="R4933">
        <v>0.23505378103003199</v>
      </c>
      <c r="S4933" t="s">
        <v>10484</v>
      </c>
      <c r="T4933" t="s">
        <v>11100</v>
      </c>
      <c r="U4933" t="s">
        <v>11100</v>
      </c>
      <c r="V4933" t="s">
        <v>11100</v>
      </c>
      <c r="W4933" t="s">
        <v>15980</v>
      </c>
      <c r="X4933">
        <v>8</v>
      </c>
      <c r="Y4933" t="s">
        <v>21404</v>
      </c>
      <c r="Z4933" t="s">
        <v>26938</v>
      </c>
      <c r="AA4933">
        <v>0.88078029645994049</v>
      </c>
      <c r="AB4933" t="str">
        <f>HYPERLINK("Melting_Curves/meltCurve_Q9NQP4_PFDN4.pdf", "Melting_Curves/meltCurve_Q9NQP4_PFDN4.pdf")</f>
        <v>Melting_Curves/meltCurve_Q9NQP4_PFDN4.pdf</v>
      </c>
    </row>
    <row r="4934" spans="1:28" x14ac:dyDescent="0.25">
      <c r="A4934" t="s">
        <v>4938</v>
      </c>
      <c r="B4934">
        <v>0.99299721793515405</v>
      </c>
      <c r="C4934">
        <v>1.00197207095636</v>
      </c>
      <c r="D4934">
        <v>0.94813245099725396</v>
      </c>
      <c r="E4934">
        <v>0.95931575562076299</v>
      </c>
      <c r="F4934">
        <v>0.73161527238777002</v>
      </c>
      <c r="G4934">
        <v>0.59975787024643201</v>
      </c>
      <c r="H4934">
        <v>0.48830176419905202</v>
      </c>
      <c r="I4934">
        <v>0.307871486625724</v>
      </c>
      <c r="J4934">
        <v>0.15984450414635601</v>
      </c>
      <c r="K4934">
        <v>0.127726248662139</v>
      </c>
      <c r="L4934">
        <v>623.57876045818</v>
      </c>
      <c r="M4934">
        <v>11.120083940160701</v>
      </c>
      <c r="N4934">
        <v>56.0768033843163</v>
      </c>
      <c r="O4934">
        <v>54.3549677275413</v>
      </c>
      <c r="P4934">
        <v>-5.11622353827886E-2</v>
      </c>
      <c r="Q4934">
        <v>0</v>
      </c>
      <c r="R4934">
        <v>0.98953605796699795</v>
      </c>
      <c r="S4934" t="s">
        <v>10485</v>
      </c>
      <c r="T4934" t="s">
        <v>11100</v>
      </c>
      <c r="U4934" t="s">
        <v>11100</v>
      </c>
      <c r="V4934" t="s">
        <v>11100</v>
      </c>
      <c r="W4934" t="s">
        <v>15981</v>
      </c>
      <c r="X4934">
        <v>19</v>
      </c>
      <c r="Y4934" t="s">
        <v>21405</v>
      </c>
      <c r="Z4934" t="s">
        <v>26939</v>
      </c>
      <c r="AA4934">
        <v>0.64398396241792366</v>
      </c>
      <c r="AB4934" t="str">
        <f>HYPERLINK("Melting_Curves/meltCurve_Q9NQR4_NIT2.pdf", "Melting_Curves/meltCurve_Q9NQR4_NIT2.pdf")</f>
        <v>Melting_Curves/meltCurve_Q9NQR4_NIT2.pdf</v>
      </c>
    </row>
    <row r="4935" spans="1:28" x14ac:dyDescent="0.25">
      <c r="A4935" t="s">
        <v>4939</v>
      </c>
      <c r="B4935">
        <v>0.99299721793515405</v>
      </c>
      <c r="C4935">
        <v>0.93404527105133905</v>
      </c>
      <c r="D4935">
        <v>0.93842879414520297</v>
      </c>
      <c r="E4935">
        <v>0.82919387671144196</v>
      </c>
      <c r="F4935">
        <v>0.73726210019011196</v>
      </c>
      <c r="G4935">
        <v>0.65679091293848602</v>
      </c>
      <c r="H4935">
        <v>0.55530944027269502</v>
      </c>
      <c r="I4935">
        <v>0.51461414864656896</v>
      </c>
      <c r="J4935">
        <v>0.78609401439447801</v>
      </c>
      <c r="K4935">
        <v>0.71992699721092301</v>
      </c>
      <c r="L4935">
        <v>898.41570351520795</v>
      </c>
      <c r="M4935">
        <v>19.289845129247599</v>
      </c>
      <c r="O4935">
        <v>46.082642077545103</v>
      </c>
      <c r="P4935">
        <v>-3.73329749567251E-2</v>
      </c>
      <c r="Q4935">
        <v>0.64326551210780603</v>
      </c>
      <c r="R4935">
        <v>0.76286843536355697</v>
      </c>
      <c r="S4935" t="s">
        <v>10486</v>
      </c>
      <c r="T4935" t="s">
        <v>11100</v>
      </c>
      <c r="U4935" t="s">
        <v>11100</v>
      </c>
      <c r="V4935" t="s">
        <v>11100</v>
      </c>
      <c r="W4935" t="s">
        <v>15982</v>
      </c>
      <c r="X4935">
        <v>4</v>
      </c>
      <c r="Y4935" t="s">
        <v>21406</v>
      </c>
      <c r="Z4935" t="s">
        <v>26940</v>
      </c>
      <c r="AA4935">
        <v>0.76212950730883677</v>
      </c>
      <c r="AB4935" t="str">
        <f>HYPERLINK("Melting_Curves/meltCurve_Q9NQS1_AVEN.pdf", "Melting_Curves/meltCurve_Q9NQS1_AVEN.pdf")</f>
        <v>Melting_Curves/meltCurve_Q9NQS1_AVEN.pdf</v>
      </c>
    </row>
    <row r="4936" spans="1:28" x14ac:dyDescent="0.25">
      <c r="A4936" t="s">
        <v>4940</v>
      </c>
      <c r="B4936">
        <v>0.99299721793515405</v>
      </c>
      <c r="C4936">
        <v>0.96500998498496404</v>
      </c>
      <c r="D4936">
        <v>0.92345088284842902</v>
      </c>
      <c r="E4936">
        <v>0.90513695240257996</v>
      </c>
      <c r="F4936">
        <v>1.1224724793029599</v>
      </c>
      <c r="G4936">
        <v>2.68180240408577</v>
      </c>
      <c r="H4936">
        <v>2.3227707913292601</v>
      </c>
      <c r="I4936">
        <v>1.27248054772893</v>
      </c>
      <c r="J4936">
        <v>0.430264639096749</v>
      </c>
      <c r="K4936">
        <v>0.31749383952142801</v>
      </c>
      <c r="L4936">
        <v>15000</v>
      </c>
      <c r="M4936">
        <v>235.62798244434899</v>
      </c>
      <c r="N4936">
        <v>63.933038999527398</v>
      </c>
      <c r="O4936">
        <v>63.655078494386501</v>
      </c>
      <c r="P4936">
        <v>-0.63164634928661401</v>
      </c>
      <c r="Q4936">
        <v>0.31744095747960099</v>
      </c>
      <c r="R4936">
        <v>8.1649506575763101E-2</v>
      </c>
      <c r="S4936" t="s">
        <v>10487</v>
      </c>
      <c r="T4936" t="s">
        <v>11100</v>
      </c>
      <c r="U4936" t="s">
        <v>11100</v>
      </c>
      <c r="V4936" t="s">
        <v>11100</v>
      </c>
      <c r="W4936" t="s">
        <v>15983</v>
      </c>
      <c r="X4936">
        <v>7</v>
      </c>
      <c r="Y4936" t="s">
        <v>21407</v>
      </c>
      <c r="Z4936" t="s">
        <v>26941</v>
      </c>
      <c r="AA4936">
        <v>0.92408674747551911</v>
      </c>
      <c r="AB4936" t="str">
        <f>HYPERLINK("Melting_Curves/meltCurve_Q9NQT4_EXOSC5.pdf", "Melting_Curves/meltCurve_Q9NQT4_EXOSC5.pdf")</f>
        <v>Melting_Curves/meltCurve_Q9NQT4_EXOSC5.pdf</v>
      </c>
    </row>
    <row r="4937" spans="1:28" x14ac:dyDescent="0.25">
      <c r="A4937" t="s">
        <v>4941</v>
      </c>
      <c r="B4937">
        <v>0.99299721793515405</v>
      </c>
      <c r="C4937">
        <v>1.1137136424684</v>
      </c>
      <c r="D4937">
        <v>0.87137283940563204</v>
      </c>
      <c r="E4937">
        <v>0.96546034819838</v>
      </c>
      <c r="F4937">
        <v>0.60254505340584796</v>
      </c>
      <c r="G4937">
        <v>0.24512632809042201</v>
      </c>
      <c r="H4937">
        <v>0.112033898369694</v>
      </c>
      <c r="I4937">
        <v>8.2662375298093699E-2</v>
      </c>
      <c r="J4937">
        <v>5.5863503288148701E-2</v>
      </c>
      <c r="K4937">
        <v>3.9785596892674399E-2</v>
      </c>
      <c r="L4937">
        <v>1333.3050499615699</v>
      </c>
      <c r="M4937">
        <v>26.182977167559301</v>
      </c>
      <c r="N4937">
        <v>51.154325372317899</v>
      </c>
      <c r="O4937">
        <v>50.628334092449499</v>
      </c>
      <c r="P4937">
        <v>-0.122061143660667</v>
      </c>
      <c r="Q4937">
        <v>5.5923628732140997E-2</v>
      </c>
      <c r="R4937">
        <v>0.98296046336681298</v>
      </c>
      <c r="S4937" t="s">
        <v>10488</v>
      </c>
      <c r="T4937" t="s">
        <v>11100</v>
      </c>
      <c r="U4937" t="s">
        <v>11100</v>
      </c>
      <c r="V4937" t="s">
        <v>11100</v>
      </c>
      <c r="W4937" t="s">
        <v>15984</v>
      </c>
      <c r="X4937">
        <v>5</v>
      </c>
      <c r="Y4937" t="s">
        <v>21408</v>
      </c>
      <c r="Z4937" t="s">
        <v>26942</v>
      </c>
      <c r="AA4937">
        <v>0.50168971532386653</v>
      </c>
      <c r="AB4937" t="str">
        <f>HYPERLINK("Melting_Curves/meltCurve_Q9NQT8_KIF13B.pdf", "Melting_Curves/meltCurve_Q9NQT8_KIF13B.pdf")</f>
        <v>Melting_Curves/meltCurve_Q9NQT8_KIF13B.pdf</v>
      </c>
    </row>
    <row r="4938" spans="1:28" x14ac:dyDescent="0.25">
      <c r="A4938" t="s">
        <v>4942</v>
      </c>
      <c r="B4938">
        <v>0.99299721793515405</v>
      </c>
      <c r="C4938">
        <v>0.92380095218270497</v>
      </c>
      <c r="D4938">
        <v>0.95852916946347999</v>
      </c>
      <c r="E4938">
        <v>0.77694972791505501</v>
      </c>
      <c r="F4938">
        <v>0.55805502042844601</v>
      </c>
      <c r="G4938">
        <v>0.30500684286438501</v>
      </c>
      <c r="H4938">
        <v>0.34731073333534501</v>
      </c>
      <c r="I4938">
        <v>0.32415137044483</v>
      </c>
      <c r="J4938">
        <v>0.22816311946638199</v>
      </c>
      <c r="K4938">
        <v>0.133028250695989</v>
      </c>
      <c r="L4938">
        <v>756.198861457813</v>
      </c>
      <c r="M4938">
        <v>15.3201547893162</v>
      </c>
      <c r="N4938">
        <v>51.099625584685498</v>
      </c>
      <c r="O4938">
        <v>48.5416647017868</v>
      </c>
      <c r="P4938">
        <v>-6.2873049073623205E-2</v>
      </c>
      <c r="Q4938">
        <v>0.203225112285917</v>
      </c>
      <c r="R4938">
        <v>0.97262168989855402</v>
      </c>
      <c r="S4938" t="s">
        <v>10489</v>
      </c>
      <c r="T4938" t="s">
        <v>11100</v>
      </c>
      <c r="U4938" t="s">
        <v>11100</v>
      </c>
      <c r="V4938" t="s">
        <v>11100</v>
      </c>
      <c r="W4938" t="s">
        <v>15985</v>
      </c>
      <c r="X4938">
        <v>24</v>
      </c>
      <c r="Y4938" t="s">
        <v>21409</v>
      </c>
      <c r="Z4938" t="s">
        <v>26943</v>
      </c>
      <c r="AA4938">
        <v>0.54792451150434618</v>
      </c>
      <c r="AB4938" t="str">
        <f>HYPERLINK("Melting_Curves/meltCurve_Q9NQW6_ANLN.pdf", "Melting_Curves/meltCurve_Q9NQW6_ANLN.pdf")</f>
        <v>Melting_Curves/meltCurve_Q9NQW6_ANLN.pdf</v>
      </c>
    </row>
    <row r="4939" spans="1:28" x14ac:dyDescent="0.25">
      <c r="A4939" t="s">
        <v>4943</v>
      </c>
      <c r="B4939">
        <v>0.99299721793515405</v>
      </c>
      <c r="C4939">
        <v>1.0289951836565401</v>
      </c>
      <c r="D4939">
        <v>1.08918486008316</v>
      </c>
      <c r="E4939">
        <v>0.94682199546434798</v>
      </c>
      <c r="F4939">
        <v>0.84091535602038803</v>
      </c>
      <c r="G4939">
        <v>0.69343402711415503</v>
      </c>
      <c r="H4939">
        <v>0.38809627802670299</v>
      </c>
      <c r="I4939">
        <v>0.26828183338436601</v>
      </c>
      <c r="J4939">
        <v>0.208461763105765</v>
      </c>
      <c r="K4939">
        <v>0.15735373619968801</v>
      </c>
      <c r="L4939">
        <v>982.14538328376398</v>
      </c>
      <c r="M4939">
        <v>17.824797198578199</v>
      </c>
      <c r="N4939">
        <v>56.049040296726702</v>
      </c>
      <c r="O4939">
        <v>54.420475043691297</v>
      </c>
      <c r="P4939">
        <v>-7.1221257666395005E-2</v>
      </c>
      <c r="Q4939">
        <v>0.13026871914747701</v>
      </c>
      <c r="R4939">
        <v>0.98896715644401501</v>
      </c>
      <c r="S4939" t="s">
        <v>10490</v>
      </c>
      <c r="T4939" t="s">
        <v>11100</v>
      </c>
      <c r="U4939" t="s">
        <v>11100</v>
      </c>
      <c r="V4939" t="s">
        <v>11100</v>
      </c>
      <c r="W4939" t="s">
        <v>15986</v>
      </c>
      <c r="X4939">
        <v>25</v>
      </c>
      <c r="Y4939" t="s">
        <v>21410</v>
      </c>
      <c r="Z4939" t="s">
        <v>26944</v>
      </c>
      <c r="AA4939">
        <v>0.66590670547554665</v>
      </c>
      <c r="AB4939" t="str">
        <f>HYPERLINK("Melting_Curves/meltCurve_Q9NQW7_3_XPNPEP1.pdf", "Melting_Curves/meltCurve_Q9NQW7_3_XPNPEP1.pdf")</f>
        <v>Melting_Curves/meltCurve_Q9NQW7_3_XPNPEP1.pdf</v>
      </c>
    </row>
    <row r="4940" spans="1:28" x14ac:dyDescent="0.25">
      <c r="A4940" t="s">
        <v>4944</v>
      </c>
      <c r="B4940">
        <v>0.99299721793515405</v>
      </c>
      <c r="C4940">
        <v>1.00810273857543</v>
      </c>
      <c r="D4940">
        <v>0.91617420097331403</v>
      </c>
      <c r="E4940">
        <v>0.95315927163098402</v>
      </c>
      <c r="F4940">
        <v>0.68847482723783304</v>
      </c>
      <c r="G4940">
        <v>0.42947298346059998</v>
      </c>
      <c r="H4940">
        <v>0.22027117519445499</v>
      </c>
      <c r="I4940">
        <v>0.180848274447516</v>
      </c>
      <c r="J4940">
        <v>0.15295520277265401</v>
      </c>
      <c r="K4940">
        <v>0.14877408097755199</v>
      </c>
      <c r="L4940">
        <v>1060.19775877087</v>
      </c>
      <c r="M4940">
        <v>20.464599958587598</v>
      </c>
      <c r="N4940">
        <v>52.6280431144625</v>
      </c>
      <c r="O4940">
        <v>51.319351319377098</v>
      </c>
      <c r="P4940">
        <v>-8.6063035488691306E-2</v>
      </c>
      <c r="Q4940">
        <v>0.13673995551260501</v>
      </c>
      <c r="R4940">
        <v>0.99438677561746303</v>
      </c>
      <c r="S4940" t="s">
        <v>10491</v>
      </c>
      <c r="T4940" t="s">
        <v>11100</v>
      </c>
      <c r="U4940" t="s">
        <v>11100</v>
      </c>
      <c r="V4940" t="s">
        <v>11100</v>
      </c>
      <c r="W4940" t="s">
        <v>15987</v>
      </c>
      <c r="X4940">
        <v>5</v>
      </c>
      <c r="Y4940" t="s">
        <v>21411</v>
      </c>
      <c r="Z4940" t="s">
        <v>26945</v>
      </c>
      <c r="AA4940">
        <v>0.57358270195751826</v>
      </c>
      <c r="AB4940" t="str">
        <f>HYPERLINK("Melting_Curves/meltCurve_Q9NQZ5_STARD7.pdf", "Melting_Curves/meltCurve_Q9NQZ5_STARD7.pdf")</f>
        <v>Melting_Curves/meltCurve_Q9NQZ5_STARD7.pdf</v>
      </c>
    </row>
    <row r="4941" spans="1:28" x14ac:dyDescent="0.25">
      <c r="A4941" t="s">
        <v>4945</v>
      </c>
      <c r="B4941">
        <v>0.99299721793515405</v>
      </c>
      <c r="C4941">
        <v>1.0161839040690199</v>
      </c>
      <c r="D4941">
        <v>0.97575416383221403</v>
      </c>
      <c r="E4941">
        <v>0.88875179553841099</v>
      </c>
      <c r="F4941">
        <v>0.59493384778388303</v>
      </c>
      <c r="G4941">
        <v>0.26622519854245902</v>
      </c>
      <c r="H4941">
        <v>0.134302827266471</v>
      </c>
      <c r="I4941">
        <v>0.12713214828241301</v>
      </c>
      <c r="J4941">
        <v>0.12209713186903599</v>
      </c>
      <c r="K4941">
        <v>0.10431900430279099</v>
      </c>
      <c r="L4941">
        <v>1237.3559682360301</v>
      </c>
      <c r="M4941">
        <v>24.4993071757156</v>
      </c>
      <c r="N4941">
        <v>51.001839577799601</v>
      </c>
      <c r="O4941">
        <v>50.172863744494698</v>
      </c>
      <c r="P4941">
        <v>-0.10913399381667301</v>
      </c>
      <c r="Q4941">
        <v>0.10601799930836101</v>
      </c>
      <c r="R4941">
        <v>0.99924265111670396</v>
      </c>
      <c r="S4941" t="s">
        <v>10492</v>
      </c>
      <c r="T4941" t="s">
        <v>11100</v>
      </c>
      <c r="U4941" t="s">
        <v>11100</v>
      </c>
      <c r="V4941" t="s">
        <v>11100</v>
      </c>
      <c r="W4941" t="s">
        <v>15988</v>
      </c>
      <c r="X4941">
        <v>6</v>
      </c>
      <c r="Y4941" t="s">
        <v>21412</v>
      </c>
      <c r="Z4941" t="s">
        <v>26946</v>
      </c>
      <c r="AA4941">
        <v>0.51664217497895526</v>
      </c>
      <c r="AB4941" t="str">
        <f>HYPERLINK("Melting_Curves/meltCurve_Q9NR12_PDLIM7.pdf", "Melting_Curves/meltCurve_Q9NR12_PDLIM7.pdf")</f>
        <v>Melting_Curves/meltCurve_Q9NR12_PDLIM7.pdf</v>
      </c>
    </row>
    <row r="4942" spans="1:28" x14ac:dyDescent="0.25">
      <c r="A4942" t="s">
        <v>4946</v>
      </c>
      <c r="B4942">
        <v>0.99299721793515405</v>
      </c>
      <c r="C4942">
        <v>1.0051865593417799</v>
      </c>
      <c r="D4942">
        <v>0.88479998414991501</v>
      </c>
      <c r="E4942">
        <v>0.79026144533972398</v>
      </c>
      <c r="F4942">
        <v>0.77064711135069397</v>
      </c>
      <c r="G4942">
        <v>0.47209007380773998</v>
      </c>
      <c r="H4942">
        <v>0.24936906565303099</v>
      </c>
      <c r="I4942">
        <v>0.202874465796684</v>
      </c>
      <c r="J4942">
        <v>0.205566398366957</v>
      </c>
      <c r="K4942">
        <v>0.16006402793809099</v>
      </c>
      <c r="L4942">
        <v>686.28330440756201</v>
      </c>
      <c r="M4942">
        <v>13.100599514859301</v>
      </c>
      <c r="N4942">
        <v>53.265725545139802</v>
      </c>
      <c r="O4942">
        <v>51.210114875867603</v>
      </c>
      <c r="P4942">
        <v>-5.77412052856556E-2</v>
      </c>
      <c r="Q4942">
        <v>9.7315558009173006E-2</v>
      </c>
      <c r="R4942">
        <v>0.97842872501154599</v>
      </c>
      <c r="S4942" t="s">
        <v>10493</v>
      </c>
      <c r="T4942" t="s">
        <v>11100</v>
      </c>
      <c r="U4942" t="s">
        <v>11100</v>
      </c>
      <c r="V4942" t="s">
        <v>11100</v>
      </c>
      <c r="W4942" t="s">
        <v>15989</v>
      </c>
      <c r="X4942">
        <v>7</v>
      </c>
      <c r="Y4942" t="s">
        <v>21413</v>
      </c>
      <c r="Z4942" t="s">
        <v>26947</v>
      </c>
      <c r="AA4942">
        <v>0.57947761982692647</v>
      </c>
      <c r="AB4942" t="str">
        <f>HYPERLINK("Melting_Curves/meltCurve_Q9NR19_ACSS2.pdf", "Melting_Curves/meltCurve_Q9NR19_ACSS2.pdf")</f>
        <v>Melting_Curves/meltCurve_Q9NR19_ACSS2.pdf</v>
      </c>
    </row>
    <row r="4943" spans="1:28" x14ac:dyDescent="0.25">
      <c r="A4943" t="s">
        <v>4947</v>
      </c>
      <c r="B4943">
        <v>0.99299721793515405</v>
      </c>
      <c r="C4943">
        <v>0.92043296117845397</v>
      </c>
      <c r="D4943">
        <v>0.86411729336708099</v>
      </c>
      <c r="E4943">
        <v>0.79836507285133496</v>
      </c>
      <c r="F4943">
        <v>0.68054210945625904</v>
      </c>
      <c r="G4943">
        <v>0.57858894429015395</v>
      </c>
      <c r="H4943">
        <v>0.63527739455903998</v>
      </c>
      <c r="I4943">
        <v>0.56133321119864299</v>
      </c>
      <c r="J4943">
        <v>0.49731584375618498</v>
      </c>
      <c r="K4943">
        <v>0.34915692515664898</v>
      </c>
      <c r="L4943">
        <v>273.286491349176</v>
      </c>
      <c r="M4943">
        <v>4.5861684169527699</v>
      </c>
      <c r="N4943">
        <v>61.536301448863099</v>
      </c>
      <c r="O4943">
        <v>50.902181284991201</v>
      </c>
      <c r="P4943">
        <v>-2.1175668073195299E-2</v>
      </c>
      <c r="Q4943">
        <v>6.7535106431838299E-2</v>
      </c>
      <c r="R4943">
        <v>0.94301292589889996</v>
      </c>
      <c r="S4943" t="s">
        <v>10494</v>
      </c>
      <c r="T4943" t="s">
        <v>11100</v>
      </c>
      <c r="U4943" t="s">
        <v>11100</v>
      </c>
      <c r="V4943" t="s">
        <v>11100</v>
      </c>
      <c r="W4943" t="s">
        <v>15990</v>
      </c>
      <c r="X4943">
        <v>8</v>
      </c>
      <c r="Y4943" t="s">
        <v>21414</v>
      </c>
      <c r="Z4943" t="s">
        <v>26948</v>
      </c>
      <c r="AA4943">
        <v>0.68533292083192543</v>
      </c>
      <c r="AB4943" t="str">
        <f>HYPERLINK("Melting_Curves/meltCurve_Q9NR28_2_DIABLO.pdf", "Melting_Curves/meltCurve_Q9NR28_2_DIABLO.pdf")</f>
        <v>Melting_Curves/meltCurve_Q9NR28_2_DIABLO.pdf</v>
      </c>
    </row>
    <row r="4944" spans="1:28" x14ac:dyDescent="0.25">
      <c r="A4944" t="s">
        <v>4948</v>
      </c>
      <c r="B4944">
        <v>0.99299721793515405</v>
      </c>
      <c r="C4944">
        <v>0.88410434337982902</v>
      </c>
      <c r="D4944">
        <v>0.88314904578028797</v>
      </c>
      <c r="E4944">
        <v>0.78013287111656204</v>
      </c>
      <c r="F4944">
        <v>0.74624151685050799</v>
      </c>
      <c r="G4944">
        <v>0.40087675532037698</v>
      </c>
      <c r="H4944">
        <v>0.40077706278512198</v>
      </c>
      <c r="I4944">
        <v>0.38574373473993401</v>
      </c>
      <c r="J4944">
        <v>0.44220376284514801</v>
      </c>
      <c r="K4944">
        <v>0.31029285570128701</v>
      </c>
      <c r="L4944">
        <v>559.79809406888603</v>
      </c>
      <c r="M4944">
        <v>11.2750844447823</v>
      </c>
      <c r="N4944">
        <v>54.249275543935099</v>
      </c>
      <c r="O4944">
        <v>48.164216871407703</v>
      </c>
      <c r="P4944">
        <v>-4.0522679939056103E-2</v>
      </c>
      <c r="Q4944">
        <v>0.30780310637969499</v>
      </c>
      <c r="R4944">
        <v>0.93275137831830102</v>
      </c>
      <c r="S4944" t="s">
        <v>10495</v>
      </c>
      <c r="T4944" t="s">
        <v>11100</v>
      </c>
      <c r="U4944" t="s">
        <v>11100</v>
      </c>
      <c r="V4944" t="s">
        <v>11100</v>
      </c>
      <c r="W4944" t="s">
        <v>15991</v>
      </c>
      <c r="X4944">
        <v>9</v>
      </c>
      <c r="Y4944" t="s">
        <v>21415</v>
      </c>
      <c r="Z4944" t="s">
        <v>26949</v>
      </c>
      <c r="AA4944">
        <v>0.62099219937894623</v>
      </c>
      <c r="AB4944" t="str">
        <f>HYPERLINK("Melting_Curves/meltCurve_Q9NR30_DDX21.pdf", "Melting_Curves/meltCurve_Q9NR30_DDX21.pdf")</f>
        <v>Melting_Curves/meltCurve_Q9NR30_DDX21.pdf</v>
      </c>
    </row>
    <row r="4945" spans="1:28" x14ac:dyDescent="0.25">
      <c r="A4945" t="s">
        <v>4949</v>
      </c>
      <c r="B4945">
        <v>0.99299721793515405</v>
      </c>
      <c r="C4945">
        <v>1.0762354821426301</v>
      </c>
      <c r="D4945">
        <v>1.09541452968574</v>
      </c>
      <c r="E4945">
        <v>0.94001299839877595</v>
      </c>
      <c r="F4945">
        <v>0.87874632946075504</v>
      </c>
      <c r="G4945">
        <v>0.582714079979608</v>
      </c>
      <c r="H4945">
        <v>0.27373997048552801</v>
      </c>
      <c r="I4945">
        <v>0.19174014088163499</v>
      </c>
      <c r="J4945">
        <v>0.145842836412927</v>
      </c>
      <c r="K4945">
        <v>0.103970736212526</v>
      </c>
      <c r="L4945">
        <v>1271.49819527303</v>
      </c>
      <c r="M4945">
        <v>23.542357848019801</v>
      </c>
      <c r="N4945">
        <v>54.611146319467302</v>
      </c>
      <c r="O4945">
        <v>53.623795986062099</v>
      </c>
      <c r="P4945">
        <v>-9.7211359234416803E-2</v>
      </c>
      <c r="Q4945">
        <v>0.114319277294243</v>
      </c>
      <c r="R4945">
        <v>0.98811791230514601</v>
      </c>
      <c r="S4945" t="s">
        <v>10496</v>
      </c>
      <c r="T4945" t="s">
        <v>11100</v>
      </c>
      <c r="U4945" t="s">
        <v>11100</v>
      </c>
      <c r="V4945" t="s">
        <v>11100</v>
      </c>
      <c r="W4945" t="s">
        <v>15992</v>
      </c>
      <c r="X4945">
        <v>9</v>
      </c>
      <c r="Y4945" t="s">
        <v>21416</v>
      </c>
      <c r="Z4945" t="s">
        <v>26950</v>
      </c>
      <c r="AA4945">
        <v>0.6249683887985874</v>
      </c>
      <c r="AB4945" t="str">
        <f>HYPERLINK("Melting_Curves/meltCurve_Q9NR31_SAR1A.pdf", "Melting_Curves/meltCurve_Q9NR31_SAR1A.pdf")</f>
        <v>Melting_Curves/meltCurve_Q9NR31_SAR1A.pdf</v>
      </c>
    </row>
    <row r="4946" spans="1:28" x14ac:dyDescent="0.25">
      <c r="A4946" t="s">
        <v>4950</v>
      </c>
      <c r="B4946">
        <v>0.99299721793515405</v>
      </c>
      <c r="C4946">
        <v>0.94594032634329805</v>
      </c>
      <c r="D4946">
        <v>1.0170833264391199</v>
      </c>
      <c r="E4946">
        <v>0.96354820564048305</v>
      </c>
      <c r="F4946">
        <v>0.86787799113070696</v>
      </c>
      <c r="G4946">
        <v>0.56409103390284199</v>
      </c>
      <c r="H4946">
        <v>0.34937885516150902</v>
      </c>
      <c r="I4946">
        <v>0.35455505761612999</v>
      </c>
      <c r="J4946">
        <v>0.36814748217507298</v>
      </c>
      <c r="K4946">
        <v>0.32653854215870998</v>
      </c>
      <c r="L4946">
        <v>1623.83550923811</v>
      </c>
      <c r="M4946">
        <v>30.9268949936688</v>
      </c>
      <c r="N4946">
        <v>54.491222676906197</v>
      </c>
      <c r="O4946">
        <v>52.287549155423399</v>
      </c>
      <c r="P4946">
        <v>-9.7891557321587996E-2</v>
      </c>
      <c r="Q4946">
        <v>0.337989792270107</v>
      </c>
      <c r="R4946">
        <v>0.99284543613329801</v>
      </c>
      <c r="S4946" t="s">
        <v>10497</v>
      </c>
      <c r="T4946" t="s">
        <v>11100</v>
      </c>
      <c r="U4946" t="s">
        <v>11100</v>
      </c>
      <c r="V4946" t="s">
        <v>11100</v>
      </c>
      <c r="W4946" t="s">
        <v>15993</v>
      </c>
      <c r="X4946">
        <v>6</v>
      </c>
      <c r="Y4946" t="s">
        <v>21417</v>
      </c>
      <c r="Z4946" t="s">
        <v>26951</v>
      </c>
      <c r="AA4946">
        <v>0.68411412579560937</v>
      </c>
      <c r="AB4946" t="str">
        <f>HYPERLINK("Melting_Curves/meltCurve_Q9NR33_POLE4.pdf", "Melting_Curves/meltCurve_Q9NR33_POLE4.pdf")</f>
        <v>Melting_Curves/meltCurve_Q9NR33_POLE4.pdf</v>
      </c>
    </row>
    <row r="4947" spans="1:28" x14ac:dyDescent="0.25">
      <c r="A4947" t="s">
        <v>4951</v>
      </c>
      <c r="B4947">
        <v>0.99299721793515405</v>
      </c>
      <c r="C4947">
        <v>1.0081543470768799</v>
      </c>
      <c r="D4947">
        <v>1.01286992607866</v>
      </c>
      <c r="E4947">
        <v>0.92920742939830803</v>
      </c>
      <c r="F4947">
        <v>0.75020031807805199</v>
      </c>
      <c r="G4947">
        <v>0.64436783892892702</v>
      </c>
      <c r="H4947">
        <v>0.46220491758335303</v>
      </c>
      <c r="I4947">
        <v>0.17175258777604099</v>
      </c>
      <c r="J4947">
        <v>0.117645881412218</v>
      </c>
      <c r="K4947">
        <v>8.7725537682101201E-2</v>
      </c>
      <c r="L4947">
        <v>767.36790226881396</v>
      </c>
      <c r="M4947">
        <v>13.791527912044</v>
      </c>
      <c r="N4947">
        <v>55.640528813931702</v>
      </c>
      <c r="O4947">
        <v>54.509844136041004</v>
      </c>
      <c r="P4947">
        <v>-6.3261340411534306E-2</v>
      </c>
      <c r="Q4947">
        <v>0</v>
      </c>
      <c r="R4947">
        <v>0.98894784819287795</v>
      </c>
      <c r="S4947" t="s">
        <v>10498</v>
      </c>
      <c r="T4947" t="s">
        <v>11100</v>
      </c>
      <c r="U4947" t="s">
        <v>11100</v>
      </c>
      <c r="V4947" t="s">
        <v>11100</v>
      </c>
      <c r="W4947" t="s">
        <v>15994</v>
      </c>
      <c r="X4947">
        <v>28</v>
      </c>
      <c r="Y4947" t="s">
        <v>21418</v>
      </c>
      <c r="Z4947" t="s">
        <v>26952</v>
      </c>
      <c r="AA4947">
        <v>0.63376207754727176</v>
      </c>
      <c r="AB4947" t="str">
        <f>HYPERLINK("Melting_Curves/meltCurve_Q9NR45_NANS.pdf", "Melting_Curves/meltCurve_Q9NR45_NANS.pdf")</f>
        <v>Melting_Curves/meltCurve_Q9NR45_NANS.pdf</v>
      </c>
    </row>
    <row r="4948" spans="1:28" x14ac:dyDescent="0.25">
      <c r="A4948" t="s">
        <v>4952</v>
      </c>
      <c r="B4948">
        <v>0.99299721793515405</v>
      </c>
      <c r="C4948">
        <v>0.98043626414396801</v>
      </c>
      <c r="D4948">
        <v>0.94836749090010897</v>
      </c>
      <c r="E4948">
        <v>0.84867407668904105</v>
      </c>
      <c r="F4948">
        <v>0.49269805694602897</v>
      </c>
      <c r="G4948">
        <v>0.28220509100691898</v>
      </c>
      <c r="H4948">
        <v>0.20773331052027499</v>
      </c>
      <c r="I4948">
        <v>0.16983778821220399</v>
      </c>
      <c r="J4948">
        <v>0.13339623396383299</v>
      </c>
      <c r="K4948">
        <v>0.10873728008504301</v>
      </c>
      <c r="L4948">
        <v>1025.4240886502801</v>
      </c>
      <c r="M4948">
        <v>20.660028138504899</v>
      </c>
      <c r="N4948">
        <v>50.388540069819904</v>
      </c>
      <c r="O4948">
        <v>49.175248010935498</v>
      </c>
      <c r="P4948">
        <v>-9.1048823335378795E-2</v>
      </c>
      <c r="Q4948">
        <v>0.13316278889788499</v>
      </c>
      <c r="R4948">
        <v>0.99719943403575295</v>
      </c>
      <c r="S4948" t="s">
        <v>10499</v>
      </c>
      <c r="T4948" t="s">
        <v>11100</v>
      </c>
      <c r="U4948" t="s">
        <v>11100</v>
      </c>
      <c r="V4948" t="s">
        <v>11100</v>
      </c>
      <c r="W4948" t="s">
        <v>15995</v>
      </c>
      <c r="X4948">
        <v>18</v>
      </c>
      <c r="Y4948" t="s">
        <v>21419</v>
      </c>
      <c r="Z4948" t="s">
        <v>26953</v>
      </c>
      <c r="AA4948">
        <v>0.50897245774570887</v>
      </c>
      <c r="AB4948" t="str">
        <f>HYPERLINK("Melting_Curves/meltCurve_Q9NR50_EIF2B3.pdf", "Melting_Curves/meltCurve_Q9NR50_EIF2B3.pdf")</f>
        <v>Melting_Curves/meltCurve_Q9NR50_EIF2B3.pdf</v>
      </c>
    </row>
    <row r="4949" spans="1:28" x14ac:dyDescent="0.25">
      <c r="A4949" t="s">
        <v>4953</v>
      </c>
      <c r="B4949">
        <v>0.99299721793515405</v>
      </c>
      <c r="C4949">
        <v>1.0510604347896899</v>
      </c>
      <c r="D4949">
        <v>1.6799482778260899</v>
      </c>
      <c r="E4949">
        <v>0.87178134748087999</v>
      </c>
      <c r="F4949">
        <v>0.61379924357656601</v>
      </c>
      <c r="G4949">
        <v>0.42721897359130001</v>
      </c>
      <c r="H4949">
        <v>0.30386021767176302</v>
      </c>
      <c r="I4949">
        <v>0.305332401933055</v>
      </c>
      <c r="J4949">
        <v>0.280676091999566</v>
      </c>
      <c r="K4949">
        <v>0.34206761294621701</v>
      </c>
      <c r="L4949">
        <v>1608.94816043745</v>
      </c>
      <c r="M4949">
        <v>32.2537073597953</v>
      </c>
      <c r="N4949">
        <v>51.471754004809398</v>
      </c>
      <c r="O4949">
        <v>49.693545335260602</v>
      </c>
      <c r="P4949">
        <v>-0.11113300749802101</v>
      </c>
      <c r="Q4949">
        <v>0.31510929341646898</v>
      </c>
      <c r="R4949">
        <v>0.746895872607516</v>
      </c>
      <c r="S4949" t="s">
        <v>10500</v>
      </c>
      <c r="T4949" t="s">
        <v>11100</v>
      </c>
      <c r="U4949" t="s">
        <v>11100</v>
      </c>
      <c r="V4949" t="s">
        <v>11100</v>
      </c>
      <c r="W4949" t="s">
        <v>15996</v>
      </c>
      <c r="X4949">
        <v>8</v>
      </c>
      <c r="Y4949" t="s">
        <v>21420</v>
      </c>
      <c r="Z4949" t="s">
        <v>26954</v>
      </c>
      <c r="AA4949">
        <v>0.61288267331759017</v>
      </c>
      <c r="AB4949" t="str">
        <f>HYPERLINK("Melting_Curves/meltCurve_Q9NRA8_EIF4ENIF1.pdf", "Melting_Curves/meltCurve_Q9NRA8_EIF4ENIF1.pdf")</f>
        <v>Melting_Curves/meltCurve_Q9NRA8_EIF4ENIF1.pdf</v>
      </c>
    </row>
    <row r="4950" spans="1:28" x14ac:dyDescent="0.25">
      <c r="A4950" t="s">
        <v>4954</v>
      </c>
      <c r="B4950">
        <v>0.99299721793515405</v>
      </c>
      <c r="C4950">
        <v>0.99868594230613195</v>
      </c>
      <c r="D4950">
        <v>1.1885416271134199</v>
      </c>
      <c r="E4950">
        <v>0.61784537067434497</v>
      </c>
      <c r="F4950">
        <v>0.62349357671320405</v>
      </c>
      <c r="G4950">
        <v>0.64248951303022594</v>
      </c>
      <c r="H4950">
        <v>0.42038636713317401</v>
      </c>
      <c r="I4950">
        <v>0.21026871125166299</v>
      </c>
      <c r="J4950">
        <v>7.6686824027657294E-2</v>
      </c>
      <c r="K4950">
        <v>7.0448537468672703E-2</v>
      </c>
      <c r="L4950">
        <v>576.84847783352598</v>
      </c>
      <c r="M4950">
        <v>10.6710166283485</v>
      </c>
      <c r="N4950">
        <v>54.057499553298598</v>
      </c>
      <c r="O4950">
        <v>52.262768134064203</v>
      </c>
      <c r="P4950">
        <v>-5.1064377912150197E-2</v>
      </c>
      <c r="Q4950">
        <v>0</v>
      </c>
      <c r="R4950">
        <v>0.892466484602775</v>
      </c>
      <c r="S4950" t="s">
        <v>10501</v>
      </c>
      <c r="T4950" t="s">
        <v>11100</v>
      </c>
      <c r="U4950" t="s">
        <v>11100</v>
      </c>
      <c r="V4950" t="s">
        <v>11100</v>
      </c>
      <c r="W4950" t="s">
        <v>15997</v>
      </c>
      <c r="X4950">
        <v>1</v>
      </c>
      <c r="Y4950" t="s">
        <v>21421</v>
      </c>
      <c r="Z4950" t="s">
        <v>26955</v>
      </c>
      <c r="AA4950">
        <v>0.5862396639634696</v>
      </c>
      <c r="AB4950" t="str">
        <f>HYPERLINK("Melting_Curves/meltCurve_Q9NRC6_SPTBN5.pdf", "Melting_Curves/meltCurve_Q9NRC6_SPTBN5.pdf")</f>
        <v>Melting_Curves/meltCurve_Q9NRC6_SPTBN5.pdf</v>
      </c>
    </row>
    <row r="4951" spans="1:28" x14ac:dyDescent="0.25">
      <c r="A4951" t="s">
        <v>4955</v>
      </c>
      <c r="B4951">
        <v>0.99299721793515405</v>
      </c>
      <c r="C4951">
        <v>0.99070737631187</v>
      </c>
      <c r="D4951">
        <v>0.85534018083397401</v>
      </c>
      <c r="E4951">
        <v>0.86713949638068599</v>
      </c>
      <c r="F4951">
        <v>0.59459944675037801</v>
      </c>
      <c r="G4951">
        <v>0.17782707938798001</v>
      </c>
      <c r="H4951">
        <v>0.13106384515263</v>
      </c>
      <c r="I4951">
        <v>8.42501772755989E-2</v>
      </c>
      <c r="J4951">
        <v>7.6561914343054996E-2</v>
      </c>
      <c r="K4951">
        <v>5.8904662463594701E-2</v>
      </c>
      <c r="L4951">
        <v>1153.40059097629</v>
      </c>
      <c r="M4951">
        <v>22.8908656189341</v>
      </c>
      <c r="N4951">
        <v>50.666960651194302</v>
      </c>
      <c r="O4951">
        <v>50.007120896834699</v>
      </c>
      <c r="P4951">
        <v>-0.107640362182587</v>
      </c>
      <c r="Q4951">
        <v>5.9418378843075999E-2</v>
      </c>
      <c r="R4951">
        <v>0.98552861463559505</v>
      </c>
      <c r="S4951" t="s">
        <v>10502</v>
      </c>
      <c r="T4951" t="s">
        <v>11100</v>
      </c>
      <c r="U4951" t="s">
        <v>11100</v>
      </c>
      <c r="V4951" t="s">
        <v>11100</v>
      </c>
      <c r="W4951" t="s">
        <v>15998</v>
      </c>
      <c r="X4951">
        <v>4</v>
      </c>
      <c r="Y4951" t="s">
        <v>21422</v>
      </c>
      <c r="Z4951" t="s">
        <v>26956</v>
      </c>
      <c r="AA4951">
        <v>0.48886443431429338</v>
      </c>
      <c r="AB4951" t="str">
        <f>HYPERLINK("Melting_Curves/meltCurve_Q9NRD5_PICK1.pdf", "Melting_Curves/meltCurve_Q9NRD5_PICK1.pdf")</f>
        <v>Melting_Curves/meltCurve_Q9NRD5_PICK1.pdf</v>
      </c>
    </row>
    <row r="4952" spans="1:28" x14ac:dyDescent="0.25">
      <c r="A4952" t="s">
        <v>4956</v>
      </c>
      <c r="B4952">
        <v>0.99299721793515405</v>
      </c>
      <c r="C4952">
        <v>0.95427934394078695</v>
      </c>
      <c r="D4952">
        <v>0.94675357321335796</v>
      </c>
      <c r="E4952">
        <v>0.91481447861260201</v>
      </c>
      <c r="F4952">
        <v>0.65550376804950405</v>
      </c>
      <c r="G4952">
        <v>0.34421463551773002</v>
      </c>
      <c r="H4952">
        <v>0.192362524448004</v>
      </c>
      <c r="I4952">
        <v>0.151173120555049</v>
      </c>
      <c r="J4952">
        <v>0.157710367716975</v>
      </c>
      <c r="K4952">
        <v>0.130155212629045</v>
      </c>
      <c r="L4952">
        <v>1137.39403646446</v>
      </c>
      <c r="M4952">
        <v>22.258312742723199</v>
      </c>
      <c r="N4952">
        <v>51.810804506675197</v>
      </c>
      <c r="O4952">
        <v>50.692641460653</v>
      </c>
      <c r="P4952">
        <v>-9.5325763990525406E-2</v>
      </c>
      <c r="Q4952">
        <v>0.13161219448335301</v>
      </c>
      <c r="R4952">
        <v>0.99692447500008996</v>
      </c>
      <c r="S4952" t="s">
        <v>10503</v>
      </c>
      <c r="T4952" t="s">
        <v>11100</v>
      </c>
      <c r="U4952" t="s">
        <v>11100</v>
      </c>
      <c r="V4952" t="s">
        <v>11100</v>
      </c>
      <c r="W4952" t="s">
        <v>15999</v>
      </c>
      <c r="X4952">
        <v>2</v>
      </c>
      <c r="Y4952" t="s">
        <v>21423</v>
      </c>
      <c r="Z4952" t="s">
        <v>26957</v>
      </c>
      <c r="AA4952">
        <v>0.54920599171724216</v>
      </c>
      <c r="AB4952" t="str">
        <f>HYPERLINK("Melting_Curves/meltCurve_Q9NRF2_3_SH2B1.pdf", "Melting_Curves/meltCurve_Q9NRF2_3_SH2B1.pdf")</f>
        <v>Melting_Curves/meltCurve_Q9NRF2_3_SH2B1.pdf</v>
      </c>
    </row>
    <row r="4953" spans="1:28" x14ac:dyDescent="0.25">
      <c r="A4953" t="s">
        <v>4957</v>
      </c>
      <c r="B4953">
        <v>0.99299721793515405</v>
      </c>
      <c r="C4953">
        <v>0.90978995826648201</v>
      </c>
      <c r="D4953">
        <v>0.91513465482822398</v>
      </c>
      <c r="E4953">
        <v>0.85235315606955597</v>
      </c>
      <c r="F4953">
        <v>0.73747581885470603</v>
      </c>
      <c r="G4953">
        <v>0.70499975478005505</v>
      </c>
      <c r="H4953">
        <v>0.58839842216627203</v>
      </c>
      <c r="I4953">
        <v>0.55160731291076504</v>
      </c>
      <c r="J4953">
        <v>0.32316189695556202</v>
      </c>
      <c r="K4953">
        <v>0.183346776755658</v>
      </c>
      <c r="L4953">
        <v>435.53542800053901</v>
      </c>
      <c r="M4953">
        <v>7.38195350458136</v>
      </c>
      <c r="N4953">
        <v>59.000022421782901</v>
      </c>
      <c r="O4953">
        <v>55.134082341346499</v>
      </c>
      <c r="P4953">
        <v>-3.3523758237691E-2</v>
      </c>
      <c r="Q4953">
        <v>0</v>
      </c>
      <c r="R4953">
        <v>0.94440145876583903</v>
      </c>
      <c r="S4953" t="s">
        <v>10504</v>
      </c>
      <c r="T4953" t="s">
        <v>11100</v>
      </c>
      <c r="U4953" t="s">
        <v>11100</v>
      </c>
      <c r="V4953" t="s">
        <v>11100</v>
      </c>
      <c r="W4953" t="s">
        <v>16000</v>
      </c>
      <c r="X4953">
        <v>16</v>
      </c>
      <c r="Y4953" t="s">
        <v>21424</v>
      </c>
      <c r="Z4953" t="s">
        <v>26958</v>
      </c>
      <c r="AA4953">
        <v>0.69552409403401527</v>
      </c>
      <c r="AB4953" t="str">
        <f>HYPERLINK("Melting_Curves/meltCurve_Q9NRF8_CTPS2.pdf", "Melting_Curves/meltCurve_Q9NRF8_CTPS2.pdf")</f>
        <v>Melting_Curves/meltCurve_Q9NRF8_CTPS2.pdf</v>
      </c>
    </row>
    <row r="4954" spans="1:28" x14ac:dyDescent="0.25">
      <c r="A4954" t="s">
        <v>4958</v>
      </c>
      <c r="B4954">
        <v>0.99299721793515405</v>
      </c>
      <c r="C4954">
        <v>1.02878180039109</v>
      </c>
      <c r="D4954">
        <v>1.0516381586338199</v>
      </c>
      <c r="E4954">
        <v>1.0216019257981801</v>
      </c>
      <c r="F4954">
        <v>0.88344677360119395</v>
      </c>
      <c r="G4954">
        <v>0.67629237071695703</v>
      </c>
      <c r="H4954">
        <v>0.41610029559269501</v>
      </c>
      <c r="I4954">
        <v>0.41388464039281597</v>
      </c>
      <c r="J4954">
        <v>0.35335681997651402</v>
      </c>
      <c r="K4954">
        <v>0.30827997499666798</v>
      </c>
      <c r="L4954">
        <v>1352.9654630708999</v>
      </c>
      <c r="M4954">
        <v>25.187070947689602</v>
      </c>
      <c r="N4954">
        <v>56.201234185764598</v>
      </c>
      <c r="O4954">
        <v>53.381483434329297</v>
      </c>
      <c r="P4954">
        <v>-7.8349540489125694E-2</v>
      </c>
      <c r="Q4954">
        <v>0.33579254172684603</v>
      </c>
      <c r="R4954">
        <v>0.989112148608011</v>
      </c>
      <c r="S4954" t="s">
        <v>10505</v>
      </c>
      <c r="T4954" t="s">
        <v>11100</v>
      </c>
      <c r="U4954" t="s">
        <v>11100</v>
      </c>
      <c r="V4954" t="s">
        <v>11100</v>
      </c>
      <c r="W4954" t="s">
        <v>16001</v>
      </c>
      <c r="X4954">
        <v>8</v>
      </c>
      <c r="Y4954" t="s">
        <v>21425</v>
      </c>
      <c r="Z4954" t="s">
        <v>26959</v>
      </c>
      <c r="AA4954">
        <v>0.71165809277629988</v>
      </c>
      <c r="AB4954" t="str">
        <f>HYPERLINK("Melting_Curves/meltCurve_Q9NRF9_POLE3.pdf", "Melting_Curves/meltCurve_Q9NRF9_POLE3.pdf")</f>
        <v>Melting_Curves/meltCurve_Q9NRF9_POLE3.pdf</v>
      </c>
    </row>
    <row r="4955" spans="1:28" x14ac:dyDescent="0.25">
      <c r="A4955" t="s">
        <v>4959</v>
      </c>
      <c r="B4955">
        <v>0.99299721793515405</v>
      </c>
      <c r="C4955">
        <v>1.0414942640057701</v>
      </c>
      <c r="D4955">
        <v>0.98802153635424805</v>
      </c>
      <c r="E4955">
        <v>1.1568330141808401</v>
      </c>
      <c r="F4955">
        <v>0.94759818571355703</v>
      </c>
      <c r="G4955">
        <v>0.754405366063848</v>
      </c>
      <c r="H4955">
        <v>0.38168973990143701</v>
      </c>
      <c r="I4955">
        <v>0.24121143245191401</v>
      </c>
      <c r="J4955">
        <v>0.191443428088856</v>
      </c>
      <c r="K4955">
        <v>0.13289882416746801</v>
      </c>
      <c r="L4955">
        <v>1578.74791273899</v>
      </c>
      <c r="M4955">
        <v>28.461342683972301</v>
      </c>
      <c r="N4955">
        <v>56.2193049929597</v>
      </c>
      <c r="O4955">
        <v>55.198226886492797</v>
      </c>
      <c r="P4955">
        <v>-0.108557010792363</v>
      </c>
      <c r="Q4955">
        <v>0.15786034021996001</v>
      </c>
      <c r="R4955">
        <v>0.97946234422809697</v>
      </c>
      <c r="S4955" t="s">
        <v>10506</v>
      </c>
      <c r="T4955" t="s">
        <v>11100</v>
      </c>
      <c r="U4955" t="s">
        <v>11100</v>
      </c>
      <c r="V4955" t="s">
        <v>11100</v>
      </c>
      <c r="W4955" t="s">
        <v>16002</v>
      </c>
      <c r="X4955">
        <v>3</v>
      </c>
      <c r="Y4955" t="s">
        <v>21426</v>
      </c>
      <c r="Z4955" t="s">
        <v>26960</v>
      </c>
      <c r="AA4955">
        <v>0.68211956427707987</v>
      </c>
      <c r="AB4955" t="str">
        <f>HYPERLINK("Melting_Curves/meltCurve_Q9NRG0_CHRAC1.pdf", "Melting_Curves/meltCurve_Q9NRG0_CHRAC1.pdf")</f>
        <v>Melting_Curves/meltCurve_Q9NRG0_CHRAC1.pdf</v>
      </c>
    </row>
    <row r="4956" spans="1:28" x14ac:dyDescent="0.25">
      <c r="A4956" t="s">
        <v>4960</v>
      </c>
      <c r="B4956">
        <v>0.99299721793515405</v>
      </c>
      <c r="C4956">
        <v>0.83550197816302196</v>
      </c>
      <c r="D4956">
        <v>0.96875792415927497</v>
      </c>
      <c r="E4956">
        <v>0.73081086870798695</v>
      </c>
      <c r="F4956">
        <v>0.40956196545353002</v>
      </c>
      <c r="G4956">
        <v>0.102021747334261</v>
      </c>
      <c r="H4956">
        <v>6.9182105524199594E-2</v>
      </c>
      <c r="I4956">
        <v>2.6319501484286901E-2</v>
      </c>
      <c r="J4956">
        <v>4.8907822715754098E-2</v>
      </c>
      <c r="K4956">
        <v>8.5405726143195304E-2</v>
      </c>
      <c r="L4956">
        <v>1059.07339302018</v>
      </c>
      <c r="M4956">
        <v>21.716257147664098</v>
      </c>
      <c r="N4956">
        <v>48.946483218155699</v>
      </c>
      <c r="O4956">
        <v>48.360792465936399</v>
      </c>
      <c r="P4956">
        <v>-0.10800662491930001</v>
      </c>
      <c r="Q4956">
        <v>3.7925654132492298E-2</v>
      </c>
      <c r="R4956">
        <v>0.97954599435725498</v>
      </c>
      <c r="S4956" t="s">
        <v>10507</v>
      </c>
      <c r="T4956" t="s">
        <v>11100</v>
      </c>
      <c r="U4956" t="s">
        <v>11100</v>
      </c>
      <c r="V4956" t="s">
        <v>11100</v>
      </c>
      <c r="W4956" t="s">
        <v>16003</v>
      </c>
      <c r="X4956">
        <v>2</v>
      </c>
      <c r="Y4956" t="s">
        <v>21427</v>
      </c>
      <c r="Z4956" t="s">
        <v>26961</v>
      </c>
      <c r="AA4956">
        <v>0.42620320250794391</v>
      </c>
      <c r="AB4956" t="str">
        <f>HYPERLINK("Melting_Curves/meltCurve_Q9NRG4_SMYD2.pdf", "Melting_Curves/meltCurve_Q9NRG4_SMYD2.pdf")</f>
        <v>Melting_Curves/meltCurve_Q9NRG4_SMYD2.pdf</v>
      </c>
    </row>
    <row r="4957" spans="1:28" x14ac:dyDescent="0.25">
      <c r="A4957" t="s">
        <v>4961</v>
      </c>
      <c r="B4957">
        <v>0.99299721793515405</v>
      </c>
      <c r="C4957">
        <v>1.0417424841062299</v>
      </c>
      <c r="D4957">
        <v>0.95622030799417801</v>
      </c>
      <c r="E4957">
        <v>0.82452045921554995</v>
      </c>
      <c r="F4957">
        <v>0.75331457591719897</v>
      </c>
      <c r="G4957">
        <v>0.31134006303541401</v>
      </c>
      <c r="H4957">
        <v>9.2972422893668097E-2</v>
      </c>
      <c r="I4957">
        <v>9.0795016516047003E-2</v>
      </c>
      <c r="J4957">
        <v>4.9931655914143599E-2</v>
      </c>
      <c r="K4957">
        <v>5.2610755698763299E-2</v>
      </c>
      <c r="L4957">
        <v>1160.8611219059901</v>
      </c>
      <c r="M4957">
        <v>22.390590434810601</v>
      </c>
      <c r="N4957">
        <v>52.012652091224801</v>
      </c>
      <c r="O4957">
        <v>51.437701225781801</v>
      </c>
      <c r="P4957">
        <v>-0.105057809865038</v>
      </c>
      <c r="Q4957">
        <v>3.4626805342636902E-2</v>
      </c>
      <c r="R4957">
        <v>0.98753052813963005</v>
      </c>
      <c r="S4957" t="s">
        <v>10508</v>
      </c>
      <c r="T4957" t="s">
        <v>11100</v>
      </c>
      <c r="U4957" t="s">
        <v>11100</v>
      </c>
      <c r="V4957" t="s">
        <v>11100</v>
      </c>
      <c r="W4957" t="s">
        <v>16004</v>
      </c>
      <c r="X4957">
        <v>3</v>
      </c>
      <c r="Y4957" t="s">
        <v>21428</v>
      </c>
      <c r="Z4957" t="s">
        <v>26962</v>
      </c>
      <c r="AA4957">
        <v>0.52273608216815159</v>
      </c>
      <c r="AB4957" t="str">
        <f>HYPERLINK("Melting_Curves/meltCurve_Q9NRG7_2_SDR39U1.pdf", "Melting_Curves/meltCurve_Q9NRG7_2_SDR39U1.pdf")</f>
        <v>Melting_Curves/meltCurve_Q9NRG7_2_SDR39U1.pdf</v>
      </c>
    </row>
    <row r="4958" spans="1:28" x14ac:dyDescent="0.25">
      <c r="A4958" t="s">
        <v>4962</v>
      </c>
      <c r="B4958">
        <v>0.99299721793515405</v>
      </c>
      <c r="C4958">
        <v>0.88067536843177197</v>
      </c>
      <c r="D4958">
        <v>1.0134185720111</v>
      </c>
      <c r="E4958">
        <v>0.70806113865058995</v>
      </c>
      <c r="F4958">
        <v>0.680853799338066</v>
      </c>
      <c r="G4958">
        <v>0.498949913265887</v>
      </c>
      <c r="H4958">
        <v>0.45537556317523697</v>
      </c>
      <c r="I4958">
        <v>0.42494060400299499</v>
      </c>
      <c r="J4958">
        <v>0.35302783394620102</v>
      </c>
      <c r="K4958">
        <v>0.434399560285608</v>
      </c>
      <c r="L4958">
        <v>646.51836720797701</v>
      </c>
      <c r="M4958">
        <v>13.249073787180899</v>
      </c>
      <c r="N4958">
        <v>54.579751102752603</v>
      </c>
      <c r="O4958">
        <v>47.725766238272897</v>
      </c>
      <c r="P4958">
        <v>-4.32338404505411E-2</v>
      </c>
      <c r="Q4958">
        <v>0.37715503991595201</v>
      </c>
      <c r="R4958">
        <v>0.94407571345571495</v>
      </c>
      <c r="S4958" t="s">
        <v>10509</v>
      </c>
      <c r="T4958" t="s">
        <v>11100</v>
      </c>
      <c r="U4958" t="s">
        <v>11100</v>
      </c>
      <c r="V4958" t="s">
        <v>11100</v>
      </c>
      <c r="W4958" t="s">
        <v>16005</v>
      </c>
      <c r="X4958">
        <v>5</v>
      </c>
      <c r="Y4958" t="s">
        <v>21429</v>
      </c>
      <c r="Z4958" t="s">
        <v>26963</v>
      </c>
      <c r="AA4958">
        <v>0.63836392865348779</v>
      </c>
      <c r="AB4958" t="str">
        <f>HYPERLINK("Melting_Curves/meltCurve_Q9NRH1_YAE1D1.pdf", "Melting_Curves/meltCurve_Q9NRH1_YAE1D1.pdf")</f>
        <v>Melting_Curves/meltCurve_Q9NRH1_YAE1D1.pdf</v>
      </c>
    </row>
    <row r="4959" spans="1:28" x14ac:dyDescent="0.25">
      <c r="A4959" t="s">
        <v>4963</v>
      </c>
      <c r="B4959">
        <v>0.99299721793515405</v>
      </c>
      <c r="C4959">
        <v>1.0007021497906401</v>
      </c>
      <c r="D4959">
        <v>0.99459811391547204</v>
      </c>
      <c r="E4959">
        <v>0.87617630376032596</v>
      </c>
      <c r="F4959">
        <v>0.755990035272461</v>
      </c>
      <c r="G4959">
        <v>0.72249293031795003</v>
      </c>
      <c r="H4959">
        <v>0.37825383886515801</v>
      </c>
      <c r="I4959">
        <v>0.27745982318128398</v>
      </c>
      <c r="J4959">
        <v>0.23328088955500101</v>
      </c>
      <c r="K4959">
        <v>0.20151862845149501</v>
      </c>
      <c r="L4959">
        <v>696.57751986660605</v>
      </c>
      <c r="M4959">
        <v>12.6338847891444</v>
      </c>
      <c r="N4959">
        <v>56.0659331985809</v>
      </c>
      <c r="O4959">
        <v>53.809008932427801</v>
      </c>
      <c r="P4959">
        <v>-5.31578942873457E-2</v>
      </c>
      <c r="Q4959">
        <v>9.4559096915747307E-2</v>
      </c>
      <c r="R4959">
        <v>0.98088741591272</v>
      </c>
      <c r="S4959" t="s">
        <v>10510</v>
      </c>
      <c r="T4959" t="s">
        <v>11100</v>
      </c>
      <c r="U4959" t="s">
        <v>11100</v>
      </c>
      <c r="V4959" t="s">
        <v>11100</v>
      </c>
      <c r="W4959" t="s">
        <v>16006</v>
      </c>
      <c r="X4959">
        <v>8</v>
      </c>
      <c r="Y4959" t="s">
        <v>21430</v>
      </c>
      <c r="Z4959" t="s">
        <v>26964</v>
      </c>
      <c r="AA4959">
        <v>0.65449747260561986</v>
      </c>
      <c r="AB4959" t="str">
        <f>HYPERLINK("Melting_Curves/meltCurve_Q9NRK6_ABCB10.pdf", "Melting_Curves/meltCurve_Q9NRK6_ABCB10.pdf")</f>
        <v>Melting_Curves/meltCurve_Q9NRK6_ABCB10.pdf</v>
      </c>
    </row>
    <row r="4960" spans="1:28" x14ac:dyDescent="0.25">
      <c r="A4960" t="s">
        <v>4964</v>
      </c>
      <c r="B4960">
        <v>0.99299721793515405</v>
      </c>
      <c r="C4960">
        <v>1.0987248309277799</v>
      </c>
      <c r="D4960">
        <v>1.79989025473304</v>
      </c>
      <c r="E4960">
        <v>1.1382378137821501</v>
      </c>
      <c r="F4960">
        <v>0.93393214668657498</v>
      </c>
      <c r="G4960">
        <v>1.0849508100291001</v>
      </c>
      <c r="H4960">
        <v>0.34176517223118902</v>
      </c>
      <c r="I4960">
        <v>0.17008999539177799</v>
      </c>
      <c r="J4960">
        <v>0.13795323003106599</v>
      </c>
      <c r="K4960">
        <v>0.105746884961882</v>
      </c>
      <c r="L4960">
        <v>14282.7128967684</v>
      </c>
      <c r="M4960">
        <v>250</v>
      </c>
      <c r="N4960">
        <v>57.204711676451304</v>
      </c>
      <c r="O4960">
        <v>57.127200548416802</v>
      </c>
      <c r="P4960">
        <v>-0.94314758633464102</v>
      </c>
      <c r="Q4960">
        <v>0.137929974730257</v>
      </c>
      <c r="R4960">
        <v>0.76165789913218196</v>
      </c>
      <c r="S4960" t="s">
        <v>10511</v>
      </c>
      <c r="T4960" t="s">
        <v>11100</v>
      </c>
      <c r="U4960" t="s">
        <v>11100</v>
      </c>
      <c r="V4960" t="s">
        <v>11100</v>
      </c>
      <c r="W4960" t="s">
        <v>16007</v>
      </c>
      <c r="X4960">
        <v>11</v>
      </c>
      <c r="Y4960" t="s">
        <v>21431</v>
      </c>
      <c r="Z4960" t="s">
        <v>26965</v>
      </c>
      <c r="AA4960">
        <v>0.71648986698739292</v>
      </c>
      <c r="AB4960" t="str">
        <f>HYPERLINK("Melting_Curves/meltCurve_Q9NRN7_AASDHPPT.pdf", "Melting_Curves/meltCurve_Q9NRN7_AASDHPPT.pdf")</f>
        <v>Melting_Curves/meltCurve_Q9NRN7_AASDHPPT.pdf</v>
      </c>
    </row>
    <row r="4961" spans="1:28" x14ac:dyDescent="0.25">
      <c r="A4961" t="s">
        <v>4965</v>
      </c>
      <c r="B4961">
        <v>0.99299721793515405</v>
      </c>
      <c r="C4961">
        <v>1.15783829636917</v>
      </c>
      <c r="D4961">
        <v>1.46411718379306</v>
      </c>
      <c r="E4961">
        <v>1.09673310811998</v>
      </c>
      <c r="F4961">
        <v>0.86718597705788902</v>
      </c>
      <c r="G4961">
        <v>0.88322881931161201</v>
      </c>
      <c r="H4961">
        <v>0.57283195208911897</v>
      </c>
      <c r="I4961">
        <v>0.56280586862547799</v>
      </c>
      <c r="J4961">
        <v>0.66791670661454805</v>
      </c>
      <c r="K4961">
        <v>0.59505797203976896</v>
      </c>
      <c r="L4961">
        <v>13497.734712694401</v>
      </c>
      <c r="M4961">
        <v>250</v>
      </c>
      <c r="O4961">
        <v>53.987483254339899</v>
      </c>
      <c r="P4961">
        <v>-0.46347189869137201</v>
      </c>
      <c r="Q4961">
        <v>0.599653094593947</v>
      </c>
      <c r="R4961">
        <v>0.65694915579586999</v>
      </c>
      <c r="S4961" t="s">
        <v>10512</v>
      </c>
      <c r="T4961" t="s">
        <v>11100</v>
      </c>
      <c r="U4961" t="s">
        <v>11100</v>
      </c>
      <c r="V4961" t="s">
        <v>11100</v>
      </c>
      <c r="W4961" t="s">
        <v>16008</v>
      </c>
      <c r="X4961">
        <v>6</v>
      </c>
      <c r="Y4961" t="s">
        <v>21432</v>
      </c>
      <c r="Z4961" t="s">
        <v>26966</v>
      </c>
      <c r="AA4961">
        <v>0.82643335506240001</v>
      </c>
      <c r="AB4961" t="str">
        <f>HYPERLINK("Melting_Curves/meltCurve_Q9NRN9_METTL5.pdf", "Melting_Curves/meltCurve_Q9NRN9_METTL5.pdf")</f>
        <v>Melting_Curves/meltCurve_Q9NRN9_METTL5.pdf</v>
      </c>
    </row>
    <row r="4962" spans="1:28" x14ac:dyDescent="0.25">
      <c r="A4962" t="s">
        <v>4966</v>
      </c>
      <c r="B4962">
        <v>0.99299721793515405</v>
      </c>
      <c r="C4962">
        <v>0.959387959112741</v>
      </c>
      <c r="D4962">
        <v>0.88888243638049902</v>
      </c>
      <c r="E4962">
        <v>0.85807163106460904</v>
      </c>
      <c r="F4962">
        <v>0.77732890440340696</v>
      </c>
      <c r="G4962">
        <v>0.69456328866574701</v>
      </c>
      <c r="H4962">
        <v>0.34192321038044299</v>
      </c>
      <c r="I4962">
        <v>0.31360577223779801</v>
      </c>
      <c r="J4962">
        <v>0.25497599132696902</v>
      </c>
      <c r="K4962">
        <v>0.14677412294025399</v>
      </c>
      <c r="L4962">
        <v>554.55064779370502</v>
      </c>
      <c r="M4962">
        <v>9.8992855345934494</v>
      </c>
      <c r="N4962">
        <v>56.0192463192936</v>
      </c>
      <c r="O4962">
        <v>53.876968875842202</v>
      </c>
      <c r="P4962">
        <v>-4.5957904249970802E-2</v>
      </c>
      <c r="Q4962">
        <v>0</v>
      </c>
      <c r="R4962">
        <v>0.97307486982338098</v>
      </c>
      <c r="S4962" t="s">
        <v>10513</v>
      </c>
      <c r="T4962" t="s">
        <v>11100</v>
      </c>
      <c r="U4962" t="s">
        <v>11100</v>
      </c>
      <c r="V4962" t="s">
        <v>11100</v>
      </c>
      <c r="W4962" t="s">
        <v>16009</v>
      </c>
      <c r="X4962">
        <v>1</v>
      </c>
      <c r="Y4962" t="s">
        <v>21433</v>
      </c>
      <c r="Z4962" t="s">
        <v>26967</v>
      </c>
      <c r="AA4962">
        <v>0.6396260094244145</v>
      </c>
      <c r="AB4962" t="str">
        <f>HYPERLINK("Melting_Curves/meltCurve_Q9NRP0_OSTC.pdf", "Melting_Curves/meltCurve_Q9NRP0_OSTC.pdf")</f>
        <v>Melting_Curves/meltCurve_Q9NRP0_OSTC.pdf</v>
      </c>
    </row>
    <row r="4963" spans="1:28" x14ac:dyDescent="0.25">
      <c r="A4963" t="s">
        <v>4967</v>
      </c>
      <c r="B4963">
        <v>0.99299721793515405</v>
      </c>
      <c r="C4963">
        <v>0.89440709670045704</v>
      </c>
      <c r="D4963">
        <v>0.963243666332396</v>
      </c>
      <c r="E4963">
        <v>0.84798801501621401</v>
      </c>
      <c r="F4963">
        <v>0.67293088810580404</v>
      </c>
      <c r="G4963">
        <v>0.50800736024619497</v>
      </c>
      <c r="H4963">
        <v>0.49497867758312097</v>
      </c>
      <c r="I4963">
        <v>0.52871853854239703</v>
      </c>
      <c r="J4963">
        <v>0.54251713232695997</v>
      </c>
      <c r="K4963">
        <v>0.55252616514453101</v>
      </c>
      <c r="L4963">
        <v>1149.6776371814899</v>
      </c>
      <c r="M4963">
        <v>23.907915501903801</v>
      </c>
      <c r="O4963">
        <v>47.7550934688417</v>
      </c>
      <c r="P4963">
        <v>-6.0126747348323899E-2</v>
      </c>
      <c r="Q4963">
        <v>0.51960473644421101</v>
      </c>
      <c r="R4963">
        <v>0.95654863924778499</v>
      </c>
      <c r="S4963" t="s">
        <v>10514</v>
      </c>
      <c r="T4963" t="s">
        <v>11100</v>
      </c>
      <c r="U4963" t="s">
        <v>11100</v>
      </c>
      <c r="V4963" t="s">
        <v>11100</v>
      </c>
      <c r="W4963" t="s">
        <v>16010</v>
      </c>
      <c r="X4963">
        <v>8</v>
      </c>
      <c r="Y4963" t="s">
        <v>21434</v>
      </c>
      <c r="Z4963" t="s">
        <v>26968</v>
      </c>
      <c r="AA4963">
        <v>0.70163049322673376</v>
      </c>
      <c r="AB4963" t="str">
        <f>HYPERLINK("Melting_Curves/meltCurve_Q9NRP2_CMC2.pdf", "Melting_Curves/meltCurve_Q9NRP2_CMC2.pdf")</f>
        <v>Melting_Curves/meltCurve_Q9NRP2_CMC2.pdf</v>
      </c>
    </row>
    <row r="4964" spans="1:28" x14ac:dyDescent="0.25">
      <c r="A4964" t="s">
        <v>4968</v>
      </c>
      <c r="B4964">
        <v>0.99299721793515405</v>
      </c>
      <c r="C4964">
        <v>0.96203516189762295</v>
      </c>
      <c r="D4964">
        <v>0.91606116490592304</v>
      </c>
      <c r="E4964">
        <v>0.78805049754436995</v>
      </c>
      <c r="F4964">
        <v>0.65043595522270703</v>
      </c>
      <c r="G4964">
        <v>0.32939603090289998</v>
      </c>
      <c r="H4964">
        <v>0.127342243075871</v>
      </c>
      <c r="I4964">
        <v>0.10651214687556</v>
      </c>
      <c r="J4964">
        <v>8.9566170709809406E-2</v>
      </c>
      <c r="K4964">
        <v>7.6533624306939205E-2</v>
      </c>
      <c r="L4964">
        <v>794.29951071810297</v>
      </c>
      <c r="M4964">
        <v>15.534218735042201</v>
      </c>
      <c r="N4964">
        <v>51.360554659163498</v>
      </c>
      <c r="O4964">
        <v>50.307370521618303</v>
      </c>
      <c r="P4964">
        <v>-7.46277626111084E-2</v>
      </c>
      <c r="Q4964">
        <v>3.3360873295963697E-2</v>
      </c>
      <c r="R4964">
        <v>0.99193876988793295</v>
      </c>
      <c r="S4964" t="s">
        <v>10515</v>
      </c>
      <c r="T4964" t="s">
        <v>11100</v>
      </c>
      <c r="U4964" t="s">
        <v>11100</v>
      </c>
      <c r="V4964" t="s">
        <v>11100</v>
      </c>
      <c r="W4964" t="s">
        <v>16011</v>
      </c>
      <c r="X4964">
        <v>1</v>
      </c>
      <c r="Y4964" t="s">
        <v>21435</v>
      </c>
      <c r="Z4964" t="s">
        <v>26969</v>
      </c>
      <c r="AA4964">
        <v>0.50719711298244763</v>
      </c>
      <c r="AB4964" t="str">
        <f>HYPERLINK("Melting_Curves/meltCurve_Q9NRP4_ACN9.pdf", "Melting_Curves/meltCurve_Q9NRP4_ACN9.pdf")</f>
        <v>Melting_Curves/meltCurve_Q9NRP4_ACN9.pdf</v>
      </c>
    </row>
    <row r="4965" spans="1:28" x14ac:dyDescent="0.25">
      <c r="A4965" t="s">
        <v>4969</v>
      </c>
      <c r="B4965">
        <v>0.99299721793515405</v>
      </c>
      <c r="C4965">
        <v>0.96805432255115598</v>
      </c>
      <c r="D4965">
        <v>0.90256570391433899</v>
      </c>
      <c r="E4965">
        <v>0.929235840627053</v>
      </c>
      <c r="F4965">
        <v>0.74576373210776004</v>
      </c>
      <c r="G4965">
        <v>0.55505588468299505</v>
      </c>
      <c r="H4965">
        <v>0.59658031986251703</v>
      </c>
      <c r="I4965">
        <v>0.71260367281054204</v>
      </c>
      <c r="J4965">
        <v>0.82095148512716298</v>
      </c>
      <c r="K4965">
        <v>0.65428226783092103</v>
      </c>
      <c r="L4965">
        <v>1878.5401588689101</v>
      </c>
      <c r="M4965">
        <v>39.025139229940002</v>
      </c>
      <c r="O4965">
        <v>48.010788707650804</v>
      </c>
      <c r="P4965">
        <v>-6.6995270995235195E-2</v>
      </c>
      <c r="Q4965">
        <v>0.67031625771069203</v>
      </c>
      <c r="R4965">
        <v>0.75465429597298594</v>
      </c>
      <c r="S4965" t="s">
        <v>10516</v>
      </c>
      <c r="T4965" t="s">
        <v>11100</v>
      </c>
      <c r="U4965" t="s">
        <v>11100</v>
      </c>
      <c r="V4965" t="s">
        <v>11100</v>
      </c>
      <c r="W4965" t="s">
        <v>16012</v>
      </c>
      <c r="X4965">
        <v>12</v>
      </c>
      <c r="Y4965" t="s">
        <v>21436</v>
      </c>
      <c r="Z4965" t="s">
        <v>26970</v>
      </c>
      <c r="AA4965">
        <v>0.79385509558342393</v>
      </c>
      <c r="AB4965" t="str">
        <f>HYPERLINK("Melting_Curves/meltCurve_Q9NRR5_UBQLN4.pdf", "Melting_Curves/meltCurve_Q9NRR5_UBQLN4.pdf")</f>
        <v>Melting_Curves/meltCurve_Q9NRR5_UBQLN4.pdf</v>
      </c>
    </row>
    <row r="4966" spans="1:28" x14ac:dyDescent="0.25">
      <c r="A4966" t="s">
        <v>4970</v>
      </c>
      <c r="B4966">
        <v>0.99299721793515405</v>
      </c>
      <c r="C4966">
        <v>0.89945755855901899</v>
      </c>
      <c r="D4966">
        <v>0.84873622784132396</v>
      </c>
      <c r="E4966">
        <v>0.71498766996204599</v>
      </c>
      <c r="F4966">
        <v>0.65975698335136301</v>
      </c>
      <c r="G4966">
        <v>0.42145778097226599</v>
      </c>
      <c r="H4966">
        <v>0.414718767557547</v>
      </c>
      <c r="I4966">
        <v>0.47349973151763702</v>
      </c>
      <c r="J4966">
        <v>0.62561174805687203</v>
      </c>
      <c r="K4966">
        <v>0.253777006382022</v>
      </c>
      <c r="L4966">
        <v>536.79707631015594</v>
      </c>
      <c r="M4966">
        <v>11.4042676496629</v>
      </c>
      <c r="N4966">
        <v>54.501316346517001</v>
      </c>
      <c r="O4966">
        <v>45.692274678854901</v>
      </c>
      <c r="P4966">
        <v>-3.7798381284651801E-2</v>
      </c>
      <c r="Q4966">
        <v>0.39440681314169301</v>
      </c>
      <c r="R4966">
        <v>0.83605921536306504</v>
      </c>
      <c r="S4966" t="s">
        <v>10517</v>
      </c>
      <c r="T4966" t="s">
        <v>11100</v>
      </c>
      <c r="U4966" t="s">
        <v>11100</v>
      </c>
      <c r="V4966" t="s">
        <v>11100</v>
      </c>
      <c r="W4966" t="s">
        <v>16013</v>
      </c>
      <c r="X4966">
        <v>1</v>
      </c>
      <c r="Y4966" t="s">
        <v>21437</v>
      </c>
      <c r="Z4966" t="s">
        <v>26971</v>
      </c>
      <c r="AA4966">
        <v>0.61914890927169763</v>
      </c>
      <c r="AB4966" t="str">
        <f>HYPERLINK("Melting_Curves/meltCurve_Q9NRR8_CDC42SE1.pdf", "Melting_Curves/meltCurve_Q9NRR8_CDC42SE1.pdf")</f>
        <v>Melting_Curves/meltCurve_Q9NRR8_CDC42SE1.pdf</v>
      </c>
    </row>
    <row r="4967" spans="1:28" x14ac:dyDescent="0.25">
      <c r="A4967" t="s">
        <v>4971</v>
      </c>
      <c r="B4967">
        <v>0.99299721793515405</v>
      </c>
      <c r="C4967">
        <v>1.0110880916199201</v>
      </c>
      <c r="D4967">
        <v>1.2095313650878801</v>
      </c>
      <c r="E4967">
        <v>0.88487826336796205</v>
      </c>
      <c r="F4967">
        <v>0.57359857111271495</v>
      </c>
      <c r="G4967">
        <v>0.34762594940454</v>
      </c>
      <c r="H4967">
        <v>0.18207450875918901</v>
      </c>
      <c r="I4967">
        <v>0.170427716766888</v>
      </c>
      <c r="J4967">
        <v>0.156262532379733</v>
      </c>
      <c r="K4967">
        <v>0.20873137081132301</v>
      </c>
      <c r="L4967">
        <v>1317.7700471430501</v>
      </c>
      <c r="M4967">
        <v>26.218070467091302</v>
      </c>
      <c r="N4967">
        <v>51.109631764599499</v>
      </c>
      <c r="O4967">
        <v>49.972224864529998</v>
      </c>
      <c r="P4967">
        <v>-0.108037120577928</v>
      </c>
      <c r="Q4967">
        <v>0.17632455911997</v>
      </c>
      <c r="R4967">
        <v>0.96520559630356195</v>
      </c>
      <c r="S4967" t="s">
        <v>10518</v>
      </c>
      <c r="T4967" t="s">
        <v>11100</v>
      </c>
      <c r="U4967" t="s">
        <v>11100</v>
      </c>
      <c r="V4967" t="s">
        <v>11100</v>
      </c>
      <c r="W4967" t="s">
        <v>16014</v>
      </c>
      <c r="X4967">
        <v>7</v>
      </c>
      <c r="Y4967" t="s">
        <v>21438</v>
      </c>
      <c r="Z4967" t="s">
        <v>26972</v>
      </c>
      <c r="AA4967">
        <v>0.54703762657345056</v>
      </c>
      <c r="AB4967" t="str">
        <f>HYPERLINK("Melting_Curves/meltCurve_Q9NRS6_2_SNX15.pdf", "Melting_Curves/meltCurve_Q9NRS6_2_SNX15.pdf")</f>
        <v>Melting_Curves/meltCurve_Q9NRS6_2_SNX15.pdf</v>
      </c>
    </row>
    <row r="4968" spans="1:28" x14ac:dyDescent="0.25">
      <c r="A4968" t="s">
        <v>4972</v>
      </c>
      <c r="B4968">
        <v>0.99299721793515405</v>
      </c>
      <c r="C4968">
        <v>0.97056880377032595</v>
      </c>
      <c r="D4968">
        <v>0.86978376990398398</v>
      </c>
      <c r="E4968">
        <v>0.86480991014038</v>
      </c>
      <c r="F4968">
        <v>0.655873253690053</v>
      </c>
      <c r="G4968">
        <v>0.48135680146566601</v>
      </c>
      <c r="H4968">
        <v>0.326635269347264</v>
      </c>
      <c r="I4968">
        <v>0.248040653574847</v>
      </c>
      <c r="J4968">
        <v>0.21652901793955101</v>
      </c>
      <c r="K4968">
        <v>0.151949359490237</v>
      </c>
      <c r="L4968">
        <v>578.660675935124</v>
      </c>
      <c r="M4968">
        <v>11.0115565239606</v>
      </c>
      <c r="N4968">
        <v>53.445898689727599</v>
      </c>
      <c r="O4968">
        <v>50.906407522273703</v>
      </c>
      <c r="P4968">
        <v>-4.9538151688658397E-2</v>
      </c>
      <c r="Q4968">
        <v>8.4248521289243802E-2</v>
      </c>
      <c r="R4968">
        <v>0.993791150017311</v>
      </c>
      <c r="S4968" t="s">
        <v>10519</v>
      </c>
      <c r="T4968" t="s">
        <v>11100</v>
      </c>
      <c r="U4968" t="s">
        <v>11100</v>
      </c>
      <c r="V4968" t="s">
        <v>11100</v>
      </c>
      <c r="W4968" t="s">
        <v>16015</v>
      </c>
      <c r="X4968">
        <v>9</v>
      </c>
      <c r="Y4968" t="s">
        <v>21439</v>
      </c>
      <c r="Z4968" t="s">
        <v>26973</v>
      </c>
      <c r="AA4968">
        <v>0.5804027228880585</v>
      </c>
      <c r="AB4968" t="str">
        <f>HYPERLINK("Melting_Curves/meltCurve_Q9NRV9_HEBP1.pdf", "Melting_Curves/meltCurve_Q9NRV9_HEBP1.pdf")</f>
        <v>Melting_Curves/meltCurve_Q9NRV9_HEBP1.pdf</v>
      </c>
    </row>
    <row r="4969" spans="1:28" x14ac:dyDescent="0.25">
      <c r="A4969" t="s">
        <v>4973</v>
      </c>
      <c r="B4969">
        <v>0.99299721793515405</v>
      </c>
      <c r="C4969">
        <v>0.98192572602285599</v>
      </c>
      <c r="D4969">
        <v>0.936637212490392</v>
      </c>
      <c r="E4969">
        <v>0.769106016651536</v>
      </c>
      <c r="F4969">
        <v>0.66604389944008702</v>
      </c>
      <c r="G4969">
        <v>0.49004881977452702</v>
      </c>
      <c r="H4969">
        <v>0.58101546225964695</v>
      </c>
      <c r="I4969">
        <v>0.57536590357555795</v>
      </c>
      <c r="J4969">
        <v>0.66409382090980795</v>
      </c>
      <c r="K4969">
        <v>0.44124458400001498</v>
      </c>
      <c r="L4969">
        <v>1001.04666000957</v>
      </c>
      <c r="M4969">
        <v>21.470394074375299</v>
      </c>
      <c r="O4969">
        <v>46.225697264368399</v>
      </c>
      <c r="P4969">
        <v>-5.23659940387994E-2</v>
      </c>
      <c r="Q4969">
        <v>0.54903574367294405</v>
      </c>
      <c r="R4969">
        <v>0.90703301757632504</v>
      </c>
      <c r="S4969" t="s">
        <v>10520</v>
      </c>
      <c r="T4969" t="s">
        <v>11100</v>
      </c>
      <c r="U4969" t="s">
        <v>11100</v>
      </c>
      <c r="V4969" t="s">
        <v>11100</v>
      </c>
      <c r="W4969" t="s">
        <v>16016</v>
      </c>
      <c r="X4969">
        <v>11</v>
      </c>
      <c r="Y4969" t="s">
        <v>21440</v>
      </c>
      <c r="Z4969" t="s">
        <v>26974</v>
      </c>
      <c r="AA4969">
        <v>0.69883294765364312</v>
      </c>
      <c r="AB4969" t="str">
        <f>HYPERLINK("Melting_Curves/meltCurve_Q9NRW1_RAB6B.pdf", "Melting_Curves/meltCurve_Q9NRW1_RAB6B.pdf")</f>
        <v>Melting_Curves/meltCurve_Q9NRW1_RAB6B.pdf</v>
      </c>
    </row>
    <row r="4970" spans="1:28" x14ac:dyDescent="0.25">
      <c r="A4970" t="s">
        <v>4974</v>
      </c>
      <c r="B4970">
        <v>0.99299721793515405</v>
      </c>
      <c r="C4970">
        <v>0.77812194601074902</v>
      </c>
      <c r="D4970">
        <v>1.0230859156572401</v>
      </c>
      <c r="E4970">
        <v>0.93472037652194395</v>
      </c>
      <c r="F4970">
        <v>0.66884958132586303</v>
      </c>
      <c r="G4970">
        <v>0.51385400998268305</v>
      </c>
      <c r="H4970">
        <v>0.17555877358296701</v>
      </c>
      <c r="I4970">
        <v>6.12645777542686E-2</v>
      </c>
      <c r="J4970">
        <v>0.215426632456961</v>
      </c>
      <c r="K4970">
        <v>0.16321145988008501</v>
      </c>
      <c r="L4970">
        <v>1044.73309728083</v>
      </c>
      <c r="M4970">
        <v>20.053322568818</v>
      </c>
      <c r="N4970">
        <v>52.813771781763897</v>
      </c>
      <c r="O4970">
        <v>51.587976362873803</v>
      </c>
      <c r="P4970">
        <v>-8.5616564021779806E-2</v>
      </c>
      <c r="Q4970">
        <v>0.119020222863103</v>
      </c>
      <c r="R4970">
        <v>0.93590543884798605</v>
      </c>
      <c r="S4970" t="s">
        <v>10521</v>
      </c>
      <c r="T4970" t="s">
        <v>11100</v>
      </c>
      <c r="U4970" t="s">
        <v>11100</v>
      </c>
      <c r="V4970" t="s">
        <v>11100</v>
      </c>
      <c r="W4970" t="s">
        <v>16017</v>
      </c>
      <c r="X4970">
        <v>1</v>
      </c>
      <c r="Y4970" t="s">
        <v>21441</v>
      </c>
      <c r="Z4970" t="s">
        <v>26975</v>
      </c>
      <c r="AA4970">
        <v>0.57368967041551433</v>
      </c>
      <c r="AB4970" t="str">
        <f>HYPERLINK("Melting_Curves/meltCurve_Q9NRW4_DUSP22.pdf", "Melting_Curves/meltCurve_Q9NRW4_DUSP22.pdf")</f>
        <v>Melting_Curves/meltCurve_Q9NRW4_DUSP22.pdf</v>
      </c>
    </row>
    <row r="4971" spans="1:28" x14ac:dyDescent="0.25">
      <c r="A4971" t="s">
        <v>4975</v>
      </c>
      <c r="B4971">
        <v>0.99299721793515405</v>
      </c>
      <c r="C4971">
        <v>1.0002246595990401</v>
      </c>
      <c r="D4971">
        <v>0.91589728962570205</v>
      </c>
      <c r="E4971">
        <v>0.77101121737076495</v>
      </c>
      <c r="F4971">
        <v>0.68706128461244897</v>
      </c>
      <c r="G4971">
        <v>0.30114999857727998</v>
      </c>
      <c r="H4971">
        <v>0.208529042224191</v>
      </c>
      <c r="I4971">
        <v>0.197462429822994</v>
      </c>
      <c r="J4971">
        <v>0.18132719243477</v>
      </c>
      <c r="K4971">
        <v>0.13628309223024099</v>
      </c>
      <c r="L4971">
        <v>815.46472854231001</v>
      </c>
      <c r="M4971">
        <v>16.127298622632701</v>
      </c>
      <c r="N4971">
        <v>51.491184365831899</v>
      </c>
      <c r="O4971">
        <v>49.805967134371699</v>
      </c>
      <c r="P4971">
        <v>-7.0757183976503907E-2</v>
      </c>
      <c r="Q4971">
        <v>0.125988264305123</v>
      </c>
      <c r="R4971">
        <v>0.98336854232547499</v>
      </c>
      <c r="S4971" t="s">
        <v>10522</v>
      </c>
      <c r="T4971" t="s">
        <v>11100</v>
      </c>
      <c r="U4971" t="s">
        <v>11100</v>
      </c>
      <c r="V4971" t="s">
        <v>11100</v>
      </c>
      <c r="W4971" t="s">
        <v>16018</v>
      </c>
      <c r="X4971">
        <v>13</v>
      </c>
      <c r="Y4971" t="s">
        <v>21442</v>
      </c>
      <c r="Z4971" t="s">
        <v>26976</v>
      </c>
      <c r="AA4971">
        <v>0.53732688481875601</v>
      </c>
      <c r="AB4971" t="str">
        <f>HYPERLINK("Melting_Curves/meltCurve_Q9NRW7_VPS45.pdf", "Melting_Curves/meltCurve_Q9NRW7_VPS45.pdf")</f>
        <v>Melting_Curves/meltCurve_Q9NRW7_VPS45.pdf</v>
      </c>
    </row>
    <row r="4972" spans="1:28" x14ac:dyDescent="0.25">
      <c r="A4972" t="s">
        <v>4976</v>
      </c>
      <c r="B4972">
        <v>0.99299721793515405</v>
      </c>
      <c r="C4972">
        <v>0.894429299646605</v>
      </c>
      <c r="D4972">
        <v>0.97433839031608604</v>
      </c>
      <c r="E4972">
        <v>0.76809814721450298</v>
      </c>
      <c r="F4972">
        <v>0.64307298702512405</v>
      </c>
      <c r="G4972">
        <v>0.50808312665533295</v>
      </c>
      <c r="H4972">
        <v>0.35683529879986098</v>
      </c>
      <c r="I4972">
        <v>0.31010081033796699</v>
      </c>
      <c r="J4972">
        <v>0.25151070446891799</v>
      </c>
      <c r="K4972">
        <v>0.21904198675991701</v>
      </c>
      <c r="L4972">
        <v>530.050707819482</v>
      </c>
      <c r="M4972">
        <v>10.2239787248533</v>
      </c>
      <c r="N4972">
        <v>53.643758166650102</v>
      </c>
      <c r="O4972">
        <v>49.977894607057003</v>
      </c>
      <c r="P4972">
        <v>-4.3736383861641297E-2</v>
      </c>
      <c r="Q4972">
        <v>0.14519537360465101</v>
      </c>
      <c r="R4972">
        <v>0.98721522905313197</v>
      </c>
      <c r="S4972" t="s">
        <v>10523</v>
      </c>
      <c r="T4972" t="s">
        <v>11100</v>
      </c>
      <c r="U4972" t="s">
        <v>11100</v>
      </c>
      <c r="V4972" t="s">
        <v>11100</v>
      </c>
      <c r="W4972" t="s">
        <v>16019</v>
      </c>
      <c r="X4972">
        <v>12</v>
      </c>
      <c r="Y4972" t="s">
        <v>21443</v>
      </c>
      <c r="Z4972" t="s">
        <v>26977</v>
      </c>
      <c r="AA4972">
        <v>0.59119239496933873</v>
      </c>
      <c r="AB4972" t="str">
        <f>HYPERLINK("Melting_Curves/meltCurve_Q9NRX4_PHPT1.pdf", "Melting_Curves/meltCurve_Q9NRX4_PHPT1.pdf")</f>
        <v>Melting_Curves/meltCurve_Q9NRX4_PHPT1.pdf</v>
      </c>
    </row>
    <row r="4973" spans="1:28" x14ac:dyDescent="0.25">
      <c r="A4973" t="s">
        <v>4977</v>
      </c>
      <c r="B4973">
        <v>0.99299721793515405</v>
      </c>
      <c r="C4973">
        <v>0.55898803544446396</v>
      </c>
      <c r="D4973">
        <v>1.5050220147659801</v>
      </c>
      <c r="E4973">
        <v>0.69664211267147202</v>
      </c>
      <c r="F4973">
        <v>0.63208117854472501</v>
      </c>
      <c r="G4973">
        <v>0</v>
      </c>
      <c r="H4973">
        <v>0.15962042070672799</v>
      </c>
      <c r="I4973">
        <v>0.14954283585551201</v>
      </c>
      <c r="J4973">
        <v>0.35671959099982098</v>
      </c>
      <c r="K4973">
        <v>0.20170392555535599</v>
      </c>
      <c r="L4973">
        <v>1578.3721849849601</v>
      </c>
      <c r="M4973">
        <v>31.923736770395902</v>
      </c>
      <c r="N4973">
        <v>50.123681579094601</v>
      </c>
      <c r="O4973">
        <v>49.249167067174902</v>
      </c>
      <c r="P4973">
        <v>-0.13351476683321301</v>
      </c>
      <c r="Q4973">
        <v>0.17610429448735401</v>
      </c>
      <c r="R4973">
        <v>0.68200166685291697</v>
      </c>
      <c r="S4973" t="s">
        <v>10524</v>
      </c>
      <c r="T4973" t="s">
        <v>11100</v>
      </c>
      <c r="U4973" t="s">
        <v>11100</v>
      </c>
      <c r="V4973" t="s">
        <v>11100</v>
      </c>
      <c r="W4973" t="s">
        <v>16020</v>
      </c>
      <c r="X4973">
        <v>2</v>
      </c>
      <c r="Y4973" t="s">
        <v>21444</v>
      </c>
      <c r="Z4973" t="s">
        <v>26978</v>
      </c>
      <c r="AA4973">
        <v>0.52222543670380961</v>
      </c>
      <c r="AB4973" t="str">
        <f>HYPERLINK("Melting_Curves/meltCurve_Q9NRX5_SERINC1.pdf", "Melting_Curves/meltCurve_Q9NRX5_SERINC1.pdf")</f>
        <v>Melting_Curves/meltCurve_Q9NRX5_SERINC1.pdf</v>
      </c>
    </row>
    <row r="4974" spans="1:28" x14ac:dyDescent="0.25">
      <c r="A4974" t="s">
        <v>4978</v>
      </c>
      <c r="B4974">
        <v>0.99299721793515405</v>
      </c>
      <c r="C4974">
        <v>0.96348785304892703</v>
      </c>
      <c r="D4974">
        <v>0.89612649394503596</v>
      </c>
      <c r="E4974">
        <v>0.82673652417067101</v>
      </c>
      <c r="F4974">
        <v>0.47786777827208499</v>
      </c>
      <c r="G4974">
        <v>0.23468367570915599</v>
      </c>
      <c r="H4974">
        <v>0.194300313124385</v>
      </c>
      <c r="I4974">
        <v>0.14968771466932801</v>
      </c>
      <c r="J4974">
        <v>0.15596931045582799</v>
      </c>
      <c r="K4974">
        <v>7.9705106732698497E-2</v>
      </c>
      <c r="L4974">
        <v>972.59886448736495</v>
      </c>
      <c r="M4974">
        <v>19.712686074112401</v>
      </c>
      <c r="N4974">
        <v>50.019576666738502</v>
      </c>
      <c r="O4974">
        <v>48.839405938498601</v>
      </c>
      <c r="P4974">
        <v>-8.90355834974869E-2</v>
      </c>
      <c r="Q4974">
        <v>0.117665760575747</v>
      </c>
      <c r="R4974">
        <v>0.992467204513098</v>
      </c>
      <c r="S4974" t="s">
        <v>10525</v>
      </c>
      <c r="T4974" t="s">
        <v>11100</v>
      </c>
      <c r="U4974" t="s">
        <v>11100</v>
      </c>
      <c r="V4974" t="s">
        <v>11100</v>
      </c>
      <c r="W4974" t="s">
        <v>16021</v>
      </c>
      <c r="X4974">
        <v>7</v>
      </c>
      <c r="Y4974" t="s">
        <v>21445</v>
      </c>
      <c r="Z4974" t="s">
        <v>26979</v>
      </c>
      <c r="AA4974">
        <v>0.49249582979720519</v>
      </c>
      <c r="AB4974" t="str">
        <f>HYPERLINK("Melting_Curves/meltCurve_Q9NRY4_ARHGAP35.pdf", "Melting_Curves/meltCurve_Q9NRY4_ARHGAP35.pdf")</f>
        <v>Melting_Curves/meltCurve_Q9NRY4_ARHGAP35.pdf</v>
      </c>
    </row>
    <row r="4975" spans="1:28" x14ac:dyDescent="0.25">
      <c r="A4975" t="s">
        <v>4979</v>
      </c>
      <c r="B4975">
        <v>0.99299721793515405</v>
      </c>
      <c r="C4975">
        <v>1.0424443310646101</v>
      </c>
      <c r="D4975">
        <v>1.2020035065024099</v>
      </c>
      <c r="E4975">
        <v>0.97034413495737204</v>
      </c>
      <c r="F4975">
        <v>0.83230726395410004</v>
      </c>
      <c r="G4975">
        <v>0.74245697643418396</v>
      </c>
      <c r="H4975">
        <v>0.30934130881052202</v>
      </c>
      <c r="I4975">
        <v>0.193280483318262</v>
      </c>
      <c r="J4975">
        <v>0.18000704875110099</v>
      </c>
      <c r="K4975">
        <v>0.141451934708651</v>
      </c>
      <c r="L4975">
        <v>1346.79253899945</v>
      </c>
      <c r="M4975">
        <v>24.5209223097239</v>
      </c>
      <c r="N4975">
        <v>55.613390133914002</v>
      </c>
      <c r="O4975">
        <v>54.562836335969401</v>
      </c>
      <c r="P4975">
        <v>-9.7632588723687699E-2</v>
      </c>
      <c r="Q4975">
        <v>0.13102231728191199</v>
      </c>
      <c r="R4975">
        <v>0.96149692284962096</v>
      </c>
      <c r="S4975" t="s">
        <v>10526</v>
      </c>
      <c r="T4975" t="s">
        <v>11100</v>
      </c>
      <c r="U4975" t="s">
        <v>11100</v>
      </c>
      <c r="V4975" t="s">
        <v>11100</v>
      </c>
      <c r="W4975" t="s">
        <v>16022</v>
      </c>
      <c r="X4975">
        <v>11</v>
      </c>
      <c r="Y4975" t="s">
        <v>21446</v>
      </c>
      <c r="Z4975" t="s">
        <v>26980</v>
      </c>
      <c r="AA4975">
        <v>0.65783774050586741</v>
      </c>
      <c r="AB4975" t="str">
        <f>HYPERLINK("Melting_Curves/meltCurve_Q9NRY5_FAM114A2.pdf", "Melting_Curves/meltCurve_Q9NRY5_FAM114A2.pdf")</f>
        <v>Melting_Curves/meltCurve_Q9NRY5_FAM114A2.pdf</v>
      </c>
    </row>
    <row r="4976" spans="1:28" x14ac:dyDescent="0.25">
      <c r="A4976" t="s">
        <v>4980</v>
      </c>
      <c r="B4976">
        <v>0.99299721793515405</v>
      </c>
      <c r="C4976">
        <v>0.90764954350830795</v>
      </c>
      <c r="D4976">
        <v>0.73333672619901402</v>
      </c>
      <c r="E4976">
        <v>0.759478432684905</v>
      </c>
      <c r="F4976">
        <v>0.57610461665897394</v>
      </c>
      <c r="G4976">
        <v>0.36555943613379799</v>
      </c>
      <c r="H4976">
        <v>0.53338287727003297</v>
      </c>
      <c r="I4976">
        <v>0.373238115269661</v>
      </c>
      <c r="J4976">
        <v>0.222894256684216</v>
      </c>
      <c r="K4976">
        <v>0.14071629306526501</v>
      </c>
      <c r="L4976">
        <v>333.20891254216002</v>
      </c>
      <c r="M4976">
        <v>6.2661593201844301</v>
      </c>
      <c r="N4976">
        <v>53.175940073954301</v>
      </c>
      <c r="O4976">
        <v>48.529564399426299</v>
      </c>
      <c r="P4976">
        <v>-3.2369593779289899E-2</v>
      </c>
      <c r="Q4976">
        <v>0</v>
      </c>
      <c r="R4976">
        <v>0.92095467676488696</v>
      </c>
      <c r="S4976" t="s">
        <v>10527</v>
      </c>
      <c r="T4976" t="s">
        <v>11100</v>
      </c>
      <c r="U4976" t="s">
        <v>11100</v>
      </c>
      <c r="V4976" t="s">
        <v>11100</v>
      </c>
      <c r="W4976" t="s">
        <v>16023</v>
      </c>
      <c r="X4976">
        <v>2</v>
      </c>
      <c r="Y4976" t="s">
        <v>21447</v>
      </c>
      <c r="Z4976" t="s">
        <v>26981</v>
      </c>
      <c r="AA4976">
        <v>0.55591742269193312</v>
      </c>
      <c r="AB4976" t="str">
        <f>HYPERLINK("Melting_Curves/meltCurve_Q9NRY6_PLSCR3.pdf", "Melting_Curves/meltCurve_Q9NRY6_PLSCR3.pdf")</f>
        <v>Melting_Curves/meltCurve_Q9NRY6_PLSCR3.pdf</v>
      </c>
    </row>
    <row r="4977" spans="1:28" x14ac:dyDescent="0.25">
      <c r="A4977" t="s">
        <v>4981</v>
      </c>
      <c r="B4977">
        <v>0.99299721793515405</v>
      </c>
      <c r="C4977">
        <v>1.0281625949981501</v>
      </c>
      <c r="D4977">
        <v>0.98184196653421196</v>
      </c>
      <c r="E4977">
        <v>0.97731208859164798</v>
      </c>
      <c r="F4977">
        <v>0.88678763581142095</v>
      </c>
      <c r="G4977">
        <v>0.48541508341943002</v>
      </c>
      <c r="H4977">
        <v>0.34985576699801901</v>
      </c>
      <c r="I4977">
        <v>0.34574323563148501</v>
      </c>
      <c r="J4977">
        <v>0.34068263401376397</v>
      </c>
      <c r="K4977">
        <v>0.28364650832631899</v>
      </c>
      <c r="L4977">
        <v>2012.34376408292</v>
      </c>
      <c r="M4977">
        <v>38.5277738625064</v>
      </c>
      <c r="N4977">
        <v>53.680864821047997</v>
      </c>
      <c r="O4977">
        <v>52.090872222308001</v>
      </c>
      <c r="P4977">
        <v>-0.12511180716814599</v>
      </c>
      <c r="Q4977">
        <v>0.32337981513442199</v>
      </c>
      <c r="R4977">
        <v>0.99612302672347297</v>
      </c>
      <c r="S4977" t="s">
        <v>10528</v>
      </c>
      <c r="T4977" t="s">
        <v>11100</v>
      </c>
      <c r="U4977" t="s">
        <v>11100</v>
      </c>
      <c r="V4977" t="s">
        <v>11100</v>
      </c>
      <c r="W4977" t="s">
        <v>16024</v>
      </c>
      <c r="X4977">
        <v>2</v>
      </c>
      <c r="Y4977" t="s">
        <v>21448</v>
      </c>
      <c r="Z4977" t="s">
        <v>26982</v>
      </c>
      <c r="AA4977">
        <v>0.66952426828052569</v>
      </c>
      <c r="AB4977" t="str">
        <f>HYPERLINK("Melting_Curves/meltCurve_Q9NRZ5_AGPAT4.pdf", "Melting_Curves/meltCurve_Q9NRZ5_AGPAT4.pdf")</f>
        <v>Melting_Curves/meltCurve_Q9NRZ5_AGPAT4.pdf</v>
      </c>
    </row>
    <row r="4978" spans="1:28" x14ac:dyDescent="0.25">
      <c r="A4978" t="s">
        <v>4982</v>
      </c>
      <c r="B4978">
        <v>0.99299721793515405</v>
      </c>
      <c r="C4978">
        <v>1.1633373248262999</v>
      </c>
      <c r="D4978">
        <v>1.29900799926508</v>
      </c>
      <c r="E4978">
        <v>0.90582633391065803</v>
      </c>
      <c r="F4978">
        <v>0.76040925284620497</v>
      </c>
      <c r="G4978">
        <v>0.74590621505309596</v>
      </c>
      <c r="H4978">
        <v>0.165293136254727</v>
      </c>
      <c r="I4978">
        <v>0.15392382015081499</v>
      </c>
      <c r="J4978">
        <v>0.120965129038791</v>
      </c>
      <c r="K4978">
        <v>0.132947337342602</v>
      </c>
      <c r="L4978">
        <v>1418.78685862011</v>
      </c>
      <c r="M4978">
        <v>26.067246058880901</v>
      </c>
      <c r="N4978">
        <v>54.862712099753502</v>
      </c>
      <c r="O4978">
        <v>54.110662305633902</v>
      </c>
      <c r="P4978">
        <v>-0.109197477094263</v>
      </c>
      <c r="Q4978">
        <v>9.3317257609529899E-2</v>
      </c>
      <c r="R4978">
        <v>0.90754704869160396</v>
      </c>
      <c r="S4978" t="s">
        <v>10529</v>
      </c>
      <c r="T4978" t="s">
        <v>11100</v>
      </c>
      <c r="U4978" t="s">
        <v>11100</v>
      </c>
      <c r="V4978" t="s">
        <v>11100</v>
      </c>
      <c r="W4978" t="s">
        <v>16025</v>
      </c>
      <c r="X4978">
        <v>2</v>
      </c>
      <c r="Y4978" t="s">
        <v>21449</v>
      </c>
      <c r="Z4978" t="s">
        <v>26983</v>
      </c>
      <c r="AA4978">
        <v>0.62737722716767907</v>
      </c>
      <c r="AB4978" t="str">
        <f>HYPERLINK("Melting_Curves/meltCurve_Q9NRZ7_2_AGPAT3.pdf", "Melting_Curves/meltCurve_Q9NRZ7_2_AGPAT3.pdf")</f>
        <v>Melting_Curves/meltCurve_Q9NRZ7_2_AGPAT3.pdf</v>
      </c>
    </row>
    <row r="4979" spans="1:28" x14ac:dyDescent="0.25">
      <c r="A4979" t="s">
        <v>4983</v>
      </c>
      <c r="B4979">
        <v>0.99299721793515405</v>
      </c>
      <c r="C4979">
        <v>0.85833741015351706</v>
      </c>
      <c r="D4979">
        <v>0.91214060359296301</v>
      </c>
      <c r="E4979">
        <v>0.64222073295660098</v>
      </c>
      <c r="F4979">
        <v>0.35340163276874298</v>
      </c>
      <c r="G4979">
        <v>0.201359130202269</v>
      </c>
      <c r="H4979">
        <v>0.158151722291449</v>
      </c>
      <c r="I4979">
        <v>0.132493233378013</v>
      </c>
      <c r="J4979">
        <v>8.9317914397645706E-2</v>
      </c>
      <c r="K4979">
        <v>6.3700101140515802E-2</v>
      </c>
      <c r="L4979">
        <v>751.04984993230096</v>
      </c>
      <c r="M4979">
        <v>15.704631603435001</v>
      </c>
      <c r="N4979">
        <v>48.331876233001701</v>
      </c>
      <c r="O4979">
        <v>47.068181869471402</v>
      </c>
      <c r="P4979">
        <v>-7.7069759029214799E-2</v>
      </c>
      <c r="Q4979">
        <v>7.6138197262088703E-2</v>
      </c>
      <c r="R4979">
        <v>0.98794149207660698</v>
      </c>
      <c r="S4979" t="s">
        <v>10530</v>
      </c>
      <c r="T4979" t="s">
        <v>11100</v>
      </c>
      <c r="U4979" t="s">
        <v>11100</v>
      </c>
      <c r="V4979" t="s">
        <v>11100</v>
      </c>
      <c r="W4979" t="s">
        <v>16026</v>
      </c>
      <c r="X4979">
        <v>12</v>
      </c>
      <c r="Y4979" t="s">
        <v>21450</v>
      </c>
      <c r="Z4979" t="s">
        <v>26984</v>
      </c>
      <c r="AA4979">
        <v>0.42832532172162308</v>
      </c>
      <c r="AB4979" t="str">
        <f>HYPERLINK("Melting_Curves/meltCurve_Q9NRZ9_3_HELLS.pdf", "Melting_Curves/meltCurve_Q9NRZ9_3_HELLS.pdf")</f>
        <v>Melting_Curves/meltCurve_Q9NRZ9_3_HELLS.pdf</v>
      </c>
    </row>
    <row r="4980" spans="1:28" x14ac:dyDescent="0.25">
      <c r="A4980" t="s">
        <v>4984</v>
      </c>
      <c r="B4980">
        <v>0.99299721793515405</v>
      </c>
      <c r="C4980">
        <v>0.80521976009104901</v>
      </c>
      <c r="D4980">
        <v>1.12153358812542</v>
      </c>
      <c r="E4980">
        <v>0.89246535268177496</v>
      </c>
      <c r="F4980">
        <v>0.56139682471982499</v>
      </c>
      <c r="G4980">
        <v>0.50143794585298196</v>
      </c>
      <c r="H4980">
        <v>0.309246713627298</v>
      </c>
      <c r="I4980">
        <v>0.60834519233554796</v>
      </c>
      <c r="J4980">
        <v>0.846462327899967</v>
      </c>
      <c r="K4980">
        <v>1.5794983047608699</v>
      </c>
      <c r="L4980">
        <v>11667.950721453301</v>
      </c>
      <c r="M4980">
        <v>250</v>
      </c>
      <c r="O4980">
        <v>46.668802433530601</v>
      </c>
      <c r="P4980">
        <v>-0.35570073355551102</v>
      </c>
      <c r="Q4980">
        <v>0.73439788544559603</v>
      </c>
      <c r="R4980">
        <v>9.9752423662756606E-2</v>
      </c>
      <c r="S4980" t="s">
        <v>10531</v>
      </c>
      <c r="T4980" t="s">
        <v>11100</v>
      </c>
      <c r="U4980" t="s">
        <v>11100</v>
      </c>
      <c r="V4980" t="s">
        <v>11100</v>
      </c>
      <c r="W4980" t="s">
        <v>16027</v>
      </c>
      <c r="X4980">
        <v>1</v>
      </c>
      <c r="Y4980" t="s">
        <v>21451</v>
      </c>
      <c r="Z4980" t="s">
        <v>26985</v>
      </c>
      <c r="AA4980">
        <v>0.8200480170608575</v>
      </c>
      <c r="AB4980" t="str">
        <f>HYPERLINK("Melting_Curves/meltCurve_Q9NS18_GLRX2.pdf", "Melting_Curves/meltCurve_Q9NS18_GLRX2.pdf")</f>
        <v>Melting_Curves/meltCurve_Q9NS18_GLRX2.pdf</v>
      </c>
    </row>
    <row r="4981" spans="1:28" x14ac:dyDescent="0.25">
      <c r="A4981" t="s">
        <v>4985</v>
      </c>
      <c r="B4981">
        <v>0.99299721793515405</v>
      </c>
      <c r="C4981">
        <v>0.989153463348031</v>
      </c>
      <c r="D4981">
        <v>0.97843632335465303</v>
      </c>
      <c r="E4981">
        <v>0.93709534226681901</v>
      </c>
      <c r="F4981">
        <v>0.85995957588695504</v>
      </c>
      <c r="G4981">
        <v>0.77006237572200298</v>
      </c>
      <c r="H4981">
        <v>0.52915155268023695</v>
      </c>
      <c r="I4981">
        <v>0.635571995333582</v>
      </c>
      <c r="J4981">
        <v>0.63453129823556598</v>
      </c>
      <c r="K4981">
        <v>0.43334280469368902</v>
      </c>
      <c r="L4981">
        <v>751.03177330754397</v>
      </c>
      <c r="M4981">
        <v>14.0740818753737</v>
      </c>
      <c r="O4981">
        <v>52.320065457520101</v>
      </c>
      <c r="P4981">
        <v>-3.3839245608763002E-2</v>
      </c>
      <c r="Q4981">
        <v>0.49687879583111599</v>
      </c>
      <c r="R4981">
        <v>0.91263291329515595</v>
      </c>
      <c r="S4981" t="s">
        <v>10532</v>
      </c>
      <c r="T4981" t="s">
        <v>11100</v>
      </c>
      <c r="U4981" t="s">
        <v>11100</v>
      </c>
      <c r="V4981" t="s">
        <v>11100</v>
      </c>
      <c r="W4981" t="s">
        <v>16028</v>
      </c>
      <c r="X4981">
        <v>5</v>
      </c>
      <c r="Y4981" t="s">
        <v>21452</v>
      </c>
      <c r="Z4981" t="s">
        <v>26986</v>
      </c>
      <c r="AA4981">
        <v>0.78046010194051141</v>
      </c>
      <c r="AB4981" t="str">
        <f>HYPERLINK("Melting_Curves/meltCurve_Q9NS69_TOMM22.pdf", "Melting_Curves/meltCurve_Q9NS69_TOMM22.pdf")</f>
        <v>Melting_Curves/meltCurve_Q9NS69_TOMM22.pdf</v>
      </c>
    </row>
    <row r="4982" spans="1:28" x14ac:dyDescent="0.25">
      <c r="A4982" t="s">
        <v>4986</v>
      </c>
      <c r="B4982">
        <v>0.99299721793515405</v>
      </c>
      <c r="C4982">
        <v>0.94606668776195502</v>
      </c>
      <c r="D4982">
        <v>0.807972618461401</v>
      </c>
      <c r="E4982">
        <v>0.75042407627757601</v>
      </c>
      <c r="F4982">
        <v>0.61976369051148805</v>
      </c>
      <c r="G4982">
        <v>0.40690750919487201</v>
      </c>
      <c r="H4982">
        <v>0.48425741117237198</v>
      </c>
      <c r="I4982">
        <v>0.48153479308917801</v>
      </c>
      <c r="J4982">
        <v>0.50549681958505299</v>
      </c>
      <c r="K4982">
        <v>0.54953789719403101</v>
      </c>
      <c r="L4982">
        <v>707.101632149642</v>
      </c>
      <c r="M4982">
        <v>15.5037778605942</v>
      </c>
      <c r="N4982">
        <v>57.6193116782405</v>
      </c>
      <c r="O4982">
        <v>44.869765963744001</v>
      </c>
      <c r="P4982">
        <v>-4.4900459375293897E-2</v>
      </c>
      <c r="Q4982">
        <v>0.48025718095590197</v>
      </c>
      <c r="R4982">
        <v>0.934306415272249</v>
      </c>
      <c r="S4982" t="s">
        <v>10533</v>
      </c>
      <c r="T4982" t="s">
        <v>11100</v>
      </c>
      <c r="U4982" t="s">
        <v>11100</v>
      </c>
      <c r="V4982" t="s">
        <v>11100</v>
      </c>
      <c r="W4982" t="s">
        <v>16029</v>
      </c>
      <c r="X4982">
        <v>3</v>
      </c>
      <c r="Y4982" t="s">
        <v>21453</v>
      </c>
      <c r="Z4982" t="s">
        <v>26987</v>
      </c>
      <c r="AA4982">
        <v>0.64075956049521343</v>
      </c>
      <c r="AB4982" t="str">
        <f>HYPERLINK("Melting_Curves/meltCurve_Q9NS86_LANCL2.pdf", "Melting_Curves/meltCurve_Q9NS86_LANCL2.pdf")</f>
        <v>Melting_Curves/meltCurve_Q9NS86_LANCL2.pdf</v>
      </c>
    </row>
    <row r="4983" spans="1:28" x14ac:dyDescent="0.25">
      <c r="A4983" t="s">
        <v>4987</v>
      </c>
      <c r="B4983">
        <v>0.99299721793515405</v>
      </c>
      <c r="C4983">
        <v>0.98250085661924103</v>
      </c>
      <c r="D4983">
        <v>1.04936651564757</v>
      </c>
      <c r="E4983">
        <v>0.83594481307055002</v>
      </c>
      <c r="F4983">
        <v>0.74590646769212299</v>
      </c>
      <c r="G4983">
        <v>0.41336863885143899</v>
      </c>
      <c r="H4983">
        <v>0.44327555263479301</v>
      </c>
      <c r="I4983">
        <v>0.45110631207097901</v>
      </c>
      <c r="J4983">
        <v>0.57260609164448995</v>
      </c>
      <c r="K4983">
        <v>0.36680448794853798</v>
      </c>
      <c r="L4983">
        <v>1286.2942273846099</v>
      </c>
      <c r="M4983">
        <v>25.9743833590035</v>
      </c>
      <c r="N4983">
        <v>53.964715716655903</v>
      </c>
      <c r="O4983">
        <v>49.230916342812002</v>
      </c>
      <c r="P4983">
        <v>-7.3721947493889994E-2</v>
      </c>
      <c r="Q4983">
        <v>0.44108677757029102</v>
      </c>
      <c r="R4983">
        <v>0.92920549503130501</v>
      </c>
      <c r="S4983" t="s">
        <v>10534</v>
      </c>
      <c r="T4983" t="s">
        <v>11100</v>
      </c>
      <c r="U4983" t="s">
        <v>11100</v>
      </c>
      <c r="V4983" t="s">
        <v>11100</v>
      </c>
      <c r="W4983" t="s">
        <v>16030</v>
      </c>
      <c r="X4983">
        <v>2</v>
      </c>
      <c r="Y4983" t="s">
        <v>21454</v>
      </c>
      <c r="Z4983" t="s">
        <v>26988</v>
      </c>
      <c r="AA4983">
        <v>0.6788857274056147</v>
      </c>
      <c r="AB4983" t="str">
        <f>HYPERLINK("Melting_Curves/meltCurve_Q9NSA3_CTNNBIP1.pdf", "Melting_Curves/meltCurve_Q9NSA3_CTNNBIP1.pdf")</f>
        <v>Melting_Curves/meltCurve_Q9NSA3_CTNNBIP1.pdf</v>
      </c>
    </row>
    <row r="4984" spans="1:28" x14ac:dyDescent="0.25">
      <c r="A4984" t="s">
        <v>4988</v>
      </c>
      <c r="B4984">
        <v>0.99299721793515405</v>
      </c>
      <c r="C4984">
        <v>1.0102562064967999</v>
      </c>
      <c r="D4984">
        <v>1.0131376683269</v>
      </c>
      <c r="E4984">
        <v>0.94907634076385505</v>
      </c>
      <c r="F4984">
        <v>1.2087293699850401</v>
      </c>
      <c r="G4984">
        <v>0.93284780010774104</v>
      </c>
      <c r="H4984">
        <v>0.67694173852733996</v>
      </c>
      <c r="I4984">
        <v>0.38282181855106401</v>
      </c>
      <c r="J4984">
        <v>0.26923747637430301</v>
      </c>
      <c r="K4984">
        <v>0.187386426548242</v>
      </c>
      <c r="L4984">
        <v>1741.5820144894601</v>
      </c>
      <c r="M4984">
        <v>29.849530316270499</v>
      </c>
      <c r="N4984">
        <v>59.337505141341197</v>
      </c>
      <c r="O4984">
        <v>58.085371057307697</v>
      </c>
      <c r="P4984">
        <v>-0.10323377108789</v>
      </c>
      <c r="Q4984">
        <v>0.19645860142963201</v>
      </c>
      <c r="R4984">
        <v>0.956424716950522</v>
      </c>
      <c r="S4984" t="s">
        <v>10535</v>
      </c>
      <c r="T4984" t="s">
        <v>11100</v>
      </c>
      <c r="U4984" t="s">
        <v>11100</v>
      </c>
      <c r="V4984" t="s">
        <v>11100</v>
      </c>
      <c r="W4984" t="s">
        <v>16031</v>
      </c>
      <c r="X4984">
        <v>8</v>
      </c>
      <c r="Y4984" t="s">
        <v>21455</v>
      </c>
      <c r="Z4984" t="s">
        <v>26989</v>
      </c>
      <c r="AA4984">
        <v>0.77247877991462166</v>
      </c>
      <c r="AB4984" t="str">
        <f>HYPERLINK("Melting_Curves/meltCurve_Q9NSD9_FARSB.pdf", "Melting_Curves/meltCurve_Q9NSD9_FARSB.pdf")</f>
        <v>Melting_Curves/meltCurve_Q9NSD9_FARSB.pdf</v>
      </c>
    </row>
    <row r="4985" spans="1:28" x14ac:dyDescent="0.25">
      <c r="A4985" t="s">
        <v>4989</v>
      </c>
      <c r="B4985">
        <v>0.99299721793515405</v>
      </c>
      <c r="C4985">
        <v>0.97779826899506195</v>
      </c>
      <c r="D4985">
        <v>0.89474021406316795</v>
      </c>
      <c r="E4985">
        <v>0.87960647871049802</v>
      </c>
      <c r="F4985">
        <v>0.74127211185096697</v>
      </c>
      <c r="G4985">
        <v>0.57205644982098702</v>
      </c>
      <c r="H4985">
        <v>0.42006743503078398</v>
      </c>
      <c r="I4985">
        <v>0.281918977841013</v>
      </c>
      <c r="J4985">
        <v>0.16473353105869901</v>
      </c>
      <c r="K4985">
        <v>0.12586077073685401</v>
      </c>
      <c r="L4985">
        <v>572.49347051799998</v>
      </c>
      <c r="M4985">
        <v>10.3677212308999</v>
      </c>
      <c r="N4985">
        <v>55.218825151560203</v>
      </c>
      <c r="O4985">
        <v>53.282964760638301</v>
      </c>
      <c r="P4985">
        <v>-4.8665238456394998E-2</v>
      </c>
      <c r="Q4985">
        <v>0</v>
      </c>
      <c r="R4985">
        <v>0.99565450189530902</v>
      </c>
      <c r="S4985" t="s">
        <v>10536</v>
      </c>
      <c r="T4985" t="s">
        <v>11100</v>
      </c>
      <c r="U4985" t="s">
        <v>11100</v>
      </c>
      <c r="V4985" t="s">
        <v>11100</v>
      </c>
      <c r="W4985" t="s">
        <v>16032</v>
      </c>
      <c r="X4985">
        <v>33</v>
      </c>
      <c r="Y4985" t="s">
        <v>21456</v>
      </c>
      <c r="Z4985" t="s">
        <v>26990</v>
      </c>
      <c r="AA4985">
        <v>0.61883346575322795</v>
      </c>
      <c r="AB4985" t="str">
        <f>HYPERLINK("Melting_Curves/meltCurve_Q9NSE4_IARS2.pdf", "Melting_Curves/meltCurve_Q9NSE4_IARS2.pdf")</f>
        <v>Melting_Curves/meltCurve_Q9NSE4_IARS2.pdf</v>
      </c>
    </row>
    <row r="4986" spans="1:28" x14ac:dyDescent="0.25">
      <c r="A4986" t="s">
        <v>4990</v>
      </c>
      <c r="B4986">
        <v>0.99299721793515405</v>
      </c>
      <c r="C4986">
        <v>0.91497222568202397</v>
      </c>
      <c r="D4986">
        <v>0.861721402708022</v>
      </c>
      <c r="E4986">
        <v>0.72998225242394998</v>
      </c>
      <c r="F4986">
        <v>0.47155313866222898</v>
      </c>
      <c r="G4986">
        <v>0.24615928556025601</v>
      </c>
      <c r="H4986">
        <v>0.203254937298362</v>
      </c>
      <c r="I4986">
        <v>0.183500169090897</v>
      </c>
      <c r="J4986">
        <v>0.103472915750229</v>
      </c>
      <c r="K4986">
        <v>0.13123352965712201</v>
      </c>
      <c r="L4986">
        <v>685.11764640543504</v>
      </c>
      <c r="M4986">
        <v>14.0371896218721</v>
      </c>
      <c r="N4986">
        <v>49.588627734482003</v>
      </c>
      <c r="O4986">
        <v>47.8487921068171</v>
      </c>
      <c r="P4986">
        <v>-6.6074011050975601E-2</v>
      </c>
      <c r="Q4986">
        <v>9.9207801056350506E-2</v>
      </c>
      <c r="R4986">
        <v>0.99291953968091196</v>
      </c>
      <c r="S4986" t="s">
        <v>10537</v>
      </c>
      <c r="T4986" t="s">
        <v>11100</v>
      </c>
      <c r="U4986" t="s">
        <v>11100</v>
      </c>
      <c r="V4986" t="s">
        <v>11100</v>
      </c>
      <c r="W4986" t="s">
        <v>16033</v>
      </c>
      <c r="X4986">
        <v>1</v>
      </c>
      <c r="Y4986" t="s">
        <v>21457</v>
      </c>
      <c r="Z4986" t="s">
        <v>26991</v>
      </c>
      <c r="AA4986">
        <v>0.4753308730486937</v>
      </c>
      <c r="AB4986" t="str">
        <f>HYPERLINK("Melting_Curves/meltCurve_Q9NSG2_3_C1orf112.pdf", "Melting_Curves/meltCurve_Q9NSG2_3_C1orf112.pdf")</f>
        <v>Melting_Curves/meltCurve_Q9NSG2_3_C1orf112.pdf</v>
      </c>
    </row>
    <row r="4987" spans="1:28" x14ac:dyDescent="0.25">
      <c r="A4987" t="s">
        <v>4991</v>
      </c>
      <c r="B4987">
        <v>0.99299721793515405</v>
      </c>
      <c r="C4987">
        <v>0.97149844563154697</v>
      </c>
      <c r="D4987">
        <v>1.34622882433752</v>
      </c>
      <c r="E4987">
        <v>1.0402845441959101</v>
      </c>
      <c r="F4987">
        <v>0.70040118530628703</v>
      </c>
      <c r="G4987">
        <v>0.466937597429193</v>
      </c>
      <c r="H4987">
        <v>0.15331192737428401</v>
      </c>
      <c r="I4987">
        <v>0.13982212642456199</v>
      </c>
      <c r="J4987">
        <v>0.16248661714892201</v>
      </c>
      <c r="K4987">
        <v>0.12491226122905399</v>
      </c>
      <c r="L4987">
        <v>1364.38233150207</v>
      </c>
      <c r="M4987">
        <v>26.127981569362099</v>
      </c>
      <c r="N4987">
        <v>52.8120547082165</v>
      </c>
      <c r="O4987">
        <v>51.916186329692998</v>
      </c>
      <c r="P4987">
        <v>-0.10982751651799599</v>
      </c>
      <c r="Q4987">
        <v>0.127102649244939</v>
      </c>
      <c r="R4987">
        <v>0.925489972006033</v>
      </c>
      <c r="S4987" t="s">
        <v>10538</v>
      </c>
      <c r="T4987" t="s">
        <v>11100</v>
      </c>
      <c r="U4987" t="s">
        <v>11100</v>
      </c>
      <c r="V4987" t="s">
        <v>11100</v>
      </c>
      <c r="W4987" t="s">
        <v>16034</v>
      </c>
      <c r="X4987">
        <v>4</v>
      </c>
      <c r="Y4987" t="s">
        <v>21458</v>
      </c>
      <c r="Z4987" t="s">
        <v>26992</v>
      </c>
      <c r="AA4987">
        <v>0.57707276513332073</v>
      </c>
      <c r="AB4987" t="str">
        <f>HYPERLINK("Melting_Curves/meltCurve_Q9NSI2_2_FAM207A.pdf", "Melting_Curves/meltCurve_Q9NSI2_2_FAM207A.pdf")</f>
        <v>Melting_Curves/meltCurve_Q9NSI2_2_FAM207A.pdf</v>
      </c>
    </row>
    <row r="4988" spans="1:28" x14ac:dyDescent="0.25">
      <c r="A4988" t="s">
        <v>4992</v>
      </c>
      <c r="B4988">
        <v>0.99299721793515405</v>
      </c>
      <c r="C4988">
        <v>1.0037571053257699</v>
      </c>
      <c r="D4988">
        <v>1.05560220482162</v>
      </c>
      <c r="E4988">
        <v>0.95134518648077104</v>
      </c>
      <c r="F4988">
        <v>0.76741326952460498</v>
      </c>
      <c r="G4988">
        <v>0.66174033300990498</v>
      </c>
      <c r="H4988">
        <v>0.48547322480392902</v>
      </c>
      <c r="I4988">
        <v>0.42080216427155698</v>
      </c>
      <c r="J4988">
        <v>0.26443333111359302</v>
      </c>
      <c r="K4988">
        <v>0.181940315054122</v>
      </c>
      <c r="L4988">
        <v>610.12840288785196</v>
      </c>
      <c r="M4988">
        <v>10.7098132286621</v>
      </c>
      <c r="N4988">
        <v>57.492914838419502</v>
      </c>
      <c r="O4988">
        <v>55.090639886440499</v>
      </c>
      <c r="P4988">
        <v>-4.6359056699763E-2</v>
      </c>
      <c r="Q4988">
        <v>4.6483677118818498E-2</v>
      </c>
      <c r="R4988">
        <v>0.98381436549147805</v>
      </c>
      <c r="S4988" t="s">
        <v>10539</v>
      </c>
      <c r="T4988" t="s">
        <v>11100</v>
      </c>
      <c r="U4988" t="s">
        <v>11100</v>
      </c>
      <c r="V4988" t="s">
        <v>11100</v>
      </c>
      <c r="W4988" t="s">
        <v>16035</v>
      </c>
      <c r="X4988">
        <v>9</v>
      </c>
      <c r="Y4988" t="s">
        <v>21459</v>
      </c>
      <c r="Z4988" t="s">
        <v>26993</v>
      </c>
      <c r="AA4988">
        <v>0.68282118090203692</v>
      </c>
      <c r="AB4988" t="str">
        <f>HYPERLINK("Melting_Curves/meltCurve_Q9NT62_ATG3.pdf", "Melting_Curves/meltCurve_Q9NT62_ATG3.pdf")</f>
        <v>Melting_Curves/meltCurve_Q9NT62_ATG3.pdf</v>
      </c>
    </row>
    <row r="4989" spans="1:28" x14ac:dyDescent="0.25">
      <c r="A4989" t="s">
        <v>4993</v>
      </c>
      <c r="B4989">
        <v>0.99299721793515405</v>
      </c>
      <c r="C4989">
        <v>1.06443962470461</v>
      </c>
      <c r="D4989">
        <v>0.91730758997928796</v>
      </c>
      <c r="E4989">
        <v>0.86941446228784902</v>
      </c>
      <c r="F4989">
        <v>0.71242129164646395</v>
      </c>
      <c r="G4989">
        <v>0.44970080801756002</v>
      </c>
      <c r="H4989">
        <v>0.216330729870294</v>
      </c>
      <c r="I4989">
        <v>0.137311949951615</v>
      </c>
      <c r="J4989">
        <v>0.10645392824599501</v>
      </c>
      <c r="K4989">
        <v>0.109377496600523</v>
      </c>
      <c r="L4989">
        <v>854.51261689415105</v>
      </c>
      <c r="M4989">
        <v>16.303073573703902</v>
      </c>
      <c r="N4989">
        <v>52.841066030398999</v>
      </c>
      <c r="O4989">
        <v>51.644614561865403</v>
      </c>
      <c r="P4989">
        <v>-7.4055718771493806E-2</v>
      </c>
      <c r="Q4989">
        <v>6.1698044845328502E-2</v>
      </c>
      <c r="R4989">
        <v>0.99238613380224505</v>
      </c>
      <c r="S4989" t="s">
        <v>10540</v>
      </c>
      <c r="T4989" t="s">
        <v>11100</v>
      </c>
      <c r="U4989" t="s">
        <v>11100</v>
      </c>
      <c r="V4989" t="s">
        <v>11100</v>
      </c>
      <c r="W4989" t="s">
        <v>16036</v>
      </c>
      <c r="X4989">
        <v>3</v>
      </c>
      <c r="Y4989" t="s">
        <v>21460</v>
      </c>
      <c r="Z4989" t="s">
        <v>26994</v>
      </c>
      <c r="AA4989">
        <v>0.55970164552304369</v>
      </c>
      <c r="AB4989" t="str">
        <f>HYPERLINK("Melting_Curves/meltCurve_Q9NTG7_SIRT3.pdf", "Melting_Curves/meltCurve_Q9NTG7_SIRT3.pdf")</f>
        <v>Melting_Curves/meltCurve_Q9NTG7_SIRT3.pdf</v>
      </c>
    </row>
    <row r="4990" spans="1:28" x14ac:dyDescent="0.25">
      <c r="A4990" t="s">
        <v>4994</v>
      </c>
      <c r="B4990">
        <v>0.99299721793515405</v>
      </c>
      <c r="C4990">
        <v>0.99331648497119895</v>
      </c>
      <c r="D4990">
        <v>0.94746818230979901</v>
      </c>
      <c r="E4990">
        <v>0.86879116584861604</v>
      </c>
      <c r="F4990">
        <v>0.76965929093454599</v>
      </c>
      <c r="G4990">
        <v>0.34622794804760698</v>
      </c>
      <c r="H4990">
        <v>0.14653664700265001</v>
      </c>
      <c r="I4990">
        <v>0.121965207201611</v>
      </c>
      <c r="J4990">
        <v>9.0308483532410694E-2</v>
      </c>
      <c r="K4990">
        <v>7.6951101158911697E-2</v>
      </c>
      <c r="L4990">
        <v>1220.9128491103399</v>
      </c>
      <c r="M4990">
        <v>23.472734945650799</v>
      </c>
      <c r="N4990">
        <v>52.372788934692501</v>
      </c>
      <c r="O4990">
        <v>51.640973422504501</v>
      </c>
      <c r="P4990">
        <v>-0.10519827822580501</v>
      </c>
      <c r="Q4990">
        <v>7.4253989556443606E-2</v>
      </c>
      <c r="R4990">
        <v>0.99269398258136698</v>
      </c>
      <c r="S4990" t="s">
        <v>10541</v>
      </c>
      <c r="T4990" t="s">
        <v>11100</v>
      </c>
      <c r="U4990" t="s">
        <v>11100</v>
      </c>
      <c r="V4990" t="s">
        <v>11100</v>
      </c>
      <c r="W4990" t="s">
        <v>16037</v>
      </c>
      <c r="X4990">
        <v>10</v>
      </c>
      <c r="Y4990" t="s">
        <v>21461</v>
      </c>
      <c r="Z4990" t="s">
        <v>26995</v>
      </c>
      <c r="AA4990">
        <v>0.54673052961884316</v>
      </c>
      <c r="AB4990" t="str">
        <f>HYPERLINK("Melting_Curves/meltCurve_Q9NTJ5_SACM1L.pdf", "Melting_Curves/meltCurve_Q9NTJ5_SACM1L.pdf")</f>
        <v>Melting_Curves/meltCurve_Q9NTJ5_SACM1L.pdf</v>
      </c>
    </row>
    <row r="4991" spans="1:28" x14ac:dyDescent="0.25">
      <c r="A4991" t="s">
        <v>4995</v>
      </c>
      <c r="B4991">
        <v>0.99299721793515405</v>
      </c>
      <c r="C4991">
        <v>1.0388108210549201</v>
      </c>
      <c r="D4991">
        <v>0.97116501281624501</v>
      </c>
      <c r="E4991">
        <v>0.83932635005048895</v>
      </c>
      <c r="F4991">
        <v>0.70707391635600703</v>
      </c>
      <c r="G4991">
        <v>0.56936720885592296</v>
      </c>
      <c r="H4991">
        <v>0.485136700443974</v>
      </c>
      <c r="I4991">
        <v>0.24358154836302401</v>
      </c>
      <c r="J4991">
        <v>0.18153633450585299</v>
      </c>
      <c r="K4991">
        <v>0.14411676500754</v>
      </c>
      <c r="L4991">
        <v>559.93050381338696</v>
      </c>
      <c r="M4991">
        <v>10.1204977122194</v>
      </c>
      <c r="N4991">
        <v>55.326373958581598</v>
      </c>
      <c r="O4991">
        <v>53.2965801719754</v>
      </c>
      <c r="P4991">
        <v>-4.7494603235069502E-2</v>
      </c>
      <c r="Q4991">
        <v>0</v>
      </c>
      <c r="R4991">
        <v>0.98769865214456498</v>
      </c>
      <c r="S4991" t="s">
        <v>10542</v>
      </c>
      <c r="T4991" t="s">
        <v>11100</v>
      </c>
      <c r="U4991" t="s">
        <v>11100</v>
      </c>
      <c r="V4991" t="s">
        <v>11100</v>
      </c>
      <c r="W4991" t="s">
        <v>16038</v>
      </c>
      <c r="X4991">
        <v>7</v>
      </c>
      <c r="Y4991" t="s">
        <v>21462</v>
      </c>
      <c r="Z4991" t="s">
        <v>26996</v>
      </c>
      <c r="AA4991">
        <v>0.62137013702996124</v>
      </c>
      <c r="AB4991" t="str">
        <f>HYPERLINK("Melting_Curves/meltCurve_Q9NTM9_CUTC.pdf", "Melting_Curves/meltCurve_Q9NTM9_CUTC.pdf")</f>
        <v>Melting_Curves/meltCurve_Q9NTM9_CUTC.pdf</v>
      </c>
    </row>
    <row r="4992" spans="1:28" x14ac:dyDescent="0.25">
      <c r="A4992" t="s">
        <v>4996</v>
      </c>
      <c r="B4992">
        <v>0.99299721793515405</v>
      </c>
      <c r="C4992">
        <v>0.94486777192043103</v>
      </c>
      <c r="D4992">
        <v>0.82928341028377806</v>
      </c>
      <c r="E4992">
        <v>0.78504025005593803</v>
      </c>
      <c r="F4992">
        <v>0.75223472647739398</v>
      </c>
      <c r="G4992">
        <v>0.50767258700975304</v>
      </c>
      <c r="H4992">
        <v>0.64233668929698895</v>
      </c>
      <c r="I4992">
        <v>0.85009813210759</v>
      </c>
      <c r="J4992">
        <v>0.94935909005718599</v>
      </c>
      <c r="K4992">
        <v>0.81300274751198298</v>
      </c>
      <c r="L4992">
        <v>1178.2795880603601</v>
      </c>
      <c r="M4992">
        <v>28.2381837080884</v>
      </c>
      <c r="O4992">
        <v>41.518884555270503</v>
      </c>
      <c r="P4992">
        <v>-4.1676971369906599E-2</v>
      </c>
      <c r="Q4992">
        <v>0.75488975654705304</v>
      </c>
      <c r="R4992">
        <v>0.36562148575819298</v>
      </c>
      <c r="S4992" t="s">
        <v>10543</v>
      </c>
      <c r="T4992" t="s">
        <v>11100</v>
      </c>
      <c r="U4992" t="s">
        <v>11100</v>
      </c>
      <c r="V4992" t="s">
        <v>11100</v>
      </c>
      <c r="W4992" t="s">
        <v>16039</v>
      </c>
      <c r="X4992">
        <v>4</v>
      </c>
      <c r="Y4992" t="s">
        <v>21463</v>
      </c>
      <c r="Z4992" t="s">
        <v>26997</v>
      </c>
      <c r="AA4992">
        <v>0.79517708415313071</v>
      </c>
      <c r="AB4992" t="str">
        <f>HYPERLINK("Melting_Curves/meltCurve_Q9NTX5_3_ECHDC1.pdf", "Melting_Curves/meltCurve_Q9NTX5_3_ECHDC1.pdf")</f>
        <v>Melting_Curves/meltCurve_Q9NTX5_3_ECHDC1.pdf</v>
      </c>
    </row>
    <row r="4993" spans="1:28" x14ac:dyDescent="0.25">
      <c r="A4993" t="s">
        <v>4997</v>
      </c>
      <c r="B4993">
        <v>0.99299721793515405</v>
      </c>
      <c r="C4993">
        <v>0.70835856734623603</v>
      </c>
      <c r="D4993">
        <v>1.6472269096488199</v>
      </c>
      <c r="E4993">
        <v>0.94577365581203099</v>
      </c>
      <c r="F4993">
        <v>1.10979558311492</v>
      </c>
      <c r="G4993">
        <v>0.67218817516799001</v>
      </c>
      <c r="H4993">
        <v>0.362618411947641</v>
      </c>
      <c r="I4993">
        <v>0.54881308838078502</v>
      </c>
      <c r="J4993">
        <v>0.35601788377874599</v>
      </c>
      <c r="K4993">
        <v>0.42330930930993299</v>
      </c>
      <c r="L4993">
        <v>13435.3133049642</v>
      </c>
      <c r="M4993">
        <v>250</v>
      </c>
      <c r="N4993">
        <v>54.145584794207899</v>
      </c>
      <c r="O4993">
        <v>53.737814184136496</v>
      </c>
      <c r="P4993">
        <v>-0.67144331846372995</v>
      </c>
      <c r="Q4993">
        <v>0.42268966066810998</v>
      </c>
      <c r="R4993">
        <v>0.63436522686267005</v>
      </c>
      <c r="S4993" t="s">
        <v>10544</v>
      </c>
      <c r="T4993" t="s">
        <v>11100</v>
      </c>
      <c r="U4993" t="s">
        <v>11100</v>
      </c>
      <c r="V4993" t="s">
        <v>11100</v>
      </c>
      <c r="W4993" t="s">
        <v>16040</v>
      </c>
      <c r="X4993">
        <v>1</v>
      </c>
      <c r="Y4993" t="s">
        <v>21464</v>
      </c>
      <c r="Z4993" t="s">
        <v>26998</v>
      </c>
      <c r="AA4993">
        <v>0.74490739563569019</v>
      </c>
      <c r="AB4993" t="str">
        <f>HYPERLINK("Melting_Curves/meltCurve_Q9NTX7_2_RNF146.pdf", "Melting_Curves/meltCurve_Q9NTX7_2_RNF146.pdf")</f>
        <v>Melting_Curves/meltCurve_Q9NTX7_2_RNF146.pdf</v>
      </c>
    </row>
    <row r="4994" spans="1:28" x14ac:dyDescent="0.25">
      <c r="A4994" t="s">
        <v>4998</v>
      </c>
      <c r="B4994">
        <v>0.99299721793515405</v>
      </c>
      <c r="C4994">
        <v>1.0592510124958401</v>
      </c>
      <c r="D4994">
        <v>1.0895179986320001</v>
      </c>
      <c r="E4994">
        <v>0.88183130613956495</v>
      </c>
      <c r="F4994">
        <v>0.76883640780775697</v>
      </c>
      <c r="G4994">
        <v>0.396996931996552</v>
      </c>
      <c r="H4994">
        <v>0.25460635848520502</v>
      </c>
      <c r="I4994">
        <v>0.206330434881</v>
      </c>
      <c r="J4994">
        <v>0.19204994123471</v>
      </c>
      <c r="K4994">
        <v>0.20449231617121999</v>
      </c>
      <c r="L4994">
        <v>1293.69447117493</v>
      </c>
      <c r="M4994">
        <v>25.0227281004913</v>
      </c>
      <c r="N4994">
        <v>52.713432235875402</v>
      </c>
      <c r="O4994">
        <v>51.373967727673197</v>
      </c>
      <c r="P4994">
        <v>-9.8532598922070294E-2</v>
      </c>
      <c r="Q4994">
        <v>0.19082482482378901</v>
      </c>
      <c r="R4994">
        <v>0.98627124854040105</v>
      </c>
      <c r="S4994" t="s">
        <v>10545</v>
      </c>
      <c r="T4994" t="s">
        <v>11100</v>
      </c>
      <c r="U4994" t="s">
        <v>11100</v>
      </c>
      <c r="V4994" t="s">
        <v>11100</v>
      </c>
      <c r="W4994" t="s">
        <v>16041</v>
      </c>
      <c r="X4994">
        <v>12</v>
      </c>
      <c r="Y4994" t="s">
        <v>21465</v>
      </c>
      <c r="Z4994" t="s">
        <v>26999</v>
      </c>
      <c r="AA4994">
        <v>0.59449384137251848</v>
      </c>
      <c r="AB4994" t="str">
        <f>HYPERLINK("Melting_Curves/meltCurve_Q9NTZ6_RBM12.pdf", "Melting_Curves/meltCurve_Q9NTZ6_RBM12.pdf")</f>
        <v>Melting_Curves/meltCurve_Q9NTZ6_RBM12.pdf</v>
      </c>
    </row>
    <row r="4995" spans="1:28" x14ac:dyDescent="0.25">
      <c r="A4995" t="s">
        <v>4999</v>
      </c>
      <c r="B4995">
        <v>0.99299721793515405</v>
      </c>
      <c r="C4995">
        <v>0.94241817606871903</v>
      </c>
      <c r="D4995">
        <v>0.99151528617590001</v>
      </c>
      <c r="E4995">
        <v>0.86683825760619004</v>
      </c>
      <c r="F4995">
        <v>0.77322163556622203</v>
      </c>
      <c r="G4995">
        <v>0.48830420278984399</v>
      </c>
      <c r="H4995">
        <v>0.29280261632925397</v>
      </c>
      <c r="I4995">
        <v>0.27795511026133501</v>
      </c>
      <c r="J4995">
        <v>0.22799765195237401</v>
      </c>
      <c r="K4995">
        <v>0.194723502645299</v>
      </c>
      <c r="L4995">
        <v>910.72586299440695</v>
      </c>
      <c r="M4995">
        <v>17.427563929496699</v>
      </c>
      <c r="N4995">
        <v>53.708103781142398</v>
      </c>
      <c r="O4995">
        <v>51.584264148196603</v>
      </c>
      <c r="P4995">
        <v>-6.8612906892797795E-2</v>
      </c>
      <c r="Q4995">
        <v>0.187689291885729</v>
      </c>
      <c r="R4995">
        <v>0.99126293795819298</v>
      </c>
      <c r="S4995" t="s">
        <v>10546</v>
      </c>
      <c r="T4995" t="s">
        <v>11100</v>
      </c>
      <c r="U4995" t="s">
        <v>11100</v>
      </c>
      <c r="V4995" t="s">
        <v>11100</v>
      </c>
      <c r="W4995" t="s">
        <v>16042</v>
      </c>
      <c r="X4995">
        <v>7</v>
      </c>
      <c r="Y4995" t="s">
        <v>21466</v>
      </c>
      <c r="Z4995" t="s">
        <v>27000</v>
      </c>
      <c r="AA4995">
        <v>0.61355265347588728</v>
      </c>
      <c r="AB4995" t="str">
        <f>HYPERLINK("Melting_Curves/meltCurve_Q9NU19_TBC1D22B.pdf", "Melting_Curves/meltCurve_Q9NU19_TBC1D22B.pdf")</f>
        <v>Melting_Curves/meltCurve_Q9NU19_TBC1D22B.pdf</v>
      </c>
    </row>
    <row r="4996" spans="1:28" x14ac:dyDescent="0.25">
      <c r="A4996" t="s">
        <v>5000</v>
      </c>
      <c r="B4996">
        <v>0.99299721793515405</v>
      </c>
      <c r="C4996">
        <v>1.1546200876677499</v>
      </c>
      <c r="D4996">
        <v>0.90468020895873102</v>
      </c>
      <c r="E4996">
        <v>0.77281465812147698</v>
      </c>
      <c r="F4996">
        <v>0.70885005740558205</v>
      </c>
      <c r="G4996">
        <v>0.459134499337086</v>
      </c>
      <c r="H4996">
        <v>0.48878564068889802</v>
      </c>
      <c r="I4996">
        <v>0.41675980467996199</v>
      </c>
      <c r="J4996">
        <v>0.47532402816582697</v>
      </c>
      <c r="K4996">
        <v>0.224986558520201</v>
      </c>
      <c r="L4996">
        <v>661.17668106859298</v>
      </c>
      <c r="M4996">
        <v>13.185366888316601</v>
      </c>
      <c r="N4996">
        <v>54.719762583353202</v>
      </c>
      <c r="O4996">
        <v>49.033384939461598</v>
      </c>
      <c r="P4996">
        <v>-4.47826978909951E-2</v>
      </c>
      <c r="Q4996">
        <v>0.33396462482117401</v>
      </c>
      <c r="R4996">
        <v>0.90734424651396395</v>
      </c>
      <c r="S4996" t="s">
        <v>10547</v>
      </c>
      <c r="T4996" t="s">
        <v>11100</v>
      </c>
      <c r="U4996" t="s">
        <v>11100</v>
      </c>
      <c r="V4996" t="s">
        <v>11100</v>
      </c>
      <c r="W4996" t="s">
        <v>16043</v>
      </c>
      <c r="X4996">
        <v>2</v>
      </c>
      <c r="Y4996" t="s">
        <v>21467</v>
      </c>
      <c r="Z4996" t="s">
        <v>27001</v>
      </c>
      <c r="AA4996">
        <v>0.64227691934629683</v>
      </c>
      <c r="AB4996" t="str">
        <f>HYPERLINK("Melting_Curves/meltCurve_Q9NU22_MDN1.pdf", "Melting_Curves/meltCurve_Q9NU22_MDN1.pdf")</f>
        <v>Melting_Curves/meltCurve_Q9NU22_MDN1.pdf</v>
      </c>
    </row>
    <row r="4997" spans="1:28" x14ac:dyDescent="0.25">
      <c r="A4997" t="s">
        <v>5001</v>
      </c>
      <c r="B4997">
        <v>0.99299721793515405</v>
      </c>
      <c r="C4997">
        <v>1.01874541588754</v>
      </c>
      <c r="D4997">
        <v>1.8954664208260501</v>
      </c>
      <c r="E4997">
        <v>0.89080810425917101</v>
      </c>
      <c r="F4997">
        <v>0.82039177848133504</v>
      </c>
      <c r="G4997">
        <v>1.0359490960375799</v>
      </c>
      <c r="H4997">
        <v>0.34840256258767999</v>
      </c>
      <c r="I4997">
        <v>0.18767460955638701</v>
      </c>
      <c r="J4997">
        <v>0.127937278356132</v>
      </c>
      <c r="K4997">
        <v>5.3843466724192997E-2</v>
      </c>
      <c r="L4997">
        <v>12043.5250764253</v>
      </c>
      <c r="M4997">
        <v>210.87971540834999</v>
      </c>
      <c r="N4997">
        <v>57.187549211099601</v>
      </c>
      <c r="O4997">
        <v>57.105742781162</v>
      </c>
      <c r="P4997">
        <v>-0.80950550219538397</v>
      </c>
      <c r="Q4997">
        <v>0.123151137218421</v>
      </c>
      <c r="R4997">
        <v>0.70430929386264296</v>
      </c>
      <c r="S4997" t="s">
        <v>10548</v>
      </c>
      <c r="T4997" t="s">
        <v>11100</v>
      </c>
      <c r="U4997" t="s">
        <v>11100</v>
      </c>
      <c r="V4997" t="s">
        <v>11100</v>
      </c>
      <c r="W4997" t="s">
        <v>16044</v>
      </c>
      <c r="X4997">
        <v>3</v>
      </c>
      <c r="Y4997" t="s">
        <v>21468</v>
      </c>
      <c r="Z4997" t="s">
        <v>27002</v>
      </c>
      <c r="AA4997">
        <v>0.71108126256282245</v>
      </c>
      <c r="AB4997" t="str">
        <f>HYPERLINK("Melting_Curves/meltCurve_Q9NU23_LYRM2.pdf", "Melting_Curves/meltCurve_Q9NU23_LYRM2.pdf")</f>
        <v>Melting_Curves/meltCurve_Q9NU23_LYRM2.pdf</v>
      </c>
    </row>
    <row r="4998" spans="1:28" x14ac:dyDescent="0.25">
      <c r="A4998" t="s">
        <v>5002</v>
      </c>
      <c r="B4998">
        <v>0.99299721793515405</v>
      </c>
      <c r="C4998">
        <v>1.0199287989241499</v>
      </c>
      <c r="D4998">
        <v>0.90603209910941196</v>
      </c>
      <c r="E4998">
        <v>0.90881062172490001</v>
      </c>
      <c r="F4998">
        <v>0.64542245361778605</v>
      </c>
      <c r="G4998">
        <v>0.43884947458731399</v>
      </c>
      <c r="H4998">
        <v>0.28771116120556001</v>
      </c>
      <c r="I4998">
        <v>0.22680277213542499</v>
      </c>
      <c r="J4998">
        <v>0.18600663034724499</v>
      </c>
      <c r="K4998">
        <v>0.14709295119066701</v>
      </c>
      <c r="L4998">
        <v>804.04794606135795</v>
      </c>
      <c r="M4998">
        <v>15.571987438585399</v>
      </c>
      <c r="N4998">
        <v>52.745918589398798</v>
      </c>
      <c r="O4998">
        <v>50.805207618473197</v>
      </c>
      <c r="P4998">
        <v>-6.5912645051295002E-2</v>
      </c>
      <c r="Q4998">
        <v>0.13988795396027001</v>
      </c>
      <c r="R4998">
        <v>0.99396319402516398</v>
      </c>
      <c r="S4998" t="s">
        <v>10549</v>
      </c>
      <c r="T4998" t="s">
        <v>11100</v>
      </c>
      <c r="U4998" t="s">
        <v>11100</v>
      </c>
      <c r="V4998" t="s">
        <v>11100</v>
      </c>
      <c r="W4998" t="s">
        <v>16045</v>
      </c>
      <c r="X4998">
        <v>6</v>
      </c>
      <c r="Y4998" t="s">
        <v>21469</v>
      </c>
      <c r="Z4998" t="s">
        <v>27003</v>
      </c>
      <c r="AA4998">
        <v>0.57549395445310059</v>
      </c>
      <c r="AB4998" t="str">
        <f>HYPERLINK("Melting_Curves/meltCurve_Q9NUB1_2_ACSS1.pdf", "Melting_Curves/meltCurve_Q9NUB1_2_ACSS1.pdf")</f>
        <v>Melting_Curves/meltCurve_Q9NUB1_2_ACSS1.pdf</v>
      </c>
    </row>
    <row r="4999" spans="1:28" x14ac:dyDescent="0.25">
      <c r="A4999" t="s">
        <v>5003</v>
      </c>
      <c r="B4999">
        <v>0.99299721793515405</v>
      </c>
      <c r="C4999">
        <v>1.0293736979600501</v>
      </c>
      <c r="D4999">
        <v>1.02732369345043</v>
      </c>
      <c r="E4999">
        <v>0.90642595881424404</v>
      </c>
      <c r="F4999">
        <v>0.75548009669917504</v>
      </c>
      <c r="G4999">
        <v>0.609317755052879</v>
      </c>
      <c r="H4999">
        <v>0.61673147259696803</v>
      </c>
      <c r="I4999">
        <v>0.62443592196314301</v>
      </c>
      <c r="J4999">
        <v>0.53387645478840895</v>
      </c>
      <c r="K4999">
        <v>0.31588563435595801</v>
      </c>
      <c r="L4999">
        <v>482.99329173608601</v>
      </c>
      <c r="M4999">
        <v>8.6896998232613605</v>
      </c>
      <c r="N4999">
        <v>62.038088935414002</v>
      </c>
      <c r="O4999">
        <v>52.874039506801502</v>
      </c>
      <c r="P4999">
        <v>-2.8884078681128099E-2</v>
      </c>
      <c r="Q4999">
        <v>0.29758100657027797</v>
      </c>
      <c r="R4999">
        <v>0.90938980873645803</v>
      </c>
      <c r="S4999" t="s">
        <v>10550</v>
      </c>
      <c r="T4999" t="s">
        <v>11100</v>
      </c>
      <c r="U4999" t="s">
        <v>11100</v>
      </c>
      <c r="V4999" t="s">
        <v>11100</v>
      </c>
      <c r="W4999" t="s">
        <v>16046</v>
      </c>
      <c r="X4999">
        <v>4</v>
      </c>
      <c r="Y4999" t="s">
        <v>21470</v>
      </c>
      <c r="Z4999" t="s">
        <v>27004</v>
      </c>
      <c r="AA4999">
        <v>0.73605339665251435</v>
      </c>
      <c r="AB4999" t="str">
        <f>HYPERLINK("Melting_Curves/meltCurve_Q9NUE0_ZDHHC18.pdf", "Melting_Curves/meltCurve_Q9NUE0_ZDHHC18.pdf")</f>
        <v>Melting_Curves/meltCurve_Q9NUE0_ZDHHC18.pdf</v>
      </c>
    </row>
    <row r="5000" spans="1:28" x14ac:dyDescent="0.25">
      <c r="A5000" t="s">
        <v>5004</v>
      </c>
      <c r="B5000">
        <v>0.99299721793515405</v>
      </c>
      <c r="C5000">
        <v>1.0227856562739199</v>
      </c>
      <c r="D5000">
        <v>0.92387451744635596</v>
      </c>
      <c r="E5000">
        <v>0.85990837073694604</v>
      </c>
      <c r="F5000">
        <v>0.70848151885844701</v>
      </c>
      <c r="G5000">
        <v>0.56913698571740101</v>
      </c>
      <c r="H5000">
        <v>0.72732097894344305</v>
      </c>
      <c r="I5000">
        <v>0.91061399001493704</v>
      </c>
      <c r="J5000">
        <v>0.79800106652417802</v>
      </c>
      <c r="K5000">
        <v>0.465698918566743</v>
      </c>
      <c r="L5000">
        <v>1351.5991240926101</v>
      </c>
      <c r="M5000">
        <v>29.186193906292299</v>
      </c>
      <c r="O5000">
        <v>46.093775332846903</v>
      </c>
      <c r="P5000">
        <v>-4.8612998549062099E-2</v>
      </c>
      <c r="Q5000">
        <v>0.692904134224685</v>
      </c>
      <c r="R5000">
        <v>0.55682438206571006</v>
      </c>
      <c r="S5000" t="s">
        <v>10551</v>
      </c>
      <c r="T5000" t="s">
        <v>11100</v>
      </c>
      <c r="U5000" t="s">
        <v>11100</v>
      </c>
      <c r="V5000" t="s">
        <v>11100</v>
      </c>
      <c r="W5000" t="s">
        <v>16047</v>
      </c>
      <c r="X5000">
        <v>3</v>
      </c>
      <c r="Y5000" t="s">
        <v>21471</v>
      </c>
      <c r="Z5000" t="s">
        <v>27005</v>
      </c>
      <c r="AA5000">
        <v>0.79006490431204901</v>
      </c>
      <c r="AB5000" t="str">
        <f>HYPERLINK("Melting_Curves/meltCurve_Q9NUG6_PDRG1.pdf", "Melting_Curves/meltCurve_Q9NUG6_PDRG1.pdf")</f>
        <v>Melting_Curves/meltCurve_Q9NUG6_PDRG1.pdf</v>
      </c>
    </row>
    <row r="5001" spans="1:28" x14ac:dyDescent="0.25">
      <c r="A5001" t="s">
        <v>5005</v>
      </c>
      <c r="B5001">
        <v>0.99299721793515405</v>
      </c>
      <c r="C5001">
        <v>0.97433489208032897</v>
      </c>
      <c r="D5001">
        <v>0.85928566648295002</v>
      </c>
      <c r="E5001">
        <v>0.86784436316634905</v>
      </c>
      <c r="F5001">
        <v>0.71383025234316699</v>
      </c>
      <c r="G5001">
        <v>0.60169483388711398</v>
      </c>
      <c r="H5001">
        <v>0.70970877900574203</v>
      </c>
      <c r="I5001">
        <v>0.78289000204293602</v>
      </c>
      <c r="J5001">
        <v>0.84660923002952604</v>
      </c>
      <c r="K5001">
        <v>0.39376686495245899</v>
      </c>
      <c r="L5001">
        <v>590.18552581352299</v>
      </c>
      <c r="M5001">
        <v>12.8153643472703</v>
      </c>
      <c r="O5001">
        <v>44.974833580646198</v>
      </c>
      <c r="P5001">
        <v>-2.5096567900359301E-2</v>
      </c>
      <c r="Q5001">
        <v>0.64776564629619204</v>
      </c>
      <c r="R5001">
        <v>0.53981446978549197</v>
      </c>
      <c r="S5001" t="s">
        <v>10552</v>
      </c>
      <c r="T5001" t="s">
        <v>11100</v>
      </c>
      <c r="U5001" t="s">
        <v>11100</v>
      </c>
      <c r="V5001" t="s">
        <v>11100</v>
      </c>
      <c r="W5001" t="s">
        <v>16048</v>
      </c>
      <c r="X5001">
        <v>6</v>
      </c>
      <c r="Y5001" t="s">
        <v>21472</v>
      </c>
      <c r="Z5001" t="s">
        <v>27006</v>
      </c>
      <c r="AA5001">
        <v>0.76487441172147341</v>
      </c>
      <c r="AB5001" t="str">
        <f>HYPERLINK("Melting_Curves/meltCurve_Q9NUJ1_ABHD10.pdf", "Melting_Curves/meltCurve_Q9NUJ1_ABHD10.pdf")</f>
        <v>Melting_Curves/meltCurve_Q9NUJ1_ABHD10.pdf</v>
      </c>
    </row>
    <row r="5002" spans="1:28" x14ac:dyDescent="0.25">
      <c r="A5002" t="s">
        <v>5006</v>
      </c>
      <c r="B5002">
        <v>0.99299721793515405</v>
      </c>
      <c r="C5002">
        <v>1.0188489215938299</v>
      </c>
      <c r="D5002">
        <v>1.05463186428703</v>
      </c>
      <c r="E5002">
        <v>0.89195442365981004</v>
      </c>
      <c r="F5002">
        <v>0.727719360677619</v>
      </c>
      <c r="G5002">
        <v>0.48439355549855601</v>
      </c>
      <c r="H5002">
        <v>0.555054096689793</v>
      </c>
      <c r="I5002">
        <v>0.79406391311943902</v>
      </c>
      <c r="J5002">
        <v>0.76527118352234202</v>
      </c>
      <c r="K5002">
        <v>0.56661407999781799</v>
      </c>
      <c r="L5002">
        <v>1895.4645555654599</v>
      </c>
      <c r="M5002">
        <v>39.582930559740703</v>
      </c>
      <c r="O5002">
        <v>47.764158285356203</v>
      </c>
      <c r="P5002">
        <v>-7.4905621590219004E-2</v>
      </c>
      <c r="Q5002">
        <v>0.63845047370864705</v>
      </c>
      <c r="R5002">
        <v>0.77887626806414201</v>
      </c>
      <c r="S5002" t="s">
        <v>10553</v>
      </c>
      <c r="T5002" t="s">
        <v>11100</v>
      </c>
      <c r="U5002" t="s">
        <v>11100</v>
      </c>
      <c r="V5002" t="s">
        <v>11100</v>
      </c>
      <c r="W5002" t="s">
        <v>16049</v>
      </c>
      <c r="X5002">
        <v>2</v>
      </c>
      <c r="Y5002" t="s">
        <v>21473</v>
      </c>
      <c r="Z5002" t="s">
        <v>27007</v>
      </c>
      <c r="AA5002">
        <v>0.77086598908848625</v>
      </c>
      <c r="AB5002" t="str">
        <f>HYPERLINK("Melting_Curves/meltCurve_Q9NUM4_TMEM106B.pdf", "Melting_Curves/meltCurve_Q9NUM4_TMEM106B.pdf")</f>
        <v>Melting_Curves/meltCurve_Q9NUM4_TMEM106B.pdf</v>
      </c>
    </row>
    <row r="5003" spans="1:28" x14ac:dyDescent="0.25">
      <c r="A5003" t="s">
        <v>5007</v>
      </c>
      <c r="B5003">
        <v>0.99299721793515405</v>
      </c>
      <c r="C5003">
        <v>0.88813203092413195</v>
      </c>
      <c r="D5003">
        <v>0.99673245337264804</v>
      </c>
      <c r="E5003">
        <v>0.81293759943001798</v>
      </c>
      <c r="F5003">
        <v>0.71550563585195504</v>
      </c>
      <c r="G5003">
        <v>0.60139629156602104</v>
      </c>
      <c r="H5003">
        <v>0.52536505063054395</v>
      </c>
      <c r="I5003">
        <v>0.47929117885316003</v>
      </c>
      <c r="J5003">
        <v>0.41597739687379198</v>
      </c>
      <c r="K5003">
        <v>0.44068438351302502</v>
      </c>
      <c r="L5003">
        <v>550.46004769462195</v>
      </c>
      <c r="M5003">
        <v>10.8133341534199</v>
      </c>
      <c r="N5003">
        <v>58.737058135897897</v>
      </c>
      <c r="O5003">
        <v>49.257432330596302</v>
      </c>
      <c r="P5003">
        <v>-3.3943317783103603E-2</v>
      </c>
      <c r="Q5003">
        <v>0.381741703584206</v>
      </c>
      <c r="R5003">
        <v>0.97097485009679596</v>
      </c>
      <c r="S5003" t="s">
        <v>10554</v>
      </c>
      <c r="T5003" t="s">
        <v>11100</v>
      </c>
      <c r="U5003" t="s">
        <v>11100</v>
      </c>
      <c r="V5003" t="s">
        <v>11100</v>
      </c>
      <c r="W5003" t="s">
        <v>16050</v>
      </c>
      <c r="X5003">
        <v>4</v>
      </c>
      <c r="Y5003" t="s">
        <v>21474</v>
      </c>
      <c r="Z5003" t="s">
        <v>27008</v>
      </c>
      <c r="AA5003">
        <v>0.68619891646138287</v>
      </c>
      <c r="AB5003" t="str">
        <f>HYPERLINK("Melting_Curves/meltCurve_Q9NUN5_3_LMBRD1.pdf", "Melting_Curves/meltCurve_Q9NUN5_3_LMBRD1.pdf")</f>
        <v>Melting_Curves/meltCurve_Q9NUN5_3_LMBRD1.pdf</v>
      </c>
    </row>
    <row r="5004" spans="1:28" x14ac:dyDescent="0.25">
      <c r="A5004" t="s">
        <v>5008</v>
      </c>
      <c r="B5004">
        <v>0.99299721793515405</v>
      </c>
      <c r="C5004">
        <v>1.0767821880192301</v>
      </c>
      <c r="D5004">
        <v>0.87290184002376803</v>
      </c>
      <c r="E5004">
        <v>0.931115908193763</v>
      </c>
      <c r="F5004">
        <v>0.751647107615107</v>
      </c>
      <c r="G5004">
        <v>0.66125048348077597</v>
      </c>
      <c r="H5004">
        <v>0.62736475546047699</v>
      </c>
      <c r="I5004">
        <v>0.57623668553915097</v>
      </c>
      <c r="J5004">
        <v>0.261799661930883</v>
      </c>
      <c r="K5004">
        <v>0.14594672990756799</v>
      </c>
      <c r="L5004">
        <v>525.68884312609202</v>
      </c>
      <c r="M5004">
        <v>8.9230097868232097</v>
      </c>
      <c r="N5004">
        <v>58.913831126375598</v>
      </c>
      <c r="O5004">
        <v>56.180245549688301</v>
      </c>
      <c r="P5004">
        <v>-3.9736850135213497E-2</v>
      </c>
      <c r="Q5004">
        <v>0</v>
      </c>
      <c r="R5004">
        <v>0.918961809808581</v>
      </c>
      <c r="S5004" t="s">
        <v>10555</v>
      </c>
      <c r="T5004" t="s">
        <v>11100</v>
      </c>
      <c r="U5004" t="s">
        <v>11100</v>
      </c>
      <c r="V5004" t="s">
        <v>11100</v>
      </c>
      <c r="W5004" t="s">
        <v>16051</v>
      </c>
      <c r="X5004">
        <v>4</v>
      </c>
      <c r="Y5004" t="s">
        <v>21475</v>
      </c>
      <c r="Z5004" t="s">
        <v>27009</v>
      </c>
      <c r="AA5004">
        <v>0.70717840596626957</v>
      </c>
      <c r="AB5004" t="str">
        <f>HYPERLINK("Melting_Curves/meltCurve_Q9NUP1_BLOC1S4.pdf", "Melting_Curves/meltCurve_Q9NUP1_BLOC1S4.pdf")</f>
        <v>Melting_Curves/meltCurve_Q9NUP1_BLOC1S4.pdf</v>
      </c>
    </row>
    <row r="5005" spans="1:28" x14ac:dyDescent="0.25">
      <c r="A5005" t="s">
        <v>5009</v>
      </c>
      <c r="B5005">
        <v>0.99299721793515405</v>
      </c>
      <c r="C5005">
        <v>0.98619360125932398</v>
      </c>
      <c r="D5005">
        <v>0.92929700629588197</v>
      </c>
      <c r="E5005">
        <v>0.85833247674028801</v>
      </c>
      <c r="F5005">
        <v>0.69315352045748302</v>
      </c>
      <c r="G5005">
        <v>0.52991860465068097</v>
      </c>
      <c r="H5005">
        <v>0.239049257349918</v>
      </c>
      <c r="I5005">
        <v>0.16092366149562301</v>
      </c>
      <c r="J5005">
        <v>0.142968265683624</v>
      </c>
      <c r="K5005">
        <v>0.127939983408664</v>
      </c>
      <c r="L5005">
        <v>730.96965473414002</v>
      </c>
      <c r="M5005">
        <v>13.8243488802353</v>
      </c>
      <c r="N5005">
        <v>53.328797102312102</v>
      </c>
      <c r="O5005">
        <v>51.805965065551199</v>
      </c>
      <c r="P5005">
        <v>-6.3023001914431401E-2</v>
      </c>
      <c r="Q5005">
        <v>5.5431043228425E-2</v>
      </c>
      <c r="R5005">
        <v>0.992823449059826</v>
      </c>
      <c r="S5005" t="s">
        <v>10556</v>
      </c>
      <c r="T5005" t="s">
        <v>11100</v>
      </c>
      <c r="U5005" t="s">
        <v>11100</v>
      </c>
      <c r="V5005" t="s">
        <v>11100</v>
      </c>
      <c r="W5005" t="s">
        <v>16052</v>
      </c>
      <c r="X5005">
        <v>4</v>
      </c>
      <c r="Y5005" t="s">
        <v>21476</v>
      </c>
      <c r="Z5005" t="s">
        <v>27010</v>
      </c>
      <c r="AA5005">
        <v>0.57362440402961001</v>
      </c>
      <c r="AB5005" t="str">
        <f>HYPERLINK("Melting_Curves/meltCurve_Q9NUP7_TRMT13.pdf", "Melting_Curves/meltCurve_Q9NUP7_TRMT13.pdf")</f>
        <v>Melting_Curves/meltCurve_Q9NUP7_TRMT13.pdf</v>
      </c>
    </row>
    <row r="5006" spans="1:28" x14ac:dyDescent="0.25">
      <c r="A5006" t="s">
        <v>5010</v>
      </c>
      <c r="B5006">
        <v>0.99299721793515405</v>
      </c>
      <c r="C5006">
        <v>0.99372118795094999</v>
      </c>
      <c r="D5006">
        <v>0.93757669461859905</v>
      </c>
      <c r="E5006">
        <v>0.89488231451998501</v>
      </c>
      <c r="F5006">
        <v>0.73033930933745905</v>
      </c>
      <c r="G5006">
        <v>0.551501342930382</v>
      </c>
      <c r="H5006">
        <v>0.37848232131216297</v>
      </c>
      <c r="I5006">
        <v>0.34723094863678999</v>
      </c>
      <c r="J5006">
        <v>0.30129100029419498</v>
      </c>
      <c r="K5006">
        <v>0.23975737913106099</v>
      </c>
      <c r="L5006">
        <v>715.93214503345905</v>
      </c>
      <c r="M5006">
        <v>13.6411713336832</v>
      </c>
      <c r="N5006">
        <v>54.8510844858382</v>
      </c>
      <c r="O5006">
        <v>51.393831678326997</v>
      </c>
      <c r="P5006">
        <v>-5.1597638768589103E-2</v>
      </c>
      <c r="Q5006">
        <v>0.222526567170233</v>
      </c>
      <c r="R5006">
        <v>0.99639598834093102</v>
      </c>
      <c r="S5006" t="s">
        <v>10557</v>
      </c>
      <c r="T5006" t="s">
        <v>11100</v>
      </c>
      <c r="U5006" t="s">
        <v>11100</v>
      </c>
      <c r="V5006" t="s">
        <v>11100</v>
      </c>
      <c r="W5006" t="s">
        <v>16053</v>
      </c>
      <c r="X5006">
        <v>8</v>
      </c>
      <c r="Y5006" t="s">
        <v>21477</v>
      </c>
      <c r="Z5006" t="s">
        <v>27011</v>
      </c>
      <c r="AA5006">
        <v>0.63962046648490611</v>
      </c>
      <c r="AB5006" t="str">
        <f>HYPERLINK("Melting_Curves/meltCurve_Q9NUP9_LIN7C.pdf", "Melting_Curves/meltCurve_Q9NUP9_LIN7C.pdf")</f>
        <v>Melting_Curves/meltCurve_Q9NUP9_LIN7C.pdf</v>
      </c>
    </row>
    <row r="5007" spans="1:28" x14ac:dyDescent="0.25">
      <c r="A5007" t="s">
        <v>5011</v>
      </c>
      <c r="B5007">
        <v>0.99299721793515405</v>
      </c>
      <c r="C5007">
        <v>0.96810749614670499</v>
      </c>
      <c r="D5007">
        <v>1.04130452470766</v>
      </c>
      <c r="E5007">
        <v>0.86182513158132801</v>
      </c>
      <c r="F5007">
        <v>0.72845837271920699</v>
      </c>
      <c r="G5007">
        <v>0.59480210115702803</v>
      </c>
      <c r="H5007">
        <v>0.26259928082008299</v>
      </c>
      <c r="I5007">
        <v>0.15358862750718699</v>
      </c>
      <c r="J5007">
        <v>0.175716905712309</v>
      </c>
      <c r="K5007">
        <v>0.178023982172693</v>
      </c>
      <c r="L5007">
        <v>864.743883588975</v>
      </c>
      <c r="M5007">
        <v>16.269006031792099</v>
      </c>
      <c r="N5007">
        <v>53.967027088653097</v>
      </c>
      <c r="O5007">
        <v>52.369228379184001</v>
      </c>
      <c r="P5007">
        <v>-6.9218149534937698E-2</v>
      </c>
      <c r="Q5007">
        <v>0.108824519912246</v>
      </c>
      <c r="R5007">
        <v>0.98189714201551404</v>
      </c>
      <c r="S5007" t="s">
        <v>10558</v>
      </c>
      <c r="T5007" t="s">
        <v>11100</v>
      </c>
      <c r="U5007" t="s">
        <v>11100</v>
      </c>
      <c r="V5007" t="s">
        <v>11100</v>
      </c>
      <c r="W5007" t="s">
        <v>16054</v>
      </c>
      <c r="X5007">
        <v>4</v>
      </c>
      <c r="Y5007" t="s">
        <v>21478</v>
      </c>
      <c r="Z5007" t="s">
        <v>27012</v>
      </c>
      <c r="AA5007">
        <v>0.6031322547812038</v>
      </c>
      <c r="AB5007" t="str">
        <f>HYPERLINK("Melting_Curves/meltCurve_Q9NUQ2_AGPAT5.pdf", "Melting_Curves/meltCurve_Q9NUQ2_AGPAT5.pdf")</f>
        <v>Melting_Curves/meltCurve_Q9NUQ2_AGPAT5.pdf</v>
      </c>
    </row>
    <row r="5008" spans="1:28" x14ac:dyDescent="0.25">
      <c r="A5008" t="s">
        <v>5012</v>
      </c>
      <c r="B5008">
        <v>0.99299721793515405</v>
      </c>
      <c r="C5008">
        <v>1.0138302824949601</v>
      </c>
      <c r="D5008">
        <v>1.0110576929564901</v>
      </c>
      <c r="E5008">
        <v>0.86793681007029</v>
      </c>
      <c r="F5008">
        <v>0.71930827550710996</v>
      </c>
      <c r="G5008">
        <v>0.54078063981443203</v>
      </c>
      <c r="H5008">
        <v>0.29038854002567499</v>
      </c>
      <c r="I5008">
        <v>0.19796411526930299</v>
      </c>
      <c r="J5008">
        <v>0.189257123977361</v>
      </c>
      <c r="K5008">
        <v>0.15653482933129301</v>
      </c>
      <c r="L5008">
        <v>810.51729634269304</v>
      </c>
      <c r="M5008">
        <v>15.330135506561399</v>
      </c>
      <c r="N5008">
        <v>53.799394335646802</v>
      </c>
      <c r="O5008">
        <v>51.995690864218098</v>
      </c>
      <c r="P5008">
        <v>-6.5146887930992006E-2</v>
      </c>
      <c r="Q5008">
        <v>0.116239175082315</v>
      </c>
      <c r="R5008">
        <v>0.99493486466738401</v>
      </c>
      <c r="S5008" t="s">
        <v>10559</v>
      </c>
      <c r="T5008" t="s">
        <v>11100</v>
      </c>
      <c r="U5008" t="s">
        <v>11100</v>
      </c>
      <c r="V5008" t="s">
        <v>11100</v>
      </c>
      <c r="W5008" t="s">
        <v>16055</v>
      </c>
      <c r="X5008">
        <v>26</v>
      </c>
      <c r="Y5008" t="s">
        <v>21479</v>
      </c>
      <c r="Z5008" t="s">
        <v>27013</v>
      </c>
      <c r="AA5008">
        <v>0.59936494623681824</v>
      </c>
      <c r="AB5008" t="str">
        <f>HYPERLINK("Melting_Curves/meltCurve_Q9NUQ3_TXLNG.pdf", "Melting_Curves/meltCurve_Q9NUQ3_TXLNG.pdf")</f>
        <v>Melting_Curves/meltCurve_Q9NUQ3_TXLNG.pdf</v>
      </c>
    </row>
    <row r="5009" spans="1:28" x14ac:dyDescent="0.25">
      <c r="A5009" t="s">
        <v>5013</v>
      </c>
      <c r="B5009">
        <v>0.99299721793515405</v>
      </c>
      <c r="C5009">
        <v>0.95943370596411404</v>
      </c>
      <c r="D5009">
        <v>0.90941913768204596</v>
      </c>
      <c r="E5009">
        <v>0.82878798346258997</v>
      </c>
      <c r="F5009">
        <v>0.69224437193394595</v>
      </c>
      <c r="G5009">
        <v>0.45602016777823001</v>
      </c>
      <c r="H5009">
        <v>0.233268340313631</v>
      </c>
      <c r="I5009">
        <v>0.238207679189824</v>
      </c>
      <c r="J5009">
        <v>0.22011596865496599</v>
      </c>
      <c r="K5009">
        <v>0.18592530926185599</v>
      </c>
      <c r="L5009">
        <v>744.24883297105396</v>
      </c>
      <c r="M5009">
        <v>14.4750613647183</v>
      </c>
      <c r="N5009">
        <v>52.718082192472998</v>
      </c>
      <c r="O5009">
        <v>50.464505396074301</v>
      </c>
      <c r="P5009">
        <v>-6.0938215456853601E-2</v>
      </c>
      <c r="Q5009">
        <v>0.15030142115492501</v>
      </c>
      <c r="R5009">
        <v>0.98967021165749303</v>
      </c>
      <c r="S5009" t="s">
        <v>10560</v>
      </c>
      <c r="T5009" t="s">
        <v>11100</v>
      </c>
      <c r="U5009" t="s">
        <v>11100</v>
      </c>
      <c r="V5009" t="s">
        <v>11100</v>
      </c>
      <c r="W5009" t="s">
        <v>16056</v>
      </c>
      <c r="X5009">
        <v>6</v>
      </c>
      <c r="Y5009" t="s">
        <v>21480</v>
      </c>
      <c r="Z5009" t="s">
        <v>27014</v>
      </c>
      <c r="AA5009">
        <v>0.57613401593754943</v>
      </c>
      <c r="AB5009" t="str">
        <f>HYPERLINK("Melting_Curves/meltCurve_Q9NUQ7_UFSP2.pdf", "Melting_Curves/meltCurve_Q9NUQ7_UFSP2.pdf")</f>
        <v>Melting_Curves/meltCurve_Q9NUQ7_UFSP2.pdf</v>
      </c>
    </row>
    <row r="5010" spans="1:28" x14ac:dyDescent="0.25">
      <c r="A5010" t="s">
        <v>5014</v>
      </c>
      <c r="B5010">
        <v>0.99299721793515405</v>
      </c>
      <c r="C5010">
        <v>1.12255589871104</v>
      </c>
      <c r="D5010">
        <v>1.0506283853051499</v>
      </c>
      <c r="E5010">
        <v>0.86051077577253798</v>
      </c>
      <c r="F5010">
        <v>0.30449037743056101</v>
      </c>
      <c r="G5010">
        <v>0.28599031171473499</v>
      </c>
      <c r="H5010">
        <v>0.17562895412087301</v>
      </c>
      <c r="I5010">
        <v>0.161469224131573</v>
      </c>
      <c r="J5010">
        <v>0.136782012005493</v>
      </c>
      <c r="K5010">
        <v>0.13762471658441899</v>
      </c>
      <c r="L5010">
        <v>2018.1980855174099</v>
      </c>
      <c r="M5010">
        <v>41.745110937355498</v>
      </c>
      <c r="N5010">
        <v>48.847103368053702</v>
      </c>
      <c r="O5010">
        <v>48.2351877925461</v>
      </c>
      <c r="P5010">
        <v>-0.17866156323441601</v>
      </c>
      <c r="Q5010">
        <v>0.174249746880728</v>
      </c>
      <c r="R5010">
        <v>0.98075148629970399</v>
      </c>
      <c r="S5010" t="s">
        <v>10561</v>
      </c>
      <c r="T5010" t="s">
        <v>11100</v>
      </c>
      <c r="U5010" t="s">
        <v>11100</v>
      </c>
      <c r="V5010" t="s">
        <v>11100</v>
      </c>
      <c r="W5010" t="s">
        <v>16057</v>
      </c>
      <c r="X5010">
        <v>15</v>
      </c>
      <c r="Y5010" t="s">
        <v>21481</v>
      </c>
      <c r="Z5010" t="s">
        <v>27015</v>
      </c>
      <c r="AA5010">
        <v>0.48907314914258032</v>
      </c>
      <c r="AB5010" t="str">
        <f>HYPERLINK("Melting_Curves/meltCurve_Q9NUQ8_ABCF3.pdf", "Melting_Curves/meltCurve_Q9NUQ8_ABCF3.pdf")</f>
        <v>Melting_Curves/meltCurve_Q9NUQ8_ABCF3.pdf</v>
      </c>
    </row>
    <row r="5011" spans="1:28" x14ac:dyDescent="0.25">
      <c r="A5011" t="s">
        <v>5015</v>
      </c>
      <c r="B5011">
        <v>0.99299721793515405</v>
      </c>
      <c r="C5011">
        <v>0.96638666919451099</v>
      </c>
      <c r="D5011">
        <v>0.91906065373205303</v>
      </c>
      <c r="E5011">
        <v>0.89797180832511203</v>
      </c>
      <c r="F5011">
        <v>0.75620006862178701</v>
      </c>
      <c r="G5011">
        <v>0.61956929184563303</v>
      </c>
      <c r="H5011">
        <v>0.50610390465898203</v>
      </c>
      <c r="I5011">
        <v>0.314998577280105</v>
      </c>
      <c r="J5011">
        <v>0.17548419218119299</v>
      </c>
      <c r="K5011">
        <v>0.12979353655782699</v>
      </c>
      <c r="L5011">
        <v>588.63487989567398</v>
      </c>
      <c r="M5011">
        <v>10.463460452999101</v>
      </c>
      <c r="N5011">
        <v>56.256243124641301</v>
      </c>
      <c r="O5011">
        <v>54.317896144393501</v>
      </c>
      <c r="P5011">
        <v>-4.8178132163563002E-2</v>
      </c>
      <c r="Q5011">
        <v>0</v>
      </c>
      <c r="R5011">
        <v>0.99115268251365995</v>
      </c>
      <c r="S5011" t="s">
        <v>10562</v>
      </c>
      <c r="T5011" t="s">
        <v>11100</v>
      </c>
      <c r="U5011" t="s">
        <v>11100</v>
      </c>
      <c r="V5011" t="s">
        <v>11100</v>
      </c>
      <c r="W5011" t="s">
        <v>16058</v>
      </c>
      <c r="X5011">
        <v>16</v>
      </c>
      <c r="Y5011" t="s">
        <v>21482</v>
      </c>
      <c r="Z5011" t="s">
        <v>27016</v>
      </c>
      <c r="AA5011">
        <v>0.64750134937544213</v>
      </c>
      <c r="AB5011" t="str">
        <f>HYPERLINK("Melting_Curves/meltCurve_Q9NUQ9_FAM49B.pdf", "Melting_Curves/meltCurve_Q9NUQ9_FAM49B.pdf")</f>
        <v>Melting_Curves/meltCurve_Q9NUQ9_FAM49B.pdf</v>
      </c>
    </row>
    <row r="5012" spans="1:28" x14ac:dyDescent="0.25">
      <c r="A5012" t="s">
        <v>5016</v>
      </c>
      <c r="B5012">
        <v>0.99299721793515405</v>
      </c>
      <c r="C5012">
        <v>1.0173789877309101</v>
      </c>
      <c r="D5012">
        <v>0.997442964946338</v>
      </c>
      <c r="E5012">
        <v>0.92481850501602902</v>
      </c>
      <c r="F5012">
        <v>0.78272125682123905</v>
      </c>
      <c r="G5012">
        <v>0.36436994935270101</v>
      </c>
      <c r="H5012">
        <v>0.174177137372968</v>
      </c>
      <c r="I5012">
        <v>0.164473743067128</v>
      </c>
      <c r="J5012">
        <v>0.14495868892942301</v>
      </c>
      <c r="K5012">
        <v>0.114165780077864</v>
      </c>
      <c r="L5012">
        <v>1475.075466943</v>
      </c>
      <c r="M5012">
        <v>28.3818105247692</v>
      </c>
      <c r="N5012">
        <v>52.533003241480401</v>
      </c>
      <c r="O5012">
        <v>51.716599949500299</v>
      </c>
      <c r="P5012">
        <v>-0.119278554496783</v>
      </c>
      <c r="Q5012">
        <v>0.130621889954918</v>
      </c>
      <c r="R5012">
        <v>0.99760441941204603</v>
      </c>
      <c r="S5012" t="s">
        <v>10563</v>
      </c>
      <c r="T5012" t="s">
        <v>11100</v>
      </c>
      <c r="U5012" t="s">
        <v>11100</v>
      </c>
      <c r="V5012" t="s">
        <v>11100</v>
      </c>
      <c r="W5012" t="s">
        <v>16059</v>
      </c>
      <c r="X5012">
        <v>27</v>
      </c>
      <c r="Y5012" t="s">
        <v>21483</v>
      </c>
      <c r="Z5012" t="s">
        <v>27017</v>
      </c>
      <c r="AA5012">
        <v>0.57060966163133253</v>
      </c>
      <c r="AB5012" t="str">
        <f>HYPERLINK("Melting_Curves/meltCurve_Q9NUU7_DDX19A.pdf", "Melting_Curves/meltCurve_Q9NUU7_DDX19A.pdf")</f>
        <v>Melting_Curves/meltCurve_Q9NUU7_DDX19A.pdf</v>
      </c>
    </row>
    <row r="5013" spans="1:28" x14ac:dyDescent="0.25">
      <c r="A5013" t="s">
        <v>5017</v>
      </c>
      <c r="B5013">
        <v>0.99299721793515405</v>
      </c>
      <c r="C5013">
        <v>0.89012141823249202</v>
      </c>
      <c r="D5013">
        <v>0.91921429453630399</v>
      </c>
      <c r="E5013">
        <v>0.91967716695130397</v>
      </c>
      <c r="F5013">
        <v>0.71712695210319399</v>
      </c>
      <c r="G5013">
        <v>0.24341729048973601</v>
      </c>
      <c r="H5013">
        <v>0.25430987091012103</v>
      </c>
      <c r="I5013">
        <v>0.36539194450998502</v>
      </c>
      <c r="J5013">
        <v>0.41787278814117101</v>
      </c>
      <c r="K5013">
        <v>0.26929289987545202</v>
      </c>
      <c r="L5013">
        <v>12568.2721392114</v>
      </c>
      <c r="M5013">
        <v>250</v>
      </c>
      <c r="N5013">
        <v>50.4684793277019</v>
      </c>
      <c r="O5013">
        <v>50.269871414210897</v>
      </c>
      <c r="P5013">
        <v>-0.85779890413091497</v>
      </c>
      <c r="Q5013">
        <v>0.31005695107178199</v>
      </c>
      <c r="R5013">
        <v>0.94559808588876604</v>
      </c>
      <c r="S5013" t="s">
        <v>10564</v>
      </c>
      <c r="T5013" t="s">
        <v>11100</v>
      </c>
      <c r="U5013" t="s">
        <v>11100</v>
      </c>
      <c r="V5013" t="s">
        <v>11100</v>
      </c>
      <c r="W5013" t="s">
        <v>16060</v>
      </c>
      <c r="X5013">
        <v>3</v>
      </c>
      <c r="Y5013" t="s">
        <v>21484</v>
      </c>
      <c r="Z5013" t="s">
        <v>27018</v>
      </c>
      <c r="AA5013">
        <v>0.6153736632906015</v>
      </c>
      <c r="AB5013" t="str">
        <f>HYPERLINK("Melting_Curves/meltCurve_Q9NUW8_TDP1.pdf", "Melting_Curves/meltCurve_Q9NUW8_TDP1.pdf")</f>
        <v>Melting_Curves/meltCurve_Q9NUW8_TDP1.pdf</v>
      </c>
    </row>
    <row r="5014" spans="1:28" x14ac:dyDescent="0.25">
      <c r="A5014" t="s">
        <v>5018</v>
      </c>
      <c r="B5014">
        <v>0.99299721793515405</v>
      </c>
      <c r="C5014">
        <v>1.3982355794968799</v>
      </c>
      <c r="D5014">
        <v>1.3400219178455</v>
      </c>
      <c r="E5014">
        <v>0.949637319566208</v>
      </c>
      <c r="F5014">
        <v>0.879122498007051</v>
      </c>
      <c r="G5014">
        <v>0.24803733837452299</v>
      </c>
      <c r="H5014">
        <v>0</v>
      </c>
      <c r="I5014">
        <v>0</v>
      </c>
      <c r="J5014">
        <v>0</v>
      </c>
      <c r="K5014">
        <v>0</v>
      </c>
      <c r="L5014">
        <v>2339.4468473209699</v>
      </c>
      <c r="M5014">
        <v>44.612145474906001</v>
      </c>
      <c r="N5014">
        <v>52.439684990133202</v>
      </c>
      <c r="O5014">
        <v>52.3346458580573</v>
      </c>
      <c r="P5014">
        <v>-0.21311029708360199</v>
      </c>
      <c r="Q5014">
        <v>0</v>
      </c>
      <c r="R5014">
        <v>0.91066098324895195</v>
      </c>
      <c r="S5014" t="s">
        <v>10565</v>
      </c>
      <c r="T5014" t="s">
        <v>11100</v>
      </c>
      <c r="U5014" t="s">
        <v>11100</v>
      </c>
      <c r="V5014" t="s">
        <v>11100</v>
      </c>
      <c r="W5014" t="s">
        <v>16061</v>
      </c>
      <c r="X5014">
        <v>7</v>
      </c>
      <c r="Y5014" t="s">
        <v>21485</v>
      </c>
      <c r="Z5014" t="s">
        <v>27019</v>
      </c>
      <c r="AA5014">
        <v>0.51756178053214152</v>
      </c>
      <c r="AB5014" t="str">
        <f>HYPERLINK("Melting_Curves/meltCurve_Q9NUY8_2_TBC1D23.pdf", "Melting_Curves/meltCurve_Q9NUY8_2_TBC1D23.pdf")</f>
        <v>Melting_Curves/meltCurve_Q9NUY8_2_TBC1D23.pdf</v>
      </c>
    </row>
    <row r="5015" spans="1:28" x14ac:dyDescent="0.25">
      <c r="A5015" t="s">
        <v>5019</v>
      </c>
      <c r="B5015">
        <v>0.99299721793515405</v>
      </c>
      <c r="C5015">
        <v>0.81147507133821095</v>
      </c>
      <c r="D5015">
        <v>0.925764037652127</v>
      </c>
      <c r="E5015">
        <v>0.92699406222001501</v>
      </c>
      <c r="F5015">
        <v>0.88366995736864595</v>
      </c>
      <c r="G5015">
        <v>1.17964041270471</v>
      </c>
      <c r="H5015">
        <v>0.997335565043735</v>
      </c>
      <c r="I5015">
        <v>0.55263558274633695</v>
      </c>
      <c r="J5015">
        <v>0.31170713218235202</v>
      </c>
      <c r="K5015">
        <v>0.26073784846513198</v>
      </c>
      <c r="L5015">
        <v>4264.8840865403999</v>
      </c>
      <c r="M5015">
        <v>70.386661901227498</v>
      </c>
      <c r="N5015">
        <v>61.296997556707403</v>
      </c>
      <c r="O5015">
        <v>60.543353944266102</v>
      </c>
      <c r="P5015">
        <v>-0.21001750295181301</v>
      </c>
      <c r="Q5015">
        <v>0.27741062796525201</v>
      </c>
      <c r="R5015">
        <v>0.89014243204076904</v>
      </c>
      <c r="S5015" t="s">
        <v>10566</v>
      </c>
      <c r="T5015" t="s">
        <v>11100</v>
      </c>
      <c r="U5015" t="s">
        <v>11100</v>
      </c>
      <c r="V5015" t="s">
        <v>11100</v>
      </c>
      <c r="W5015" t="s">
        <v>16062</v>
      </c>
      <c r="X5015">
        <v>4</v>
      </c>
      <c r="Y5015" t="s">
        <v>21486</v>
      </c>
      <c r="Z5015" t="s">
        <v>27020</v>
      </c>
      <c r="AA5015">
        <v>0.84660084753092213</v>
      </c>
      <c r="AB5015" t="str">
        <f>HYPERLINK("Melting_Curves/meltCurve_Q9NV06_DCAF13.pdf", "Melting_Curves/meltCurve_Q9NV06_DCAF13.pdf")</f>
        <v>Melting_Curves/meltCurve_Q9NV06_DCAF13.pdf</v>
      </c>
    </row>
    <row r="5016" spans="1:28" x14ac:dyDescent="0.25">
      <c r="A5016" t="s">
        <v>5020</v>
      </c>
      <c r="B5016">
        <v>0.99299721793515405</v>
      </c>
      <c r="C5016">
        <v>0.84237148899032799</v>
      </c>
      <c r="D5016">
        <v>0.83698431198353296</v>
      </c>
      <c r="E5016">
        <v>0.578095173720932</v>
      </c>
      <c r="F5016">
        <v>0.71077065451580601</v>
      </c>
      <c r="G5016">
        <v>0.46260257575823599</v>
      </c>
      <c r="H5016">
        <v>0.41556585246982303</v>
      </c>
      <c r="I5016">
        <v>0.70715173805035303</v>
      </c>
      <c r="J5016">
        <v>0.74249284325199605</v>
      </c>
      <c r="K5016">
        <v>0.51783217949622196</v>
      </c>
      <c r="L5016">
        <v>767.66809942724296</v>
      </c>
      <c r="M5016">
        <v>18.063784755875599</v>
      </c>
      <c r="O5016">
        <v>41.987069384489097</v>
      </c>
      <c r="P5016">
        <v>-4.52134867519964E-2</v>
      </c>
      <c r="Q5016">
        <v>0.57964746367257003</v>
      </c>
      <c r="R5016">
        <v>0.62623452284039205</v>
      </c>
      <c r="S5016" t="s">
        <v>10567</v>
      </c>
      <c r="T5016" t="s">
        <v>11100</v>
      </c>
      <c r="U5016" t="s">
        <v>11100</v>
      </c>
      <c r="V5016" t="s">
        <v>11100</v>
      </c>
      <c r="W5016" t="s">
        <v>16063</v>
      </c>
      <c r="X5016">
        <v>1</v>
      </c>
      <c r="Y5016" t="s">
        <v>21487</v>
      </c>
      <c r="Z5016" t="s">
        <v>27021</v>
      </c>
      <c r="AA5016">
        <v>0.66433753319934896</v>
      </c>
      <c r="AB5016" t="str">
        <f>HYPERLINK("Melting_Curves/meltCurve_Q9NV29_TMEM100.pdf", "Melting_Curves/meltCurve_Q9NV29_TMEM100.pdf")</f>
        <v>Melting_Curves/meltCurve_Q9NV29_TMEM100.pdf</v>
      </c>
    </row>
    <row r="5017" spans="1:28" x14ac:dyDescent="0.25">
      <c r="A5017" t="s">
        <v>5021</v>
      </c>
      <c r="B5017">
        <v>0.99299721793515405</v>
      </c>
      <c r="C5017">
        <v>1.03672448086672</v>
      </c>
      <c r="D5017">
        <v>0.97279585183441497</v>
      </c>
      <c r="E5017">
        <v>0.84424316087843998</v>
      </c>
      <c r="F5017">
        <v>0.72512192901954797</v>
      </c>
      <c r="G5017">
        <v>0.49934617297434503</v>
      </c>
      <c r="H5017">
        <v>0.32339989327156299</v>
      </c>
      <c r="I5017">
        <v>0.25618205664223598</v>
      </c>
      <c r="J5017">
        <v>0.20049298866852999</v>
      </c>
      <c r="K5017">
        <v>8.9589016622055304E-2</v>
      </c>
      <c r="L5017">
        <v>660.01824616379497</v>
      </c>
      <c r="M5017">
        <v>12.344834669341299</v>
      </c>
      <c r="N5017">
        <v>54.014802173503298</v>
      </c>
      <c r="O5017">
        <v>52.120237323552601</v>
      </c>
      <c r="P5017">
        <v>-5.5730111264400597E-2</v>
      </c>
      <c r="Q5017">
        <v>5.9026516636217302E-2</v>
      </c>
      <c r="R5017">
        <v>0.993327376997863</v>
      </c>
      <c r="S5017" t="s">
        <v>10568</v>
      </c>
      <c r="T5017" t="s">
        <v>11100</v>
      </c>
      <c r="U5017" t="s">
        <v>11100</v>
      </c>
      <c r="V5017" t="s">
        <v>11100</v>
      </c>
      <c r="W5017" t="s">
        <v>16064</v>
      </c>
      <c r="X5017">
        <v>3</v>
      </c>
      <c r="Y5017" t="s">
        <v>21488</v>
      </c>
      <c r="Z5017" t="s">
        <v>27022</v>
      </c>
      <c r="AA5017">
        <v>0.59376846996550325</v>
      </c>
      <c r="AB5017" t="str">
        <f>HYPERLINK("Melting_Curves/meltCurve_Q9NV56_MRGBP.pdf", "Melting_Curves/meltCurve_Q9NV56_MRGBP.pdf")</f>
        <v>Melting_Curves/meltCurve_Q9NV56_MRGBP.pdf</v>
      </c>
    </row>
    <row r="5018" spans="1:28" x14ac:dyDescent="0.25">
      <c r="A5018" t="s">
        <v>5022</v>
      </c>
      <c r="B5018">
        <v>0.99299721793515405</v>
      </c>
      <c r="C5018">
        <v>1.01621568348254</v>
      </c>
      <c r="D5018">
        <v>1.11207518777874</v>
      </c>
      <c r="E5018">
        <v>0.89943117652202798</v>
      </c>
      <c r="F5018">
        <v>0.65772973374279198</v>
      </c>
      <c r="G5018">
        <v>0.30741004916811998</v>
      </c>
      <c r="H5018">
        <v>0.241451398006402</v>
      </c>
      <c r="I5018">
        <v>0.17686394455974599</v>
      </c>
      <c r="J5018">
        <v>0.173785736128791</v>
      </c>
      <c r="K5018">
        <v>0.19233729084446499</v>
      </c>
      <c r="L5018">
        <v>1386.65237855593</v>
      </c>
      <c r="M5018">
        <v>27.353364412919301</v>
      </c>
      <c r="N5018">
        <v>51.550771834002298</v>
      </c>
      <c r="O5018">
        <v>50.425411828859097</v>
      </c>
      <c r="P5018">
        <v>-0.11084471415234499</v>
      </c>
      <c r="Q5018">
        <v>0.182647187016862</v>
      </c>
      <c r="R5018">
        <v>0.98813675557749103</v>
      </c>
      <c r="S5018" t="s">
        <v>10569</v>
      </c>
      <c r="T5018" t="s">
        <v>11100</v>
      </c>
      <c r="U5018" t="s">
        <v>11100</v>
      </c>
      <c r="V5018" t="s">
        <v>11100</v>
      </c>
      <c r="W5018" t="s">
        <v>16065</v>
      </c>
      <c r="X5018">
        <v>4</v>
      </c>
      <c r="Y5018" t="s">
        <v>21489</v>
      </c>
      <c r="Z5018" t="s">
        <v>27023</v>
      </c>
      <c r="AA5018">
        <v>0.56180746137872928</v>
      </c>
      <c r="AB5018" t="str">
        <f>HYPERLINK("Melting_Curves/meltCurve_Q9NV70_2_EXOC1.pdf", "Melting_Curves/meltCurve_Q9NV70_2_EXOC1.pdf")</f>
        <v>Melting_Curves/meltCurve_Q9NV70_2_EXOC1.pdf</v>
      </c>
    </row>
    <row r="5019" spans="1:28" x14ac:dyDescent="0.25">
      <c r="A5019" t="s">
        <v>5023</v>
      </c>
      <c r="B5019">
        <v>0.99299721793515405</v>
      </c>
      <c r="C5019">
        <v>0.91814200641115196</v>
      </c>
      <c r="D5019">
        <v>1.2505493661789</v>
      </c>
      <c r="E5019">
        <v>0.91477570382102202</v>
      </c>
      <c r="F5019">
        <v>0.65548268955432099</v>
      </c>
      <c r="G5019">
        <v>0.68017710458013203</v>
      </c>
      <c r="H5019">
        <v>0.54460282125286796</v>
      </c>
      <c r="I5019">
        <v>0.54157457732820302</v>
      </c>
      <c r="J5019">
        <v>0.41159064802988798</v>
      </c>
      <c r="K5019">
        <v>0.35858599858460499</v>
      </c>
      <c r="L5019">
        <v>765.89221943280097</v>
      </c>
      <c r="M5019">
        <v>14.6828996783031</v>
      </c>
      <c r="N5019">
        <v>58.508275484679402</v>
      </c>
      <c r="O5019">
        <v>51.223279845184102</v>
      </c>
      <c r="P5019">
        <v>-4.3123372931054803E-2</v>
      </c>
      <c r="Q5019">
        <v>0.398299264894384</v>
      </c>
      <c r="R5019">
        <v>0.84665865264416396</v>
      </c>
      <c r="S5019" t="s">
        <v>10570</v>
      </c>
      <c r="T5019" t="s">
        <v>11100</v>
      </c>
      <c r="U5019" t="s">
        <v>11100</v>
      </c>
      <c r="V5019" t="s">
        <v>11100</v>
      </c>
      <c r="W5019" t="s">
        <v>16066</v>
      </c>
      <c r="X5019">
        <v>5</v>
      </c>
      <c r="Y5019" t="s">
        <v>21490</v>
      </c>
      <c r="Z5019" t="s">
        <v>27024</v>
      </c>
      <c r="AA5019">
        <v>0.71407639614819596</v>
      </c>
      <c r="AB5019" t="str">
        <f>HYPERLINK("Melting_Curves/meltCurve_Q9NV96_3_TMEM30A.pdf", "Melting_Curves/meltCurve_Q9NV96_3_TMEM30A.pdf")</f>
        <v>Melting_Curves/meltCurve_Q9NV96_3_TMEM30A.pdf</v>
      </c>
    </row>
    <row r="5020" spans="1:28" x14ac:dyDescent="0.25">
      <c r="A5020" t="s">
        <v>5024</v>
      </c>
      <c r="B5020">
        <v>0.99299721793515405</v>
      </c>
      <c r="C5020">
        <v>0.869980729542562</v>
      </c>
      <c r="D5020">
        <v>1.0106075384053099</v>
      </c>
      <c r="E5020">
        <v>0.71964079561362904</v>
      </c>
      <c r="F5020">
        <v>0.57023348706522903</v>
      </c>
      <c r="G5020">
        <v>0.33898223519481602</v>
      </c>
      <c r="H5020">
        <v>0.24237543842332401</v>
      </c>
      <c r="I5020">
        <v>0.24004256128290799</v>
      </c>
      <c r="J5020">
        <v>0.235070326524388</v>
      </c>
      <c r="K5020">
        <v>0.15534395750646199</v>
      </c>
      <c r="L5020">
        <v>760.39885820525603</v>
      </c>
      <c r="M5020">
        <v>15.3988967851159</v>
      </c>
      <c r="N5020">
        <v>50.814837060049001</v>
      </c>
      <c r="O5020">
        <v>48.569795941027301</v>
      </c>
      <c r="P5020">
        <v>-6.5293936767012797E-2</v>
      </c>
      <c r="Q5020">
        <v>0.176298357847469</v>
      </c>
      <c r="R5020">
        <v>0.97435227153793502</v>
      </c>
      <c r="S5020" t="s">
        <v>10571</v>
      </c>
      <c r="T5020" t="s">
        <v>11100</v>
      </c>
      <c r="U5020" t="s">
        <v>11100</v>
      </c>
      <c r="V5020" t="s">
        <v>11100</v>
      </c>
      <c r="W5020" t="s">
        <v>16067</v>
      </c>
      <c r="X5020">
        <v>1</v>
      </c>
      <c r="Y5020" t="s">
        <v>21491</v>
      </c>
      <c r="Z5020" t="s">
        <v>27025</v>
      </c>
      <c r="AA5020">
        <v>0.53306235364870103</v>
      </c>
      <c r="AB5020" t="str">
        <f>HYPERLINK("Melting_Curves/meltCurve_Q9NVC6_MED17.pdf", "Melting_Curves/meltCurve_Q9NVC6_MED17.pdf")</f>
        <v>Melting_Curves/meltCurve_Q9NVC6_MED17.pdf</v>
      </c>
    </row>
    <row r="5021" spans="1:28" x14ac:dyDescent="0.25">
      <c r="A5021" t="s">
        <v>5025</v>
      </c>
      <c r="B5021">
        <v>0.99299721793515405</v>
      </c>
      <c r="C5021">
        <v>0.94109100546723601</v>
      </c>
      <c r="D5021">
        <v>0.96523530070487595</v>
      </c>
      <c r="E5021">
        <v>0.82738233437751696</v>
      </c>
      <c r="F5021">
        <v>0.68964372795191597</v>
      </c>
      <c r="G5021">
        <v>0.58155440062577202</v>
      </c>
      <c r="H5021">
        <v>0.327227870546557</v>
      </c>
      <c r="I5021">
        <v>0.27911215301056802</v>
      </c>
      <c r="J5021">
        <v>0.27703958640784199</v>
      </c>
      <c r="K5021">
        <v>0.2117733347679</v>
      </c>
      <c r="L5021">
        <v>613.69663317587697</v>
      </c>
      <c r="M5021">
        <v>11.6465475150672</v>
      </c>
      <c r="N5021">
        <v>54.346045262912497</v>
      </c>
      <c r="O5021">
        <v>51.211834268539597</v>
      </c>
      <c r="P5021">
        <v>-4.83897551665197E-2</v>
      </c>
      <c r="Q5021">
        <v>0.14911858352312399</v>
      </c>
      <c r="R5021">
        <v>0.98827417512004001</v>
      </c>
      <c r="S5021" t="s">
        <v>10572</v>
      </c>
      <c r="T5021" t="s">
        <v>11100</v>
      </c>
      <c r="U5021" t="s">
        <v>11100</v>
      </c>
      <c r="V5021" t="s">
        <v>11100</v>
      </c>
      <c r="W5021" t="s">
        <v>16068</v>
      </c>
      <c r="X5021">
        <v>16</v>
      </c>
      <c r="Y5021" t="s">
        <v>21492</v>
      </c>
      <c r="Z5021" t="s">
        <v>27026</v>
      </c>
      <c r="AA5021">
        <v>0.61322880779529754</v>
      </c>
      <c r="AB5021" t="str">
        <f>HYPERLINK("Melting_Curves/meltCurve_Q9NVE7_PANK4.pdf", "Melting_Curves/meltCurve_Q9NVE7_PANK4.pdf")</f>
        <v>Melting_Curves/meltCurve_Q9NVE7_PANK4.pdf</v>
      </c>
    </row>
    <row r="5022" spans="1:28" x14ac:dyDescent="0.25">
      <c r="A5022" t="s">
        <v>5026</v>
      </c>
      <c r="B5022">
        <v>0.99299721793515405</v>
      </c>
      <c r="C5022">
        <v>1.02334329902024</v>
      </c>
      <c r="D5022">
        <v>0.90560463156541104</v>
      </c>
      <c r="E5022">
        <v>0.95062324998694503</v>
      </c>
      <c r="F5022">
        <v>0.79150321223594999</v>
      </c>
      <c r="G5022">
        <v>0.59038230417079696</v>
      </c>
      <c r="H5022">
        <v>0.48778863386002802</v>
      </c>
      <c r="I5022">
        <v>0.35775910721828302</v>
      </c>
      <c r="J5022">
        <v>0.20830242777062899</v>
      </c>
      <c r="K5022">
        <v>0.156712021017273</v>
      </c>
      <c r="L5022">
        <v>587.01356587806902</v>
      </c>
      <c r="M5022">
        <v>10.3624708657214</v>
      </c>
      <c r="N5022">
        <v>56.648032117784702</v>
      </c>
      <c r="O5022">
        <v>54.660182491874103</v>
      </c>
      <c r="P5022">
        <v>-4.7415104298737798E-2</v>
      </c>
      <c r="Q5022">
        <v>0</v>
      </c>
      <c r="R5022">
        <v>0.98870354565946095</v>
      </c>
      <c r="S5022" t="s">
        <v>10573</v>
      </c>
      <c r="T5022" t="s">
        <v>11100</v>
      </c>
      <c r="U5022" t="s">
        <v>11100</v>
      </c>
      <c r="V5022" t="s">
        <v>11100</v>
      </c>
      <c r="W5022" t="s">
        <v>16069</v>
      </c>
      <c r="X5022">
        <v>16</v>
      </c>
      <c r="Y5022" t="s">
        <v>21493</v>
      </c>
      <c r="Z5022" t="s">
        <v>27027</v>
      </c>
      <c r="AA5022">
        <v>0.65775886819182827</v>
      </c>
      <c r="AB5022" t="str">
        <f>HYPERLINK("Melting_Curves/meltCurve_Q9NVG8_TBC1D13.pdf", "Melting_Curves/meltCurve_Q9NVG8_TBC1D13.pdf")</f>
        <v>Melting_Curves/meltCurve_Q9NVG8_TBC1D13.pdf</v>
      </c>
    </row>
    <row r="5023" spans="1:28" x14ac:dyDescent="0.25">
      <c r="A5023" t="s">
        <v>5027</v>
      </c>
      <c r="B5023">
        <v>0.99299721793515405</v>
      </c>
      <c r="C5023">
        <v>1.0008164678325699</v>
      </c>
      <c r="D5023">
        <v>0.99059735516740999</v>
      </c>
      <c r="E5023">
        <v>0.90651756180637499</v>
      </c>
      <c r="F5023">
        <v>0.60564894277732195</v>
      </c>
      <c r="G5023">
        <v>0.28349345845059698</v>
      </c>
      <c r="H5023">
        <v>0.21812381929109001</v>
      </c>
      <c r="I5023">
        <v>0.19886484464190299</v>
      </c>
      <c r="J5023">
        <v>0.18812450285514001</v>
      </c>
      <c r="K5023">
        <v>0.148369876898891</v>
      </c>
      <c r="L5023">
        <v>1350.2482681906199</v>
      </c>
      <c r="M5023">
        <v>26.8468168344743</v>
      </c>
      <c r="N5023">
        <v>51.120458875405802</v>
      </c>
      <c r="O5023">
        <v>50.0179862237108</v>
      </c>
      <c r="P5023">
        <v>-0.11057539114505301</v>
      </c>
      <c r="Q5023">
        <v>0.17596180503845801</v>
      </c>
      <c r="R5023">
        <v>0.99872359431961699</v>
      </c>
      <c r="S5023" t="s">
        <v>10574</v>
      </c>
      <c r="T5023" t="s">
        <v>11100</v>
      </c>
      <c r="U5023" t="s">
        <v>11100</v>
      </c>
      <c r="V5023" t="s">
        <v>11100</v>
      </c>
      <c r="W5023" t="s">
        <v>16070</v>
      </c>
      <c r="X5023">
        <v>17</v>
      </c>
      <c r="Y5023" t="s">
        <v>21494</v>
      </c>
      <c r="Z5023" t="s">
        <v>27028</v>
      </c>
      <c r="AA5023">
        <v>0.54744312470211587</v>
      </c>
      <c r="AB5023" t="str">
        <f>HYPERLINK("Melting_Curves/meltCurve_Q9NVH0_EXD2.pdf", "Melting_Curves/meltCurve_Q9NVH0_EXD2.pdf")</f>
        <v>Melting_Curves/meltCurve_Q9NVH0_EXD2.pdf</v>
      </c>
    </row>
    <row r="5024" spans="1:28" x14ac:dyDescent="0.25">
      <c r="A5024" t="s">
        <v>5028</v>
      </c>
      <c r="B5024">
        <v>0.99299721793515405</v>
      </c>
      <c r="C5024">
        <v>0.94224563649873805</v>
      </c>
      <c r="D5024">
        <v>0.97192737854775901</v>
      </c>
      <c r="E5024">
        <v>0.751207926901718</v>
      </c>
      <c r="F5024">
        <v>0.62559607396113703</v>
      </c>
      <c r="G5024">
        <v>0.48452027567808897</v>
      </c>
      <c r="H5024">
        <v>0.29587924254979198</v>
      </c>
      <c r="I5024">
        <v>0.21293475538043299</v>
      </c>
      <c r="J5024">
        <v>0.20731202743220001</v>
      </c>
      <c r="K5024">
        <v>0.214919335744652</v>
      </c>
      <c r="L5024">
        <v>621.71221516779497</v>
      </c>
      <c r="M5024">
        <v>12.1655610179546</v>
      </c>
      <c r="N5024">
        <v>52.538850621132802</v>
      </c>
      <c r="O5024">
        <v>49.782248131868997</v>
      </c>
      <c r="P5024">
        <v>-5.2472015522635501E-2</v>
      </c>
      <c r="Q5024">
        <v>0.14132105568185899</v>
      </c>
      <c r="R5024">
        <v>0.98995631669485895</v>
      </c>
      <c r="S5024" t="s">
        <v>10575</v>
      </c>
      <c r="T5024" t="s">
        <v>11100</v>
      </c>
      <c r="U5024" t="s">
        <v>11100</v>
      </c>
      <c r="V5024" t="s">
        <v>11100</v>
      </c>
      <c r="W5024" t="s">
        <v>16071</v>
      </c>
      <c r="X5024">
        <v>7</v>
      </c>
      <c r="Y5024" t="s">
        <v>21495</v>
      </c>
      <c r="Z5024" t="s">
        <v>27029</v>
      </c>
      <c r="AA5024">
        <v>0.5668902111931462</v>
      </c>
      <c r="AB5024" t="str">
        <f>HYPERLINK("Melting_Curves/meltCurve_Q9NVH1_3_DNAJC11.pdf", "Melting_Curves/meltCurve_Q9NVH1_3_DNAJC11.pdf")</f>
        <v>Melting_Curves/meltCurve_Q9NVH1_3_DNAJC11.pdf</v>
      </c>
    </row>
    <row r="5025" spans="1:28" x14ac:dyDescent="0.25">
      <c r="A5025" t="s">
        <v>5029</v>
      </c>
      <c r="B5025">
        <v>0.99299721793515405</v>
      </c>
      <c r="C5025">
        <v>1.0055001961205801</v>
      </c>
      <c r="D5025">
        <v>0.88881279973265703</v>
      </c>
      <c r="E5025">
        <v>0.81846783016107105</v>
      </c>
      <c r="F5025">
        <v>0.59902003727628805</v>
      </c>
      <c r="G5025">
        <v>0.38234371411565499</v>
      </c>
      <c r="H5025">
        <v>0.20969182433763101</v>
      </c>
      <c r="I5025">
        <v>0.162219590443268</v>
      </c>
      <c r="J5025">
        <v>0.126925238825634</v>
      </c>
      <c r="K5025">
        <v>0.104881656820155</v>
      </c>
      <c r="L5025">
        <v>706.61028097110295</v>
      </c>
      <c r="M5025">
        <v>13.832038991648799</v>
      </c>
      <c r="N5025">
        <v>51.6296809816372</v>
      </c>
      <c r="O5025">
        <v>50.052779086517397</v>
      </c>
      <c r="P5025">
        <v>-6.4406367913537099E-2</v>
      </c>
      <c r="Q5025">
        <v>6.7882369244110299E-2</v>
      </c>
      <c r="R5025">
        <v>0.99700574868104597</v>
      </c>
      <c r="S5025" t="s">
        <v>10576</v>
      </c>
      <c r="T5025" t="s">
        <v>11100</v>
      </c>
      <c r="U5025" t="s">
        <v>11100</v>
      </c>
      <c r="V5025" t="s">
        <v>11100</v>
      </c>
      <c r="W5025" t="s">
        <v>16072</v>
      </c>
      <c r="X5025">
        <v>5</v>
      </c>
      <c r="Y5025" t="s">
        <v>21496</v>
      </c>
      <c r="Z5025" t="s">
        <v>27030</v>
      </c>
      <c r="AA5025">
        <v>0.52618452429685048</v>
      </c>
      <c r="AB5025" t="str">
        <f>HYPERLINK("Melting_Curves/meltCurve_Q9NVH2_4_INTS7.pdf", "Melting_Curves/meltCurve_Q9NVH2_4_INTS7.pdf")</f>
        <v>Melting_Curves/meltCurve_Q9NVH2_4_INTS7.pdf</v>
      </c>
    </row>
    <row r="5026" spans="1:28" x14ac:dyDescent="0.25">
      <c r="A5026" t="s">
        <v>5030</v>
      </c>
      <c r="B5026">
        <v>0.99299721793515405</v>
      </c>
      <c r="C5026">
        <v>1.07481190321459</v>
      </c>
      <c r="D5026">
        <v>1.3630926153289999</v>
      </c>
      <c r="E5026">
        <v>0.94969272720121201</v>
      </c>
      <c r="F5026">
        <v>0.73509046754442897</v>
      </c>
      <c r="G5026">
        <v>0.34635722049191803</v>
      </c>
      <c r="H5026">
        <v>0.2065803375942</v>
      </c>
      <c r="I5026">
        <v>0.170764918870112</v>
      </c>
      <c r="J5026">
        <v>0.15682619318757901</v>
      </c>
      <c r="K5026">
        <v>0.13276603569084899</v>
      </c>
      <c r="L5026">
        <v>1543.23577973802</v>
      </c>
      <c r="M5026">
        <v>29.921676379189499</v>
      </c>
      <c r="N5026">
        <v>52.218241445813298</v>
      </c>
      <c r="O5026">
        <v>51.347131179225997</v>
      </c>
      <c r="P5026">
        <v>-0.12325236771610699</v>
      </c>
      <c r="Q5026">
        <v>0.153976220302117</v>
      </c>
      <c r="R5026">
        <v>0.92696717996641598</v>
      </c>
      <c r="S5026" t="s">
        <v>10577</v>
      </c>
      <c r="T5026" t="s">
        <v>11100</v>
      </c>
      <c r="U5026" t="s">
        <v>11100</v>
      </c>
      <c r="V5026" t="s">
        <v>11100</v>
      </c>
      <c r="W5026" t="s">
        <v>16073</v>
      </c>
      <c r="X5026">
        <v>11</v>
      </c>
      <c r="Y5026" t="s">
        <v>21497</v>
      </c>
      <c r="Z5026" t="s">
        <v>27031</v>
      </c>
      <c r="AA5026">
        <v>0.57036495240848162</v>
      </c>
      <c r="AB5026" t="str">
        <f>HYPERLINK("Melting_Curves/meltCurve_Q9NVI1_FANCI.pdf", "Melting_Curves/meltCurve_Q9NVI1_FANCI.pdf")</f>
        <v>Melting_Curves/meltCurve_Q9NVI1_FANCI.pdf</v>
      </c>
    </row>
    <row r="5027" spans="1:28" x14ac:dyDescent="0.25">
      <c r="A5027" t="s">
        <v>5031</v>
      </c>
      <c r="B5027">
        <v>0.99299721793515405</v>
      </c>
      <c r="C5027">
        <v>0.89751157050819996</v>
      </c>
      <c r="D5027">
        <v>1.0807886445381201</v>
      </c>
      <c r="E5027">
        <v>0.83728930797938605</v>
      </c>
      <c r="F5027">
        <v>0.74826143781010102</v>
      </c>
      <c r="G5027">
        <v>0.33411366589026398</v>
      </c>
      <c r="H5027">
        <v>0.310929441479113</v>
      </c>
      <c r="I5027">
        <v>0.34364108879298899</v>
      </c>
      <c r="J5027">
        <v>0.33134172847161802</v>
      </c>
      <c r="K5027">
        <v>0.212878193910331</v>
      </c>
      <c r="L5027">
        <v>1378.3905627096599</v>
      </c>
      <c r="M5027">
        <v>27.221225920777801</v>
      </c>
      <c r="N5027">
        <v>52.221032260359699</v>
      </c>
      <c r="O5027">
        <v>50.365697959574099</v>
      </c>
      <c r="P5027">
        <v>-9.7139640458996396E-2</v>
      </c>
      <c r="Q5027">
        <v>0.281081759234518</v>
      </c>
      <c r="R5027">
        <v>0.95263263475078097</v>
      </c>
      <c r="S5027" t="s">
        <v>10578</v>
      </c>
      <c r="T5027" t="s">
        <v>11100</v>
      </c>
      <c r="U5027" t="s">
        <v>11100</v>
      </c>
      <c r="V5027" t="s">
        <v>11100</v>
      </c>
      <c r="W5027" t="s">
        <v>16074</v>
      </c>
      <c r="X5027">
        <v>6</v>
      </c>
      <c r="Y5027" t="s">
        <v>21498</v>
      </c>
      <c r="Z5027" t="s">
        <v>27032</v>
      </c>
      <c r="AA5027">
        <v>0.61324944549836791</v>
      </c>
      <c r="AB5027" t="str">
        <f>HYPERLINK("Melting_Curves/meltCurve_Q9NVI7_2_ATAD3A.pdf", "Melting_Curves/meltCurve_Q9NVI7_2_ATAD3A.pdf")</f>
        <v>Melting_Curves/meltCurve_Q9NVI7_2_ATAD3A.pdf</v>
      </c>
    </row>
    <row r="5028" spans="1:28" x14ac:dyDescent="0.25">
      <c r="A5028" t="s">
        <v>5032</v>
      </c>
      <c r="B5028">
        <v>0.99299721793515405</v>
      </c>
      <c r="C5028">
        <v>1.1419607716429301</v>
      </c>
      <c r="D5028">
        <v>0.90930711111073803</v>
      </c>
      <c r="E5028">
        <v>0.88834549258311202</v>
      </c>
      <c r="F5028">
        <v>0.840984268144369</v>
      </c>
      <c r="G5028">
        <v>0.58512776210263195</v>
      </c>
      <c r="H5028">
        <v>0.60349407927326504</v>
      </c>
      <c r="I5028">
        <v>0.61050024439113904</v>
      </c>
      <c r="J5028">
        <v>0.53688831384942504</v>
      </c>
      <c r="K5028">
        <v>0.41936457430975099</v>
      </c>
      <c r="L5028">
        <v>684.79639862476495</v>
      </c>
      <c r="M5028">
        <v>13.2371678322551</v>
      </c>
      <c r="N5028">
        <v>66.021210373498405</v>
      </c>
      <c r="O5028">
        <v>50.594936235725598</v>
      </c>
      <c r="P5028">
        <v>-3.4573419215885401E-2</v>
      </c>
      <c r="Q5028">
        <v>0.47150267053304701</v>
      </c>
      <c r="R5028">
        <v>0.898775536647764</v>
      </c>
      <c r="S5028" t="s">
        <v>10579</v>
      </c>
      <c r="T5028" t="s">
        <v>11100</v>
      </c>
      <c r="U5028" t="s">
        <v>11100</v>
      </c>
      <c r="V5028" t="s">
        <v>11100</v>
      </c>
      <c r="W5028" t="s">
        <v>16075</v>
      </c>
      <c r="X5028">
        <v>5</v>
      </c>
      <c r="Y5028" t="s">
        <v>21499</v>
      </c>
      <c r="Z5028" t="s">
        <v>27033</v>
      </c>
      <c r="AA5028">
        <v>0.74282460803897787</v>
      </c>
      <c r="AB5028" t="str">
        <f>HYPERLINK("Melting_Curves/meltCurve_Q9NVJ2_ARL8B.pdf", "Melting_Curves/meltCurve_Q9NVJ2_ARL8B.pdf")</f>
        <v>Melting_Curves/meltCurve_Q9NVJ2_ARL8B.pdf</v>
      </c>
    </row>
    <row r="5029" spans="1:28" x14ac:dyDescent="0.25">
      <c r="A5029" t="s">
        <v>5033</v>
      </c>
      <c r="B5029">
        <v>0.99299721793515405</v>
      </c>
      <c r="C5029">
        <v>1.03291686557872</v>
      </c>
      <c r="D5029">
        <v>0.78851116510644703</v>
      </c>
      <c r="E5029">
        <v>0.87889661526474905</v>
      </c>
      <c r="F5029">
        <v>0.81238436989937102</v>
      </c>
      <c r="G5029">
        <v>0.409842754869013</v>
      </c>
      <c r="H5029">
        <v>0.67895742241455004</v>
      </c>
      <c r="I5029">
        <v>0.75499219037935505</v>
      </c>
      <c r="J5029">
        <v>1.0484471964128499</v>
      </c>
      <c r="K5029">
        <v>0.57457447235346704</v>
      </c>
      <c r="L5029">
        <v>848.48811631930596</v>
      </c>
      <c r="M5029">
        <v>19.362012293458999</v>
      </c>
      <c r="O5029">
        <v>43.362880451630197</v>
      </c>
      <c r="P5029">
        <v>-3.1830229490100399E-2</v>
      </c>
      <c r="Q5029">
        <v>0.71486447694748201</v>
      </c>
      <c r="R5029">
        <v>0.314313323566489</v>
      </c>
      <c r="S5029" t="s">
        <v>10580</v>
      </c>
      <c r="T5029" t="s">
        <v>11100</v>
      </c>
      <c r="U5029" t="s">
        <v>11100</v>
      </c>
      <c r="V5029" t="s">
        <v>11100</v>
      </c>
      <c r="W5029" t="s">
        <v>16076</v>
      </c>
      <c r="X5029">
        <v>1</v>
      </c>
      <c r="Y5029" t="s">
        <v>21500</v>
      </c>
      <c r="Z5029" t="s">
        <v>27034</v>
      </c>
      <c r="AA5029">
        <v>0.78382781179050176</v>
      </c>
      <c r="AB5029" t="str">
        <f>HYPERLINK("Melting_Curves/meltCurve_Q9NVM1_EVA1B.pdf", "Melting_Curves/meltCurve_Q9NVM1_EVA1B.pdf")</f>
        <v>Melting_Curves/meltCurve_Q9NVM1_EVA1B.pdf</v>
      </c>
    </row>
    <row r="5030" spans="1:28" x14ac:dyDescent="0.25">
      <c r="A5030" t="s">
        <v>5034</v>
      </c>
      <c r="B5030">
        <v>0.99299721793515405</v>
      </c>
      <c r="C5030">
        <v>0.95287740026526602</v>
      </c>
      <c r="D5030">
        <v>0.98291960845650395</v>
      </c>
      <c r="E5030">
        <v>0.87767188401834095</v>
      </c>
      <c r="F5030">
        <v>0.69385674940415298</v>
      </c>
      <c r="G5030">
        <v>0.38874332796059902</v>
      </c>
      <c r="H5030">
        <v>0.26529059203023497</v>
      </c>
      <c r="I5030">
        <v>0.26252618227038099</v>
      </c>
      <c r="J5030">
        <v>0.212908499884919</v>
      </c>
      <c r="K5030">
        <v>0.19712153716334499</v>
      </c>
      <c r="L5030">
        <v>1041.6973580977301</v>
      </c>
      <c r="M5030">
        <v>20.4172955978472</v>
      </c>
      <c r="N5030">
        <v>52.354160745524602</v>
      </c>
      <c r="O5030">
        <v>50.538468529003197</v>
      </c>
      <c r="P5030">
        <v>-8.0519660490923697E-2</v>
      </c>
      <c r="Q5030">
        <v>0.20278999411378801</v>
      </c>
      <c r="R5030">
        <v>0.99546688401471894</v>
      </c>
      <c r="S5030" t="s">
        <v>10581</v>
      </c>
      <c r="T5030" t="s">
        <v>11100</v>
      </c>
      <c r="U5030" t="s">
        <v>11100</v>
      </c>
      <c r="V5030" t="s">
        <v>11100</v>
      </c>
      <c r="W5030" t="s">
        <v>16077</v>
      </c>
      <c r="X5030">
        <v>14</v>
      </c>
      <c r="Y5030" t="s">
        <v>21501</v>
      </c>
      <c r="Z5030" t="s">
        <v>27035</v>
      </c>
      <c r="AA5030">
        <v>0.58544273778694322</v>
      </c>
      <c r="AB5030" t="str">
        <f>HYPERLINK("Melting_Curves/meltCurve_Q9NVM4_PRMT7.pdf", "Melting_Curves/meltCurve_Q9NVM4_PRMT7.pdf")</f>
        <v>Melting_Curves/meltCurve_Q9NVM4_PRMT7.pdf</v>
      </c>
    </row>
    <row r="5031" spans="1:28" x14ac:dyDescent="0.25">
      <c r="A5031" t="s">
        <v>5035</v>
      </c>
      <c r="B5031">
        <v>0.99299721793515405</v>
      </c>
      <c r="C5031">
        <v>0.99586536858112196</v>
      </c>
      <c r="D5031">
        <v>0.98082762897654996</v>
      </c>
      <c r="E5031">
        <v>0.80220273323759494</v>
      </c>
      <c r="F5031">
        <v>0.57421068026109201</v>
      </c>
      <c r="G5031">
        <v>0.460171850861058</v>
      </c>
      <c r="H5031">
        <v>0.23920722723947699</v>
      </c>
      <c r="I5031">
        <v>0.13787088897800201</v>
      </c>
      <c r="J5031">
        <v>0.10233932683209</v>
      </c>
      <c r="K5031">
        <v>0.111329755967251</v>
      </c>
      <c r="L5031">
        <v>680.01821853386605</v>
      </c>
      <c r="M5031">
        <v>13.1511926540503</v>
      </c>
      <c r="N5031">
        <v>52.086417734528297</v>
      </c>
      <c r="O5031">
        <v>50.555990948789798</v>
      </c>
      <c r="P5031">
        <v>-6.2078220785905198E-2</v>
      </c>
      <c r="Q5031">
        <v>4.55934784920582E-2</v>
      </c>
      <c r="R5031">
        <v>0.99358688794407901</v>
      </c>
      <c r="S5031" t="s">
        <v>10582</v>
      </c>
      <c r="T5031" t="s">
        <v>11100</v>
      </c>
      <c r="U5031" t="s">
        <v>11100</v>
      </c>
      <c r="V5031" t="s">
        <v>11100</v>
      </c>
      <c r="W5031" t="s">
        <v>16078</v>
      </c>
      <c r="X5031">
        <v>8</v>
      </c>
      <c r="Y5031" t="s">
        <v>21502</v>
      </c>
      <c r="Z5031" t="s">
        <v>27036</v>
      </c>
      <c r="AA5031">
        <v>0.53495112173614889</v>
      </c>
      <c r="AB5031" t="str">
        <f>HYPERLINK("Melting_Curves/meltCurve_Q9NVM6_DNAJC17.pdf", "Melting_Curves/meltCurve_Q9NVM6_DNAJC17.pdf")</f>
        <v>Melting_Curves/meltCurve_Q9NVM6_DNAJC17.pdf</v>
      </c>
    </row>
    <row r="5032" spans="1:28" x14ac:dyDescent="0.25">
      <c r="A5032" t="s">
        <v>5036</v>
      </c>
      <c r="B5032">
        <v>0.99299721793515405</v>
      </c>
      <c r="C5032">
        <v>1.0336595457553599</v>
      </c>
      <c r="D5032">
        <v>0.91556369017557604</v>
      </c>
      <c r="E5032">
        <v>0.86202752620018297</v>
      </c>
      <c r="F5032">
        <v>0.75268554396266896</v>
      </c>
      <c r="G5032">
        <v>0.36891655337885298</v>
      </c>
      <c r="H5032">
        <v>0.25310814703093099</v>
      </c>
      <c r="I5032">
        <v>0.19269041578276899</v>
      </c>
      <c r="J5032">
        <v>0.21870788200782401</v>
      </c>
      <c r="K5032">
        <v>0.19466096513627501</v>
      </c>
      <c r="L5032">
        <v>1116.61336188829</v>
      </c>
      <c r="M5032">
        <v>21.735184049538301</v>
      </c>
      <c r="N5032">
        <v>52.472760617556297</v>
      </c>
      <c r="O5032">
        <v>50.944597475046002</v>
      </c>
      <c r="P5032">
        <v>-8.7157234441915005E-2</v>
      </c>
      <c r="Q5032">
        <v>0.18287579778124199</v>
      </c>
      <c r="R5032">
        <v>0.98654658923351402</v>
      </c>
      <c r="S5032" t="s">
        <v>10583</v>
      </c>
      <c r="T5032" t="s">
        <v>11100</v>
      </c>
      <c r="U5032" t="s">
        <v>11100</v>
      </c>
      <c r="V5032" t="s">
        <v>11100</v>
      </c>
      <c r="W5032" t="s">
        <v>16079</v>
      </c>
      <c r="X5032">
        <v>6</v>
      </c>
      <c r="Y5032" t="s">
        <v>21503</v>
      </c>
      <c r="Z5032" t="s">
        <v>27037</v>
      </c>
      <c r="AA5032">
        <v>0.5836437335510134</v>
      </c>
      <c r="AB5032" t="str">
        <f>HYPERLINK("Melting_Curves/meltCurve_Q9NVM9_ASUN.pdf", "Melting_Curves/meltCurve_Q9NVM9_ASUN.pdf")</f>
        <v>Melting_Curves/meltCurve_Q9NVM9_ASUN.pdf</v>
      </c>
    </row>
    <row r="5033" spans="1:28" x14ac:dyDescent="0.25">
      <c r="A5033" t="s">
        <v>5037</v>
      </c>
      <c r="B5033">
        <v>0.99299721793515405</v>
      </c>
      <c r="C5033">
        <v>1.0987649716152199</v>
      </c>
      <c r="D5033">
        <v>1.00772704333514</v>
      </c>
      <c r="E5033">
        <v>0.95389910136409495</v>
      </c>
      <c r="F5033">
        <v>0.63559499433938704</v>
      </c>
      <c r="G5033">
        <v>0.232479456573356</v>
      </c>
      <c r="H5033">
        <v>0.176368220957758</v>
      </c>
      <c r="I5033">
        <v>0.13990990551268601</v>
      </c>
      <c r="J5033">
        <v>0.10031595875591499</v>
      </c>
      <c r="K5033">
        <v>0.100602339540518</v>
      </c>
      <c r="L5033">
        <v>1619.56491826755</v>
      </c>
      <c r="M5033">
        <v>31.920367488161101</v>
      </c>
      <c r="N5033">
        <v>51.178704812303202</v>
      </c>
      <c r="O5033">
        <v>50.539774623281602</v>
      </c>
      <c r="P5033">
        <v>-0.13891180191733199</v>
      </c>
      <c r="Q5033">
        <v>0.120243784380867</v>
      </c>
      <c r="R5033">
        <v>0.99267293059426398</v>
      </c>
      <c r="S5033" t="s">
        <v>10584</v>
      </c>
      <c r="T5033" t="s">
        <v>11100</v>
      </c>
      <c r="U5033" t="s">
        <v>11100</v>
      </c>
      <c r="V5033" t="s">
        <v>11100</v>
      </c>
      <c r="W5033" t="s">
        <v>16080</v>
      </c>
      <c r="X5033">
        <v>7</v>
      </c>
      <c r="Y5033" t="s">
        <v>21504</v>
      </c>
      <c r="Z5033" t="s">
        <v>27038</v>
      </c>
      <c r="AA5033">
        <v>0.52793680141290134</v>
      </c>
      <c r="AB5033" t="str">
        <f>HYPERLINK("Melting_Curves/meltCurve_Q9NVQ4_FAIM.pdf", "Melting_Curves/meltCurve_Q9NVQ4_FAIM.pdf")</f>
        <v>Melting_Curves/meltCurve_Q9NVQ4_FAIM.pdf</v>
      </c>
    </row>
    <row r="5034" spans="1:28" x14ac:dyDescent="0.25">
      <c r="A5034" t="s">
        <v>5038</v>
      </c>
      <c r="B5034">
        <v>0.99299721793515405</v>
      </c>
      <c r="C5034">
        <v>0.96485196272168505</v>
      </c>
      <c r="D5034">
        <v>0.90011736161600597</v>
      </c>
      <c r="E5034">
        <v>0.84996639706265398</v>
      </c>
      <c r="F5034">
        <v>0.70464676106477697</v>
      </c>
      <c r="G5034">
        <v>0.42205425702570698</v>
      </c>
      <c r="H5034">
        <v>0.27281268437923201</v>
      </c>
      <c r="I5034">
        <v>0.164211093452305</v>
      </c>
      <c r="J5034">
        <v>0.14782548612718899</v>
      </c>
      <c r="K5034">
        <v>0.120794182223189</v>
      </c>
      <c r="L5034">
        <v>716.57678122999801</v>
      </c>
      <c r="M5034">
        <v>13.710681893054099</v>
      </c>
      <c r="N5034">
        <v>52.819970885784699</v>
      </c>
      <c r="O5034">
        <v>51.189918884398899</v>
      </c>
      <c r="P5034">
        <v>-6.24705658932138E-2</v>
      </c>
      <c r="Q5034">
        <v>6.7178723298160797E-2</v>
      </c>
      <c r="R5034">
        <v>0.99473566008332703</v>
      </c>
      <c r="S5034" t="s">
        <v>10585</v>
      </c>
      <c r="T5034" t="s">
        <v>11100</v>
      </c>
      <c r="U5034" t="s">
        <v>11100</v>
      </c>
      <c r="V5034" t="s">
        <v>11100</v>
      </c>
      <c r="W5034" t="s">
        <v>16081</v>
      </c>
      <c r="X5034">
        <v>7</v>
      </c>
      <c r="Y5034" t="s">
        <v>21505</v>
      </c>
      <c r="Z5034" t="s">
        <v>27039</v>
      </c>
      <c r="AA5034">
        <v>0.56106636048679581</v>
      </c>
      <c r="AB5034" t="str">
        <f>HYPERLINK("Melting_Curves/meltCurve_Q9NVR0_KLHL11.pdf", "Melting_Curves/meltCurve_Q9NVR0_KLHL11.pdf")</f>
        <v>Melting_Curves/meltCurve_Q9NVR0_KLHL11.pdf</v>
      </c>
    </row>
    <row r="5035" spans="1:28" x14ac:dyDescent="0.25">
      <c r="A5035" t="s">
        <v>5039</v>
      </c>
      <c r="B5035">
        <v>0.99299721793515405</v>
      </c>
      <c r="C5035">
        <v>0.94736369540588095</v>
      </c>
      <c r="D5035">
        <v>0.77289961505180405</v>
      </c>
      <c r="E5035">
        <v>0.78327756608227395</v>
      </c>
      <c r="F5035">
        <v>0.691930280852732</v>
      </c>
      <c r="G5035">
        <v>0.51222215540907501</v>
      </c>
      <c r="H5035">
        <v>0.356220259239306</v>
      </c>
      <c r="I5035">
        <v>0.31021533854158301</v>
      </c>
      <c r="J5035">
        <v>0.28454360875837997</v>
      </c>
      <c r="K5035">
        <v>0.127364529614336</v>
      </c>
      <c r="L5035">
        <v>402.99359748474598</v>
      </c>
      <c r="M5035">
        <v>7.46010637577678</v>
      </c>
      <c r="N5035">
        <v>54.019819179896302</v>
      </c>
      <c r="O5035">
        <v>50.546341830533898</v>
      </c>
      <c r="P5035">
        <v>-3.69514689550451E-2</v>
      </c>
      <c r="Q5035">
        <v>0</v>
      </c>
      <c r="R5035">
        <v>0.97378275966303596</v>
      </c>
      <c r="S5035" t="s">
        <v>10586</v>
      </c>
      <c r="T5035" t="s">
        <v>11100</v>
      </c>
      <c r="U5035" t="s">
        <v>11100</v>
      </c>
      <c r="V5035" t="s">
        <v>11100</v>
      </c>
      <c r="W5035" t="s">
        <v>16082</v>
      </c>
      <c r="X5035">
        <v>1</v>
      </c>
      <c r="Y5035" t="s">
        <v>21506</v>
      </c>
      <c r="Z5035" t="s">
        <v>27040</v>
      </c>
      <c r="AA5035">
        <v>0.58024068015384045</v>
      </c>
      <c r="AB5035" t="str">
        <f>HYPERLINK("Melting_Curves/meltCurve_Q9NVR5_DNAAF2.pdf", "Melting_Curves/meltCurve_Q9NVR5_DNAAF2.pdf")</f>
        <v>Melting_Curves/meltCurve_Q9NVR5_DNAAF2.pdf</v>
      </c>
    </row>
    <row r="5036" spans="1:28" x14ac:dyDescent="0.25">
      <c r="A5036" t="s">
        <v>5040</v>
      </c>
      <c r="B5036">
        <v>0.99299721793515405</v>
      </c>
      <c r="C5036">
        <v>0.89553660904090504</v>
      </c>
      <c r="D5036">
        <v>1.00850294207758</v>
      </c>
      <c r="E5036">
        <v>0.798150056096671</v>
      </c>
      <c r="F5036">
        <v>0.68179838394771697</v>
      </c>
      <c r="G5036">
        <v>0.53249042708625705</v>
      </c>
      <c r="H5036">
        <v>0.22523845600586401</v>
      </c>
      <c r="I5036">
        <v>0.22140209219370999</v>
      </c>
      <c r="J5036">
        <v>0.20279933508276901</v>
      </c>
      <c r="K5036">
        <v>0.28017660858079801</v>
      </c>
      <c r="L5036">
        <v>780.32836931709699</v>
      </c>
      <c r="M5036">
        <v>15.191059717187199</v>
      </c>
      <c r="N5036">
        <v>52.949007294434701</v>
      </c>
      <c r="O5036">
        <v>50.502105481060802</v>
      </c>
      <c r="P5036">
        <v>-6.1492201143230597E-2</v>
      </c>
      <c r="Q5036">
        <v>0.18236425670446901</v>
      </c>
      <c r="R5036">
        <v>0.96325084104820702</v>
      </c>
      <c r="S5036" t="s">
        <v>10587</v>
      </c>
      <c r="T5036" t="s">
        <v>11100</v>
      </c>
      <c r="U5036" t="s">
        <v>11100</v>
      </c>
      <c r="V5036" t="s">
        <v>11100</v>
      </c>
      <c r="W5036" t="s">
        <v>16083</v>
      </c>
      <c r="X5036">
        <v>3</v>
      </c>
      <c r="Y5036" t="s">
        <v>21507</v>
      </c>
      <c r="Z5036" t="s">
        <v>27041</v>
      </c>
      <c r="AA5036">
        <v>0.58987489784950775</v>
      </c>
      <c r="AB5036" t="str">
        <f>HYPERLINK("Melting_Curves/meltCurve_Q9NVT9_ARMC1.pdf", "Melting_Curves/meltCurve_Q9NVT9_ARMC1.pdf")</f>
        <v>Melting_Curves/meltCurve_Q9NVT9_ARMC1.pdf</v>
      </c>
    </row>
    <row r="5037" spans="1:28" x14ac:dyDescent="0.25">
      <c r="A5037" t="s">
        <v>5041</v>
      </c>
      <c r="B5037">
        <v>0.99299721793515405</v>
      </c>
      <c r="C5037">
        <v>1.1495786676652999</v>
      </c>
      <c r="D5037">
        <v>1.1363889193910299</v>
      </c>
      <c r="E5037">
        <v>1.0252132953415001</v>
      </c>
      <c r="F5037">
        <v>0.960592871668979</v>
      </c>
      <c r="G5037">
        <v>0.56641700843125298</v>
      </c>
      <c r="H5037">
        <v>0.69939866113489202</v>
      </c>
      <c r="I5037">
        <v>0.76889923665182902</v>
      </c>
      <c r="J5037">
        <v>0.73928751562636097</v>
      </c>
      <c r="K5037">
        <v>0.65155683585523605</v>
      </c>
      <c r="L5037">
        <v>12647.617024995199</v>
      </c>
      <c r="M5037">
        <v>250</v>
      </c>
      <c r="O5037">
        <v>50.587230672196497</v>
      </c>
      <c r="P5037">
        <v>-0.389041055444932</v>
      </c>
      <c r="Q5037">
        <v>0.68511184673079895</v>
      </c>
      <c r="R5037">
        <v>0.82935816716905897</v>
      </c>
      <c r="S5037" t="s">
        <v>10588</v>
      </c>
      <c r="T5037" t="s">
        <v>11100</v>
      </c>
      <c r="U5037" t="s">
        <v>11100</v>
      </c>
      <c r="V5037" t="s">
        <v>11100</v>
      </c>
      <c r="W5037" t="s">
        <v>16084</v>
      </c>
      <c r="X5037">
        <v>2</v>
      </c>
      <c r="Y5037" t="s">
        <v>21508</v>
      </c>
      <c r="Z5037" t="s">
        <v>27042</v>
      </c>
      <c r="AA5037">
        <v>0.82778905096350586</v>
      </c>
      <c r="AB5037" t="str">
        <f>HYPERLINK("Melting_Curves/meltCurve_Q9NVV0_TMEM38B.pdf", "Melting_Curves/meltCurve_Q9NVV0_TMEM38B.pdf")</f>
        <v>Melting_Curves/meltCurve_Q9NVV0_TMEM38B.pdf</v>
      </c>
    </row>
    <row r="5038" spans="1:28" x14ac:dyDescent="0.25">
      <c r="A5038" t="s">
        <v>5042</v>
      </c>
      <c r="B5038">
        <v>0.99299721793515405</v>
      </c>
      <c r="C5038">
        <v>0.91410343044529896</v>
      </c>
      <c r="D5038">
        <v>0.78710014984340304</v>
      </c>
      <c r="E5038">
        <v>0.71465189163849496</v>
      </c>
      <c r="F5038">
        <v>0.66596181058021897</v>
      </c>
      <c r="G5038">
        <v>0.39585011404361198</v>
      </c>
      <c r="H5038">
        <v>0.52662738932378494</v>
      </c>
      <c r="I5038">
        <v>0.52041626752209702</v>
      </c>
      <c r="J5038">
        <v>0.50564603336430103</v>
      </c>
      <c r="K5038">
        <v>0.31056244850930498</v>
      </c>
      <c r="L5038">
        <v>457.55638314219902</v>
      </c>
      <c r="M5038">
        <v>9.7482798521975305</v>
      </c>
      <c r="N5038">
        <v>55.678997577327003</v>
      </c>
      <c r="O5038">
        <v>45.0897337273312</v>
      </c>
      <c r="P5038">
        <v>-3.2891026760937803E-2</v>
      </c>
      <c r="Q5038">
        <v>0.39178893015738703</v>
      </c>
      <c r="R5038">
        <v>0.88865430282189595</v>
      </c>
      <c r="S5038" t="s">
        <v>10589</v>
      </c>
      <c r="T5038" t="s">
        <v>11100</v>
      </c>
      <c r="U5038" t="s">
        <v>11100</v>
      </c>
      <c r="V5038" t="s">
        <v>11100</v>
      </c>
      <c r="W5038" t="s">
        <v>16085</v>
      </c>
      <c r="X5038">
        <v>5</v>
      </c>
      <c r="Y5038" t="s">
        <v>21509</v>
      </c>
      <c r="Z5038" t="s">
        <v>27043</v>
      </c>
      <c r="AA5038">
        <v>0.62056608400827207</v>
      </c>
      <c r="AB5038" t="str">
        <f>HYPERLINK("Melting_Curves/meltCurve_Q9NVX2_NLE1.pdf", "Melting_Curves/meltCurve_Q9NVX2_NLE1.pdf")</f>
        <v>Melting_Curves/meltCurve_Q9NVX2_NLE1.pdf</v>
      </c>
    </row>
    <row r="5039" spans="1:28" x14ac:dyDescent="0.25">
      <c r="A5039" t="s">
        <v>5043</v>
      </c>
      <c r="B5039">
        <v>0.99299721793515405</v>
      </c>
      <c r="C5039">
        <v>1.19298269512889</v>
      </c>
      <c r="D5039">
        <v>1.6059478096601001</v>
      </c>
      <c r="E5039">
        <v>1.0753181127053899</v>
      </c>
      <c r="F5039">
        <v>0.77593961529166999</v>
      </c>
      <c r="G5039">
        <v>0.99973192925900101</v>
      </c>
      <c r="H5039">
        <v>0.57513301332817202</v>
      </c>
      <c r="I5039">
        <v>0.48799372384837902</v>
      </c>
      <c r="J5039">
        <v>0.42048501040416802</v>
      </c>
      <c r="K5039">
        <v>0.42121517703331701</v>
      </c>
      <c r="L5039">
        <v>4540.2976861444304</v>
      </c>
      <c r="M5039">
        <v>80.248606543357297</v>
      </c>
      <c r="N5039">
        <v>58.142622646685403</v>
      </c>
      <c r="O5039">
        <v>56.542794641531998</v>
      </c>
      <c r="P5039">
        <v>-0.197873775153524</v>
      </c>
      <c r="Q5039">
        <v>0.442316308976132</v>
      </c>
      <c r="R5039">
        <v>0.66009501619238597</v>
      </c>
      <c r="S5039" t="s">
        <v>10590</v>
      </c>
      <c r="T5039" t="s">
        <v>11100</v>
      </c>
      <c r="U5039" t="s">
        <v>11100</v>
      </c>
      <c r="V5039" t="s">
        <v>11100</v>
      </c>
      <c r="W5039" t="s">
        <v>16086</v>
      </c>
      <c r="X5039">
        <v>3</v>
      </c>
      <c r="Y5039" t="s">
        <v>21510</v>
      </c>
      <c r="Z5039" t="s">
        <v>27044</v>
      </c>
      <c r="AA5039">
        <v>0.80679722523955277</v>
      </c>
      <c r="AB5039" t="str">
        <f>HYPERLINK("Melting_Curves/meltCurve_Q9NVX7_KBTBD4.pdf", "Melting_Curves/meltCurve_Q9NVX7_KBTBD4.pdf")</f>
        <v>Melting_Curves/meltCurve_Q9NVX7_KBTBD4.pdf</v>
      </c>
    </row>
    <row r="5040" spans="1:28" x14ac:dyDescent="0.25">
      <c r="A5040" t="s">
        <v>5044</v>
      </c>
      <c r="B5040">
        <v>0.99299721793515405</v>
      </c>
      <c r="C5040">
        <v>1.01942983361401</v>
      </c>
      <c r="D5040">
        <v>0.95147355035770098</v>
      </c>
      <c r="E5040">
        <v>0.820042808944624</v>
      </c>
      <c r="F5040">
        <v>0.74673346595953105</v>
      </c>
      <c r="G5040">
        <v>0.52542685395276501</v>
      </c>
      <c r="H5040">
        <v>0.38829432335161801</v>
      </c>
      <c r="I5040">
        <v>0.26298800339449702</v>
      </c>
      <c r="J5040">
        <v>0.22622354971553299</v>
      </c>
      <c r="K5040">
        <v>0.17880926823344201</v>
      </c>
      <c r="L5040">
        <v>611.75358838105797</v>
      </c>
      <c r="M5040">
        <v>11.422012988426401</v>
      </c>
      <c r="N5040">
        <v>54.584655056622402</v>
      </c>
      <c r="O5040">
        <v>51.996298204191298</v>
      </c>
      <c r="P5040">
        <v>-4.9628970548834098E-2</v>
      </c>
      <c r="Q5040">
        <v>9.6561905990616301E-2</v>
      </c>
      <c r="R5040">
        <v>0.99537137364834105</v>
      </c>
      <c r="S5040" t="s">
        <v>10591</v>
      </c>
      <c r="T5040" t="s">
        <v>11100</v>
      </c>
      <c r="U5040" t="s">
        <v>11100</v>
      </c>
      <c r="V5040" t="s">
        <v>11100</v>
      </c>
      <c r="W5040" t="s">
        <v>16087</v>
      </c>
      <c r="X5040">
        <v>4</v>
      </c>
      <c r="Y5040" t="s">
        <v>21511</v>
      </c>
      <c r="Z5040" t="s">
        <v>27045</v>
      </c>
      <c r="AA5040">
        <v>0.6129830576194748</v>
      </c>
      <c r="AB5040" t="str">
        <f>HYPERLINK("Melting_Curves/meltCurve_Q9NVZ3_NECAP2.pdf", "Melting_Curves/meltCurve_Q9NVZ3_NECAP2.pdf")</f>
        <v>Melting_Curves/meltCurve_Q9NVZ3_NECAP2.pdf</v>
      </c>
    </row>
    <row r="5041" spans="1:28" x14ac:dyDescent="0.25">
      <c r="A5041" t="s">
        <v>5045</v>
      </c>
      <c r="B5041">
        <v>0.99299721793515405</v>
      </c>
      <c r="C5041">
        <v>1.0005175739401599</v>
      </c>
      <c r="D5041">
        <v>1.0569367080669301</v>
      </c>
      <c r="E5041">
        <v>0.95537696310754605</v>
      </c>
      <c r="F5041">
        <v>0.81824126319122104</v>
      </c>
      <c r="G5041">
        <v>0.37839978212721098</v>
      </c>
      <c r="H5041">
        <v>0.18420840309456599</v>
      </c>
      <c r="I5041">
        <v>0.13489717218695499</v>
      </c>
      <c r="J5041">
        <v>0.12406079546552901</v>
      </c>
      <c r="K5041">
        <v>0.10833397173006599</v>
      </c>
      <c r="L5041">
        <v>1590.7762170440501</v>
      </c>
      <c r="M5041">
        <v>30.3999309067603</v>
      </c>
      <c r="N5041">
        <v>52.798926339942199</v>
      </c>
      <c r="O5041">
        <v>52.103434269581797</v>
      </c>
      <c r="P5041">
        <v>-0.12855250851546299</v>
      </c>
      <c r="Q5041">
        <v>0.11868443487710099</v>
      </c>
      <c r="R5041">
        <v>0.99725437273974404</v>
      </c>
      <c r="S5041" t="s">
        <v>10592</v>
      </c>
      <c r="T5041" t="s">
        <v>11100</v>
      </c>
      <c r="U5041" t="s">
        <v>11100</v>
      </c>
      <c r="V5041" t="s">
        <v>11100</v>
      </c>
      <c r="W5041" t="s">
        <v>16088</v>
      </c>
      <c r="X5041">
        <v>7</v>
      </c>
      <c r="Y5041" t="s">
        <v>21512</v>
      </c>
      <c r="Z5041" t="s">
        <v>27046</v>
      </c>
      <c r="AA5041">
        <v>0.57442675237545116</v>
      </c>
      <c r="AB5041" t="str">
        <f>HYPERLINK("Melting_Curves/meltCurve_Q9NW64_RBM22.pdf", "Melting_Curves/meltCurve_Q9NW64_RBM22.pdf")</f>
        <v>Melting_Curves/meltCurve_Q9NW64_RBM22.pdf</v>
      </c>
    </row>
    <row r="5042" spans="1:28" x14ac:dyDescent="0.25">
      <c r="A5042" t="s">
        <v>5046</v>
      </c>
      <c r="B5042">
        <v>0.99299721793515405</v>
      </c>
      <c r="C5042">
        <v>0.95352596288144398</v>
      </c>
      <c r="D5042">
        <v>0.97501948330938404</v>
      </c>
      <c r="E5042">
        <v>0.90277478449960702</v>
      </c>
      <c r="F5042">
        <v>0.743332223620078</v>
      </c>
      <c r="G5042">
        <v>0.59234861460002497</v>
      </c>
      <c r="H5042">
        <v>0.46183543441313102</v>
      </c>
      <c r="I5042">
        <v>0.27238521846747099</v>
      </c>
      <c r="J5042">
        <v>0.131877488867748</v>
      </c>
      <c r="K5042">
        <v>0.10887365878619</v>
      </c>
      <c r="L5042">
        <v>638.78764512974396</v>
      </c>
      <c r="M5042">
        <v>11.4937203472403</v>
      </c>
      <c r="N5042">
        <v>55.577100024245297</v>
      </c>
      <c r="O5042">
        <v>53.974544224172803</v>
      </c>
      <c r="P5042">
        <v>-5.3251906125592899E-2</v>
      </c>
      <c r="Q5042">
        <v>0</v>
      </c>
      <c r="R5042">
        <v>0.99333887574782298</v>
      </c>
      <c r="S5042" t="s">
        <v>10593</v>
      </c>
      <c r="T5042" t="s">
        <v>11100</v>
      </c>
      <c r="U5042" t="s">
        <v>11100</v>
      </c>
      <c r="V5042" t="s">
        <v>11100</v>
      </c>
      <c r="W5042" t="s">
        <v>16089</v>
      </c>
      <c r="X5042">
        <v>24</v>
      </c>
      <c r="Y5042" t="s">
        <v>21513</v>
      </c>
      <c r="Z5042" t="s">
        <v>27047</v>
      </c>
      <c r="AA5042">
        <v>0.63046114291639033</v>
      </c>
      <c r="AB5042" t="str">
        <f>HYPERLINK("Melting_Curves/meltCurve_Q9NW82_WDR70.pdf", "Melting_Curves/meltCurve_Q9NW82_WDR70.pdf")</f>
        <v>Melting_Curves/meltCurve_Q9NW82_WDR70.pdf</v>
      </c>
    </row>
    <row r="5043" spans="1:28" x14ac:dyDescent="0.25">
      <c r="A5043" t="s">
        <v>5047</v>
      </c>
      <c r="B5043">
        <v>0.99299721793515405</v>
      </c>
      <c r="C5043">
        <v>1.14680233093044</v>
      </c>
      <c r="D5043">
        <v>1.19873361443841</v>
      </c>
      <c r="E5043">
        <v>1.10716532727099</v>
      </c>
      <c r="F5043">
        <v>0.94325864523467895</v>
      </c>
      <c r="G5043">
        <v>1.0340969296807401</v>
      </c>
      <c r="H5043">
        <v>0.86887349544951498</v>
      </c>
      <c r="I5043">
        <v>0.72332844815272102</v>
      </c>
      <c r="J5043">
        <v>1.0727016503176501</v>
      </c>
      <c r="K5043">
        <v>0.86292277570752796</v>
      </c>
      <c r="L5043">
        <v>6499.2280261092501</v>
      </c>
      <c r="M5043">
        <v>116.613061088341</v>
      </c>
      <c r="O5043">
        <v>55.716891236984097</v>
      </c>
      <c r="P5043">
        <v>-6.2132462930888997E-2</v>
      </c>
      <c r="Q5043">
        <v>0.88125420803519305</v>
      </c>
      <c r="R5043">
        <v>0.28404283520920198</v>
      </c>
      <c r="S5043" t="s">
        <v>10594</v>
      </c>
      <c r="T5043" t="s">
        <v>11100</v>
      </c>
      <c r="U5043" t="s">
        <v>11100</v>
      </c>
      <c r="V5043" t="s">
        <v>11100</v>
      </c>
      <c r="W5043" t="s">
        <v>16090</v>
      </c>
      <c r="X5043">
        <v>2</v>
      </c>
      <c r="Y5043" t="s">
        <v>21514</v>
      </c>
      <c r="Z5043" t="s">
        <v>27048</v>
      </c>
      <c r="AA5043">
        <v>0.95545755898793938</v>
      </c>
      <c r="AB5043" t="str">
        <f>HYPERLINK("Melting_Curves/meltCurve_Q9NWA0_MED9.pdf", "Melting_Curves/meltCurve_Q9NWA0_MED9.pdf")</f>
        <v>Melting_Curves/meltCurve_Q9NWA0_MED9.pdf</v>
      </c>
    </row>
    <row r="5044" spans="1:28" x14ac:dyDescent="0.25">
      <c r="A5044" t="s">
        <v>5048</v>
      </c>
      <c r="B5044">
        <v>0.99299721793515405</v>
      </c>
      <c r="C5044">
        <v>1.0393937998924301</v>
      </c>
      <c r="D5044">
        <v>0.99800051552512203</v>
      </c>
      <c r="E5044">
        <v>0.79626056710815596</v>
      </c>
      <c r="F5044">
        <v>0.80346573167511803</v>
      </c>
      <c r="G5044">
        <v>0.601010194765634</v>
      </c>
      <c r="H5044">
        <v>0.54740551399540305</v>
      </c>
      <c r="I5044">
        <v>0.35249665178993</v>
      </c>
      <c r="J5044">
        <v>0.34133515443780699</v>
      </c>
      <c r="K5044">
        <v>0.329449837033087</v>
      </c>
      <c r="L5044">
        <v>577.13031913550299</v>
      </c>
      <c r="M5044">
        <v>10.670897296884901</v>
      </c>
      <c r="N5044">
        <v>57.258767492354899</v>
      </c>
      <c r="O5044">
        <v>52.288849704700901</v>
      </c>
      <c r="P5044">
        <v>-3.9643061198548699E-2</v>
      </c>
      <c r="Q5044">
        <v>0.22326894829524099</v>
      </c>
      <c r="R5044">
        <v>0.97248036932451498</v>
      </c>
      <c r="S5044" t="s">
        <v>10595</v>
      </c>
      <c r="T5044" t="s">
        <v>11100</v>
      </c>
      <c r="U5044" t="s">
        <v>11100</v>
      </c>
      <c r="V5044" t="s">
        <v>11100</v>
      </c>
      <c r="W5044" t="s">
        <v>16091</v>
      </c>
      <c r="X5044">
        <v>5</v>
      </c>
      <c r="Y5044" t="s">
        <v>21515</v>
      </c>
      <c r="Z5044" t="s">
        <v>27049</v>
      </c>
      <c r="AA5044">
        <v>0.67922427328751778</v>
      </c>
      <c r="AB5044" t="str">
        <f>HYPERLINK("Melting_Curves/meltCurve_Q9NWB6_ARGLU1.pdf", "Melting_Curves/meltCurve_Q9NWB6_ARGLU1.pdf")</f>
        <v>Melting_Curves/meltCurve_Q9NWB6_ARGLU1.pdf</v>
      </c>
    </row>
    <row r="5045" spans="1:28" x14ac:dyDescent="0.25">
      <c r="A5045" t="s">
        <v>5049</v>
      </c>
      <c r="B5045">
        <v>0.99299721793515405</v>
      </c>
      <c r="C5045">
        <v>0.88630698245853501</v>
      </c>
      <c r="D5045">
        <v>0.93592982743378905</v>
      </c>
      <c r="E5045">
        <v>0.72374535723047595</v>
      </c>
      <c r="F5045">
        <v>0.70148680506121996</v>
      </c>
      <c r="G5045">
        <v>0.478284143893349</v>
      </c>
      <c r="H5045">
        <v>0.442017322702982</v>
      </c>
      <c r="I5045">
        <v>0.51552558038152796</v>
      </c>
      <c r="J5045">
        <v>0.48828589484482199</v>
      </c>
      <c r="K5045">
        <v>0.42455557319864801</v>
      </c>
      <c r="L5045">
        <v>612.35284374398998</v>
      </c>
      <c r="M5045">
        <v>12.8418857811163</v>
      </c>
      <c r="N5045">
        <v>56.579682556798502</v>
      </c>
      <c r="O5045">
        <v>46.572119969703202</v>
      </c>
      <c r="P5045">
        <v>-3.90516653886002E-2</v>
      </c>
      <c r="Q5045">
        <v>0.43360894352532903</v>
      </c>
      <c r="R5045">
        <v>0.94339490090864997</v>
      </c>
      <c r="S5045" t="s">
        <v>10596</v>
      </c>
      <c r="T5045" t="s">
        <v>11100</v>
      </c>
      <c r="U5045" t="s">
        <v>11100</v>
      </c>
      <c r="V5045" t="s">
        <v>11100</v>
      </c>
      <c r="W5045" t="s">
        <v>16092</v>
      </c>
      <c r="X5045">
        <v>1</v>
      </c>
      <c r="Y5045" t="s">
        <v>21516</v>
      </c>
      <c r="Z5045" t="s">
        <v>27050</v>
      </c>
      <c r="AA5045">
        <v>0.65154445873268862</v>
      </c>
      <c r="AB5045" t="str">
        <f>HYPERLINK("Melting_Curves/meltCurve_Q9NWH9_SLTM.pdf", "Melting_Curves/meltCurve_Q9NWH9_SLTM.pdf")</f>
        <v>Melting_Curves/meltCurve_Q9NWH9_SLTM.pdf</v>
      </c>
    </row>
    <row r="5046" spans="1:28" x14ac:dyDescent="0.25">
      <c r="A5046" t="s">
        <v>5050</v>
      </c>
      <c r="B5046">
        <v>0.99299721793515405</v>
      </c>
      <c r="C5046">
        <v>0.99535447272146504</v>
      </c>
      <c r="D5046">
        <v>0.74690301418746896</v>
      </c>
      <c r="E5046">
        <v>0.59479509377638395</v>
      </c>
      <c r="F5046">
        <v>0.44970154807503798</v>
      </c>
      <c r="G5046">
        <v>0.271024076702367</v>
      </c>
      <c r="H5046">
        <v>0.137208567937743</v>
      </c>
      <c r="I5046">
        <v>0.116888559885284</v>
      </c>
      <c r="J5046">
        <v>6.9716777340050204E-2</v>
      </c>
      <c r="K5046">
        <v>6.7799908972501197E-2</v>
      </c>
      <c r="L5046">
        <v>542.75709896082901</v>
      </c>
      <c r="M5046">
        <v>11.2105016624127</v>
      </c>
      <c r="N5046">
        <v>48.587639940367502</v>
      </c>
      <c r="O5046">
        <v>46.951156124564598</v>
      </c>
      <c r="P5046">
        <v>-5.8545618873370897E-2</v>
      </c>
      <c r="Q5046">
        <v>1.9518391787109599E-2</v>
      </c>
      <c r="R5046">
        <v>0.98943508892469501</v>
      </c>
      <c r="S5046" t="s">
        <v>10597</v>
      </c>
      <c r="T5046" t="s">
        <v>11100</v>
      </c>
      <c r="U5046" t="s">
        <v>11100</v>
      </c>
      <c r="V5046" t="s">
        <v>11100</v>
      </c>
      <c r="W5046" t="s">
        <v>16093</v>
      </c>
      <c r="X5046">
        <v>1</v>
      </c>
      <c r="Y5046" t="s">
        <v>21517</v>
      </c>
      <c r="Z5046" t="s">
        <v>27051</v>
      </c>
      <c r="AA5046">
        <v>0.42559227279896311</v>
      </c>
      <c r="AB5046" t="str">
        <f>HYPERLINK("Melting_Curves/meltCurve_Q9NWK9_2_ZNHIT6.pdf", "Melting_Curves/meltCurve_Q9NWK9_2_ZNHIT6.pdf")</f>
        <v>Melting_Curves/meltCurve_Q9NWK9_2_ZNHIT6.pdf</v>
      </c>
    </row>
    <row r="5047" spans="1:28" x14ac:dyDescent="0.25">
      <c r="A5047" t="s">
        <v>5051</v>
      </c>
      <c r="B5047">
        <v>0.99299721793515405</v>
      </c>
      <c r="C5047">
        <v>0.70334928417241305</v>
      </c>
      <c r="D5047">
        <v>0.76644839201612802</v>
      </c>
      <c r="E5047">
        <v>0.60868983932906395</v>
      </c>
      <c r="F5047">
        <v>0.80210061632818797</v>
      </c>
      <c r="G5047">
        <v>0.46241041298226598</v>
      </c>
      <c r="H5047">
        <v>0.327139392794493</v>
      </c>
      <c r="I5047">
        <v>0.619405840742838</v>
      </c>
      <c r="J5047">
        <v>0.77000880504285096</v>
      </c>
      <c r="K5047">
        <v>0.46843235347595702</v>
      </c>
      <c r="L5047">
        <v>481.50826771706102</v>
      </c>
      <c r="M5047">
        <v>11.6704787633357</v>
      </c>
      <c r="O5047">
        <v>40.103104133734803</v>
      </c>
      <c r="P5047">
        <v>-3.2817005919853898E-2</v>
      </c>
      <c r="Q5047">
        <v>0.54904659439663905</v>
      </c>
      <c r="R5047">
        <v>0.44688677241140401</v>
      </c>
      <c r="S5047" t="s">
        <v>10598</v>
      </c>
      <c r="T5047" t="s">
        <v>11100</v>
      </c>
      <c r="U5047" t="s">
        <v>11100</v>
      </c>
      <c r="V5047" t="s">
        <v>11100</v>
      </c>
      <c r="W5047" t="s">
        <v>16094</v>
      </c>
      <c r="X5047">
        <v>1</v>
      </c>
      <c r="Y5047" t="s">
        <v>21518</v>
      </c>
      <c r="Z5047" t="s">
        <v>27052</v>
      </c>
      <c r="AA5047">
        <v>0.63631627668547874</v>
      </c>
      <c r="AB5047" t="str">
        <f>HYPERLINK("Melting_Curves/meltCurve_Q9NWM3_CUEDC1.pdf", "Melting_Curves/meltCurve_Q9NWM3_CUEDC1.pdf")</f>
        <v>Melting_Curves/meltCurve_Q9NWM3_CUEDC1.pdf</v>
      </c>
    </row>
    <row r="5048" spans="1:28" x14ac:dyDescent="0.25">
      <c r="A5048" t="s">
        <v>5052</v>
      </c>
      <c r="B5048">
        <v>0.99299721793515405</v>
      </c>
      <c r="C5048">
        <v>0.93795203095917601</v>
      </c>
      <c r="D5048">
        <v>0.95887186057239904</v>
      </c>
      <c r="E5048">
        <v>0.89520987892265902</v>
      </c>
      <c r="F5048">
        <v>0.66704147864102903</v>
      </c>
      <c r="G5048">
        <v>0.53260916197705099</v>
      </c>
      <c r="H5048">
        <v>0.39969990527518401</v>
      </c>
      <c r="I5048">
        <v>0.35401209373619003</v>
      </c>
      <c r="J5048">
        <v>0.32581212166677698</v>
      </c>
      <c r="K5048">
        <v>0.26879665653177598</v>
      </c>
      <c r="L5048">
        <v>715.17783781590197</v>
      </c>
      <c r="M5048">
        <v>13.8964260131103</v>
      </c>
      <c r="N5048">
        <v>54.412058500926101</v>
      </c>
      <c r="O5048">
        <v>50.434254958729902</v>
      </c>
      <c r="P5048">
        <v>-5.0674378811920197E-2</v>
      </c>
      <c r="Q5048">
        <v>0.26445074871332502</v>
      </c>
      <c r="R5048">
        <v>0.992638486227293</v>
      </c>
      <c r="S5048" t="s">
        <v>10599</v>
      </c>
      <c r="T5048" t="s">
        <v>11100</v>
      </c>
      <c r="U5048" t="s">
        <v>11100</v>
      </c>
      <c r="V5048" t="s">
        <v>11100</v>
      </c>
      <c r="W5048" t="s">
        <v>16095</v>
      </c>
      <c r="X5048">
        <v>2</v>
      </c>
      <c r="Y5048" t="s">
        <v>21519</v>
      </c>
      <c r="Z5048" t="s">
        <v>27053</v>
      </c>
      <c r="AA5048">
        <v>0.63496593876545204</v>
      </c>
      <c r="AB5048" t="str">
        <f>HYPERLINK("Melting_Curves/meltCurve_Q9NWM8_FKBP14.pdf", "Melting_Curves/meltCurve_Q9NWM8_FKBP14.pdf")</f>
        <v>Melting_Curves/meltCurve_Q9NWM8_FKBP14.pdf</v>
      </c>
    </row>
    <row r="5049" spans="1:28" x14ac:dyDescent="0.25">
      <c r="A5049" t="s">
        <v>5053</v>
      </c>
      <c r="B5049">
        <v>0.99299721793515405</v>
      </c>
      <c r="C5049">
        <v>0.84804374974136698</v>
      </c>
      <c r="D5049">
        <v>0.86501800241314597</v>
      </c>
      <c r="E5049">
        <v>0.86030793807011896</v>
      </c>
      <c r="F5049">
        <v>0.70510394204391802</v>
      </c>
      <c r="G5049">
        <v>0.49500823266073701</v>
      </c>
      <c r="H5049">
        <v>0.56990336809393904</v>
      </c>
      <c r="I5049">
        <v>0.72397961303321001</v>
      </c>
      <c r="J5049">
        <v>0.61893642858339004</v>
      </c>
      <c r="K5049">
        <v>0.61472677996276703</v>
      </c>
      <c r="L5049">
        <v>543.58893333964295</v>
      </c>
      <c r="M5049">
        <v>11.992097526053801</v>
      </c>
      <c r="O5049">
        <v>44.1236393410246</v>
      </c>
      <c r="P5049">
        <v>-2.75273683527749E-2</v>
      </c>
      <c r="Q5049">
        <v>0.59496199278978001</v>
      </c>
      <c r="R5049">
        <v>0.75066692606820995</v>
      </c>
      <c r="S5049" t="s">
        <v>10600</v>
      </c>
      <c r="T5049" t="s">
        <v>11100</v>
      </c>
      <c r="U5049" t="s">
        <v>11100</v>
      </c>
      <c r="V5049" t="s">
        <v>11100</v>
      </c>
      <c r="W5049" t="s">
        <v>16096</v>
      </c>
      <c r="X5049">
        <v>3</v>
      </c>
      <c r="Y5049" t="s">
        <v>21520</v>
      </c>
      <c r="Z5049" t="s">
        <v>27054</v>
      </c>
      <c r="AA5049">
        <v>0.72189635566741372</v>
      </c>
      <c r="AB5049" t="str">
        <f>HYPERLINK("Melting_Curves/meltCurve_Q9NWQ8_PAG1.pdf", "Melting_Curves/meltCurve_Q9NWQ8_PAG1.pdf")</f>
        <v>Melting_Curves/meltCurve_Q9NWQ8_PAG1.pdf</v>
      </c>
    </row>
    <row r="5050" spans="1:28" x14ac:dyDescent="0.25">
      <c r="A5050" t="s">
        <v>5054</v>
      </c>
      <c r="B5050">
        <v>0.99299721793515405</v>
      </c>
      <c r="C5050">
        <v>1.05715074816745</v>
      </c>
      <c r="D5050">
        <v>0.87040437558248895</v>
      </c>
      <c r="E5050">
        <v>0.85082507763975002</v>
      </c>
      <c r="F5050">
        <v>0.66581985217682205</v>
      </c>
      <c r="G5050">
        <v>0.45864764326915902</v>
      </c>
      <c r="H5050">
        <v>0.39323569646623602</v>
      </c>
      <c r="I5050">
        <v>0.38004039939911399</v>
      </c>
      <c r="J5050">
        <v>0.39878116286531101</v>
      </c>
      <c r="K5050">
        <v>0.25945239935572501</v>
      </c>
      <c r="L5050">
        <v>733.18249284266301</v>
      </c>
      <c r="M5050">
        <v>14.6382977859086</v>
      </c>
      <c r="N5050">
        <v>53.590438227983299</v>
      </c>
      <c r="O5050">
        <v>49.179680321734402</v>
      </c>
      <c r="P5050">
        <v>-5.1499507230290301E-2</v>
      </c>
      <c r="Q5050">
        <v>0.30799357947732797</v>
      </c>
      <c r="R5050">
        <v>0.97144295137086201</v>
      </c>
      <c r="S5050" t="s">
        <v>10601</v>
      </c>
      <c r="T5050" t="s">
        <v>11100</v>
      </c>
      <c r="U5050" t="s">
        <v>11100</v>
      </c>
      <c r="V5050" t="s">
        <v>11100</v>
      </c>
      <c r="W5050" t="s">
        <v>16097</v>
      </c>
      <c r="X5050">
        <v>2</v>
      </c>
      <c r="Y5050" t="s">
        <v>21521</v>
      </c>
      <c r="Z5050" t="s">
        <v>27055</v>
      </c>
      <c r="AA5050">
        <v>0.62479305924999651</v>
      </c>
      <c r="AB5050" t="str">
        <f>HYPERLINK("Melting_Curves/meltCurve_Q9NWQ9_C14orf119.pdf", "Melting_Curves/meltCurve_Q9NWQ9_C14orf119.pdf")</f>
        <v>Melting_Curves/meltCurve_Q9NWQ9_C14orf119.pdf</v>
      </c>
    </row>
    <row r="5051" spans="1:28" x14ac:dyDescent="0.25">
      <c r="A5051" t="s">
        <v>5055</v>
      </c>
      <c r="B5051">
        <v>0.99299721793515405</v>
      </c>
      <c r="C5051">
        <v>0.90127609003709896</v>
      </c>
      <c r="D5051">
        <v>1.1164128323576099</v>
      </c>
      <c r="E5051">
        <v>0.73569711971147</v>
      </c>
      <c r="F5051">
        <v>0.58089097639081</v>
      </c>
      <c r="G5051">
        <v>0.68318661516783197</v>
      </c>
      <c r="H5051">
        <v>0.27554857880466199</v>
      </c>
      <c r="I5051">
        <v>0.26460011318016302</v>
      </c>
      <c r="J5051">
        <v>0.313805307108045</v>
      </c>
      <c r="K5051">
        <v>0.214334654512358</v>
      </c>
      <c r="L5051">
        <v>604.49793204197897</v>
      </c>
      <c r="M5051">
        <v>11.647804385275</v>
      </c>
      <c r="N5051">
        <v>53.8803693726544</v>
      </c>
      <c r="O5051">
        <v>50.439081518165402</v>
      </c>
      <c r="P5051">
        <v>-4.7683901350697298E-2</v>
      </c>
      <c r="Q5051">
        <v>0.174271304130907</v>
      </c>
      <c r="R5051">
        <v>0.89555271937772696</v>
      </c>
      <c r="S5051" t="s">
        <v>10602</v>
      </c>
      <c r="T5051" t="s">
        <v>11100</v>
      </c>
      <c r="U5051" t="s">
        <v>11100</v>
      </c>
      <c r="V5051" t="s">
        <v>11100</v>
      </c>
      <c r="W5051" t="s">
        <v>16098</v>
      </c>
      <c r="X5051">
        <v>2</v>
      </c>
      <c r="Y5051" t="s">
        <v>21522</v>
      </c>
      <c r="Z5051" t="s">
        <v>27056</v>
      </c>
      <c r="AA5051">
        <v>0.6046182153934101</v>
      </c>
      <c r="AB5051" t="str">
        <f>HYPERLINK("Melting_Curves/meltCurve_Q9NWR8_CCDC109B.pdf", "Melting_Curves/meltCurve_Q9NWR8_CCDC109B.pdf")</f>
        <v>Melting_Curves/meltCurve_Q9NWR8_CCDC109B.pdf</v>
      </c>
    </row>
    <row r="5052" spans="1:28" x14ac:dyDescent="0.25">
      <c r="A5052" t="s">
        <v>5056</v>
      </c>
      <c r="B5052">
        <v>0.99299721793515405</v>
      </c>
      <c r="C5052">
        <v>0.87746043302218601</v>
      </c>
      <c r="D5052">
        <v>0.87087248385044602</v>
      </c>
      <c r="E5052">
        <v>0.801013756396455</v>
      </c>
      <c r="F5052">
        <v>0.59176617331300796</v>
      </c>
      <c r="G5052">
        <v>0.21930349303971899</v>
      </c>
      <c r="H5052">
        <v>0.14417738993236101</v>
      </c>
      <c r="I5052">
        <v>0.13037199216784701</v>
      </c>
      <c r="J5052">
        <v>0.13858955002998</v>
      </c>
      <c r="K5052">
        <v>0.114997780398174</v>
      </c>
      <c r="L5052">
        <v>858.62434264859598</v>
      </c>
      <c r="M5052">
        <v>17.211579978007698</v>
      </c>
      <c r="N5052">
        <v>50.456019538074003</v>
      </c>
      <c r="O5052">
        <v>49.227611939918397</v>
      </c>
      <c r="P5052">
        <v>-7.9695282330385295E-2</v>
      </c>
      <c r="Q5052">
        <v>8.8293459247173495E-2</v>
      </c>
      <c r="R5052">
        <v>0.97553042232726195</v>
      </c>
      <c r="S5052" t="s">
        <v>10603</v>
      </c>
      <c r="T5052" t="s">
        <v>11100</v>
      </c>
      <c r="U5052" t="s">
        <v>11100</v>
      </c>
      <c r="V5052" t="s">
        <v>11100</v>
      </c>
      <c r="W5052" t="s">
        <v>16099</v>
      </c>
      <c r="X5052">
        <v>6</v>
      </c>
      <c r="Y5052" t="s">
        <v>21523</v>
      </c>
      <c r="Z5052" t="s">
        <v>27057</v>
      </c>
      <c r="AA5052">
        <v>0.49539242925817489</v>
      </c>
      <c r="AB5052" t="str">
        <f>HYPERLINK("Melting_Curves/meltCurve_Q9NWS6_FAM118A.pdf", "Melting_Curves/meltCurve_Q9NWS6_FAM118A.pdf")</f>
        <v>Melting_Curves/meltCurve_Q9NWS6_FAM118A.pdf</v>
      </c>
    </row>
    <row r="5053" spans="1:28" x14ac:dyDescent="0.25">
      <c r="A5053" t="s">
        <v>5057</v>
      </c>
      <c r="B5053">
        <v>0.99299721793515405</v>
      </c>
      <c r="C5053">
        <v>0.94061793032890495</v>
      </c>
      <c r="D5053">
        <v>0.91780726931101897</v>
      </c>
      <c r="E5053">
        <v>0.82756693511192803</v>
      </c>
      <c r="F5053">
        <v>0.684480640980898</v>
      </c>
      <c r="G5053">
        <v>0.58330473741495903</v>
      </c>
      <c r="H5053">
        <v>0.344579137619556</v>
      </c>
      <c r="I5053">
        <v>0.26973155996167902</v>
      </c>
      <c r="J5053">
        <v>0.26768519729265799</v>
      </c>
      <c r="K5053">
        <v>0.17369599947617601</v>
      </c>
      <c r="L5053">
        <v>513.09716671870603</v>
      </c>
      <c r="M5053">
        <v>9.5136083592838592</v>
      </c>
      <c r="N5053">
        <v>54.603927756285898</v>
      </c>
      <c r="O5053">
        <v>51.711328194508098</v>
      </c>
      <c r="P5053">
        <v>-4.3482164918519903E-2</v>
      </c>
      <c r="Q5053">
        <v>5.5164583876376697E-2</v>
      </c>
      <c r="R5053">
        <v>0.990912877449315</v>
      </c>
      <c r="S5053" t="s">
        <v>10604</v>
      </c>
      <c r="T5053" t="s">
        <v>11100</v>
      </c>
      <c r="U5053" t="s">
        <v>11100</v>
      </c>
      <c r="V5053" t="s">
        <v>11100</v>
      </c>
      <c r="W5053" t="s">
        <v>16100</v>
      </c>
      <c r="X5053">
        <v>2</v>
      </c>
      <c r="Y5053" t="s">
        <v>21524</v>
      </c>
      <c r="Z5053" t="s">
        <v>27058</v>
      </c>
      <c r="AA5053">
        <v>0.60504194866453342</v>
      </c>
      <c r="AB5053" t="str">
        <f>HYPERLINK("Melting_Curves/meltCurve_Q9NWT6_HIF1AN.pdf", "Melting_Curves/meltCurve_Q9NWT6_HIF1AN.pdf")</f>
        <v>Melting_Curves/meltCurve_Q9NWT6_HIF1AN.pdf</v>
      </c>
    </row>
    <row r="5054" spans="1:28" x14ac:dyDescent="0.25">
      <c r="A5054" t="s">
        <v>5058</v>
      </c>
      <c r="B5054">
        <v>0.99299721793515405</v>
      </c>
      <c r="C5054">
        <v>0.962588676214709</v>
      </c>
      <c r="D5054">
        <v>0.989210436974577</v>
      </c>
      <c r="E5054">
        <v>0.926216299585224</v>
      </c>
      <c r="F5054">
        <v>0.78699242612083997</v>
      </c>
      <c r="G5054">
        <v>0.55405487925317198</v>
      </c>
      <c r="H5054">
        <v>0.63585967098512097</v>
      </c>
      <c r="I5054">
        <v>0.69042001822108301</v>
      </c>
      <c r="J5054">
        <v>0.79731755626547995</v>
      </c>
      <c r="K5054">
        <v>0.56905875160734198</v>
      </c>
      <c r="L5054">
        <v>1797.9433655988601</v>
      </c>
      <c r="M5054">
        <v>36.7070864233593</v>
      </c>
      <c r="O5054">
        <v>48.836135196862401</v>
      </c>
      <c r="P5054">
        <v>-6.5512840914977194E-2</v>
      </c>
      <c r="Q5054">
        <v>0.65136056540623499</v>
      </c>
      <c r="R5054">
        <v>0.83035819969492597</v>
      </c>
      <c r="S5054" t="s">
        <v>10605</v>
      </c>
      <c r="T5054" t="s">
        <v>11100</v>
      </c>
      <c r="U5054" t="s">
        <v>11100</v>
      </c>
      <c r="V5054" t="s">
        <v>11100</v>
      </c>
      <c r="W5054" t="s">
        <v>16101</v>
      </c>
      <c r="X5054">
        <v>7</v>
      </c>
      <c r="Y5054" t="s">
        <v>21525</v>
      </c>
      <c r="Z5054" t="s">
        <v>27059</v>
      </c>
      <c r="AA5054">
        <v>0.79199635456070894</v>
      </c>
      <c r="AB5054" t="str">
        <f>HYPERLINK("Melting_Curves/meltCurve_Q9NWU1_OXSM.pdf", "Melting_Curves/meltCurve_Q9NWU1_OXSM.pdf")</f>
        <v>Melting_Curves/meltCurve_Q9NWU1_OXSM.pdf</v>
      </c>
    </row>
    <row r="5055" spans="1:28" x14ac:dyDescent="0.25">
      <c r="A5055" t="s">
        <v>5059</v>
      </c>
      <c r="B5055">
        <v>0.99299721793515405</v>
      </c>
      <c r="C5055">
        <v>1.0838066116062099</v>
      </c>
      <c r="D5055">
        <v>0.95519881776529103</v>
      </c>
      <c r="E5055">
        <v>0.99081282755671396</v>
      </c>
      <c r="F5055">
        <v>0.8291360411798</v>
      </c>
      <c r="G5055">
        <v>0.67652437211280003</v>
      </c>
      <c r="H5055">
        <v>0.51858215655964901</v>
      </c>
      <c r="I5055">
        <v>0.28249347869828501</v>
      </c>
      <c r="J5055">
        <v>0.18619040610392901</v>
      </c>
      <c r="K5055">
        <v>0.12646952230981001</v>
      </c>
      <c r="L5055">
        <v>750.81388804325002</v>
      </c>
      <c r="M5055">
        <v>13.1534759305989</v>
      </c>
      <c r="N5055">
        <v>57.081025179400001</v>
      </c>
      <c r="O5055">
        <v>55.810040197922099</v>
      </c>
      <c r="P5055">
        <v>-5.8930692534645703E-2</v>
      </c>
      <c r="Q5055">
        <v>0</v>
      </c>
      <c r="R5055">
        <v>0.98902939201256701</v>
      </c>
      <c r="S5055" t="s">
        <v>10606</v>
      </c>
      <c r="T5055" t="s">
        <v>11100</v>
      </c>
      <c r="U5055" t="s">
        <v>11100</v>
      </c>
      <c r="V5055" t="s">
        <v>11100</v>
      </c>
      <c r="W5055" t="s">
        <v>16102</v>
      </c>
      <c r="X5055">
        <v>7</v>
      </c>
      <c r="Y5055" t="s">
        <v>21526</v>
      </c>
      <c r="Z5055" t="s">
        <v>27060</v>
      </c>
      <c r="AA5055">
        <v>0.67548129781690236</v>
      </c>
      <c r="AB5055" t="str">
        <f>HYPERLINK("Melting_Curves/meltCurve_Q9NWV4_C1orf123.pdf", "Melting_Curves/meltCurve_Q9NWV4_C1orf123.pdf")</f>
        <v>Melting_Curves/meltCurve_Q9NWV4_C1orf123.pdf</v>
      </c>
    </row>
    <row r="5056" spans="1:28" x14ac:dyDescent="0.25">
      <c r="A5056" t="s">
        <v>5060</v>
      </c>
      <c r="B5056">
        <v>0.99299721793515405</v>
      </c>
      <c r="C5056">
        <v>0.96741092710377796</v>
      </c>
      <c r="D5056">
        <v>0.91454698254021105</v>
      </c>
      <c r="E5056">
        <v>0.75906648688407197</v>
      </c>
      <c r="F5056">
        <v>0.59690548783281805</v>
      </c>
      <c r="G5056">
        <v>0.25935788805065402</v>
      </c>
      <c r="H5056">
        <v>0.16392501199370499</v>
      </c>
      <c r="I5056">
        <v>0.142298940456728</v>
      </c>
      <c r="J5056">
        <v>0.13729903260146401</v>
      </c>
      <c r="K5056">
        <v>9.1879677401969201E-2</v>
      </c>
      <c r="L5056">
        <v>798.32206572704297</v>
      </c>
      <c r="M5056">
        <v>15.9503978419245</v>
      </c>
      <c r="N5056">
        <v>50.618227472416898</v>
      </c>
      <c r="O5056">
        <v>49.283415423088698</v>
      </c>
      <c r="P5056">
        <v>-7.4288287236206799E-2</v>
      </c>
      <c r="Q5056">
        <v>8.1931656780065795E-2</v>
      </c>
      <c r="R5056">
        <v>0.99240472628805398</v>
      </c>
      <c r="S5056" t="s">
        <v>10607</v>
      </c>
      <c r="T5056" t="s">
        <v>11100</v>
      </c>
      <c r="U5056" t="s">
        <v>11100</v>
      </c>
      <c r="V5056" t="s">
        <v>11100</v>
      </c>
      <c r="W5056" t="s">
        <v>16103</v>
      </c>
      <c r="X5056">
        <v>7</v>
      </c>
      <c r="Y5056" t="s">
        <v>21527</v>
      </c>
      <c r="Z5056" t="s">
        <v>27061</v>
      </c>
      <c r="AA5056">
        <v>0.49879788217928411</v>
      </c>
      <c r="AB5056" t="str">
        <f>HYPERLINK("Melting_Curves/meltCurve_Q9NWX5_ASB6.pdf", "Melting_Curves/meltCurve_Q9NWX5_ASB6.pdf")</f>
        <v>Melting_Curves/meltCurve_Q9NWX5_ASB6.pdf</v>
      </c>
    </row>
    <row r="5057" spans="1:28" x14ac:dyDescent="0.25">
      <c r="A5057" t="s">
        <v>5061</v>
      </c>
      <c r="B5057">
        <v>0.99299721793515405</v>
      </c>
      <c r="C5057">
        <v>0.82185553068528305</v>
      </c>
      <c r="D5057">
        <v>0.90885995989314805</v>
      </c>
      <c r="E5057">
        <v>0.86582968326845999</v>
      </c>
      <c r="F5057">
        <v>0.74103185123972404</v>
      </c>
      <c r="G5057">
        <v>0.76010490590352497</v>
      </c>
      <c r="H5057">
        <v>0.55368686124098898</v>
      </c>
      <c r="I5057">
        <v>0.29650928109243002</v>
      </c>
      <c r="J5057">
        <v>0.25191246042200399</v>
      </c>
      <c r="K5057">
        <v>0.148388909255709</v>
      </c>
      <c r="L5057">
        <v>556.56926632496595</v>
      </c>
      <c r="M5057">
        <v>9.7191009987648105</v>
      </c>
      <c r="N5057">
        <v>57.265528607720597</v>
      </c>
      <c r="O5057">
        <v>54.998907464495097</v>
      </c>
      <c r="P5057">
        <v>-4.4202567175552203E-2</v>
      </c>
      <c r="Q5057">
        <v>0</v>
      </c>
      <c r="R5057">
        <v>0.93287310858606298</v>
      </c>
      <c r="S5057" t="s">
        <v>10608</v>
      </c>
      <c r="T5057" t="s">
        <v>11100</v>
      </c>
      <c r="U5057" t="s">
        <v>11100</v>
      </c>
      <c r="V5057" t="s">
        <v>11100</v>
      </c>
      <c r="W5057" t="s">
        <v>16104</v>
      </c>
      <c r="X5057">
        <v>3</v>
      </c>
      <c r="Y5057" t="s">
        <v>21528</v>
      </c>
      <c r="Z5057" t="s">
        <v>27062</v>
      </c>
      <c r="AA5057">
        <v>0.67155378630047458</v>
      </c>
      <c r="AB5057" t="str">
        <f>HYPERLINK("Melting_Curves/meltCurve_Q9NWX6_THG1L.pdf", "Melting_Curves/meltCurve_Q9NWX6_THG1L.pdf")</f>
        <v>Melting_Curves/meltCurve_Q9NWX6_THG1L.pdf</v>
      </c>
    </row>
    <row r="5058" spans="1:28" x14ac:dyDescent="0.25">
      <c r="A5058" t="s">
        <v>5062</v>
      </c>
      <c r="B5058">
        <v>0.99299721793515405</v>
      </c>
      <c r="C5058">
        <v>1.06921575636058</v>
      </c>
      <c r="D5058">
        <v>0.96365951415159501</v>
      </c>
      <c r="E5058">
        <v>0.86859018369390195</v>
      </c>
      <c r="F5058">
        <v>0.46445985238294502</v>
      </c>
      <c r="G5058">
        <v>0.22874755375876399</v>
      </c>
      <c r="H5058">
        <v>0.174162478734876</v>
      </c>
      <c r="I5058">
        <v>0.16313389793181199</v>
      </c>
      <c r="J5058">
        <v>0.14283532269702101</v>
      </c>
      <c r="K5058">
        <v>0.108099239582071</v>
      </c>
      <c r="L5058">
        <v>1347.8246602076999</v>
      </c>
      <c r="M5058">
        <v>27.308045688043201</v>
      </c>
      <c r="N5058">
        <v>49.962674180468298</v>
      </c>
      <c r="O5058">
        <v>49.0939225539937</v>
      </c>
      <c r="P5058">
        <v>-0.119447447473625</v>
      </c>
      <c r="Q5058">
        <v>0.14104608936625501</v>
      </c>
      <c r="R5058">
        <v>0.99504790730273995</v>
      </c>
      <c r="S5058" t="s">
        <v>10609</v>
      </c>
      <c r="T5058" t="s">
        <v>11100</v>
      </c>
      <c r="U5058" t="s">
        <v>11100</v>
      </c>
      <c r="V5058" t="s">
        <v>11100</v>
      </c>
      <c r="W5058" t="s">
        <v>16105</v>
      </c>
      <c r="X5058">
        <v>13</v>
      </c>
      <c r="Y5058" t="s">
        <v>21529</v>
      </c>
      <c r="Z5058" t="s">
        <v>27063</v>
      </c>
      <c r="AA5058">
        <v>0.50110757780862447</v>
      </c>
      <c r="AB5058" t="str">
        <f>HYPERLINK("Melting_Curves/meltCurve_Q9NWY4_C4orf27.pdf", "Melting_Curves/meltCurve_Q9NWY4_C4orf27.pdf")</f>
        <v>Melting_Curves/meltCurve_Q9NWY4_C4orf27.pdf</v>
      </c>
    </row>
    <row r="5059" spans="1:28" x14ac:dyDescent="0.25">
      <c r="A5059" t="s">
        <v>5063</v>
      </c>
      <c r="B5059">
        <v>0.99299721793515405</v>
      </c>
      <c r="C5059">
        <v>1.0409004726857101</v>
      </c>
      <c r="D5059">
        <v>0.94545494082818204</v>
      </c>
      <c r="E5059">
        <v>0.82155409029236903</v>
      </c>
      <c r="F5059">
        <v>0.78975473532338103</v>
      </c>
      <c r="G5059">
        <v>0.16113529765884499</v>
      </c>
      <c r="H5059">
        <v>0.16342055399432201</v>
      </c>
      <c r="I5059">
        <v>0.16293327097923799</v>
      </c>
      <c r="J5059">
        <v>0.179620610412877</v>
      </c>
      <c r="K5059">
        <v>0.18879862838030301</v>
      </c>
      <c r="L5059">
        <v>12604.172854160601</v>
      </c>
      <c r="M5059">
        <v>250</v>
      </c>
      <c r="N5059">
        <v>50.501352307885</v>
      </c>
      <c r="O5059">
        <v>50.413465339055698</v>
      </c>
      <c r="P5059">
        <v>-1.0275260181196999</v>
      </c>
      <c r="Q5059">
        <v>0.17118164839286601</v>
      </c>
      <c r="R5059">
        <v>0.974248785771479</v>
      </c>
      <c r="S5059" t="s">
        <v>10610</v>
      </c>
      <c r="T5059" t="s">
        <v>11100</v>
      </c>
      <c r="U5059" t="s">
        <v>11100</v>
      </c>
      <c r="V5059" t="s">
        <v>11100</v>
      </c>
      <c r="W5059" t="s">
        <v>16106</v>
      </c>
      <c r="X5059">
        <v>4</v>
      </c>
      <c r="Y5059" t="s">
        <v>21530</v>
      </c>
      <c r="Z5059" t="s">
        <v>27064</v>
      </c>
      <c r="AA5059">
        <v>0.54192165146107307</v>
      </c>
      <c r="AB5059" t="str">
        <f>HYPERLINK("Melting_Curves/meltCurve_Q9NWZ3_IRAK4.pdf", "Melting_Curves/meltCurve_Q9NWZ3_IRAK4.pdf")</f>
        <v>Melting_Curves/meltCurve_Q9NWZ3_IRAK4.pdf</v>
      </c>
    </row>
    <row r="5060" spans="1:28" x14ac:dyDescent="0.25">
      <c r="A5060" t="s">
        <v>5064</v>
      </c>
      <c r="B5060">
        <v>0.99299721793515405</v>
      </c>
      <c r="C5060">
        <v>1.0019224544377201</v>
      </c>
      <c r="D5060">
        <v>0.96963949335274602</v>
      </c>
      <c r="E5060">
        <v>0.99282408854450799</v>
      </c>
      <c r="F5060">
        <v>0.76814868555301297</v>
      </c>
      <c r="G5060">
        <v>0.47847647257304898</v>
      </c>
      <c r="H5060">
        <v>0.37555928559441998</v>
      </c>
      <c r="I5060">
        <v>0.31167218940865998</v>
      </c>
      <c r="J5060">
        <v>0.300987195100615</v>
      </c>
      <c r="K5060">
        <v>0.22215352232050101</v>
      </c>
      <c r="L5060">
        <v>1205.2698159670399</v>
      </c>
      <c r="M5060">
        <v>23.202098490575501</v>
      </c>
      <c r="N5060">
        <v>53.761357125867697</v>
      </c>
      <c r="O5060">
        <v>51.565304154106698</v>
      </c>
      <c r="P5060">
        <v>-8.1946049179105696E-2</v>
      </c>
      <c r="Q5060">
        <v>0.27153176147498997</v>
      </c>
      <c r="R5060">
        <v>0.99271031168790602</v>
      </c>
      <c r="S5060" t="s">
        <v>10611</v>
      </c>
      <c r="T5060" t="s">
        <v>11100</v>
      </c>
      <c r="U5060" t="s">
        <v>11100</v>
      </c>
      <c r="V5060" t="s">
        <v>11100</v>
      </c>
      <c r="W5060" t="s">
        <v>16107</v>
      </c>
      <c r="X5060">
        <v>1</v>
      </c>
      <c r="Y5060" t="s">
        <v>21531</v>
      </c>
      <c r="Z5060" t="s">
        <v>27065</v>
      </c>
      <c r="AA5060">
        <v>0.64183255249968285</v>
      </c>
      <c r="AB5060" t="str">
        <f>HYPERLINK("Melting_Curves/meltCurve_Q9NX01_TXNL4B.pdf", "Melting_Curves/meltCurve_Q9NX01_TXNL4B.pdf")</f>
        <v>Melting_Curves/meltCurve_Q9NX01_TXNL4B.pdf</v>
      </c>
    </row>
    <row r="5061" spans="1:28" x14ac:dyDescent="0.25">
      <c r="A5061" t="s">
        <v>5065</v>
      </c>
      <c r="B5061">
        <v>0.99299721793515405</v>
      </c>
      <c r="C5061">
        <v>0.94052414054158795</v>
      </c>
      <c r="D5061">
        <v>0.85555374016088204</v>
      </c>
      <c r="E5061">
        <v>0.68997069513694498</v>
      </c>
      <c r="F5061">
        <v>0.47188921991469901</v>
      </c>
      <c r="G5061">
        <v>0.28884292451897697</v>
      </c>
      <c r="H5061">
        <v>0.26446623381195</v>
      </c>
      <c r="I5061">
        <v>0.23942035034817499</v>
      </c>
      <c r="J5061">
        <v>0.26985104559967998</v>
      </c>
      <c r="K5061">
        <v>0.260183075496633</v>
      </c>
      <c r="L5061">
        <v>766.91180525918401</v>
      </c>
      <c r="M5061">
        <v>16.186359315401301</v>
      </c>
      <c r="N5061">
        <v>49.299220695974299</v>
      </c>
      <c r="O5061">
        <v>46.674662604616003</v>
      </c>
      <c r="P5061">
        <v>-6.6439010815028302E-2</v>
      </c>
      <c r="Q5061">
        <v>0.233728857318522</v>
      </c>
      <c r="R5061">
        <v>0.99432136671225602</v>
      </c>
      <c r="S5061" t="s">
        <v>10612</v>
      </c>
      <c r="T5061" t="s">
        <v>11100</v>
      </c>
      <c r="U5061" t="s">
        <v>11100</v>
      </c>
      <c r="V5061" t="s">
        <v>11100</v>
      </c>
      <c r="W5061" t="s">
        <v>16108</v>
      </c>
      <c r="X5061">
        <v>2</v>
      </c>
      <c r="Y5061" t="s">
        <v>21532</v>
      </c>
      <c r="Z5061" t="s">
        <v>27066</v>
      </c>
      <c r="AA5061">
        <v>0.513800492004305</v>
      </c>
      <c r="AB5061" t="str">
        <f>HYPERLINK("Melting_Curves/meltCurve_Q9NX08_COMMD8.pdf", "Melting_Curves/meltCurve_Q9NX08_COMMD8.pdf")</f>
        <v>Melting_Curves/meltCurve_Q9NX08_COMMD8.pdf</v>
      </c>
    </row>
    <row r="5062" spans="1:28" x14ac:dyDescent="0.25">
      <c r="A5062" t="s">
        <v>5066</v>
      </c>
      <c r="B5062">
        <v>0.99299721793515405</v>
      </c>
      <c r="C5062">
        <v>0.88619451340602995</v>
      </c>
      <c r="D5062">
        <v>0.90364691520694396</v>
      </c>
      <c r="E5062">
        <v>0.85276346839041695</v>
      </c>
      <c r="F5062">
        <v>0.81953472382523296</v>
      </c>
      <c r="G5062">
        <v>0.4838631745541</v>
      </c>
      <c r="H5062">
        <v>0.70151391740017999</v>
      </c>
      <c r="I5062">
        <v>0.99896443675770796</v>
      </c>
      <c r="J5062">
        <v>1.75627112863068</v>
      </c>
      <c r="K5062">
        <v>2.0530152800420001</v>
      </c>
      <c r="L5062">
        <v>15000</v>
      </c>
      <c r="M5062">
        <v>241.68510700579</v>
      </c>
      <c r="O5062">
        <v>62.0599765246684</v>
      </c>
      <c r="P5062">
        <v>0.48679742378589103</v>
      </c>
      <c r="Q5062">
        <v>1.5</v>
      </c>
      <c r="R5062">
        <v>0.61594029682661999</v>
      </c>
      <c r="S5062" t="s">
        <v>10613</v>
      </c>
      <c r="T5062" t="s">
        <v>11100</v>
      </c>
      <c r="U5062" t="s">
        <v>11100</v>
      </c>
      <c r="V5062" t="s">
        <v>11100</v>
      </c>
      <c r="W5062" t="s">
        <v>16109</v>
      </c>
      <c r="X5062">
        <v>2</v>
      </c>
      <c r="Y5062" t="s">
        <v>21533</v>
      </c>
      <c r="Z5062" t="s">
        <v>27067</v>
      </c>
      <c r="AA5062">
        <v>1.0822045646020879</v>
      </c>
      <c r="AB5062" t="str">
        <f>HYPERLINK("Melting_Curves/meltCurve_Q9NX14_NDUFB11.pdf", "Melting_Curves/meltCurve_Q9NX14_NDUFB11.pdf")</f>
        <v>Melting_Curves/meltCurve_Q9NX14_NDUFB11.pdf</v>
      </c>
    </row>
    <row r="5063" spans="1:28" x14ac:dyDescent="0.25">
      <c r="A5063" t="s">
        <v>5067</v>
      </c>
      <c r="B5063">
        <v>0.99299721793515405</v>
      </c>
      <c r="C5063">
        <v>0.84961002355302595</v>
      </c>
      <c r="D5063">
        <v>0.86586894703553396</v>
      </c>
      <c r="E5063">
        <v>0.86475587332720105</v>
      </c>
      <c r="F5063">
        <v>0.67572636004417497</v>
      </c>
      <c r="G5063">
        <v>0.38137423146351102</v>
      </c>
      <c r="H5063">
        <v>0.44703689914995298</v>
      </c>
      <c r="I5063">
        <v>0.40338691901333701</v>
      </c>
      <c r="J5063">
        <v>0.55778893343789104</v>
      </c>
      <c r="K5063">
        <v>0.49356230330281498</v>
      </c>
      <c r="L5063">
        <v>1041.1383910759</v>
      </c>
      <c r="M5063">
        <v>21.5459214665091</v>
      </c>
      <c r="N5063">
        <v>54.157599266140998</v>
      </c>
      <c r="O5063">
        <v>47.911371856666101</v>
      </c>
      <c r="P5063">
        <v>-6.1729427449522499E-2</v>
      </c>
      <c r="Q5063">
        <v>0.45094602010630802</v>
      </c>
      <c r="R5063">
        <v>0.85501055982779695</v>
      </c>
      <c r="S5063" t="s">
        <v>10614</v>
      </c>
      <c r="T5063" t="s">
        <v>11100</v>
      </c>
      <c r="U5063" t="s">
        <v>11100</v>
      </c>
      <c r="V5063" t="s">
        <v>11100</v>
      </c>
      <c r="W5063" t="s">
        <v>16110</v>
      </c>
      <c r="X5063">
        <v>4</v>
      </c>
      <c r="Y5063" t="s">
        <v>21534</v>
      </c>
      <c r="Z5063" t="s">
        <v>27068</v>
      </c>
      <c r="AA5063">
        <v>0.66442930663932886</v>
      </c>
      <c r="AB5063" t="str">
        <f>HYPERLINK("Melting_Curves/meltCurve_Q9NX24_NHP2.pdf", "Melting_Curves/meltCurve_Q9NX24_NHP2.pdf")</f>
        <v>Melting_Curves/meltCurve_Q9NX24_NHP2.pdf</v>
      </c>
    </row>
    <row r="5064" spans="1:28" x14ac:dyDescent="0.25">
      <c r="A5064" t="s">
        <v>5068</v>
      </c>
      <c r="B5064">
        <v>0.99299721793515405</v>
      </c>
      <c r="C5064">
        <v>0.96644122369652197</v>
      </c>
      <c r="D5064">
        <v>1.0095370194312101</v>
      </c>
      <c r="E5064">
        <v>0.93474877092744602</v>
      </c>
      <c r="F5064">
        <v>0.69619168703506795</v>
      </c>
      <c r="G5064">
        <v>0.41930779267131402</v>
      </c>
      <c r="H5064">
        <v>0.28360181186706501</v>
      </c>
      <c r="I5064">
        <v>0.16730113338055999</v>
      </c>
      <c r="J5064">
        <v>9.5918145940247099E-2</v>
      </c>
      <c r="K5064">
        <v>7.7090710007122698E-2</v>
      </c>
      <c r="L5064">
        <v>889.61201450522901</v>
      </c>
      <c r="M5064">
        <v>16.923537018128499</v>
      </c>
      <c r="N5064">
        <v>53.024725695578802</v>
      </c>
      <c r="O5064">
        <v>51.849042803457799</v>
      </c>
      <c r="P5064">
        <v>-7.6054533924718407E-2</v>
      </c>
      <c r="Q5064">
        <v>6.8018289587630801E-2</v>
      </c>
      <c r="R5064">
        <v>0.99606209319148098</v>
      </c>
      <c r="S5064" t="s">
        <v>10615</v>
      </c>
      <c r="T5064" t="s">
        <v>11100</v>
      </c>
      <c r="U5064" t="s">
        <v>11100</v>
      </c>
      <c r="V5064" t="s">
        <v>11100</v>
      </c>
      <c r="W5064" t="s">
        <v>16111</v>
      </c>
      <c r="X5064">
        <v>4</v>
      </c>
      <c r="Y5064" t="s">
        <v>21535</v>
      </c>
      <c r="Z5064" t="s">
        <v>27069</v>
      </c>
      <c r="AA5064">
        <v>0.56657275849712996</v>
      </c>
      <c r="AB5064" t="str">
        <f>HYPERLINK("Melting_Curves/meltCurve_Q9NX38_FAM206A.pdf", "Melting_Curves/meltCurve_Q9NX38_FAM206A.pdf")</f>
        <v>Melting_Curves/meltCurve_Q9NX38_FAM206A.pdf</v>
      </c>
    </row>
    <row r="5065" spans="1:28" x14ac:dyDescent="0.25">
      <c r="A5065" t="s">
        <v>5069</v>
      </c>
      <c r="B5065">
        <v>0.99299721793515405</v>
      </c>
      <c r="C5065">
        <v>1.0245851610280301</v>
      </c>
      <c r="D5065">
        <v>0.99646237174308105</v>
      </c>
      <c r="E5065">
        <v>0.92823882144662695</v>
      </c>
      <c r="F5065">
        <v>0.74567084242769399</v>
      </c>
      <c r="G5065">
        <v>0.58477950971149195</v>
      </c>
      <c r="H5065">
        <v>0.59618539792089897</v>
      </c>
      <c r="I5065">
        <v>0.68189489698440497</v>
      </c>
      <c r="J5065">
        <v>0.76760716408266405</v>
      </c>
      <c r="K5065">
        <v>0.70746183805965102</v>
      </c>
      <c r="L5065">
        <v>1958.8100101733901</v>
      </c>
      <c r="M5065">
        <v>40.5946430741607</v>
      </c>
      <c r="O5065">
        <v>48.136268099247097</v>
      </c>
      <c r="P5065">
        <v>-6.9649243428154206E-2</v>
      </c>
      <c r="Q5065">
        <v>0.66964626622705703</v>
      </c>
      <c r="R5065">
        <v>0.89956606483454704</v>
      </c>
      <c r="S5065" t="s">
        <v>10616</v>
      </c>
      <c r="T5065" t="s">
        <v>11100</v>
      </c>
      <c r="U5065" t="s">
        <v>11100</v>
      </c>
      <c r="V5065" t="s">
        <v>11100</v>
      </c>
      <c r="W5065" t="s">
        <v>16112</v>
      </c>
      <c r="X5065">
        <v>14</v>
      </c>
      <c r="Y5065" t="s">
        <v>21536</v>
      </c>
      <c r="Z5065" t="s">
        <v>27070</v>
      </c>
      <c r="AA5065">
        <v>0.7946306135719452</v>
      </c>
      <c r="AB5065" t="str">
        <f>HYPERLINK("Melting_Curves/meltCurve_Q9NX40_OCIAD1.pdf", "Melting_Curves/meltCurve_Q9NX40_OCIAD1.pdf")</f>
        <v>Melting_Curves/meltCurve_Q9NX40_OCIAD1.pdf</v>
      </c>
    </row>
    <row r="5066" spans="1:28" x14ac:dyDescent="0.25">
      <c r="A5066" t="s">
        <v>5070</v>
      </c>
      <c r="B5066">
        <v>0.99299721793515405</v>
      </c>
      <c r="C5066">
        <v>0.95284316252163603</v>
      </c>
      <c r="D5066">
        <v>0.958372979243031</v>
      </c>
      <c r="E5066">
        <v>0.89559299514482404</v>
      </c>
      <c r="F5066">
        <v>0.71884409088300405</v>
      </c>
      <c r="G5066">
        <v>0.45914573842897599</v>
      </c>
      <c r="H5066">
        <v>0.307960678842017</v>
      </c>
      <c r="I5066">
        <v>0.24659303401965901</v>
      </c>
      <c r="J5066">
        <v>0.23699314504653099</v>
      </c>
      <c r="K5066">
        <v>0.192233260927552</v>
      </c>
      <c r="L5066">
        <v>896.63958872526496</v>
      </c>
      <c r="M5066">
        <v>17.3102365822302</v>
      </c>
      <c r="N5066">
        <v>53.262140079481398</v>
      </c>
      <c r="O5066">
        <v>51.121765079233697</v>
      </c>
      <c r="P5066">
        <v>-6.8631538227344996E-2</v>
      </c>
      <c r="Q5066">
        <v>0.18929738672308499</v>
      </c>
      <c r="R5066">
        <v>0.99698412002949899</v>
      </c>
      <c r="S5066" t="s">
        <v>10617</v>
      </c>
      <c r="T5066" t="s">
        <v>11100</v>
      </c>
      <c r="U5066" t="s">
        <v>11100</v>
      </c>
      <c r="V5066" t="s">
        <v>11100</v>
      </c>
      <c r="W5066" t="s">
        <v>16113</v>
      </c>
      <c r="X5066">
        <v>12</v>
      </c>
      <c r="Y5066" t="s">
        <v>21537</v>
      </c>
      <c r="Z5066" t="s">
        <v>27071</v>
      </c>
      <c r="AA5066">
        <v>0.60223538023231504</v>
      </c>
      <c r="AB5066" t="str">
        <f>HYPERLINK("Melting_Curves/meltCurve_Q9NX46_ADPRHL2.pdf", "Melting_Curves/meltCurve_Q9NX46_ADPRHL2.pdf")</f>
        <v>Melting_Curves/meltCurve_Q9NX46_ADPRHL2.pdf</v>
      </c>
    </row>
    <row r="5067" spans="1:28" x14ac:dyDescent="0.25">
      <c r="A5067" t="s">
        <v>5071</v>
      </c>
      <c r="B5067">
        <v>0.99299721793515405</v>
      </c>
      <c r="C5067">
        <v>0.91480087334322902</v>
      </c>
      <c r="D5067">
        <v>0.89021273699250403</v>
      </c>
      <c r="E5067">
        <v>0.7702673368813</v>
      </c>
      <c r="F5067">
        <v>0.74970201612165299</v>
      </c>
      <c r="G5067">
        <v>0.496256751717572</v>
      </c>
      <c r="H5067">
        <v>0.57491235507454397</v>
      </c>
      <c r="I5067">
        <v>0.59632451111101603</v>
      </c>
      <c r="J5067">
        <v>0.655875468866571</v>
      </c>
      <c r="K5067">
        <v>0.36845924233405503</v>
      </c>
      <c r="L5067">
        <v>479.50965927308999</v>
      </c>
      <c r="M5067">
        <v>9.9815669531835898</v>
      </c>
      <c r="O5067">
        <v>46.230711790900997</v>
      </c>
      <c r="P5067">
        <v>-2.8021361130627E-2</v>
      </c>
      <c r="Q5067">
        <v>0.48111844175791701</v>
      </c>
      <c r="R5067">
        <v>0.827759169724543</v>
      </c>
      <c r="S5067" t="s">
        <v>10618</v>
      </c>
      <c r="T5067" t="s">
        <v>11100</v>
      </c>
      <c r="U5067" t="s">
        <v>11100</v>
      </c>
      <c r="V5067" t="s">
        <v>11100</v>
      </c>
      <c r="W5067" t="s">
        <v>16114</v>
      </c>
      <c r="X5067">
        <v>2</v>
      </c>
      <c r="Y5067" t="s">
        <v>21538</v>
      </c>
      <c r="Z5067" t="s">
        <v>27072</v>
      </c>
      <c r="AA5067">
        <v>0.69288501919921675</v>
      </c>
      <c r="AB5067" t="str">
        <f>HYPERLINK("Melting_Curves/meltCurve_Q9NX47_MARCH5.pdf", "Melting_Curves/meltCurve_Q9NX47_MARCH5.pdf")</f>
        <v>Melting_Curves/meltCurve_Q9NX47_MARCH5.pdf</v>
      </c>
    </row>
    <row r="5068" spans="1:28" x14ac:dyDescent="0.25">
      <c r="A5068" t="s">
        <v>5072</v>
      </c>
      <c r="B5068">
        <v>0.99299721793515405</v>
      </c>
      <c r="C5068">
        <v>0.89940830802702298</v>
      </c>
      <c r="D5068">
        <v>0.93979953021359097</v>
      </c>
      <c r="E5068">
        <v>0.85705758395399001</v>
      </c>
      <c r="F5068">
        <v>0.79847986382531899</v>
      </c>
      <c r="G5068">
        <v>0.64279878758915698</v>
      </c>
      <c r="H5068">
        <v>0.61568276087136797</v>
      </c>
      <c r="I5068">
        <v>0.72073334980762205</v>
      </c>
      <c r="J5068">
        <v>0.86017630508112797</v>
      </c>
      <c r="K5068">
        <v>0.61483137071377703</v>
      </c>
      <c r="L5068">
        <v>696.42237648209198</v>
      </c>
      <c r="M5068">
        <v>15.056042352798601</v>
      </c>
      <c r="O5068">
        <v>45.462352127107401</v>
      </c>
      <c r="P5068">
        <v>-2.5875964821818299E-2</v>
      </c>
      <c r="Q5068">
        <v>0.68749685329765897</v>
      </c>
      <c r="R5068">
        <v>0.67447853179974404</v>
      </c>
      <c r="S5068" t="s">
        <v>10619</v>
      </c>
      <c r="T5068" t="s">
        <v>11100</v>
      </c>
      <c r="U5068" t="s">
        <v>11100</v>
      </c>
      <c r="V5068" t="s">
        <v>11100</v>
      </c>
      <c r="W5068" t="s">
        <v>12147</v>
      </c>
      <c r="X5068">
        <v>6</v>
      </c>
      <c r="Y5068" t="s">
        <v>17641</v>
      </c>
      <c r="Z5068" t="s">
        <v>27073</v>
      </c>
      <c r="AA5068">
        <v>0.79101730268833137</v>
      </c>
      <c r="AB5068" t="str">
        <f>HYPERLINK("Melting_Curves/meltCurve_Q9NX55_HYPK.pdf", "Melting_Curves/meltCurve_Q9NX55_HYPK.pdf")</f>
        <v>Melting_Curves/meltCurve_Q9NX55_HYPK.pdf</v>
      </c>
    </row>
    <row r="5069" spans="1:28" x14ac:dyDescent="0.25">
      <c r="A5069" t="s">
        <v>5073</v>
      </c>
      <c r="B5069">
        <v>0.99299721793515405</v>
      </c>
      <c r="C5069">
        <v>1.0118353561853499</v>
      </c>
      <c r="D5069">
        <v>1.47189762865671</v>
      </c>
      <c r="E5069">
        <v>1.06274881842834</v>
      </c>
      <c r="F5069">
        <v>0.84110978889508403</v>
      </c>
      <c r="G5069">
        <v>0.92728692281720504</v>
      </c>
      <c r="H5069">
        <v>0.65816185499268698</v>
      </c>
      <c r="I5069">
        <v>0.65537182512328096</v>
      </c>
      <c r="J5069">
        <v>0.59075338518807896</v>
      </c>
      <c r="K5069">
        <v>0.29134063871226201</v>
      </c>
      <c r="L5069">
        <v>700.21797833098503</v>
      </c>
      <c r="M5069">
        <v>10.987492958107101</v>
      </c>
      <c r="N5069">
        <v>63.728635027857997</v>
      </c>
      <c r="O5069">
        <v>61.726768778153698</v>
      </c>
      <c r="P5069">
        <v>-4.4515601285481099E-2</v>
      </c>
      <c r="Q5069">
        <v>0</v>
      </c>
      <c r="R5069">
        <v>0.70252980625757</v>
      </c>
      <c r="S5069" t="s">
        <v>10620</v>
      </c>
      <c r="T5069" t="s">
        <v>11100</v>
      </c>
      <c r="U5069" t="s">
        <v>11100</v>
      </c>
      <c r="V5069" t="s">
        <v>11100</v>
      </c>
      <c r="W5069" t="s">
        <v>16115</v>
      </c>
      <c r="X5069">
        <v>7</v>
      </c>
      <c r="Y5069" t="s">
        <v>21539</v>
      </c>
      <c r="Z5069" t="s">
        <v>27074</v>
      </c>
      <c r="AA5069">
        <v>0.82672102289089944</v>
      </c>
      <c r="AB5069" t="str">
        <f>HYPERLINK("Melting_Curves/meltCurve_Q9NX62_IMPAD1.pdf", "Melting_Curves/meltCurve_Q9NX62_IMPAD1.pdf")</f>
        <v>Melting_Curves/meltCurve_Q9NX62_IMPAD1.pdf</v>
      </c>
    </row>
    <row r="5070" spans="1:28" x14ac:dyDescent="0.25">
      <c r="A5070" t="s">
        <v>5074</v>
      </c>
      <c r="B5070">
        <v>0.99299721793515405</v>
      </c>
      <c r="C5070">
        <v>0.98913134516060497</v>
      </c>
      <c r="D5070">
        <v>0.97004217358715294</v>
      </c>
      <c r="E5070">
        <v>0.84337761614670304</v>
      </c>
      <c r="F5070">
        <v>0.58595843293276095</v>
      </c>
      <c r="G5070">
        <v>0.28466805324783101</v>
      </c>
      <c r="H5070">
        <v>0.30835527932138701</v>
      </c>
      <c r="I5070">
        <v>0.315880615079631</v>
      </c>
      <c r="J5070">
        <v>0.28211190770740702</v>
      </c>
      <c r="K5070">
        <v>0.19343562296955399</v>
      </c>
      <c r="L5070">
        <v>1202.7106412384001</v>
      </c>
      <c r="M5070">
        <v>24.3611090255507</v>
      </c>
      <c r="N5070">
        <v>50.873280193832201</v>
      </c>
      <c r="O5070">
        <v>49.041043010272602</v>
      </c>
      <c r="P5070">
        <v>-9.2325161244828396E-2</v>
      </c>
      <c r="Q5070">
        <v>0.256576603946646</v>
      </c>
      <c r="R5070">
        <v>0.98713492284820303</v>
      </c>
      <c r="S5070" t="s">
        <v>10621</v>
      </c>
      <c r="T5070" t="s">
        <v>11100</v>
      </c>
      <c r="U5070" t="s">
        <v>11100</v>
      </c>
      <c r="V5070" t="s">
        <v>11100</v>
      </c>
      <c r="W5070" t="s">
        <v>16116</v>
      </c>
      <c r="X5070">
        <v>4</v>
      </c>
      <c r="Y5070" t="s">
        <v>21540</v>
      </c>
      <c r="Z5070" t="s">
        <v>27075</v>
      </c>
      <c r="AA5070">
        <v>0.56990188561118926</v>
      </c>
      <c r="AB5070" t="str">
        <f>HYPERLINK("Melting_Curves/meltCurve_Q9NX70_MED29.pdf", "Melting_Curves/meltCurve_Q9NX70_MED29.pdf")</f>
        <v>Melting_Curves/meltCurve_Q9NX70_MED29.pdf</v>
      </c>
    </row>
    <row r="5071" spans="1:28" x14ac:dyDescent="0.25">
      <c r="A5071" t="s">
        <v>5075</v>
      </c>
      <c r="B5071">
        <v>0.99299721793515405</v>
      </c>
      <c r="C5071">
        <v>1.00252734683161</v>
      </c>
      <c r="D5071">
        <v>0.85817770500676005</v>
      </c>
      <c r="E5071">
        <v>0.87967293354445997</v>
      </c>
      <c r="F5071">
        <v>0.69399367575316795</v>
      </c>
      <c r="G5071">
        <v>0.40791414114159702</v>
      </c>
      <c r="H5071">
        <v>0.24604439936755401</v>
      </c>
      <c r="I5071">
        <v>0.181074932126986</v>
      </c>
      <c r="J5071">
        <v>0.16666698733571</v>
      </c>
      <c r="K5071">
        <v>0.10386392128996499</v>
      </c>
      <c r="L5071">
        <v>765.33883729942704</v>
      </c>
      <c r="M5071">
        <v>14.726808567605101</v>
      </c>
      <c r="N5071">
        <v>52.6309530375596</v>
      </c>
      <c r="O5071">
        <v>51.039075122903199</v>
      </c>
      <c r="P5071">
        <v>-6.6044608125658502E-2</v>
      </c>
      <c r="Q5071">
        <v>8.4529799924053295E-2</v>
      </c>
      <c r="R5071">
        <v>0.98843767697976603</v>
      </c>
      <c r="S5071" t="s">
        <v>10622</v>
      </c>
      <c r="T5071" t="s">
        <v>11100</v>
      </c>
      <c r="U5071" t="s">
        <v>11100</v>
      </c>
      <c r="V5071" t="s">
        <v>11100</v>
      </c>
      <c r="W5071" t="s">
        <v>16117</v>
      </c>
      <c r="X5071">
        <v>15</v>
      </c>
      <c r="Y5071" t="s">
        <v>21541</v>
      </c>
      <c r="Z5071" t="s">
        <v>27076</v>
      </c>
      <c r="AA5071">
        <v>0.55924380606062718</v>
      </c>
      <c r="AB5071" t="str">
        <f>HYPERLINK("Melting_Curves/meltCurve_Q9NX74_DUS2L.pdf", "Melting_Curves/meltCurve_Q9NX74_DUS2L.pdf")</f>
        <v>Melting_Curves/meltCurve_Q9NX74_DUS2L.pdf</v>
      </c>
    </row>
    <row r="5072" spans="1:28" x14ac:dyDescent="0.25">
      <c r="A5072" t="s">
        <v>5076</v>
      </c>
      <c r="B5072">
        <v>0.99299721793515405</v>
      </c>
      <c r="C5072">
        <v>1.0361055954831</v>
      </c>
      <c r="D5072">
        <v>1.1829754594130499</v>
      </c>
      <c r="E5072">
        <v>0.97259351795315996</v>
      </c>
      <c r="F5072">
        <v>0.77024227300705195</v>
      </c>
      <c r="G5072">
        <v>0.36502194246244601</v>
      </c>
      <c r="H5072">
        <v>0.17475998581556601</v>
      </c>
      <c r="I5072">
        <v>0.13295586287192601</v>
      </c>
      <c r="J5072">
        <v>0.113560961787111</v>
      </c>
      <c r="K5072">
        <v>0.11303403043663</v>
      </c>
      <c r="L5072">
        <v>1522.7142644768701</v>
      </c>
      <c r="M5072">
        <v>29.250352521412299</v>
      </c>
      <c r="N5072">
        <v>52.530865037147002</v>
      </c>
      <c r="O5072">
        <v>51.816484013746297</v>
      </c>
      <c r="P5072">
        <v>-0.124790515762365</v>
      </c>
      <c r="Q5072">
        <v>0.115749652349375</v>
      </c>
      <c r="R5072">
        <v>0.979942787511767</v>
      </c>
      <c r="S5072" t="s">
        <v>10623</v>
      </c>
      <c r="T5072" t="s">
        <v>11100</v>
      </c>
      <c r="U5072" t="s">
        <v>11100</v>
      </c>
      <c r="V5072" t="s">
        <v>11100</v>
      </c>
      <c r="W5072" t="s">
        <v>16118</v>
      </c>
      <c r="X5072">
        <v>11</v>
      </c>
      <c r="Y5072" t="s">
        <v>21542</v>
      </c>
      <c r="Z5072" t="s">
        <v>27077</v>
      </c>
      <c r="AA5072">
        <v>0.56544246227427553</v>
      </c>
      <c r="AB5072" t="str">
        <f>HYPERLINK("Melting_Curves/meltCurve_Q9NXA8_SIRT5.pdf", "Melting_Curves/meltCurve_Q9NXA8_SIRT5.pdf")</f>
        <v>Melting_Curves/meltCurve_Q9NXA8_SIRT5.pdf</v>
      </c>
    </row>
    <row r="5073" spans="1:28" x14ac:dyDescent="0.25">
      <c r="A5073" t="s">
        <v>5077</v>
      </c>
      <c r="B5073">
        <v>0.99299721793515405</v>
      </c>
      <c r="C5073">
        <v>0.93625140885480596</v>
      </c>
      <c r="D5073">
        <v>0.84559896694607395</v>
      </c>
      <c r="E5073">
        <v>0.804984945529436</v>
      </c>
      <c r="F5073">
        <v>0.66893071534077997</v>
      </c>
      <c r="G5073">
        <v>0.368358971072061</v>
      </c>
      <c r="H5073">
        <v>0.271166782677907</v>
      </c>
      <c r="I5073">
        <v>0.25913196937986999</v>
      </c>
      <c r="J5073">
        <v>0.194221484831125</v>
      </c>
      <c r="K5073">
        <v>0.14634606330150501</v>
      </c>
      <c r="L5073">
        <v>575.86412267265905</v>
      </c>
      <c r="M5073">
        <v>11.234276485762701</v>
      </c>
      <c r="N5073">
        <v>52.234350494420198</v>
      </c>
      <c r="O5073">
        <v>49.715880785612498</v>
      </c>
      <c r="P5073">
        <v>-5.1165970982059002E-2</v>
      </c>
      <c r="Q5073">
        <v>9.4567277482133394E-2</v>
      </c>
      <c r="R5073">
        <v>0.98369242814362201</v>
      </c>
      <c r="S5073" t="s">
        <v>10624</v>
      </c>
      <c r="T5073" t="s">
        <v>11100</v>
      </c>
      <c r="U5073" t="s">
        <v>11100</v>
      </c>
      <c r="V5073" t="s">
        <v>11100</v>
      </c>
      <c r="W5073" t="s">
        <v>16119</v>
      </c>
      <c r="X5073">
        <v>3</v>
      </c>
      <c r="Y5073" t="s">
        <v>21543</v>
      </c>
      <c r="Z5073" t="s">
        <v>27078</v>
      </c>
      <c r="AA5073">
        <v>0.54940345525029144</v>
      </c>
      <c r="AB5073" t="str">
        <f>HYPERLINK("Melting_Curves/meltCurve_Q9NXF7_DCAF16.pdf", "Melting_Curves/meltCurve_Q9NXF7_DCAF16.pdf")</f>
        <v>Melting_Curves/meltCurve_Q9NXF7_DCAF16.pdf</v>
      </c>
    </row>
    <row r="5074" spans="1:28" x14ac:dyDescent="0.25">
      <c r="A5074" t="s">
        <v>5078</v>
      </c>
      <c r="B5074">
        <v>0.99299721793515405</v>
      </c>
      <c r="C5074">
        <v>0.93021200698460604</v>
      </c>
      <c r="D5074">
        <v>0.97484690399005902</v>
      </c>
      <c r="E5074">
        <v>0.88780490825788405</v>
      </c>
      <c r="F5074">
        <v>0.82197443349589705</v>
      </c>
      <c r="G5074">
        <v>1.0592839597400201</v>
      </c>
      <c r="H5074">
        <v>0.98624705360508202</v>
      </c>
      <c r="I5074">
        <v>1.19004428059338</v>
      </c>
      <c r="J5074">
        <v>0.68589556632534099</v>
      </c>
      <c r="K5074">
        <v>0.183741113864236</v>
      </c>
      <c r="L5074">
        <v>15000</v>
      </c>
      <c r="M5074">
        <v>233.540055628972</v>
      </c>
      <c r="N5074">
        <v>64.354984282621899</v>
      </c>
      <c r="O5074">
        <v>64.224100799881995</v>
      </c>
      <c r="P5074">
        <v>-0.74209458661861905</v>
      </c>
      <c r="Q5074">
        <v>0.18368851586266799</v>
      </c>
      <c r="R5074">
        <v>0.86987104581666097</v>
      </c>
      <c r="S5074" t="s">
        <v>10625</v>
      </c>
      <c r="T5074" t="s">
        <v>11100</v>
      </c>
      <c r="U5074" t="s">
        <v>11100</v>
      </c>
      <c r="V5074" t="s">
        <v>11100</v>
      </c>
      <c r="W5074" t="s">
        <v>16120</v>
      </c>
      <c r="X5074">
        <v>30</v>
      </c>
      <c r="Y5074" t="s">
        <v>21544</v>
      </c>
      <c r="Z5074" t="s">
        <v>27079</v>
      </c>
      <c r="AA5074">
        <v>0.9246997972200014</v>
      </c>
      <c r="AB5074" t="str">
        <f>HYPERLINK("Melting_Curves/meltCurve_Q9NXH9_TRMT1.pdf", "Melting_Curves/meltCurve_Q9NXH9_TRMT1.pdf")</f>
        <v>Melting_Curves/meltCurve_Q9NXH9_TRMT1.pdf</v>
      </c>
    </row>
    <row r="5075" spans="1:28" x14ac:dyDescent="0.25">
      <c r="A5075" t="s">
        <v>5079</v>
      </c>
      <c r="B5075">
        <v>0.99299721793515405</v>
      </c>
      <c r="C5075">
        <v>0.90623173316983097</v>
      </c>
      <c r="D5075">
        <v>0.80285716120651396</v>
      </c>
      <c r="E5075">
        <v>0.816064381782306</v>
      </c>
      <c r="F5075">
        <v>0.441442717827433</v>
      </c>
      <c r="G5075">
        <v>0.258168331529605</v>
      </c>
      <c r="H5075">
        <v>0.171062520532553</v>
      </c>
      <c r="I5075">
        <v>0.162898933158068</v>
      </c>
      <c r="J5075">
        <v>0.140598976058988</v>
      </c>
      <c r="K5075">
        <v>0.12075352028997</v>
      </c>
      <c r="L5075">
        <v>716.37984692904797</v>
      </c>
      <c r="M5075">
        <v>14.634270886535001</v>
      </c>
      <c r="N5075">
        <v>49.693962190571597</v>
      </c>
      <c r="O5075">
        <v>48.0653826306323</v>
      </c>
      <c r="P5075">
        <v>-6.8656107055750898E-2</v>
      </c>
      <c r="Q5075">
        <v>9.8112959981498396E-2</v>
      </c>
      <c r="R5075">
        <v>0.976974702694966</v>
      </c>
      <c r="S5075" t="s">
        <v>10626</v>
      </c>
      <c r="T5075" t="s">
        <v>11100</v>
      </c>
      <c r="U5075" t="s">
        <v>11100</v>
      </c>
      <c r="V5075" t="s">
        <v>11100</v>
      </c>
      <c r="W5075" t="s">
        <v>16121</v>
      </c>
      <c r="X5075">
        <v>6</v>
      </c>
      <c r="Y5075" t="s">
        <v>21545</v>
      </c>
      <c r="Z5075" t="s">
        <v>27080</v>
      </c>
      <c r="AA5075">
        <v>0.47761976498341802</v>
      </c>
      <c r="AB5075" t="str">
        <f>HYPERLINK("Melting_Curves/meltCurve_Q9NXN4_2_GDAP2.pdf", "Melting_Curves/meltCurve_Q9NXN4_2_GDAP2.pdf")</f>
        <v>Melting_Curves/meltCurve_Q9NXN4_2_GDAP2.pdf</v>
      </c>
    </row>
    <row r="5076" spans="1:28" x14ac:dyDescent="0.25">
      <c r="A5076" t="s">
        <v>5080</v>
      </c>
      <c r="B5076">
        <v>0.99299721793515405</v>
      </c>
      <c r="C5076">
        <v>0.99004768512640295</v>
      </c>
      <c r="D5076">
        <v>1.2170131737916601</v>
      </c>
      <c r="E5076">
        <v>0.96854624487583896</v>
      </c>
      <c r="F5076">
        <v>0.74829933661494497</v>
      </c>
      <c r="G5076">
        <v>0.60756154230175996</v>
      </c>
      <c r="H5076">
        <v>0.47442647790226</v>
      </c>
      <c r="I5076">
        <v>0.511749071325446</v>
      </c>
      <c r="J5076">
        <v>0.49355022217578898</v>
      </c>
      <c r="K5076">
        <v>0.61936285861376805</v>
      </c>
      <c r="L5076">
        <v>1769.9491641900099</v>
      </c>
      <c r="M5076">
        <v>35.311531840880797</v>
      </c>
      <c r="O5076">
        <v>49.963888500094697</v>
      </c>
      <c r="P5076">
        <v>-8.2891867778123005E-2</v>
      </c>
      <c r="Q5076">
        <v>0.53085173958792897</v>
      </c>
      <c r="R5076">
        <v>0.898128401863866</v>
      </c>
      <c r="S5076" t="s">
        <v>10627</v>
      </c>
      <c r="T5076" t="s">
        <v>11100</v>
      </c>
      <c r="U5076" t="s">
        <v>11100</v>
      </c>
      <c r="V5076" t="s">
        <v>11100</v>
      </c>
      <c r="W5076" t="s">
        <v>16122</v>
      </c>
      <c r="X5076">
        <v>13</v>
      </c>
      <c r="Y5076" t="s">
        <v>21546</v>
      </c>
      <c r="Z5076" t="s">
        <v>27081</v>
      </c>
      <c r="AA5076">
        <v>0.73817157042653048</v>
      </c>
      <c r="AB5076" t="str">
        <f>HYPERLINK("Melting_Curves/meltCurve_Q9NXR1_2_NDE1.pdf", "Melting_Curves/meltCurve_Q9NXR1_2_NDE1.pdf")</f>
        <v>Melting_Curves/meltCurve_Q9NXR1_2_NDE1.pdf</v>
      </c>
    </row>
    <row r="5077" spans="1:28" x14ac:dyDescent="0.25">
      <c r="A5077" t="s">
        <v>5081</v>
      </c>
      <c r="B5077">
        <v>0.99299721793515405</v>
      </c>
      <c r="C5077">
        <v>0.95473259320236803</v>
      </c>
      <c r="D5077">
        <v>0.98725677284288105</v>
      </c>
      <c r="E5077">
        <v>0.83836058645050404</v>
      </c>
      <c r="F5077">
        <v>0.67287312988527903</v>
      </c>
      <c r="G5077">
        <v>0.62591735806678295</v>
      </c>
      <c r="H5077">
        <v>0.79947829144843896</v>
      </c>
      <c r="I5077">
        <v>0.86256955709248995</v>
      </c>
      <c r="J5077">
        <v>0.79039308927275798</v>
      </c>
      <c r="K5077">
        <v>0.484759104003612</v>
      </c>
      <c r="L5077">
        <v>11640.688099356999</v>
      </c>
      <c r="M5077">
        <v>250</v>
      </c>
      <c r="O5077">
        <v>46.559749433447102</v>
      </c>
      <c r="P5077">
        <v>-0.394656106858921</v>
      </c>
      <c r="Q5077">
        <v>0.70599842117952705</v>
      </c>
      <c r="R5077">
        <v>0.59973426752397996</v>
      </c>
      <c r="S5077" t="s">
        <v>10628</v>
      </c>
      <c r="T5077" t="s">
        <v>11100</v>
      </c>
      <c r="U5077" t="s">
        <v>11100</v>
      </c>
      <c r="V5077" t="s">
        <v>11100</v>
      </c>
      <c r="W5077" t="s">
        <v>16123</v>
      </c>
      <c r="X5077">
        <v>10</v>
      </c>
      <c r="Y5077" t="s">
        <v>21547</v>
      </c>
      <c r="Z5077" t="s">
        <v>27082</v>
      </c>
      <c r="AA5077">
        <v>0.79973792283594614</v>
      </c>
      <c r="AB5077" t="str">
        <f>HYPERLINK("Melting_Curves/meltCurve_Q9NXR7_BRE.pdf", "Melting_Curves/meltCurve_Q9NXR7_BRE.pdf")</f>
        <v>Melting_Curves/meltCurve_Q9NXR7_BRE.pdf</v>
      </c>
    </row>
    <row r="5078" spans="1:28" x14ac:dyDescent="0.25">
      <c r="A5078" t="s">
        <v>5082</v>
      </c>
      <c r="B5078">
        <v>0.99299721793515405</v>
      </c>
      <c r="C5078">
        <v>0.97953821416985398</v>
      </c>
      <c r="D5078">
        <v>0.93899802693587398</v>
      </c>
      <c r="E5078">
        <v>0.86733098603844905</v>
      </c>
      <c r="F5078">
        <v>0.74438471974724896</v>
      </c>
      <c r="G5078">
        <v>0.459325135983355</v>
      </c>
      <c r="H5078">
        <v>0.29851207872284602</v>
      </c>
      <c r="I5078">
        <v>0.20401830878332999</v>
      </c>
      <c r="J5078">
        <v>0.16222287736095301</v>
      </c>
      <c r="K5078">
        <v>0.113640559817496</v>
      </c>
      <c r="L5078">
        <v>753.40864699860003</v>
      </c>
      <c r="M5078">
        <v>14.2527329772317</v>
      </c>
      <c r="N5078">
        <v>53.507907037646497</v>
      </c>
      <c r="O5078">
        <v>51.852692990886801</v>
      </c>
      <c r="P5078">
        <v>-6.3283827524799594E-2</v>
      </c>
      <c r="Q5078">
        <v>7.9185158518807197E-2</v>
      </c>
      <c r="R5078">
        <v>0.99710415944317299</v>
      </c>
      <c r="S5078" t="s">
        <v>10629</v>
      </c>
      <c r="T5078" t="s">
        <v>11100</v>
      </c>
      <c r="U5078" t="s">
        <v>11100</v>
      </c>
      <c r="V5078" t="s">
        <v>11100</v>
      </c>
      <c r="W5078" t="s">
        <v>16124</v>
      </c>
      <c r="X5078">
        <v>5</v>
      </c>
      <c r="Y5078" t="s">
        <v>21548</v>
      </c>
      <c r="Z5078" t="s">
        <v>27083</v>
      </c>
      <c r="AA5078">
        <v>0.58344812367020393</v>
      </c>
      <c r="AB5078" t="str">
        <f>HYPERLINK("Melting_Curves/meltCurve_Q9NXU5_ARL15.pdf", "Melting_Curves/meltCurve_Q9NXU5_ARL15.pdf")</f>
        <v>Melting_Curves/meltCurve_Q9NXU5_ARL15.pdf</v>
      </c>
    </row>
    <row r="5079" spans="1:28" x14ac:dyDescent="0.25">
      <c r="A5079" t="s">
        <v>5083</v>
      </c>
      <c r="B5079">
        <v>0.99299721793515405</v>
      </c>
      <c r="C5079">
        <v>0.84618125037469705</v>
      </c>
      <c r="D5079">
        <v>0.96317002193831003</v>
      </c>
      <c r="E5079">
        <v>0.80524195284164701</v>
      </c>
      <c r="F5079">
        <v>0.72656184115093303</v>
      </c>
      <c r="G5079">
        <v>0.72542362005696404</v>
      </c>
      <c r="H5079">
        <v>0.66019785217929605</v>
      </c>
      <c r="I5079">
        <v>0.83724237154521997</v>
      </c>
      <c r="J5079">
        <v>0.85724491504121403</v>
      </c>
      <c r="K5079">
        <v>0.72349766329140597</v>
      </c>
      <c r="L5079">
        <v>625.67628342090904</v>
      </c>
      <c r="M5079">
        <v>14.6519923979537</v>
      </c>
      <c r="O5079">
        <v>41.930684008618002</v>
      </c>
      <c r="P5079">
        <v>-2.1636359370747999E-2</v>
      </c>
      <c r="Q5079">
        <v>0.75235399709181205</v>
      </c>
      <c r="R5079">
        <v>0.53701139276210097</v>
      </c>
      <c r="S5079" t="s">
        <v>10630</v>
      </c>
      <c r="T5079" t="s">
        <v>11100</v>
      </c>
      <c r="U5079" t="s">
        <v>11100</v>
      </c>
      <c r="V5079" t="s">
        <v>11100</v>
      </c>
      <c r="W5079" t="s">
        <v>16125</v>
      </c>
      <c r="X5079">
        <v>5</v>
      </c>
      <c r="Y5079" t="s">
        <v>21549</v>
      </c>
      <c r="Z5079" t="s">
        <v>27084</v>
      </c>
      <c r="AA5079">
        <v>0.80646725293161059</v>
      </c>
      <c r="AB5079" t="str">
        <f>HYPERLINK("Melting_Curves/meltCurve_Q9NXV2_KCTD5.pdf", "Melting_Curves/meltCurve_Q9NXV2_KCTD5.pdf")</f>
        <v>Melting_Curves/meltCurve_Q9NXV2_KCTD5.pdf</v>
      </c>
    </row>
    <row r="5080" spans="1:28" x14ac:dyDescent="0.25">
      <c r="A5080" t="s">
        <v>5084</v>
      </c>
      <c r="B5080">
        <v>0.99299721793515405</v>
      </c>
      <c r="C5080">
        <v>0.92634267442384699</v>
      </c>
      <c r="D5080">
        <v>1.06943528136845</v>
      </c>
      <c r="E5080">
        <v>0.80793506668243398</v>
      </c>
      <c r="F5080">
        <v>0.73476980936138003</v>
      </c>
      <c r="G5080">
        <v>0.36980509366281999</v>
      </c>
      <c r="H5080">
        <v>0.24658935188953901</v>
      </c>
      <c r="I5080">
        <v>0.186045223507396</v>
      </c>
      <c r="J5080">
        <v>0.20126940529940199</v>
      </c>
      <c r="K5080">
        <v>0.19947999342470499</v>
      </c>
      <c r="L5080">
        <v>1042.51763818117</v>
      </c>
      <c r="M5080">
        <v>20.3575537467798</v>
      </c>
      <c r="N5080">
        <v>52.308974128631199</v>
      </c>
      <c r="O5080">
        <v>50.723894817570503</v>
      </c>
      <c r="P5080">
        <v>-8.2884389930198504E-2</v>
      </c>
      <c r="Q5080">
        <v>0.173949603573926</v>
      </c>
      <c r="R5080">
        <v>0.97718109447206003</v>
      </c>
      <c r="S5080" t="s">
        <v>10631</v>
      </c>
      <c r="T5080" t="s">
        <v>11100</v>
      </c>
      <c r="U5080" t="s">
        <v>11100</v>
      </c>
      <c r="V5080" t="s">
        <v>11100</v>
      </c>
      <c r="W5080" t="s">
        <v>16126</v>
      </c>
      <c r="X5080">
        <v>7</v>
      </c>
      <c r="Y5080" t="s">
        <v>21550</v>
      </c>
      <c r="Z5080" t="s">
        <v>27085</v>
      </c>
      <c r="AA5080">
        <v>0.57571214703556883</v>
      </c>
      <c r="AB5080" t="str">
        <f>HYPERLINK("Melting_Curves/meltCurve_Q9NXV6_CDKN2AIP.pdf", "Melting_Curves/meltCurve_Q9NXV6_CDKN2AIP.pdf")</f>
        <v>Melting_Curves/meltCurve_Q9NXV6_CDKN2AIP.pdf</v>
      </c>
    </row>
    <row r="5081" spans="1:28" x14ac:dyDescent="0.25">
      <c r="A5081" t="s">
        <v>5085</v>
      </c>
      <c r="B5081">
        <v>0.99299721793515405</v>
      </c>
      <c r="C5081">
        <v>1.0893993848316199</v>
      </c>
      <c r="D5081">
        <v>0.98568889208698895</v>
      </c>
      <c r="E5081">
        <v>0.92050146719366299</v>
      </c>
      <c r="F5081">
        <v>0.76193292919740496</v>
      </c>
      <c r="G5081">
        <v>0.29127190675492598</v>
      </c>
      <c r="H5081">
        <v>0.19347484781580701</v>
      </c>
      <c r="I5081">
        <v>0.20533159439490201</v>
      </c>
      <c r="J5081">
        <v>0.18001907367426701</v>
      </c>
      <c r="K5081">
        <v>0.14864091850172101</v>
      </c>
      <c r="L5081">
        <v>1858.7253762171999</v>
      </c>
      <c r="M5081">
        <v>36.211993591678002</v>
      </c>
      <c r="N5081">
        <v>51.943995233807399</v>
      </c>
      <c r="O5081">
        <v>51.173192562803699</v>
      </c>
      <c r="P5081">
        <v>-0.14606813540825</v>
      </c>
      <c r="Q5081">
        <v>0.17433395864930201</v>
      </c>
      <c r="R5081">
        <v>0.99065333171854797</v>
      </c>
      <c r="S5081" t="s">
        <v>10632</v>
      </c>
      <c r="T5081" t="s">
        <v>11100</v>
      </c>
      <c r="U5081" t="s">
        <v>11100</v>
      </c>
      <c r="V5081" t="s">
        <v>11100</v>
      </c>
      <c r="W5081" t="s">
        <v>16127</v>
      </c>
      <c r="X5081">
        <v>10</v>
      </c>
      <c r="Y5081" t="s">
        <v>21551</v>
      </c>
      <c r="Z5081" t="s">
        <v>27086</v>
      </c>
      <c r="AA5081">
        <v>0.57226698296453915</v>
      </c>
      <c r="AB5081" t="str">
        <f>HYPERLINK("Melting_Curves/meltCurve_Q9NXW9_ALKBH4.pdf", "Melting_Curves/meltCurve_Q9NXW9_ALKBH4.pdf")</f>
        <v>Melting_Curves/meltCurve_Q9NXW9_ALKBH4.pdf</v>
      </c>
    </row>
    <row r="5082" spans="1:28" x14ac:dyDescent="0.25">
      <c r="A5082" t="s">
        <v>5086</v>
      </c>
      <c r="B5082">
        <v>0.99299721793515405</v>
      </c>
      <c r="C5082">
        <v>0.98360818819154305</v>
      </c>
      <c r="D5082">
        <v>0.87491184593411098</v>
      </c>
      <c r="E5082">
        <v>0.85482455989821504</v>
      </c>
      <c r="F5082">
        <v>0.73951028055116397</v>
      </c>
      <c r="G5082">
        <v>0.53861859071403295</v>
      </c>
      <c r="H5082">
        <v>0.539931135667571</v>
      </c>
      <c r="I5082">
        <v>0.41810695157391498</v>
      </c>
      <c r="J5082">
        <v>0.26295051670015701</v>
      </c>
      <c r="K5082">
        <v>0.21407657228519</v>
      </c>
      <c r="L5082">
        <v>427.94701929671601</v>
      </c>
      <c r="M5082">
        <v>7.5353197434569203</v>
      </c>
      <c r="N5082">
        <v>56.792151328259799</v>
      </c>
      <c r="O5082">
        <v>53.205557011352099</v>
      </c>
      <c r="P5082">
        <v>-3.5456668061759899E-2</v>
      </c>
      <c r="Q5082">
        <v>0</v>
      </c>
      <c r="R5082">
        <v>0.98045020590522003</v>
      </c>
      <c r="S5082" t="s">
        <v>10633</v>
      </c>
      <c r="T5082" t="s">
        <v>11100</v>
      </c>
      <c r="U5082" t="s">
        <v>11100</v>
      </c>
      <c r="V5082" t="s">
        <v>11100</v>
      </c>
      <c r="W5082" t="s">
        <v>16128</v>
      </c>
      <c r="X5082">
        <v>16</v>
      </c>
      <c r="Y5082" t="s">
        <v>21552</v>
      </c>
      <c r="Z5082" t="s">
        <v>27087</v>
      </c>
      <c r="AA5082">
        <v>0.64761722120604415</v>
      </c>
      <c r="AB5082" t="str">
        <f>HYPERLINK("Melting_Curves/meltCurve_Q9NY27_PPP4R2.pdf", "Melting_Curves/meltCurve_Q9NY27_PPP4R2.pdf")</f>
        <v>Melting_Curves/meltCurve_Q9NY27_PPP4R2.pdf</v>
      </c>
    </row>
    <row r="5083" spans="1:28" x14ac:dyDescent="0.25">
      <c r="A5083" t="s">
        <v>5087</v>
      </c>
      <c r="B5083">
        <v>0.99299721793515405</v>
      </c>
      <c r="C5083">
        <v>0.96897379645130199</v>
      </c>
      <c r="D5083">
        <v>0.93219891292900203</v>
      </c>
      <c r="E5083">
        <v>0.85009172090931695</v>
      </c>
      <c r="F5083">
        <v>0.744242461663987</v>
      </c>
      <c r="G5083">
        <v>0.53652249628626303</v>
      </c>
      <c r="H5083">
        <v>0.57467488646249998</v>
      </c>
      <c r="I5083">
        <v>0.60381049390729902</v>
      </c>
      <c r="J5083">
        <v>0.51758695136312804</v>
      </c>
      <c r="K5083">
        <v>0.40984358830321199</v>
      </c>
      <c r="L5083">
        <v>613.64111689715196</v>
      </c>
      <c r="M5083">
        <v>12.3236815606982</v>
      </c>
      <c r="N5083">
        <v>63.595261889554699</v>
      </c>
      <c r="O5083">
        <v>48.537026944776699</v>
      </c>
      <c r="P5083">
        <v>-3.3933241912882002E-2</v>
      </c>
      <c r="Q5083">
        <v>0.46552988497416697</v>
      </c>
      <c r="R5083">
        <v>0.94548908807596699</v>
      </c>
      <c r="S5083" t="s">
        <v>10634</v>
      </c>
      <c r="T5083" t="s">
        <v>11100</v>
      </c>
      <c r="U5083" t="s">
        <v>11100</v>
      </c>
      <c r="V5083" t="s">
        <v>11100</v>
      </c>
      <c r="W5083" t="s">
        <v>16129</v>
      </c>
      <c r="X5083">
        <v>9</v>
      </c>
      <c r="Y5083" t="s">
        <v>21553</v>
      </c>
      <c r="Z5083" t="s">
        <v>27088</v>
      </c>
      <c r="AA5083">
        <v>0.7081335451962566</v>
      </c>
      <c r="AB5083" t="str">
        <f>HYPERLINK("Melting_Curves/meltCurve_Q9NYB0_TERF2IP.pdf", "Melting_Curves/meltCurve_Q9NYB0_TERF2IP.pdf")</f>
        <v>Melting_Curves/meltCurve_Q9NYB0_TERF2IP.pdf</v>
      </c>
    </row>
    <row r="5084" spans="1:28" x14ac:dyDescent="0.25">
      <c r="A5084" t="s">
        <v>5088</v>
      </c>
      <c r="B5084">
        <v>0.99299721793515405</v>
      </c>
      <c r="C5084">
        <v>1.0436539446290001</v>
      </c>
      <c r="D5084">
        <v>0.82957282972197899</v>
      </c>
      <c r="E5084">
        <v>0.52544332964075702</v>
      </c>
      <c r="F5084">
        <v>0.24619175365676499</v>
      </c>
      <c r="G5084">
        <v>0.15999098251913799</v>
      </c>
      <c r="H5084">
        <v>0.15244392458158801</v>
      </c>
      <c r="I5084">
        <v>0.12532751563726699</v>
      </c>
      <c r="J5084">
        <v>0.115967976938313</v>
      </c>
      <c r="K5084">
        <v>7.1530607220139097E-2</v>
      </c>
      <c r="L5084">
        <v>995.10112589058394</v>
      </c>
      <c r="M5084">
        <v>21.510946249227501</v>
      </c>
      <c r="N5084">
        <v>46.810238141083097</v>
      </c>
      <c r="O5084">
        <v>45.866014977998603</v>
      </c>
      <c r="P5084">
        <v>-0.104158386373261</v>
      </c>
      <c r="Q5084">
        <v>0.11166882488244</v>
      </c>
      <c r="R5084">
        <v>0.99387454876524495</v>
      </c>
      <c r="S5084" t="s">
        <v>10635</v>
      </c>
      <c r="T5084" t="s">
        <v>11100</v>
      </c>
      <c r="U5084" t="s">
        <v>11100</v>
      </c>
      <c r="V5084" t="s">
        <v>11100</v>
      </c>
      <c r="W5084" t="s">
        <v>16130</v>
      </c>
      <c r="X5084">
        <v>4</v>
      </c>
      <c r="Y5084" t="s">
        <v>21554</v>
      </c>
      <c r="Z5084" t="s">
        <v>27089</v>
      </c>
      <c r="AA5084">
        <v>0.39589931859274963</v>
      </c>
      <c r="AB5084" t="str">
        <f>HYPERLINK("Melting_Curves/meltCurve_Q9NYH9_UTP6.pdf", "Melting_Curves/meltCurve_Q9NYH9_UTP6.pdf")</f>
        <v>Melting_Curves/meltCurve_Q9NYH9_UTP6.pdf</v>
      </c>
    </row>
    <row r="5085" spans="1:28" x14ac:dyDescent="0.25">
      <c r="A5085" t="s">
        <v>5089</v>
      </c>
      <c r="B5085">
        <v>0.99299721793515405</v>
      </c>
      <c r="C5085">
        <v>0.90595249003453704</v>
      </c>
      <c r="D5085">
        <v>0.95528010597518498</v>
      </c>
      <c r="E5085">
        <v>0.85044749465318703</v>
      </c>
      <c r="F5085">
        <v>0.76460578856457895</v>
      </c>
      <c r="G5085">
        <v>0.54295890328607499</v>
      </c>
      <c r="H5085">
        <v>0.58104853354605901</v>
      </c>
      <c r="I5085">
        <v>0.69586745136580797</v>
      </c>
      <c r="J5085">
        <v>0.83173377563024997</v>
      </c>
      <c r="K5085">
        <v>0.72380965476361503</v>
      </c>
      <c r="L5085">
        <v>1256.2390577035801</v>
      </c>
      <c r="M5085">
        <v>26.928955341068601</v>
      </c>
      <c r="O5085">
        <v>46.395143428044904</v>
      </c>
      <c r="P5085">
        <v>-4.6252005458854599E-2</v>
      </c>
      <c r="Q5085">
        <v>0.68125805135641804</v>
      </c>
      <c r="R5085">
        <v>0.67434712734925895</v>
      </c>
      <c r="S5085" t="s">
        <v>10636</v>
      </c>
      <c r="T5085" t="s">
        <v>11100</v>
      </c>
      <c r="U5085" t="s">
        <v>11100</v>
      </c>
      <c r="V5085" t="s">
        <v>11100</v>
      </c>
      <c r="W5085" t="s">
        <v>16131</v>
      </c>
      <c r="X5085">
        <v>7</v>
      </c>
      <c r="Y5085" t="s">
        <v>21555</v>
      </c>
      <c r="Z5085" t="s">
        <v>27090</v>
      </c>
      <c r="AA5085">
        <v>0.78607918708118274</v>
      </c>
      <c r="AB5085" t="str">
        <f>HYPERLINK("Melting_Curves/meltCurve_Q9NYJ1_COA4.pdf", "Melting_Curves/meltCurve_Q9NYJ1_COA4.pdf")</f>
        <v>Melting_Curves/meltCurve_Q9NYJ1_COA4.pdf</v>
      </c>
    </row>
    <row r="5086" spans="1:28" x14ac:dyDescent="0.25">
      <c r="A5086" t="s">
        <v>5090</v>
      </c>
      <c r="B5086">
        <v>0.99299721793515405</v>
      </c>
      <c r="C5086">
        <v>0.92643618714243003</v>
      </c>
      <c r="D5086">
        <v>0.93099574640668703</v>
      </c>
      <c r="E5086">
        <v>0.84658033379105102</v>
      </c>
      <c r="F5086">
        <v>0.73022917185369396</v>
      </c>
      <c r="G5086">
        <v>0.29431935097811501</v>
      </c>
      <c r="H5086">
        <v>0.20122151408557501</v>
      </c>
      <c r="I5086">
        <v>0.137956942219193</v>
      </c>
      <c r="J5086">
        <v>0.13949300262799799</v>
      </c>
      <c r="K5086">
        <v>9.0011195511652903E-2</v>
      </c>
      <c r="L5086">
        <v>1058.0699464602501</v>
      </c>
      <c r="M5086">
        <v>20.593660110480599</v>
      </c>
      <c r="N5086">
        <v>51.935066184040103</v>
      </c>
      <c r="O5086">
        <v>50.901323467641603</v>
      </c>
      <c r="P5086">
        <v>-9.1131629772433095E-2</v>
      </c>
      <c r="Q5086">
        <v>9.9026380483553E-2</v>
      </c>
      <c r="R5086">
        <v>0.98414399921587403</v>
      </c>
      <c r="S5086" t="s">
        <v>10637</v>
      </c>
      <c r="T5086" t="s">
        <v>11100</v>
      </c>
      <c r="U5086" t="s">
        <v>11100</v>
      </c>
      <c r="V5086" t="s">
        <v>11100</v>
      </c>
      <c r="W5086" t="s">
        <v>16132</v>
      </c>
      <c r="X5086">
        <v>9</v>
      </c>
      <c r="Y5086" t="s">
        <v>21556</v>
      </c>
      <c r="Z5086" t="s">
        <v>27091</v>
      </c>
      <c r="AA5086">
        <v>0.54204149680300118</v>
      </c>
      <c r="AB5086" t="str">
        <f>HYPERLINK("Melting_Curves/meltCurve_Q9NYJ8_TAB2.pdf", "Melting_Curves/meltCurve_Q9NYJ8_TAB2.pdf")</f>
        <v>Melting_Curves/meltCurve_Q9NYJ8_TAB2.pdf</v>
      </c>
    </row>
    <row r="5087" spans="1:28" x14ac:dyDescent="0.25">
      <c r="A5087" t="s">
        <v>5091</v>
      </c>
      <c r="B5087">
        <v>0.99299721793515405</v>
      </c>
      <c r="C5087">
        <v>1.0691271295943601</v>
      </c>
      <c r="D5087">
        <v>0.92014237233253404</v>
      </c>
      <c r="E5087">
        <v>1.0062310429447601</v>
      </c>
      <c r="F5087">
        <v>1.0038148361088099</v>
      </c>
      <c r="G5087">
        <v>0.861046716874456</v>
      </c>
      <c r="H5087">
        <v>0.31193373167017202</v>
      </c>
      <c r="I5087">
        <v>0.16692396287457401</v>
      </c>
      <c r="J5087">
        <v>0.133524675718736</v>
      </c>
      <c r="K5087">
        <v>9.0376805912579294E-2</v>
      </c>
      <c r="L5087">
        <v>2483.1435022150699</v>
      </c>
      <c r="M5087">
        <v>44.505221891892297</v>
      </c>
      <c r="N5087">
        <v>56.144761481899899</v>
      </c>
      <c r="O5087">
        <v>55.682133501476102</v>
      </c>
      <c r="P5087">
        <v>-0.17559280376324199</v>
      </c>
      <c r="Q5087">
        <v>0.12123852723522199</v>
      </c>
      <c r="R5087">
        <v>0.99172562861828695</v>
      </c>
      <c r="S5087" t="s">
        <v>10638</v>
      </c>
      <c r="T5087" t="s">
        <v>11100</v>
      </c>
      <c r="U5087" t="s">
        <v>11100</v>
      </c>
      <c r="V5087" t="s">
        <v>11100</v>
      </c>
      <c r="W5087" t="s">
        <v>16133</v>
      </c>
      <c r="X5087">
        <v>8</v>
      </c>
      <c r="Y5087" t="s">
        <v>21557</v>
      </c>
      <c r="Z5087" t="s">
        <v>27092</v>
      </c>
      <c r="AA5087">
        <v>0.67446688315465408</v>
      </c>
      <c r="AB5087" t="str">
        <f>HYPERLINK("Melting_Curves/meltCurve_Q9NYK5_MRPL39.pdf", "Melting_Curves/meltCurve_Q9NYK5_MRPL39.pdf")</f>
        <v>Melting_Curves/meltCurve_Q9NYK5_MRPL39.pdf</v>
      </c>
    </row>
    <row r="5088" spans="1:28" x14ac:dyDescent="0.25">
      <c r="A5088" t="s">
        <v>5092</v>
      </c>
      <c r="B5088">
        <v>0.99299721793515405</v>
      </c>
      <c r="C5088">
        <v>0.98089159832935202</v>
      </c>
      <c r="D5088">
        <v>0.92500223056572395</v>
      </c>
      <c r="E5088">
        <v>0.888645805968581</v>
      </c>
      <c r="F5088">
        <v>0.71768827059984497</v>
      </c>
      <c r="G5088">
        <v>0.56269768157894495</v>
      </c>
      <c r="H5088">
        <v>0.43065353721739202</v>
      </c>
      <c r="I5088">
        <v>0.27464451951532298</v>
      </c>
      <c r="J5088">
        <v>0.183390675818111</v>
      </c>
      <c r="K5088">
        <v>0.12608986596385599</v>
      </c>
      <c r="L5088">
        <v>566.229221016</v>
      </c>
      <c r="M5088">
        <v>10.2573332643383</v>
      </c>
      <c r="N5088">
        <v>55.2023749429761</v>
      </c>
      <c r="O5088">
        <v>53.227662989617002</v>
      </c>
      <c r="P5088">
        <v>-4.81979641759996E-2</v>
      </c>
      <c r="Q5088">
        <v>0</v>
      </c>
      <c r="R5088">
        <v>0.99772612609313605</v>
      </c>
      <c r="S5088" t="s">
        <v>10639</v>
      </c>
      <c r="T5088" t="s">
        <v>11100</v>
      </c>
      <c r="U5088" t="s">
        <v>11100</v>
      </c>
      <c r="V5088" t="s">
        <v>11100</v>
      </c>
      <c r="W5088" t="s">
        <v>16134</v>
      </c>
      <c r="X5088">
        <v>7</v>
      </c>
      <c r="Y5088" t="s">
        <v>21558</v>
      </c>
      <c r="Z5088" t="s">
        <v>27093</v>
      </c>
      <c r="AA5088">
        <v>0.61819587447604551</v>
      </c>
      <c r="AB5088" t="str">
        <f>HYPERLINK("Melting_Curves/meltCurve_Q9NYL2_2_MLTK.pdf", "Melting_Curves/meltCurve_Q9NYL2_2_MLTK.pdf")</f>
        <v>Melting_Curves/meltCurve_Q9NYL2_2_MLTK.pdf</v>
      </c>
    </row>
    <row r="5089" spans="1:28" x14ac:dyDescent="0.25">
      <c r="A5089" t="s">
        <v>5093</v>
      </c>
      <c r="B5089">
        <v>0.99299721793515405</v>
      </c>
      <c r="C5089">
        <v>1.00111171214908</v>
      </c>
      <c r="D5089">
        <v>0.88834221340950104</v>
      </c>
      <c r="E5089">
        <v>0.90939232577570595</v>
      </c>
      <c r="F5089">
        <v>0.59134020164247603</v>
      </c>
      <c r="G5089">
        <v>0.24730281905346399</v>
      </c>
      <c r="H5089">
        <v>0.17196385376214199</v>
      </c>
      <c r="I5089">
        <v>0.13142249128288799</v>
      </c>
      <c r="J5089">
        <v>0.114864647085411</v>
      </c>
      <c r="K5089">
        <v>0.122240335275394</v>
      </c>
      <c r="L5089">
        <v>1253.2474422653499</v>
      </c>
      <c r="M5089">
        <v>24.863676684045899</v>
      </c>
      <c r="N5089">
        <v>50.9512624388002</v>
      </c>
      <c r="O5089">
        <v>50.082086252549203</v>
      </c>
      <c r="P5089">
        <v>-0.10958908227665901</v>
      </c>
      <c r="Q5089">
        <v>0.117045368258154</v>
      </c>
      <c r="R5089">
        <v>0.99225322733976795</v>
      </c>
      <c r="S5089" t="s">
        <v>10640</v>
      </c>
      <c r="T5089" t="s">
        <v>11100</v>
      </c>
      <c r="U5089" t="s">
        <v>11100</v>
      </c>
      <c r="V5089" t="s">
        <v>11100</v>
      </c>
      <c r="W5089" t="s">
        <v>16135</v>
      </c>
      <c r="X5089">
        <v>13</v>
      </c>
      <c r="Y5089" t="s">
        <v>21559</v>
      </c>
      <c r="Z5089" t="s">
        <v>27094</v>
      </c>
      <c r="AA5089">
        <v>0.51940479809958051</v>
      </c>
      <c r="AB5089" t="str">
        <f>HYPERLINK("Melting_Curves/meltCurve_Q9NYL9_TMOD3.pdf", "Melting_Curves/meltCurve_Q9NYL9_TMOD3.pdf")</f>
        <v>Melting_Curves/meltCurve_Q9NYL9_TMOD3.pdf</v>
      </c>
    </row>
    <row r="5090" spans="1:28" x14ac:dyDescent="0.25">
      <c r="A5090" t="s">
        <v>5094</v>
      </c>
      <c r="B5090">
        <v>0.99299721793515405</v>
      </c>
      <c r="C5090">
        <v>0.99121537993815201</v>
      </c>
      <c r="D5090">
        <v>0.88865000618109502</v>
      </c>
      <c r="E5090">
        <v>0.902584571222806</v>
      </c>
      <c r="F5090">
        <v>0.83422460772768903</v>
      </c>
      <c r="G5090">
        <v>0.62153562199588097</v>
      </c>
      <c r="H5090">
        <v>0.41485630527940098</v>
      </c>
      <c r="I5090">
        <v>0.216217842797298</v>
      </c>
      <c r="J5090">
        <v>0.18660635814102799</v>
      </c>
      <c r="K5090">
        <v>0.126300618256276</v>
      </c>
      <c r="L5090">
        <v>699.32332979505497</v>
      </c>
      <c r="M5090">
        <v>12.5563649176911</v>
      </c>
      <c r="N5090">
        <v>55.779345177879698</v>
      </c>
      <c r="O5090">
        <v>54.338699951850998</v>
      </c>
      <c r="P5090">
        <v>-5.7235570195952302E-2</v>
      </c>
      <c r="Q5090">
        <v>9.4338389402871398E-3</v>
      </c>
      <c r="R5090">
        <v>0.98966118369742595</v>
      </c>
      <c r="S5090" t="s">
        <v>10641</v>
      </c>
      <c r="T5090" t="s">
        <v>11100</v>
      </c>
      <c r="U5090" t="s">
        <v>11100</v>
      </c>
      <c r="V5090" t="s">
        <v>11100</v>
      </c>
      <c r="W5090" t="s">
        <v>16136</v>
      </c>
      <c r="X5090">
        <v>6</v>
      </c>
      <c r="Y5090" t="s">
        <v>21560</v>
      </c>
      <c r="Z5090" t="s">
        <v>27095</v>
      </c>
      <c r="AA5090">
        <v>0.63826992070097088</v>
      </c>
      <c r="AB5090" t="str">
        <f>HYPERLINK("Melting_Curves/meltCurve_Q9NYP9_MIS18A.pdf", "Melting_Curves/meltCurve_Q9NYP9_MIS18A.pdf")</f>
        <v>Melting_Curves/meltCurve_Q9NYP9_MIS18A.pdf</v>
      </c>
    </row>
    <row r="5091" spans="1:28" x14ac:dyDescent="0.25">
      <c r="A5091" t="s">
        <v>5095</v>
      </c>
      <c r="B5091">
        <v>0.99299721793515405</v>
      </c>
      <c r="C5091">
        <v>0.967939777338508</v>
      </c>
      <c r="D5091">
        <v>0.90083530204914297</v>
      </c>
      <c r="E5091">
        <v>0.861168554549954</v>
      </c>
      <c r="F5091">
        <v>0.754956110284699</v>
      </c>
      <c r="G5091">
        <v>0.74961598882546898</v>
      </c>
      <c r="H5091">
        <v>0.55843613544475001</v>
      </c>
      <c r="I5091">
        <v>0.33428766243025299</v>
      </c>
      <c r="J5091">
        <v>0.29782708294260402</v>
      </c>
      <c r="K5091">
        <v>0.261255362776464</v>
      </c>
      <c r="L5091">
        <v>485.91693461961302</v>
      </c>
      <c r="M5091">
        <v>8.3630007682190008</v>
      </c>
      <c r="N5091">
        <v>58.103174436441499</v>
      </c>
      <c r="O5091">
        <v>55.065749615448802</v>
      </c>
      <c r="P5091">
        <v>-3.8004616784124298E-2</v>
      </c>
      <c r="Q5091">
        <v>0</v>
      </c>
      <c r="R5091">
        <v>0.974937383454063</v>
      </c>
      <c r="S5091" t="s">
        <v>10642</v>
      </c>
      <c r="T5091" t="s">
        <v>11100</v>
      </c>
      <c r="U5091" t="s">
        <v>11100</v>
      </c>
      <c r="V5091" t="s">
        <v>11100</v>
      </c>
      <c r="W5091" t="s">
        <v>16137</v>
      </c>
      <c r="X5091">
        <v>28</v>
      </c>
      <c r="Y5091" t="s">
        <v>21561</v>
      </c>
      <c r="Z5091" t="s">
        <v>27096</v>
      </c>
      <c r="AA5091">
        <v>0.68424943847764463</v>
      </c>
      <c r="AB5091" t="str">
        <f>HYPERLINK("Melting_Curves/meltCurve_Q9NYU2_2_UGGT1.pdf", "Melting_Curves/meltCurve_Q9NYU2_2_UGGT1.pdf")</f>
        <v>Melting_Curves/meltCurve_Q9NYU2_2_UGGT1.pdf</v>
      </c>
    </row>
    <row r="5092" spans="1:28" x14ac:dyDescent="0.25">
      <c r="A5092" t="s">
        <v>5096</v>
      </c>
      <c r="B5092">
        <v>0.99299721793515405</v>
      </c>
      <c r="C5092">
        <v>1.0726693029224199</v>
      </c>
      <c r="D5092">
        <v>1.00984810007962</v>
      </c>
      <c r="E5092">
        <v>0.94510775360840504</v>
      </c>
      <c r="F5092">
        <v>0.851357061645868</v>
      </c>
      <c r="G5092">
        <v>0.553789618694429</v>
      </c>
      <c r="H5092">
        <v>0.281741493994979</v>
      </c>
      <c r="I5092">
        <v>0.23491114092340001</v>
      </c>
      <c r="J5092">
        <v>0.24759038783668</v>
      </c>
      <c r="K5092">
        <v>0.173635341131639</v>
      </c>
      <c r="L5092">
        <v>1324.56768387703</v>
      </c>
      <c r="M5092">
        <v>24.911466824741801</v>
      </c>
      <c r="N5092">
        <v>54.265161957067001</v>
      </c>
      <c r="O5092">
        <v>52.831919627549503</v>
      </c>
      <c r="P5092">
        <v>-9.4608880024250594E-2</v>
      </c>
      <c r="Q5092">
        <v>0.19742969937963301</v>
      </c>
      <c r="R5092">
        <v>0.99227429207612505</v>
      </c>
      <c r="S5092" t="s">
        <v>10643</v>
      </c>
      <c r="T5092" t="s">
        <v>11100</v>
      </c>
      <c r="U5092" t="s">
        <v>11100</v>
      </c>
      <c r="V5092" t="s">
        <v>11100</v>
      </c>
      <c r="W5092" t="s">
        <v>16138</v>
      </c>
      <c r="X5092">
        <v>6</v>
      </c>
      <c r="Y5092" t="s">
        <v>21562</v>
      </c>
      <c r="Z5092" t="s">
        <v>27097</v>
      </c>
      <c r="AA5092">
        <v>0.63716792877130102</v>
      </c>
      <c r="AB5092" t="str">
        <f>HYPERLINK("Melting_Curves/meltCurve_Q9NYY8_FASTKD2.pdf", "Melting_Curves/meltCurve_Q9NYY8_FASTKD2.pdf")</f>
        <v>Melting_Curves/meltCurve_Q9NYY8_FASTKD2.pdf</v>
      </c>
    </row>
    <row r="5093" spans="1:28" x14ac:dyDescent="0.25">
      <c r="A5093" t="s">
        <v>5097</v>
      </c>
      <c r="B5093">
        <v>0.99299721793515405</v>
      </c>
      <c r="C5093">
        <v>0.96029981675798004</v>
      </c>
      <c r="D5093">
        <v>0.84784455553497895</v>
      </c>
      <c r="E5093">
        <v>0.71982624344781698</v>
      </c>
      <c r="F5093">
        <v>0.420160363180414</v>
      </c>
      <c r="G5093">
        <v>0.23862009538117199</v>
      </c>
      <c r="H5093">
        <v>0.209443683750586</v>
      </c>
      <c r="I5093">
        <v>0.16833763907959001</v>
      </c>
      <c r="J5093">
        <v>0.15079404923783099</v>
      </c>
      <c r="K5093">
        <v>9.7579920033831605E-2</v>
      </c>
      <c r="L5093">
        <v>736.34670812551406</v>
      </c>
      <c r="M5093">
        <v>15.239707048462099</v>
      </c>
      <c r="N5093">
        <v>49.157080274111301</v>
      </c>
      <c r="O5093">
        <v>47.508595671319497</v>
      </c>
      <c r="P5093">
        <v>-7.1013693163932801E-2</v>
      </c>
      <c r="Q5093">
        <v>0.11456551544164301</v>
      </c>
      <c r="R5093">
        <v>0.99483790101618297</v>
      </c>
      <c r="S5093" t="s">
        <v>10644</v>
      </c>
      <c r="T5093" t="s">
        <v>11100</v>
      </c>
      <c r="U5093" t="s">
        <v>11100</v>
      </c>
      <c r="V5093" t="s">
        <v>11100</v>
      </c>
      <c r="W5093" t="s">
        <v>16139</v>
      </c>
      <c r="X5093">
        <v>6</v>
      </c>
      <c r="Y5093" t="s">
        <v>21563</v>
      </c>
      <c r="Z5093" t="s">
        <v>27098</v>
      </c>
      <c r="AA5093">
        <v>0.46746142439513522</v>
      </c>
      <c r="AB5093" t="str">
        <f>HYPERLINK("Melting_Curves/meltCurve_Q9NYZ3_GTSE1.pdf", "Melting_Curves/meltCurve_Q9NYZ3_GTSE1.pdf")</f>
        <v>Melting_Curves/meltCurve_Q9NYZ3_GTSE1.pdf</v>
      </c>
    </row>
    <row r="5094" spans="1:28" x14ac:dyDescent="0.25">
      <c r="A5094" t="s">
        <v>5098</v>
      </c>
      <c r="B5094">
        <v>0.99299721793515405</v>
      </c>
      <c r="C5094">
        <v>0.87678526944497504</v>
      </c>
      <c r="D5094">
        <v>0.95031100105619004</v>
      </c>
      <c r="E5094">
        <v>0.796773520511178</v>
      </c>
      <c r="F5094">
        <v>0.62437995359458498</v>
      </c>
      <c r="G5094">
        <v>0.45860345847298301</v>
      </c>
      <c r="H5094">
        <v>0.23119721381134201</v>
      </c>
      <c r="I5094">
        <v>0.17344897690893499</v>
      </c>
      <c r="J5094">
        <v>0.145537849662738</v>
      </c>
      <c r="K5094">
        <v>0.116253996788151</v>
      </c>
      <c r="L5094">
        <v>602.73961613296694</v>
      </c>
      <c r="M5094">
        <v>11.5887094474463</v>
      </c>
      <c r="N5094">
        <v>52.346631119835003</v>
      </c>
      <c r="O5094">
        <v>50.534572511559603</v>
      </c>
      <c r="P5094">
        <v>-5.5292747418559302E-2</v>
      </c>
      <c r="Q5094">
        <v>3.5811668562177497E-2</v>
      </c>
      <c r="R5094">
        <v>0.98785770772247705</v>
      </c>
      <c r="S5094" t="s">
        <v>10645</v>
      </c>
      <c r="T5094" t="s">
        <v>11100</v>
      </c>
      <c r="U5094" t="s">
        <v>11100</v>
      </c>
      <c r="V5094" t="s">
        <v>11100</v>
      </c>
      <c r="W5094" t="s">
        <v>16140</v>
      </c>
      <c r="X5094">
        <v>8</v>
      </c>
      <c r="Y5094" t="s">
        <v>21564</v>
      </c>
      <c r="Z5094" t="s">
        <v>27099</v>
      </c>
      <c r="AA5094">
        <v>0.54174501839450973</v>
      </c>
      <c r="AB5094" t="str">
        <f>HYPERLINK("Melting_Curves/meltCurve_Q9NZ01_TECR.pdf", "Melting_Curves/meltCurve_Q9NZ01_TECR.pdf")</f>
        <v>Melting_Curves/meltCurve_Q9NZ01_TECR.pdf</v>
      </c>
    </row>
    <row r="5095" spans="1:28" x14ac:dyDescent="0.25">
      <c r="A5095" t="s">
        <v>5099</v>
      </c>
      <c r="B5095">
        <v>0.99299721793515405</v>
      </c>
      <c r="C5095">
        <v>0.93620948055409303</v>
      </c>
      <c r="D5095">
        <v>0.86951465292952501</v>
      </c>
      <c r="E5095">
        <v>0.89397602907318097</v>
      </c>
      <c r="F5095">
        <v>0.74395210256466704</v>
      </c>
      <c r="G5095">
        <v>0.432750217006243</v>
      </c>
      <c r="H5095">
        <v>0.35014249393749503</v>
      </c>
      <c r="I5095">
        <v>0.30315599750441702</v>
      </c>
      <c r="J5095">
        <v>0.263387636723251</v>
      </c>
      <c r="K5095">
        <v>0.18599802773162899</v>
      </c>
      <c r="L5095">
        <v>705.65633453518103</v>
      </c>
      <c r="M5095">
        <v>13.5656292618674</v>
      </c>
      <c r="N5095">
        <v>53.745908470929699</v>
      </c>
      <c r="O5095">
        <v>50.926617703939797</v>
      </c>
      <c r="P5095">
        <v>-5.4832625528365597E-2</v>
      </c>
      <c r="Q5095">
        <v>0.17673635511687</v>
      </c>
      <c r="R5095">
        <v>0.977116051034294</v>
      </c>
      <c r="S5095" t="s">
        <v>10646</v>
      </c>
      <c r="T5095" t="s">
        <v>11100</v>
      </c>
      <c r="U5095" t="s">
        <v>11100</v>
      </c>
      <c r="V5095" t="s">
        <v>11100</v>
      </c>
      <c r="W5095" t="s">
        <v>16141</v>
      </c>
      <c r="X5095">
        <v>5</v>
      </c>
      <c r="Y5095" t="s">
        <v>21565</v>
      </c>
      <c r="Z5095" t="s">
        <v>27100</v>
      </c>
      <c r="AA5095">
        <v>0.60637935257769082</v>
      </c>
      <c r="AB5095" t="str">
        <f>HYPERLINK("Melting_Curves/meltCurve_Q9NZ09_2_UBAP1.pdf", "Melting_Curves/meltCurve_Q9NZ09_2_UBAP1.pdf")</f>
        <v>Melting_Curves/meltCurve_Q9NZ09_2_UBAP1.pdf</v>
      </c>
    </row>
    <row r="5096" spans="1:28" x14ac:dyDescent="0.25">
      <c r="A5096" t="s">
        <v>5100</v>
      </c>
      <c r="B5096">
        <v>0.99299721793515405</v>
      </c>
      <c r="C5096">
        <v>1.06307014265439</v>
      </c>
      <c r="D5096">
        <v>1.0253620995955699</v>
      </c>
      <c r="E5096">
        <v>0.88831814777040097</v>
      </c>
      <c r="F5096">
        <v>0.76980738183769104</v>
      </c>
      <c r="G5096">
        <v>0.89674722817751895</v>
      </c>
      <c r="H5096">
        <v>0.89278140421942798</v>
      </c>
      <c r="I5096">
        <v>0.90794436142032098</v>
      </c>
      <c r="J5096">
        <v>1.0825233721329</v>
      </c>
      <c r="K5096">
        <v>1.09791603451343</v>
      </c>
      <c r="L5096">
        <v>15000</v>
      </c>
      <c r="M5096">
        <v>235.68538503416801</v>
      </c>
      <c r="O5096">
        <v>63.639584500714101</v>
      </c>
      <c r="P5096">
        <v>9.0673871063855105E-2</v>
      </c>
      <c r="Q5096">
        <v>1.09793475260564</v>
      </c>
      <c r="R5096">
        <v>1.7203964611720399E-2</v>
      </c>
      <c r="S5096" t="s">
        <v>10647</v>
      </c>
      <c r="T5096" t="s">
        <v>11100</v>
      </c>
      <c r="U5096" t="s">
        <v>11100</v>
      </c>
      <c r="V5096" t="s">
        <v>11100</v>
      </c>
      <c r="W5096" t="s">
        <v>16142</v>
      </c>
      <c r="X5096">
        <v>5</v>
      </c>
      <c r="Y5096" t="s">
        <v>21566</v>
      </c>
      <c r="Z5096" t="s">
        <v>27101</v>
      </c>
      <c r="AA5096">
        <v>1.010942788355135</v>
      </c>
      <c r="AB5096" t="str">
        <f>HYPERLINK("Melting_Curves/meltCurve_Q9NZ32_ACTR10.pdf", "Melting_Curves/meltCurve_Q9NZ32_ACTR10.pdf")</f>
        <v>Melting_Curves/meltCurve_Q9NZ32_ACTR10.pdf</v>
      </c>
    </row>
    <row r="5097" spans="1:28" x14ac:dyDescent="0.25">
      <c r="A5097" t="s">
        <v>5101</v>
      </c>
      <c r="B5097">
        <v>0.99299721793515405</v>
      </c>
      <c r="C5097">
        <v>0.99683888805027898</v>
      </c>
      <c r="D5097">
        <v>0.94957618027605495</v>
      </c>
      <c r="E5097">
        <v>0.88734501286289502</v>
      </c>
      <c r="F5097">
        <v>0.78240038915773502</v>
      </c>
      <c r="G5097">
        <v>0.54883401060235304</v>
      </c>
      <c r="H5097">
        <v>0.58175336809550904</v>
      </c>
      <c r="I5097">
        <v>0.67683571660672603</v>
      </c>
      <c r="J5097">
        <v>0.69661412497341102</v>
      </c>
      <c r="K5097">
        <v>0.45626402954457801</v>
      </c>
      <c r="L5097">
        <v>1139.08027740535</v>
      </c>
      <c r="M5097">
        <v>23.284527009987901</v>
      </c>
      <c r="O5097">
        <v>48.563507272389501</v>
      </c>
      <c r="P5097">
        <v>-4.95894859902202E-2</v>
      </c>
      <c r="Q5097">
        <v>0.58630099140979297</v>
      </c>
      <c r="R5097">
        <v>0.86205238871113199</v>
      </c>
      <c r="S5097" t="s">
        <v>10648</v>
      </c>
      <c r="T5097" t="s">
        <v>11100</v>
      </c>
      <c r="U5097" t="s">
        <v>11100</v>
      </c>
      <c r="V5097" t="s">
        <v>11100</v>
      </c>
      <c r="W5097" t="s">
        <v>16143</v>
      </c>
      <c r="X5097">
        <v>7</v>
      </c>
      <c r="Y5097" t="s">
        <v>21567</v>
      </c>
      <c r="Z5097" t="s">
        <v>27102</v>
      </c>
      <c r="AA5097">
        <v>0.75477516902425001</v>
      </c>
      <c r="AB5097" t="str">
        <f>HYPERLINK("Melting_Curves/meltCurve_Q9NZ45_CISD1.pdf", "Melting_Curves/meltCurve_Q9NZ45_CISD1.pdf")</f>
        <v>Melting_Curves/meltCurve_Q9NZ45_CISD1.pdf</v>
      </c>
    </row>
    <row r="5098" spans="1:28" x14ac:dyDescent="0.25">
      <c r="A5098" t="s">
        <v>5102</v>
      </c>
      <c r="B5098">
        <v>0.99299721793515405</v>
      </c>
      <c r="C5098">
        <v>0.87931837772221799</v>
      </c>
      <c r="D5098">
        <v>0.89589568343266901</v>
      </c>
      <c r="E5098">
        <v>0.93646372846354797</v>
      </c>
      <c r="F5098">
        <v>0.82177760169960801</v>
      </c>
      <c r="G5098">
        <v>0.64458212760855904</v>
      </c>
      <c r="H5098">
        <v>0.72230814600650195</v>
      </c>
      <c r="I5098">
        <v>0.79199858735603901</v>
      </c>
      <c r="J5098">
        <v>0.96856720868755497</v>
      </c>
      <c r="K5098">
        <v>0.77603473849779603</v>
      </c>
      <c r="L5098">
        <v>527.67379305523605</v>
      </c>
      <c r="M5098">
        <v>12.3926810505794</v>
      </c>
      <c r="O5098">
        <v>41.516331217473898</v>
      </c>
      <c r="P5098">
        <v>-1.57462809137182E-2</v>
      </c>
      <c r="Q5098">
        <v>0.78904041125093505</v>
      </c>
      <c r="R5098">
        <v>0.33568448779471899</v>
      </c>
      <c r="S5098" t="s">
        <v>10649</v>
      </c>
      <c r="T5098" t="s">
        <v>11100</v>
      </c>
      <c r="U5098" t="s">
        <v>11100</v>
      </c>
      <c r="V5098" t="s">
        <v>11100</v>
      </c>
      <c r="W5098" t="s">
        <v>16144</v>
      </c>
      <c r="X5098">
        <v>5</v>
      </c>
      <c r="Y5098" t="s">
        <v>21568</v>
      </c>
      <c r="Z5098" t="s">
        <v>27103</v>
      </c>
      <c r="AA5098">
        <v>0.83680605421777343</v>
      </c>
      <c r="AB5098" t="str">
        <f>HYPERLINK("Melting_Curves/meltCurve_Q9NZ53_PODXL2.pdf", "Melting_Curves/meltCurve_Q9NZ53_PODXL2.pdf")</f>
        <v>Melting_Curves/meltCurve_Q9NZ53_PODXL2.pdf</v>
      </c>
    </row>
    <row r="5099" spans="1:28" x14ac:dyDescent="0.25">
      <c r="A5099" t="s">
        <v>5103</v>
      </c>
      <c r="B5099">
        <v>0.99299721793515405</v>
      </c>
      <c r="C5099">
        <v>0.95450214884545104</v>
      </c>
      <c r="D5099">
        <v>1.12307515976745</v>
      </c>
      <c r="E5099">
        <v>0.93445629472922598</v>
      </c>
      <c r="F5099">
        <v>0.75462087113625098</v>
      </c>
      <c r="G5099">
        <v>0.67606522189471896</v>
      </c>
      <c r="H5099">
        <v>0.63720782948797405</v>
      </c>
      <c r="I5099">
        <v>0.69896121215738005</v>
      </c>
      <c r="J5099">
        <v>0.78197418154407805</v>
      </c>
      <c r="K5099">
        <v>0.75302175579180797</v>
      </c>
      <c r="L5099">
        <v>2255.1385761666302</v>
      </c>
      <c r="M5099">
        <v>46.985388609793098</v>
      </c>
      <c r="O5099">
        <v>47.909874115603898</v>
      </c>
      <c r="P5099">
        <v>-7.0893087936965901E-2</v>
      </c>
      <c r="Q5099">
        <v>0.71084829358574997</v>
      </c>
      <c r="R5099">
        <v>0.86340753386853697</v>
      </c>
      <c r="S5099" t="s">
        <v>10650</v>
      </c>
      <c r="T5099" t="s">
        <v>11100</v>
      </c>
      <c r="U5099" t="s">
        <v>11100</v>
      </c>
      <c r="V5099" t="s">
        <v>11100</v>
      </c>
      <c r="W5099" t="s">
        <v>16145</v>
      </c>
      <c r="X5099">
        <v>22</v>
      </c>
      <c r="Y5099" t="s">
        <v>21569</v>
      </c>
      <c r="Z5099" t="s">
        <v>27104</v>
      </c>
      <c r="AA5099">
        <v>0.81753149188893681</v>
      </c>
      <c r="AB5099" t="str">
        <f>HYPERLINK("Melting_Curves/meltCurve_Q9NZ63_C9orf78.pdf", "Melting_Curves/meltCurve_Q9NZ63_C9orf78.pdf")</f>
        <v>Melting_Curves/meltCurve_Q9NZ63_C9orf78.pdf</v>
      </c>
    </row>
    <row r="5100" spans="1:28" x14ac:dyDescent="0.25">
      <c r="A5100" t="s">
        <v>5104</v>
      </c>
      <c r="B5100">
        <v>0.99299721793515405</v>
      </c>
      <c r="C5100">
        <v>0.91621436235828502</v>
      </c>
      <c r="D5100">
        <v>0.75698377941513695</v>
      </c>
      <c r="E5100">
        <v>0.82091026724741301</v>
      </c>
      <c r="F5100">
        <v>0.69715162575438705</v>
      </c>
      <c r="G5100">
        <v>0.474584556409134</v>
      </c>
      <c r="H5100">
        <v>0.32975442963351498</v>
      </c>
      <c r="I5100">
        <v>0.16463172572533</v>
      </c>
      <c r="J5100">
        <v>0.16608100943948301</v>
      </c>
      <c r="K5100">
        <v>9.0615435867761704E-2</v>
      </c>
      <c r="L5100">
        <v>501.97775135243398</v>
      </c>
      <c r="M5100">
        <v>9.4807546442028592</v>
      </c>
      <c r="N5100">
        <v>52.947024807863897</v>
      </c>
      <c r="O5100">
        <v>50.751878662686899</v>
      </c>
      <c r="P5100">
        <v>-4.6729334077585803E-2</v>
      </c>
      <c r="Q5100">
        <v>0</v>
      </c>
      <c r="R5100">
        <v>0.96811029372664303</v>
      </c>
      <c r="S5100" t="s">
        <v>10651</v>
      </c>
      <c r="T5100" t="s">
        <v>11100</v>
      </c>
      <c r="U5100" t="s">
        <v>11100</v>
      </c>
      <c r="V5100" t="s">
        <v>11100</v>
      </c>
      <c r="W5100" t="s">
        <v>16146</v>
      </c>
      <c r="X5100">
        <v>2</v>
      </c>
      <c r="Y5100" t="s">
        <v>21570</v>
      </c>
      <c r="Z5100" t="s">
        <v>27105</v>
      </c>
      <c r="AA5100">
        <v>0.55432196562443792</v>
      </c>
      <c r="AB5100" t="str">
        <f>HYPERLINK("Melting_Curves/meltCurve_Q9NZA1_3_CLIC5.pdf", "Melting_Curves/meltCurve_Q9NZA1_3_CLIC5.pdf")</f>
        <v>Melting_Curves/meltCurve_Q9NZA1_3_CLIC5.pdf</v>
      </c>
    </row>
    <row r="5101" spans="1:28" x14ac:dyDescent="0.25">
      <c r="A5101" t="s">
        <v>5105</v>
      </c>
      <c r="B5101">
        <v>0.99299721793515405</v>
      </c>
      <c r="C5101">
        <v>1.0460204616500099</v>
      </c>
      <c r="D5101">
        <v>0.78638815258763906</v>
      </c>
      <c r="E5101">
        <v>0.82651479922681803</v>
      </c>
      <c r="F5101">
        <v>0.869637374747396</v>
      </c>
      <c r="G5101">
        <v>0.68404131134480695</v>
      </c>
      <c r="H5101">
        <v>0.356206229532958</v>
      </c>
      <c r="I5101">
        <v>0.29367930043045198</v>
      </c>
      <c r="J5101">
        <v>0.23285557527254899</v>
      </c>
      <c r="K5101">
        <v>7.8362348009289304E-2</v>
      </c>
      <c r="L5101">
        <v>636.46237997856099</v>
      </c>
      <c r="M5101">
        <v>11.3562477224462</v>
      </c>
      <c r="N5101">
        <v>56.045130038593797</v>
      </c>
      <c r="O5101">
        <v>54.3916450598933</v>
      </c>
      <c r="P5101">
        <v>-5.2212228967701203E-2</v>
      </c>
      <c r="Q5101">
        <v>0</v>
      </c>
      <c r="R5101">
        <v>0.93949072980258796</v>
      </c>
      <c r="S5101" t="s">
        <v>10652</v>
      </c>
      <c r="T5101" t="s">
        <v>11100</v>
      </c>
      <c r="U5101" t="s">
        <v>11100</v>
      </c>
      <c r="V5101" t="s">
        <v>11100</v>
      </c>
      <c r="W5101" t="s">
        <v>16147</v>
      </c>
      <c r="X5101">
        <v>3</v>
      </c>
      <c r="Y5101" t="s">
        <v>21571</v>
      </c>
      <c r="Z5101" t="s">
        <v>27106</v>
      </c>
      <c r="AA5101">
        <v>0.64350415239110914</v>
      </c>
      <c r="AB5101" t="str">
        <f>HYPERLINK("Melting_Curves/meltCurve_Q9NZB8_2_MOCS1.pdf", "Melting_Curves/meltCurve_Q9NZB8_2_MOCS1.pdf")</f>
        <v>Melting_Curves/meltCurve_Q9NZB8_2_MOCS1.pdf</v>
      </c>
    </row>
    <row r="5102" spans="1:28" x14ac:dyDescent="0.25">
      <c r="A5102" t="s">
        <v>5106</v>
      </c>
      <c r="B5102">
        <v>0.99299721793515405</v>
      </c>
      <c r="C5102">
        <v>1.03090196173273</v>
      </c>
      <c r="D5102">
        <v>0.88228667899615398</v>
      </c>
      <c r="E5102">
        <v>0.66015835856120197</v>
      </c>
      <c r="F5102">
        <v>0.64163579877216703</v>
      </c>
      <c r="G5102">
        <v>0.327311272870141</v>
      </c>
      <c r="H5102">
        <v>0.432719678101259</v>
      </c>
      <c r="I5102">
        <v>0.50601103710324402</v>
      </c>
      <c r="J5102">
        <v>0.44455152817318599</v>
      </c>
      <c r="K5102">
        <v>0.233884261932579</v>
      </c>
      <c r="L5102">
        <v>752.72099389819402</v>
      </c>
      <c r="M5102">
        <v>15.985961616935599</v>
      </c>
      <c r="N5102">
        <v>51.510403735911702</v>
      </c>
      <c r="O5102">
        <v>46.368021061769497</v>
      </c>
      <c r="P5102">
        <v>-5.4017902517483098E-2</v>
      </c>
      <c r="Q5102">
        <v>0.37332356524280003</v>
      </c>
      <c r="R5102">
        <v>0.89818805179702799</v>
      </c>
      <c r="S5102" t="s">
        <v>10653</v>
      </c>
      <c r="T5102" t="s">
        <v>11100</v>
      </c>
      <c r="U5102" t="s">
        <v>11100</v>
      </c>
      <c r="V5102" t="s">
        <v>11100</v>
      </c>
      <c r="W5102" t="s">
        <v>16148</v>
      </c>
      <c r="X5102">
        <v>2</v>
      </c>
      <c r="Y5102" t="s">
        <v>21572</v>
      </c>
      <c r="Z5102" t="s">
        <v>27107</v>
      </c>
      <c r="AA5102">
        <v>0.59657138196498094</v>
      </c>
      <c r="AB5102" t="str">
        <f>HYPERLINK("Melting_Curves/meltCurve_Q9NZC3_GDE1.pdf", "Melting_Curves/meltCurve_Q9NZC3_GDE1.pdf")</f>
        <v>Melting_Curves/meltCurve_Q9NZC3_GDE1.pdf</v>
      </c>
    </row>
    <row r="5103" spans="1:28" x14ac:dyDescent="0.25">
      <c r="A5103" t="s">
        <v>5107</v>
      </c>
      <c r="B5103">
        <v>0.99299721793515405</v>
      </c>
      <c r="C5103">
        <v>1.4206210932990599</v>
      </c>
      <c r="D5103">
        <v>1.0093309374541699</v>
      </c>
      <c r="E5103">
        <v>1.23995590756186</v>
      </c>
      <c r="F5103">
        <v>0.80744127537565902</v>
      </c>
      <c r="G5103">
        <v>0.257192162529849</v>
      </c>
      <c r="H5103">
        <v>0.44534091921700503</v>
      </c>
      <c r="I5103">
        <v>0.29987633744882197</v>
      </c>
      <c r="J5103">
        <v>0</v>
      </c>
      <c r="K5103">
        <v>0</v>
      </c>
      <c r="L5103">
        <v>2453.1190757389199</v>
      </c>
      <c r="M5103">
        <v>47.618939688491501</v>
      </c>
      <c r="N5103">
        <v>52.002569864721899</v>
      </c>
      <c r="O5103">
        <v>51.4250274714055</v>
      </c>
      <c r="P5103">
        <v>-0.189856075374538</v>
      </c>
      <c r="Q5103">
        <v>0.179877545311666</v>
      </c>
      <c r="R5103">
        <v>0.83849011100365001</v>
      </c>
      <c r="S5103" t="s">
        <v>10654</v>
      </c>
      <c r="T5103" t="s">
        <v>11100</v>
      </c>
      <c r="U5103" t="s">
        <v>11100</v>
      </c>
      <c r="V5103" t="s">
        <v>11100</v>
      </c>
      <c r="W5103" t="s">
        <v>16149</v>
      </c>
      <c r="X5103">
        <v>2</v>
      </c>
      <c r="Y5103" t="s">
        <v>21573</v>
      </c>
      <c r="Z5103" t="s">
        <v>27108</v>
      </c>
      <c r="AA5103">
        <v>0.57875197009315182</v>
      </c>
      <c r="AB5103" t="str">
        <f>HYPERLINK("Melting_Curves/meltCurve_Q9NZC7_WWOX.pdf", "Melting_Curves/meltCurve_Q9NZC7_WWOX.pdf")</f>
        <v>Melting_Curves/meltCurve_Q9NZC7_WWOX.pdf</v>
      </c>
    </row>
    <row r="5104" spans="1:28" x14ac:dyDescent="0.25">
      <c r="A5104" t="s">
        <v>5108</v>
      </c>
      <c r="B5104">
        <v>0.99299721793515405</v>
      </c>
      <c r="C5104">
        <v>1.07816821607402</v>
      </c>
      <c r="D5104">
        <v>0.93182446678361197</v>
      </c>
      <c r="E5104">
        <v>0.85929142182589502</v>
      </c>
      <c r="F5104">
        <v>0.53233668295124603</v>
      </c>
      <c r="G5104">
        <v>0.14399341069149499</v>
      </c>
      <c r="H5104">
        <v>0.20959414781282601</v>
      </c>
      <c r="I5104">
        <v>0.234876044786616</v>
      </c>
      <c r="J5104">
        <v>0.20132390318596399</v>
      </c>
      <c r="K5104">
        <v>0.14449290292749301</v>
      </c>
      <c r="L5104">
        <v>1537.7332918878999</v>
      </c>
      <c r="M5104">
        <v>31.124538050538501</v>
      </c>
      <c r="N5104">
        <v>50.113110975327899</v>
      </c>
      <c r="O5104">
        <v>49.203210874146798</v>
      </c>
      <c r="P5104">
        <v>-0.130033234960866</v>
      </c>
      <c r="Q5104">
        <v>0.17775272228208899</v>
      </c>
      <c r="R5104">
        <v>0.98074599072260804</v>
      </c>
      <c r="S5104" t="s">
        <v>10655</v>
      </c>
      <c r="T5104" t="s">
        <v>11100</v>
      </c>
      <c r="U5104" t="s">
        <v>11100</v>
      </c>
      <c r="V5104" t="s">
        <v>11100</v>
      </c>
      <c r="W5104" t="s">
        <v>16150</v>
      </c>
      <c r="X5104">
        <v>1</v>
      </c>
      <c r="Y5104" t="s">
        <v>21574</v>
      </c>
      <c r="Z5104" t="s">
        <v>27109</v>
      </c>
      <c r="AA5104">
        <v>0.52241676318246921</v>
      </c>
      <c r="AB5104" t="str">
        <f>HYPERLINK("Melting_Curves/meltCurve_Q9NZC9_SMARCAL1.pdf", "Melting_Curves/meltCurve_Q9NZC9_SMARCAL1.pdf")</f>
        <v>Melting_Curves/meltCurve_Q9NZC9_SMARCAL1.pdf</v>
      </c>
    </row>
    <row r="5105" spans="1:28" x14ac:dyDescent="0.25">
      <c r="A5105" t="s">
        <v>5109</v>
      </c>
      <c r="B5105">
        <v>0.99299721793515405</v>
      </c>
      <c r="C5105">
        <v>0.88772807385381503</v>
      </c>
      <c r="D5105">
        <v>0.79188272697972895</v>
      </c>
      <c r="E5105">
        <v>0.73516312799613204</v>
      </c>
      <c r="F5105">
        <v>0.46868190520869601</v>
      </c>
      <c r="G5105">
        <v>0.26584620059988301</v>
      </c>
      <c r="H5105">
        <v>0.30586456167014803</v>
      </c>
      <c r="I5105">
        <v>0.29082503694564898</v>
      </c>
      <c r="J5105">
        <v>0.37395237609938597</v>
      </c>
      <c r="K5105">
        <v>0.35046158417422002</v>
      </c>
      <c r="L5105">
        <v>714.45127080375198</v>
      </c>
      <c r="M5105">
        <v>15.376376748102601</v>
      </c>
      <c r="N5105">
        <v>49.3638639913963</v>
      </c>
      <c r="O5105">
        <v>45.6995976029568</v>
      </c>
      <c r="P5105">
        <v>-5.9108480925177599E-2</v>
      </c>
      <c r="Q5105">
        <v>0.297367333718081</v>
      </c>
      <c r="R5105">
        <v>0.9493958430385</v>
      </c>
      <c r="S5105" t="s">
        <v>10656</v>
      </c>
      <c r="T5105" t="s">
        <v>11100</v>
      </c>
      <c r="U5105" t="s">
        <v>11100</v>
      </c>
      <c r="V5105" t="s">
        <v>11100</v>
      </c>
      <c r="W5105" t="s">
        <v>16151</v>
      </c>
      <c r="X5105">
        <v>2</v>
      </c>
      <c r="Y5105" t="s">
        <v>21575</v>
      </c>
      <c r="Z5105" t="s">
        <v>27110</v>
      </c>
      <c r="AA5105">
        <v>0.53432427886857126</v>
      </c>
      <c r="AB5105" t="str">
        <f>HYPERLINK("Melting_Curves/meltCurve_Q9NZD8_2_SPG21.pdf", "Melting_Curves/meltCurve_Q9NZD8_2_SPG21.pdf")</f>
        <v>Melting_Curves/meltCurve_Q9NZD8_2_SPG21.pdf</v>
      </c>
    </row>
    <row r="5106" spans="1:28" x14ac:dyDescent="0.25">
      <c r="A5106" t="s">
        <v>5110</v>
      </c>
      <c r="B5106">
        <v>0.99299721793515405</v>
      </c>
      <c r="C5106">
        <v>0.89580439528986799</v>
      </c>
      <c r="D5106">
        <v>0.88240827991431503</v>
      </c>
      <c r="E5106">
        <v>0.76245789875791403</v>
      </c>
      <c r="F5106">
        <v>0.66945619925705602</v>
      </c>
      <c r="G5106">
        <v>0.42971051744507999</v>
      </c>
      <c r="H5106">
        <v>0.34017723221777901</v>
      </c>
      <c r="I5106">
        <v>0.31862782051168398</v>
      </c>
      <c r="J5106">
        <v>0.29255517276850301</v>
      </c>
      <c r="K5106">
        <v>0.25059733458428401</v>
      </c>
      <c r="L5106">
        <v>520.143352929652</v>
      </c>
      <c r="M5106">
        <v>10.294986948808001</v>
      </c>
      <c r="N5106">
        <v>52.993208000794901</v>
      </c>
      <c r="O5106">
        <v>48.729014480472003</v>
      </c>
      <c r="P5106">
        <v>-4.2773544728400399E-2</v>
      </c>
      <c r="Q5106">
        <v>0.19051628894195799</v>
      </c>
      <c r="R5106">
        <v>0.98615444132402397</v>
      </c>
      <c r="S5106" t="s">
        <v>10657</v>
      </c>
      <c r="T5106" t="s">
        <v>11100</v>
      </c>
      <c r="U5106" t="s">
        <v>11100</v>
      </c>
      <c r="V5106" t="s">
        <v>11100</v>
      </c>
      <c r="W5106" t="s">
        <v>16152</v>
      </c>
      <c r="X5106">
        <v>5</v>
      </c>
      <c r="Y5106" t="s">
        <v>21576</v>
      </c>
      <c r="Z5106" t="s">
        <v>27111</v>
      </c>
      <c r="AA5106">
        <v>0.58082296614015816</v>
      </c>
      <c r="AB5106" t="str">
        <f>HYPERLINK("Melting_Curves/meltCurve_Q9NZI8_IGF2BP1.pdf", "Melting_Curves/meltCurve_Q9NZI8_IGF2BP1.pdf")</f>
        <v>Melting_Curves/meltCurve_Q9NZI8_IGF2BP1.pdf</v>
      </c>
    </row>
    <row r="5107" spans="1:28" x14ac:dyDescent="0.25">
      <c r="A5107" t="s">
        <v>5111</v>
      </c>
      <c r="B5107">
        <v>0.99299721793515405</v>
      </c>
      <c r="C5107">
        <v>1.0133179524989799</v>
      </c>
      <c r="D5107">
        <v>0.716775081297371</v>
      </c>
      <c r="E5107">
        <v>0.74826313612077</v>
      </c>
      <c r="F5107">
        <v>0.70667165863918402</v>
      </c>
      <c r="G5107">
        <v>0.55310415114915101</v>
      </c>
      <c r="H5107">
        <v>0.74936217608308497</v>
      </c>
      <c r="I5107">
        <v>0.72150616535148604</v>
      </c>
      <c r="J5107">
        <v>0.33835006433195203</v>
      </c>
      <c r="K5107">
        <v>0.194127779892417</v>
      </c>
      <c r="L5107">
        <v>285.33274102701301</v>
      </c>
      <c r="M5107">
        <v>4.7355830531398997</v>
      </c>
      <c r="N5107">
        <v>60.2529278225838</v>
      </c>
      <c r="O5107">
        <v>51.897342909189703</v>
      </c>
      <c r="P5107">
        <v>-2.2980425417689802E-2</v>
      </c>
      <c r="Q5107">
        <v>0</v>
      </c>
      <c r="R5107">
        <v>0.69453643964657896</v>
      </c>
      <c r="S5107" t="s">
        <v>10658</v>
      </c>
      <c r="T5107" t="s">
        <v>11100</v>
      </c>
      <c r="U5107" t="s">
        <v>11100</v>
      </c>
      <c r="V5107" t="s">
        <v>11100</v>
      </c>
      <c r="W5107" t="s">
        <v>16153</v>
      </c>
      <c r="X5107">
        <v>2</v>
      </c>
      <c r="Y5107" t="s">
        <v>21577</v>
      </c>
      <c r="Z5107" t="s">
        <v>27112</v>
      </c>
      <c r="AA5107">
        <v>0.67688983290322358</v>
      </c>
      <c r="AB5107" t="str">
        <f>HYPERLINK("Melting_Curves/meltCurve_Q9NZJ4_2_SACS.pdf", "Melting_Curves/meltCurve_Q9NZJ4_2_SACS.pdf")</f>
        <v>Melting_Curves/meltCurve_Q9NZJ4_2_SACS.pdf</v>
      </c>
    </row>
    <row r="5108" spans="1:28" x14ac:dyDescent="0.25">
      <c r="A5108" t="s">
        <v>5112</v>
      </c>
      <c r="B5108">
        <v>0.99299721793515405</v>
      </c>
      <c r="C5108">
        <v>0.99564552773096604</v>
      </c>
      <c r="D5108">
        <v>0.89586684169483799</v>
      </c>
      <c r="E5108">
        <v>0.79597848597710796</v>
      </c>
      <c r="F5108">
        <v>0.69556066932213201</v>
      </c>
      <c r="G5108">
        <v>0.51375161195744701</v>
      </c>
      <c r="H5108">
        <v>0.55393080119545901</v>
      </c>
      <c r="I5108">
        <v>0.42408443007507501</v>
      </c>
      <c r="J5108">
        <v>0.19773200955804901</v>
      </c>
      <c r="K5108">
        <v>0.114974638305921</v>
      </c>
      <c r="L5108">
        <v>447.32498497161799</v>
      </c>
      <c r="M5108">
        <v>8.0270821576675804</v>
      </c>
      <c r="N5108">
        <v>55.726968148737903</v>
      </c>
      <c r="O5108">
        <v>52.587569171568099</v>
      </c>
      <c r="P5108">
        <v>-3.8203164223184503E-2</v>
      </c>
      <c r="Q5108">
        <v>0</v>
      </c>
      <c r="R5108">
        <v>0.95556392466041595</v>
      </c>
      <c r="S5108" t="s">
        <v>10659</v>
      </c>
      <c r="T5108" t="s">
        <v>11100</v>
      </c>
      <c r="U5108" t="s">
        <v>11100</v>
      </c>
      <c r="V5108" t="s">
        <v>11100</v>
      </c>
      <c r="W5108" t="s">
        <v>16154</v>
      </c>
      <c r="X5108">
        <v>6</v>
      </c>
      <c r="Y5108" t="s">
        <v>21578</v>
      </c>
      <c r="Z5108" t="s">
        <v>27113</v>
      </c>
      <c r="AA5108">
        <v>0.62503521738196643</v>
      </c>
      <c r="AB5108" t="str">
        <f>HYPERLINK("Melting_Curves/meltCurve_Q9NZJ6_COQ3.pdf", "Melting_Curves/meltCurve_Q9NZJ6_COQ3.pdf")</f>
        <v>Melting_Curves/meltCurve_Q9NZJ6_COQ3.pdf</v>
      </c>
    </row>
    <row r="5109" spans="1:28" x14ac:dyDescent="0.25">
      <c r="A5109" t="s">
        <v>5113</v>
      </c>
      <c r="B5109">
        <v>0.99299721793515405</v>
      </c>
      <c r="C5109">
        <v>1.25614494989523</v>
      </c>
      <c r="D5109">
        <v>1.1918453111960501</v>
      </c>
      <c r="E5109">
        <v>1.04361916443292</v>
      </c>
      <c r="F5109">
        <v>0.86594585026298299</v>
      </c>
      <c r="G5109">
        <v>0.37585477217795299</v>
      </c>
      <c r="H5109">
        <v>0.28392385323409097</v>
      </c>
      <c r="I5109">
        <v>0.205495239318187</v>
      </c>
      <c r="J5109">
        <v>0.27932813214869501</v>
      </c>
      <c r="K5109">
        <v>0.224652458102644</v>
      </c>
      <c r="L5109">
        <v>2328.6140665272801</v>
      </c>
      <c r="M5109">
        <v>44.8288233448448</v>
      </c>
      <c r="N5109">
        <v>52.736448320998903</v>
      </c>
      <c r="O5109">
        <v>51.841523671082903</v>
      </c>
      <c r="P5109">
        <v>-0.16322912960496999</v>
      </c>
      <c r="Q5109">
        <v>0.24494690206366501</v>
      </c>
      <c r="R5109">
        <v>0.93599697356992695</v>
      </c>
      <c r="S5109" t="s">
        <v>10660</v>
      </c>
      <c r="T5109" t="s">
        <v>11100</v>
      </c>
      <c r="U5109" t="s">
        <v>11100</v>
      </c>
      <c r="V5109" t="s">
        <v>11100</v>
      </c>
      <c r="W5109" t="s">
        <v>16155</v>
      </c>
      <c r="X5109">
        <v>9</v>
      </c>
      <c r="Y5109" t="s">
        <v>21579</v>
      </c>
      <c r="Z5109" t="s">
        <v>27114</v>
      </c>
      <c r="AA5109">
        <v>0.6232314325025442</v>
      </c>
      <c r="AB5109" t="str">
        <f>HYPERLINK("Melting_Curves/meltCurve_Q9NZJ9_NUDT4.pdf", "Melting_Curves/meltCurve_Q9NZJ9_NUDT4.pdf")</f>
        <v>Melting_Curves/meltCurve_Q9NZJ9_NUDT4.pdf</v>
      </c>
    </row>
    <row r="5110" spans="1:28" x14ac:dyDescent="0.25">
      <c r="A5110" t="s">
        <v>5114</v>
      </c>
      <c r="B5110">
        <v>0.99299721793515405</v>
      </c>
      <c r="C5110">
        <v>1.03635906093107</v>
      </c>
      <c r="D5110">
        <v>1.00108431207099</v>
      </c>
      <c r="E5110">
        <v>0.96176149893475105</v>
      </c>
      <c r="F5110">
        <v>0.84475515864557804</v>
      </c>
      <c r="G5110">
        <v>0.658934182320006</v>
      </c>
      <c r="H5110">
        <v>0.37619253912856099</v>
      </c>
      <c r="I5110">
        <v>0.19524248218564899</v>
      </c>
      <c r="J5110">
        <v>0.183609833892346</v>
      </c>
      <c r="K5110">
        <v>0.106394589707046</v>
      </c>
      <c r="L5110">
        <v>986.88970555170795</v>
      </c>
      <c r="M5110">
        <v>17.9146294919403</v>
      </c>
      <c r="N5110">
        <v>55.644290877700797</v>
      </c>
      <c r="O5110">
        <v>54.415807597849202</v>
      </c>
      <c r="P5110">
        <v>-7.55655576898666E-2</v>
      </c>
      <c r="Q5110">
        <v>8.19225973684507E-2</v>
      </c>
      <c r="R5110">
        <v>0.99683508999469395</v>
      </c>
      <c r="S5110" t="s">
        <v>10661</v>
      </c>
      <c r="T5110" t="s">
        <v>11100</v>
      </c>
      <c r="U5110" t="s">
        <v>11100</v>
      </c>
      <c r="V5110" t="s">
        <v>11100</v>
      </c>
      <c r="W5110" t="s">
        <v>16156</v>
      </c>
      <c r="X5110">
        <v>11</v>
      </c>
      <c r="Y5110" t="s">
        <v>21580</v>
      </c>
      <c r="Z5110" t="s">
        <v>27115</v>
      </c>
      <c r="AA5110">
        <v>0.64695220987849689</v>
      </c>
      <c r="AB5110" t="str">
        <f>HYPERLINK("Melting_Curves/meltCurve_Q9NZL4_HSPBP1.pdf", "Melting_Curves/meltCurve_Q9NZL4_HSPBP1.pdf")</f>
        <v>Melting_Curves/meltCurve_Q9NZL4_HSPBP1.pdf</v>
      </c>
    </row>
    <row r="5111" spans="1:28" x14ac:dyDescent="0.25">
      <c r="A5111" t="s">
        <v>5115</v>
      </c>
      <c r="B5111">
        <v>0.99299721793515405</v>
      </c>
      <c r="C5111">
        <v>0.95174622372875695</v>
      </c>
      <c r="D5111">
        <v>0.92749284508583296</v>
      </c>
      <c r="E5111">
        <v>0.88604156001303502</v>
      </c>
      <c r="F5111">
        <v>0.85836588965891303</v>
      </c>
      <c r="G5111">
        <v>0.94290827266053201</v>
      </c>
      <c r="H5111">
        <v>0.720851013305288</v>
      </c>
      <c r="I5111">
        <v>0.699314804570346</v>
      </c>
      <c r="J5111">
        <v>0.240768652919641</v>
      </c>
      <c r="K5111">
        <v>0.158719802704783</v>
      </c>
      <c r="L5111">
        <v>1159.65052426592</v>
      </c>
      <c r="M5111">
        <v>18.811609489779801</v>
      </c>
      <c r="N5111">
        <v>61.645470903685997</v>
      </c>
      <c r="O5111">
        <v>60.9615359565856</v>
      </c>
      <c r="P5111">
        <v>-7.7148626665305295E-2</v>
      </c>
      <c r="Q5111">
        <v>0</v>
      </c>
      <c r="R5111">
        <v>0.90944194652875299</v>
      </c>
      <c r="S5111" t="s">
        <v>10662</v>
      </c>
      <c r="T5111" t="s">
        <v>11100</v>
      </c>
      <c r="U5111" t="s">
        <v>11100</v>
      </c>
      <c r="V5111" t="s">
        <v>11100</v>
      </c>
      <c r="W5111" t="s">
        <v>16157</v>
      </c>
      <c r="X5111">
        <v>13</v>
      </c>
      <c r="Y5111" t="s">
        <v>21581</v>
      </c>
      <c r="Z5111" t="s">
        <v>27116</v>
      </c>
      <c r="AA5111">
        <v>0.81163568449002643</v>
      </c>
      <c r="AB5111" t="str">
        <f>HYPERLINK("Melting_Curves/meltCurve_Q9NZL9_MAT2B.pdf", "Melting_Curves/meltCurve_Q9NZL9_MAT2B.pdf")</f>
        <v>Melting_Curves/meltCurve_Q9NZL9_MAT2B.pdf</v>
      </c>
    </row>
    <row r="5112" spans="1:28" x14ac:dyDescent="0.25">
      <c r="A5112" t="s">
        <v>5116</v>
      </c>
      <c r="B5112">
        <v>0.99299721793515405</v>
      </c>
      <c r="C5112">
        <v>0.89304384164284001</v>
      </c>
      <c r="D5112">
        <v>0.84673477183935097</v>
      </c>
      <c r="E5112">
        <v>0.90253452619997698</v>
      </c>
      <c r="F5112">
        <v>0.92540574992869096</v>
      </c>
      <c r="G5112">
        <v>0.66349101172440095</v>
      </c>
      <c r="H5112">
        <v>0.47406946668907202</v>
      </c>
      <c r="I5112">
        <v>0.34781627099519002</v>
      </c>
      <c r="J5112">
        <v>0.32918346774438201</v>
      </c>
      <c r="K5112">
        <v>0.18548022356609101</v>
      </c>
      <c r="L5112">
        <v>565.35140115127501</v>
      </c>
      <c r="M5112">
        <v>9.7867376117527503</v>
      </c>
      <c r="N5112">
        <v>57.767104326165203</v>
      </c>
      <c r="O5112">
        <v>55.510119512683097</v>
      </c>
      <c r="P5112">
        <v>-4.4099641487841103E-2</v>
      </c>
      <c r="Q5112">
        <v>0</v>
      </c>
      <c r="R5112">
        <v>0.94771826699795203</v>
      </c>
      <c r="S5112" t="s">
        <v>10663</v>
      </c>
      <c r="T5112" t="s">
        <v>11100</v>
      </c>
      <c r="U5112" t="s">
        <v>11100</v>
      </c>
      <c r="V5112" t="s">
        <v>11100</v>
      </c>
      <c r="W5112" t="s">
        <v>16158</v>
      </c>
      <c r="X5112">
        <v>11</v>
      </c>
      <c r="Y5112" t="s">
        <v>21581</v>
      </c>
      <c r="Z5112" t="s">
        <v>27117</v>
      </c>
      <c r="AA5112">
        <v>0.68456572370773927</v>
      </c>
      <c r="AB5112" t="str">
        <f>HYPERLINK("Melting_Curves/meltCurve_Q9NZL9_2_MAT2B.pdf", "Melting_Curves/meltCurve_Q9NZL9_2_MAT2B.pdf")</f>
        <v>Melting_Curves/meltCurve_Q9NZL9_2_MAT2B.pdf</v>
      </c>
    </row>
    <row r="5113" spans="1:28" x14ac:dyDescent="0.25">
      <c r="A5113" t="s">
        <v>5117</v>
      </c>
      <c r="B5113">
        <v>0.99299721793515405</v>
      </c>
      <c r="C5113">
        <v>2.07987869857606</v>
      </c>
      <c r="D5113">
        <v>0.72448108993048099</v>
      </c>
      <c r="E5113">
        <v>2.13197191916217</v>
      </c>
      <c r="F5113">
        <v>0.71828858017008901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12596.9866097023</v>
      </c>
      <c r="M5113">
        <v>250</v>
      </c>
      <c r="N5113">
        <v>50.387953104422998</v>
      </c>
      <c r="O5113">
        <v>50.384697933043803</v>
      </c>
      <c r="P5113">
        <v>-1.2404553888412</v>
      </c>
      <c r="Q5113">
        <v>0</v>
      </c>
      <c r="R5113">
        <v>0.61051569620588597</v>
      </c>
      <c r="S5113" t="s">
        <v>10664</v>
      </c>
      <c r="T5113" t="s">
        <v>11100</v>
      </c>
      <c r="U5113" t="s">
        <v>11100</v>
      </c>
      <c r="V5113" t="s">
        <v>11100</v>
      </c>
      <c r="W5113" t="s">
        <v>16159</v>
      </c>
      <c r="X5113">
        <v>3</v>
      </c>
      <c r="Y5113" t="s">
        <v>21582</v>
      </c>
      <c r="Z5113" t="s">
        <v>27118</v>
      </c>
      <c r="AA5113">
        <v>0.44635331135542933</v>
      </c>
      <c r="AB5113" t="str">
        <f>HYPERLINK("Melting_Curves/meltCurve_Q9NZM3_4_ITSN2.pdf", "Melting_Curves/meltCurve_Q9NZM3_4_ITSN2.pdf")</f>
        <v>Melting_Curves/meltCurve_Q9NZM3_4_ITSN2.pdf</v>
      </c>
    </row>
    <row r="5114" spans="1:28" x14ac:dyDescent="0.25">
      <c r="A5114" t="s">
        <v>5118</v>
      </c>
      <c r="B5114">
        <v>0.99299721793515405</v>
      </c>
      <c r="C5114">
        <v>0.93346840820928301</v>
      </c>
      <c r="D5114">
        <v>0.79882753894034997</v>
      </c>
      <c r="E5114">
        <v>0.87884282912858402</v>
      </c>
      <c r="F5114">
        <v>0.67189098987650997</v>
      </c>
      <c r="G5114">
        <v>0.32462615835500802</v>
      </c>
      <c r="H5114">
        <v>0.139652989441992</v>
      </c>
      <c r="I5114">
        <v>0.119971899150841</v>
      </c>
      <c r="J5114">
        <v>8.5985761650721401E-2</v>
      </c>
      <c r="K5114">
        <v>0.113077238196634</v>
      </c>
      <c r="L5114">
        <v>890.14793705208297</v>
      </c>
      <c r="M5114">
        <v>17.361182030195401</v>
      </c>
      <c r="N5114">
        <v>51.653494132806898</v>
      </c>
      <c r="O5114">
        <v>50.606557040189401</v>
      </c>
      <c r="P5114">
        <v>-8.0613459169925503E-2</v>
      </c>
      <c r="Q5114">
        <v>6.0124469943254703E-2</v>
      </c>
      <c r="R5114">
        <v>0.96974350725650704</v>
      </c>
      <c r="S5114" t="s">
        <v>10665</v>
      </c>
      <c r="T5114" t="s">
        <v>11100</v>
      </c>
      <c r="U5114" t="s">
        <v>11100</v>
      </c>
      <c r="V5114" t="s">
        <v>11100</v>
      </c>
      <c r="W5114" t="s">
        <v>16160</v>
      </c>
      <c r="X5114">
        <v>8</v>
      </c>
      <c r="Y5114" t="s">
        <v>21583</v>
      </c>
      <c r="Z5114" t="s">
        <v>27119</v>
      </c>
      <c r="AA5114">
        <v>0.52255994319173227</v>
      </c>
      <c r="AB5114" t="str">
        <f>HYPERLINK("Melting_Curves/meltCurve_Q9NZN3_EHD3.pdf", "Melting_Curves/meltCurve_Q9NZN3_EHD3.pdf")</f>
        <v>Melting_Curves/meltCurve_Q9NZN3_EHD3.pdf</v>
      </c>
    </row>
    <row r="5115" spans="1:28" x14ac:dyDescent="0.25">
      <c r="A5115" t="s">
        <v>5119</v>
      </c>
      <c r="B5115">
        <v>0.99299721793515405</v>
      </c>
      <c r="C5115">
        <v>1.0315404085147899</v>
      </c>
      <c r="D5115">
        <v>0.91423754939699498</v>
      </c>
      <c r="E5115">
        <v>0.84415651986954898</v>
      </c>
      <c r="F5115">
        <v>0.56754638029029603</v>
      </c>
      <c r="G5115">
        <v>0.273236587888186</v>
      </c>
      <c r="H5115">
        <v>0.18943411295774301</v>
      </c>
      <c r="I5115">
        <v>8.2017594860959803E-2</v>
      </c>
      <c r="J5115">
        <v>0.16132490851780101</v>
      </c>
      <c r="K5115">
        <v>9.5769923792189501E-2</v>
      </c>
      <c r="L5115">
        <v>977.87110327990001</v>
      </c>
      <c r="M5115">
        <v>19.465925469118101</v>
      </c>
      <c r="N5115">
        <v>50.813486380874203</v>
      </c>
      <c r="O5115">
        <v>49.713868449626403</v>
      </c>
      <c r="P5115">
        <v>-8.8164385510393697E-2</v>
      </c>
      <c r="Q5115">
        <v>9.9383402501440093E-2</v>
      </c>
      <c r="R5115">
        <v>0.99311713636169996</v>
      </c>
      <c r="S5115" t="s">
        <v>10666</v>
      </c>
      <c r="T5115" t="s">
        <v>11100</v>
      </c>
      <c r="U5115" t="s">
        <v>11100</v>
      </c>
      <c r="V5115" t="s">
        <v>11100</v>
      </c>
      <c r="W5115" t="s">
        <v>16161</v>
      </c>
      <c r="X5115">
        <v>7</v>
      </c>
      <c r="Y5115" t="s">
        <v>21584</v>
      </c>
      <c r="Z5115" t="s">
        <v>27120</v>
      </c>
      <c r="AA5115">
        <v>0.50912111943081184</v>
      </c>
      <c r="AB5115" t="str">
        <f>HYPERLINK("Melting_Curves/meltCurve_Q9NZN5_ARHGEF12.pdf", "Melting_Curves/meltCurve_Q9NZN5_ARHGEF12.pdf")</f>
        <v>Melting_Curves/meltCurve_Q9NZN5_ARHGEF12.pdf</v>
      </c>
    </row>
    <row r="5116" spans="1:28" x14ac:dyDescent="0.25">
      <c r="A5116" t="s">
        <v>5120</v>
      </c>
      <c r="B5116">
        <v>0.99299721793515405</v>
      </c>
      <c r="C5116">
        <v>0.97041671684997299</v>
      </c>
      <c r="D5116">
        <v>1.09956546942264</v>
      </c>
      <c r="E5116">
        <v>0.91346006384689205</v>
      </c>
      <c r="F5116">
        <v>0.66060032212104003</v>
      </c>
      <c r="G5116">
        <v>0.30970422108521101</v>
      </c>
      <c r="H5116">
        <v>0.205137908359974</v>
      </c>
      <c r="I5116">
        <v>0.16766098458332801</v>
      </c>
      <c r="J5116">
        <v>0.16255424023461601</v>
      </c>
      <c r="K5116">
        <v>0.122066194392269</v>
      </c>
      <c r="L5116">
        <v>1340.34751471354</v>
      </c>
      <c r="M5116">
        <v>26.3090670092285</v>
      </c>
      <c r="N5116">
        <v>51.636498353561699</v>
      </c>
      <c r="O5116">
        <v>50.654630754751601</v>
      </c>
      <c r="P5116">
        <v>-0.11059642008321199</v>
      </c>
      <c r="Q5116">
        <v>0.14825457234624001</v>
      </c>
      <c r="R5116">
        <v>0.99066758188249104</v>
      </c>
      <c r="S5116" t="s">
        <v>10667</v>
      </c>
      <c r="T5116" t="s">
        <v>11100</v>
      </c>
      <c r="U5116" t="s">
        <v>11100</v>
      </c>
      <c r="V5116" t="s">
        <v>11100</v>
      </c>
      <c r="W5116" t="s">
        <v>16162</v>
      </c>
      <c r="X5116">
        <v>7</v>
      </c>
      <c r="Y5116" t="s">
        <v>21585</v>
      </c>
      <c r="Z5116" t="s">
        <v>27121</v>
      </c>
      <c r="AA5116">
        <v>0.55103470573874569</v>
      </c>
      <c r="AB5116" t="str">
        <f>HYPERLINK("Melting_Curves/meltCurve_Q9NZQ3_3_NCKIPSD.pdf", "Melting_Curves/meltCurve_Q9NZQ3_3_NCKIPSD.pdf")</f>
        <v>Melting_Curves/meltCurve_Q9NZQ3_3_NCKIPSD.pdf</v>
      </c>
    </row>
    <row r="5117" spans="1:28" x14ac:dyDescent="0.25">
      <c r="A5117" t="s">
        <v>5121</v>
      </c>
      <c r="B5117">
        <v>0.99299721793515405</v>
      </c>
      <c r="C5117">
        <v>0.96396140391408203</v>
      </c>
      <c r="D5117">
        <v>0.92646524894719295</v>
      </c>
      <c r="E5117">
        <v>0.843838823392701</v>
      </c>
      <c r="F5117">
        <v>0.43193723771137998</v>
      </c>
      <c r="G5117">
        <v>0.16554079610716799</v>
      </c>
      <c r="H5117">
        <v>0.112108103363411</v>
      </c>
      <c r="I5117">
        <v>0.101565279913406</v>
      </c>
      <c r="J5117">
        <v>0.10057720131869401</v>
      </c>
      <c r="K5117">
        <v>9.8403909533064104E-2</v>
      </c>
      <c r="L5117">
        <v>1307.66504314998</v>
      </c>
      <c r="M5117">
        <v>26.579423420676001</v>
      </c>
      <c r="N5117">
        <v>49.586402511749696</v>
      </c>
      <c r="O5117">
        <v>48.922436616668698</v>
      </c>
      <c r="P5117">
        <v>-0.123072729409354</v>
      </c>
      <c r="Q5117">
        <v>9.3892395193667794E-2</v>
      </c>
      <c r="R5117">
        <v>0.99698389558876899</v>
      </c>
      <c r="S5117" t="s">
        <v>10668</v>
      </c>
      <c r="T5117" t="s">
        <v>11100</v>
      </c>
      <c r="U5117" t="s">
        <v>11100</v>
      </c>
      <c r="V5117" t="s">
        <v>11100</v>
      </c>
      <c r="W5117" t="s">
        <v>16163</v>
      </c>
      <c r="X5117">
        <v>21</v>
      </c>
      <c r="Y5117" t="s">
        <v>21586</v>
      </c>
      <c r="Z5117" t="s">
        <v>27122</v>
      </c>
      <c r="AA5117">
        <v>0.46929445503482581</v>
      </c>
      <c r="AB5117" t="str">
        <f>HYPERLINK("Melting_Curves/meltCurve_Q9NZT2_2_OGFR.pdf", "Melting_Curves/meltCurve_Q9NZT2_2_OGFR.pdf")</f>
        <v>Melting_Curves/meltCurve_Q9NZT2_2_OGFR.pdf</v>
      </c>
    </row>
    <row r="5118" spans="1:28" x14ac:dyDescent="0.25">
      <c r="A5118" t="s">
        <v>5122</v>
      </c>
      <c r="B5118">
        <v>0.99299721793515405</v>
      </c>
      <c r="C5118">
        <v>0.96120279035397105</v>
      </c>
      <c r="D5118">
        <v>0.932332766579134</v>
      </c>
      <c r="E5118">
        <v>0.85999946728399401</v>
      </c>
      <c r="F5118">
        <v>0.73098568127130104</v>
      </c>
      <c r="G5118">
        <v>0.38586841924781801</v>
      </c>
      <c r="H5118">
        <v>0.215074165885625</v>
      </c>
      <c r="I5118">
        <v>0.15896825153229399</v>
      </c>
      <c r="J5118">
        <v>0.14462260957481499</v>
      </c>
      <c r="K5118">
        <v>0.121901674388948</v>
      </c>
      <c r="L5118">
        <v>944.82651871662404</v>
      </c>
      <c r="M5118">
        <v>18.232543769197498</v>
      </c>
      <c r="N5118">
        <v>52.493001677168202</v>
      </c>
      <c r="O5118">
        <v>51.209557232675301</v>
      </c>
      <c r="P5118">
        <v>-7.9747464860362799E-2</v>
      </c>
      <c r="Q5118">
        <v>0.10409849529797199</v>
      </c>
      <c r="R5118">
        <v>0.99339555481575104</v>
      </c>
      <c r="S5118" t="s">
        <v>10669</v>
      </c>
      <c r="T5118" t="s">
        <v>11100</v>
      </c>
      <c r="U5118" t="s">
        <v>11100</v>
      </c>
      <c r="V5118" t="s">
        <v>11100</v>
      </c>
      <c r="W5118" t="s">
        <v>16164</v>
      </c>
      <c r="X5118">
        <v>9</v>
      </c>
      <c r="Y5118" t="s">
        <v>21587</v>
      </c>
      <c r="Z5118" t="s">
        <v>27123</v>
      </c>
      <c r="AA5118">
        <v>0.56006784261780729</v>
      </c>
      <c r="AB5118" t="str">
        <f>HYPERLINK("Melting_Curves/meltCurve_Q9NZU5_LMCD1.pdf", "Melting_Curves/meltCurve_Q9NZU5_LMCD1.pdf")</f>
        <v>Melting_Curves/meltCurve_Q9NZU5_LMCD1.pdf</v>
      </c>
    </row>
    <row r="5119" spans="1:28" x14ac:dyDescent="0.25">
      <c r="A5119" t="s">
        <v>5123</v>
      </c>
      <c r="B5119">
        <v>0.99299721793515405</v>
      </c>
      <c r="C5119">
        <v>1.0770992492651299</v>
      </c>
      <c r="D5119">
        <v>0.95416027054297603</v>
      </c>
      <c r="E5119">
        <v>0.93136885862707197</v>
      </c>
      <c r="F5119">
        <v>0.73330929282133495</v>
      </c>
      <c r="G5119">
        <v>0.35254982259954498</v>
      </c>
      <c r="H5119">
        <v>0.205029622336344</v>
      </c>
      <c r="I5119">
        <v>0.16555124905282501</v>
      </c>
      <c r="J5119">
        <v>0.140147154036287</v>
      </c>
      <c r="K5119">
        <v>0.104863749218821</v>
      </c>
      <c r="L5119">
        <v>1265.6006723877799</v>
      </c>
      <c r="M5119">
        <v>24.472491792949601</v>
      </c>
      <c r="N5119">
        <v>52.335348509682603</v>
      </c>
      <c r="O5119">
        <v>51.3736490091541</v>
      </c>
      <c r="P5119">
        <v>-0.1041038136209</v>
      </c>
      <c r="Q5119">
        <v>0.125857267522369</v>
      </c>
      <c r="R5119">
        <v>0.993638111643945</v>
      </c>
      <c r="S5119" t="s">
        <v>10670</v>
      </c>
      <c r="T5119" t="s">
        <v>11100</v>
      </c>
      <c r="U5119" t="s">
        <v>11100</v>
      </c>
      <c r="V5119" t="s">
        <v>11100</v>
      </c>
      <c r="W5119" t="s">
        <v>16165</v>
      </c>
      <c r="X5119">
        <v>24</v>
      </c>
      <c r="Y5119" t="s">
        <v>21588</v>
      </c>
      <c r="Z5119" t="s">
        <v>27124</v>
      </c>
      <c r="AA5119">
        <v>0.56267487758871182</v>
      </c>
      <c r="AB5119" t="str">
        <f>HYPERLINK("Melting_Curves/meltCurve_Q9NZW5_MPP6.pdf", "Melting_Curves/meltCurve_Q9NZW5_MPP6.pdf")</f>
        <v>Melting_Curves/meltCurve_Q9NZW5_MPP6.pdf</v>
      </c>
    </row>
    <row r="5120" spans="1:28" x14ac:dyDescent="0.25">
      <c r="A5120" t="s">
        <v>5124</v>
      </c>
      <c r="B5120">
        <v>0.99299721793515405</v>
      </c>
      <c r="C5120">
        <v>1.03270372748496</v>
      </c>
      <c r="D5120">
        <v>1.0285132727808499</v>
      </c>
      <c r="E5120">
        <v>0.92225370828412001</v>
      </c>
      <c r="F5120">
        <v>0.78080233642669705</v>
      </c>
      <c r="G5120">
        <v>0.66848097463038403</v>
      </c>
      <c r="H5120">
        <v>0.68756808994529905</v>
      </c>
      <c r="I5120">
        <v>0.79478542103665495</v>
      </c>
      <c r="J5120">
        <v>0.94290014935658994</v>
      </c>
      <c r="K5120">
        <v>0.72912160911108803</v>
      </c>
      <c r="L5120">
        <v>2837.8821029351002</v>
      </c>
      <c r="M5120">
        <v>60.180713432766098</v>
      </c>
      <c r="O5120">
        <v>47.104023063886103</v>
      </c>
      <c r="P5120">
        <v>-7.4678972725736203E-2</v>
      </c>
      <c r="Q5120">
        <v>0.76619230686226902</v>
      </c>
      <c r="R5120">
        <v>0.71650889345868296</v>
      </c>
      <c r="S5120" t="s">
        <v>10671</v>
      </c>
      <c r="T5120" t="s">
        <v>11100</v>
      </c>
      <c r="U5120" t="s">
        <v>11100</v>
      </c>
      <c r="V5120" t="s">
        <v>11100</v>
      </c>
      <c r="W5120" t="s">
        <v>16166</v>
      </c>
      <c r="X5120">
        <v>9</v>
      </c>
      <c r="Y5120" t="s">
        <v>21589</v>
      </c>
      <c r="Z5120" t="s">
        <v>27125</v>
      </c>
      <c r="AA5120">
        <v>0.84567917866003461</v>
      </c>
      <c r="AB5120" t="str">
        <f>HYPERLINK("Melting_Curves/meltCurve_Q9NZZ3_CHMP5.pdf", "Melting_Curves/meltCurve_Q9NZZ3_CHMP5.pdf")</f>
        <v>Melting_Curves/meltCurve_Q9NZZ3_CHMP5.pdf</v>
      </c>
    </row>
    <row r="5121" spans="1:28" x14ac:dyDescent="0.25">
      <c r="A5121" t="s">
        <v>5125</v>
      </c>
      <c r="B5121">
        <v>0.99299721793515405</v>
      </c>
      <c r="C5121">
        <v>0.98465902439490505</v>
      </c>
      <c r="D5121">
        <v>1.04497425900496</v>
      </c>
      <c r="E5121">
        <v>1.00592023169857</v>
      </c>
      <c r="F5121">
        <v>0.77750549492151899</v>
      </c>
      <c r="G5121">
        <v>0.57634075186247102</v>
      </c>
      <c r="H5121">
        <v>0.51123851416546895</v>
      </c>
      <c r="I5121">
        <v>0.44700201380389099</v>
      </c>
      <c r="J5121">
        <v>0.40873058290206998</v>
      </c>
      <c r="K5121">
        <v>0.31284841585349399</v>
      </c>
      <c r="L5121">
        <v>1009.74291997521</v>
      </c>
      <c r="M5121">
        <v>19.307636656733099</v>
      </c>
      <c r="N5121">
        <v>56.2917295928521</v>
      </c>
      <c r="O5121">
        <v>51.746271252101998</v>
      </c>
      <c r="P5121">
        <v>-5.8494434148696102E-2</v>
      </c>
      <c r="Q5121">
        <v>0.37294126625611501</v>
      </c>
      <c r="R5121">
        <v>0.97731171634074798</v>
      </c>
      <c r="S5121" t="s">
        <v>10672</v>
      </c>
      <c r="T5121" t="s">
        <v>11100</v>
      </c>
      <c r="U5121" t="s">
        <v>11100</v>
      </c>
      <c r="V5121" t="s">
        <v>11100</v>
      </c>
      <c r="W5121" t="s">
        <v>16167</v>
      </c>
      <c r="X5121">
        <v>3</v>
      </c>
      <c r="Y5121" t="s">
        <v>21590</v>
      </c>
      <c r="Z5121" t="s">
        <v>27126</v>
      </c>
      <c r="AA5121">
        <v>0.70117915118625995</v>
      </c>
      <c r="AB5121" t="str">
        <f>HYPERLINK("Melting_Curves/meltCurve_Q9P000_COMMD9.pdf", "Melting_Curves/meltCurve_Q9P000_COMMD9.pdf")</f>
        <v>Melting_Curves/meltCurve_Q9P000_COMMD9.pdf</v>
      </c>
    </row>
    <row r="5122" spans="1:28" x14ac:dyDescent="0.25">
      <c r="A5122" t="s">
        <v>5126</v>
      </c>
      <c r="B5122">
        <v>0.99299721793515405</v>
      </c>
      <c r="C5122">
        <v>0.89050347999985002</v>
      </c>
      <c r="D5122">
        <v>1.13982655622761</v>
      </c>
      <c r="E5122">
        <v>0.99943118815211296</v>
      </c>
      <c r="F5122">
        <v>1.02037529129631</v>
      </c>
      <c r="G5122">
        <v>0.98190149856213405</v>
      </c>
      <c r="H5122">
        <v>1.14189900951793</v>
      </c>
      <c r="I5122">
        <v>1.6896128304181499</v>
      </c>
      <c r="J5122">
        <v>2.2128549748534301</v>
      </c>
      <c r="K5122">
        <v>1.8924461644492201</v>
      </c>
      <c r="L5122">
        <v>14403.1346854247</v>
      </c>
      <c r="M5122">
        <v>250</v>
      </c>
      <c r="O5122">
        <v>57.608861624070499</v>
      </c>
      <c r="P5122">
        <v>0.542451359132611</v>
      </c>
      <c r="Q5122">
        <v>1.5</v>
      </c>
      <c r="R5122">
        <v>0.61920513939851296</v>
      </c>
      <c r="S5122" t="s">
        <v>10673</v>
      </c>
      <c r="T5122" t="s">
        <v>11100</v>
      </c>
      <c r="U5122" t="s">
        <v>11100</v>
      </c>
      <c r="V5122" t="s">
        <v>11100</v>
      </c>
      <c r="W5122" t="s">
        <v>16168</v>
      </c>
      <c r="X5122">
        <v>20</v>
      </c>
      <c r="Y5122" t="s">
        <v>21591</v>
      </c>
      <c r="Z5122" t="s">
        <v>27127</v>
      </c>
      <c r="AA5122">
        <v>1.1564071330839321</v>
      </c>
      <c r="AB5122" t="str">
        <f>HYPERLINK("Melting_Curves/meltCurve_Q9P013_CWC15.pdf", "Melting_Curves/meltCurve_Q9P013_CWC15.pdf")</f>
        <v>Melting_Curves/meltCurve_Q9P013_CWC15.pdf</v>
      </c>
    </row>
    <row r="5123" spans="1:28" x14ac:dyDescent="0.25">
      <c r="A5123" t="s">
        <v>5127</v>
      </c>
      <c r="B5123">
        <v>0.99299721793515405</v>
      </c>
      <c r="C5123">
        <v>1.0109204996482599</v>
      </c>
      <c r="D5123">
        <v>1.3652128613780601</v>
      </c>
      <c r="E5123">
        <v>0.90709110010620297</v>
      </c>
      <c r="F5123">
        <v>0.75315936204116396</v>
      </c>
      <c r="G5123">
        <v>0.48901504612932301</v>
      </c>
      <c r="H5123">
        <v>0.16568213790383701</v>
      </c>
      <c r="I5123">
        <v>0.134141519272576</v>
      </c>
      <c r="J5123">
        <v>0.117390775893244</v>
      </c>
      <c r="K5123">
        <v>0.14100642224506299</v>
      </c>
      <c r="L5123">
        <v>1255.3055058545599</v>
      </c>
      <c r="M5123">
        <v>23.8573492893196</v>
      </c>
      <c r="N5123">
        <v>53.156055122301098</v>
      </c>
      <c r="O5123">
        <v>52.251619721263602</v>
      </c>
      <c r="P5123">
        <v>-0.101886214404449</v>
      </c>
      <c r="Q5123">
        <v>0.10742220088414001</v>
      </c>
      <c r="R5123">
        <v>0.92246797943291403</v>
      </c>
      <c r="S5123" t="s">
        <v>10674</v>
      </c>
      <c r="T5123" t="s">
        <v>11100</v>
      </c>
      <c r="U5123" t="s">
        <v>11100</v>
      </c>
      <c r="V5123" t="s">
        <v>11100</v>
      </c>
      <c r="W5123" t="s">
        <v>16169</v>
      </c>
      <c r="X5123">
        <v>11</v>
      </c>
      <c r="Y5123" t="s">
        <v>21592</v>
      </c>
      <c r="Z5123" t="s">
        <v>27128</v>
      </c>
      <c r="AA5123">
        <v>0.58064100372918714</v>
      </c>
      <c r="AB5123" t="str">
        <f>HYPERLINK("Melting_Curves/meltCurve_Q9P016_THYN1.pdf", "Melting_Curves/meltCurve_Q9P016_THYN1.pdf")</f>
        <v>Melting_Curves/meltCurve_Q9P016_THYN1.pdf</v>
      </c>
    </row>
    <row r="5124" spans="1:28" x14ac:dyDescent="0.25">
      <c r="A5124" t="s">
        <v>5128</v>
      </c>
      <c r="B5124">
        <v>0.99299721793515405</v>
      </c>
      <c r="C5124">
        <v>0.89779100534342804</v>
      </c>
      <c r="D5124">
        <v>0.93595718352984403</v>
      </c>
      <c r="E5124">
        <v>0.84051638093834602</v>
      </c>
      <c r="F5124">
        <v>0.74610710245143197</v>
      </c>
      <c r="G5124">
        <v>0.448852932031654</v>
      </c>
      <c r="H5124">
        <v>0.51979282162348694</v>
      </c>
      <c r="I5124">
        <v>0.55486077800400202</v>
      </c>
      <c r="J5124">
        <v>0.56787512820377595</v>
      </c>
      <c r="K5124">
        <v>0.60285680804659203</v>
      </c>
      <c r="L5124">
        <v>1059.98957477256</v>
      </c>
      <c r="M5124">
        <v>22.045683435723198</v>
      </c>
      <c r="O5124">
        <v>47.691116568868999</v>
      </c>
      <c r="P5124">
        <v>-5.3259811005557198E-2</v>
      </c>
      <c r="Q5124">
        <v>0.53914534189775898</v>
      </c>
      <c r="R5124">
        <v>0.88592276992385099</v>
      </c>
      <c r="S5124" t="s">
        <v>10675</v>
      </c>
      <c r="T5124" t="s">
        <v>11100</v>
      </c>
      <c r="U5124" t="s">
        <v>11100</v>
      </c>
      <c r="V5124" t="s">
        <v>11100</v>
      </c>
      <c r="W5124" t="s">
        <v>16170</v>
      </c>
      <c r="X5124">
        <v>2</v>
      </c>
      <c r="Y5124" t="s">
        <v>21593</v>
      </c>
      <c r="Z5124" t="s">
        <v>27129</v>
      </c>
      <c r="AA5124">
        <v>0.7144058006974886</v>
      </c>
      <c r="AB5124" t="str">
        <f>HYPERLINK("Melting_Curves/meltCurve_Q9P021_CRIPT.pdf", "Melting_Curves/meltCurve_Q9P021_CRIPT.pdf")</f>
        <v>Melting_Curves/meltCurve_Q9P021_CRIPT.pdf</v>
      </c>
    </row>
    <row r="5125" spans="1:28" x14ac:dyDescent="0.25">
      <c r="A5125" t="s">
        <v>5129</v>
      </c>
      <c r="B5125">
        <v>0.99299721793515405</v>
      </c>
      <c r="C5125">
        <v>0.79304768799777603</v>
      </c>
      <c r="D5125">
        <v>1.04598053963411</v>
      </c>
      <c r="E5125">
        <v>0.83044345800957897</v>
      </c>
      <c r="F5125">
        <v>0.73485935362155197</v>
      </c>
      <c r="G5125">
        <v>0.788113404018839</v>
      </c>
      <c r="H5125">
        <v>0.752580351347375</v>
      </c>
      <c r="I5125">
        <v>0.67869705033247096</v>
      </c>
      <c r="J5125">
        <v>0.41986941745788597</v>
      </c>
      <c r="K5125">
        <v>0.245239784734466</v>
      </c>
      <c r="L5125">
        <v>438.93055046088699</v>
      </c>
      <c r="M5125">
        <v>7.0255114945362402</v>
      </c>
      <c r="N5125">
        <v>62.476667871207603</v>
      </c>
      <c r="O5125">
        <v>58.0060667332571</v>
      </c>
      <c r="P5125">
        <v>-3.0334602526013998E-2</v>
      </c>
      <c r="Q5125">
        <v>0</v>
      </c>
      <c r="R5125">
        <v>0.78209563548549099</v>
      </c>
      <c r="S5125" t="s">
        <v>10676</v>
      </c>
      <c r="T5125" t="s">
        <v>11100</v>
      </c>
      <c r="U5125" t="s">
        <v>11100</v>
      </c>
      <c r="V5125" t="s">
        <v>11100</v>
      </c>
      <c r="W5125" t="s">
        <v>16171</v>
      </c>
      <c r="X5125">
        <v>1</v>
      </c>
      <c r="Y5125" t="s">
        <v>21594</v>
      </c>
      <c r="Z5125" t="s">
        <v>27130</v>
      </c>
      <c r="AA5125">
        <v>0.75928363321711856</v>
      </c>
      <c r="AB5125" t="str">
        <f>HYPERLINK("Melting_Curves/meltCurve_Q9P031_CCDC59.pdf", "Melting_Curves/meltCurve_Q9P031_CCDC59.pdf")</f>
        <v>Melting_Curves/meltCurve_Q9P031_CCDC59.pdf</v>
      </c>
    </row>
    <row r="5126" spans="1:28" x14ac:dyDescent="0.25">
      <c r="A5126" t="s">
        <v>5130</v>
      </c>
      <c r="B5126">
        <v>0.99299721793515405</v>
      </c>
      <c r="C5126">
        <v>1.04832819223901</v>
      </c>
      <c r="D5126">
        <v>0.93377814574347795</v>
      </c>
      <c r="E5126">
        <v>0.90175469159243005</v>
      </c>
      <c r="F5126">
        <v>0.69375364842893705</v>
      </c>
      <c r="G5126">
        <v>0.68952742951077695</v>
      </c>
      <c r="H5126">
        <v>0.65168800520923797</v>
      </c>
      <c r="I5126">
        <v>0.36829697505619102</v>
      </c>
      <c r="J5126">
        <v>0.19326853090917501</v>
      </c>
      <c r="K5126">
        <v>0.14271689459644199</v>
      </c>
      <c r="L5126">
        <v>577.52737649249605</v>
      </c>
      <c r="M5126">
        <v>10.0310534812577</v>
      </c>
      <c r="N5126">
        <v>57.573950504009403</v>
      </c>
      <c r="O5126">
        <v>55.426164123056701</v>
      </c>
      <c r="P5126">
        <v>-4.5266865681050303E-2</v>
      </c>
      <c r="Q5126">
        <v>0</v>
      </c>
      <c r="R5126">
        <v>0.94994795633741103</v>
      </c>
      <c r="S5126" t="s">
        <v>10677</v>
      </c>
      <c r="T5126" t="s">
        <v>11100</v>
      </c>
      <c r="U5126" t="s">
        <v>11100</v>
      </c>
      <c r="V5126" t="s">
        <v>11100</v>
      </c>
      <c r="W5126" t="s">
        <v>16172</v>
      </c>
      <c r="X5126">
        <v>8</v>
      </c>
      <c r="Y5126" t="s">
        <v>21595</v>
      </c>
      <c r="Z5126" t="s">
        <v>27131</v>
      </c>
      <c r="AA5126">
        <v>0.68075991883246911</v>
      </c>
      <c r="AB5126" t="str">
        <f>HYPERLINK("Melting_Curves/meltCurve_Q9P032_NDUFAF4.pdf", "Melting_Curves/meltCurve_Q9P032_NDUFAF4.pdf")</f>
        <v>Melting_Curves/meltCurve_Q9P032_NDUFAF4.pdf</v>
      </c>
    </row>
    <row r="5127" spans="1:28" x14ac:dyDescent="0.25">
      <c r="A5127" t="s">
        <v>5131</v>
      </c>
      <c r="B5127">
        <v>0.99299721793515405</v>
      </c>
      <c r="C5127">
        <v>0.71739606259702504</v>
      </c>
      <c r="D5127">
        <v>0.69908510720903405</v>
      </c>
      <c r="E5127">
        <v>0.80924922888795303</v>
      </c>
      <c r="F5127">
        <v>0.70523233865058499</v>
      </c>
      <c r="G5127">
        <v>0.43483300297581001</v>
      </c>
      <c r="H5127">
        <v>0.44349526926199501</v>
      </c>
      <c r="I5127">
        <v>0.30510846278843601</v>
      </c>
      <c r="J5127">
        <v>0.12718077668012601</v>
      </c>
      <c r="K5127">
        <v>0</v>
      </c>
      <c r="L5127">
        <v>387.64596325319098</v>
      </c>
      <c r="M5127">
        <v>7.3748522598720196</v>
      </c>
      <c r="N5127">
        <v>52.563217470384203</v>
      </c>
      <c r="O5127">
        <v>49.113138234648702</v>
      </c>
      <c r="P5127">
        <v>-3.7597570558702303E-2</v>
      </c>
      <c r="Q5127">
        <v>0</v>
      </c>
      <c r="R5127">
        <v>0.85820024006053497</v>
      </c>
      <c r="S5127" t="s">
        <v>10678</v>
      </c>
      <c r="T5127" t="s">
        <v>11100</v>
      </c>
      <c r="U5127" t="s">
        <v>11100</v>
      </c>
      <c r="V5127" t="s">
        <v>11100</v>
      </c>
      <c r="W5127" t="s">
        <v>16173</v>
      </c>
      <c r="X5127">
        <v>1</v>
      </c>
      <c r="Y5127" t="s">
        <v>21596</v>
      </c>
      <c r="Z5127" t="s">
        <v>27132</v>
      </c>
      <c r="AA5127">
        <v>0.54322380622078315</v>
      </c>
      <c r="AB5127" t="str">
        <f>HYPERLINK("Melting_Curves/meltCurve_Q9P035_PTPLAD1.pdf", "Melting_Curves/meltCurve_Q9P035_PTPLAD1.pdf")</f>
        <v>Melting_Curves/meltCurve_Q9P035_PTPLAD1.pdf</v>
      </c>
    </row>
    <row r="5128" spans="1:28" x14ac:dyDescent="0.25">
      <c r="A5128" t="s">
        <v>5132</v>
      </c>
      <c r="B5128">
        <v>0.99299721793515405</v>
      </c>
      <c r="C5128">
        <v>0.92705826802044</v>
      </c>
      <c r="D5128">
        <v>1.5032734222222801</v>
      </c>
      <c r="E5128">
        <v>0.83772127368638505</v>
      </c>
      <c r="F5128">
        <v>0.76809188652912697</v>
      </c>
      <c r="G5128">
        <v>0.585717275334246</v>
      </c>
      <c r="H5128">
        <v>0.26293029720674299</v>
      </c>
      <c r="I5128">
        <v>0.287599568409932</v>
      </c>
      <c r="J5128">
        <v>0.27123213496753701</v>
      </c>
      <c r="K5128">
        <v>0.36577274568821</v>
      </c>
      <c r="L5128">
        <v>1239.20734205603</v>
      </c>
      <c r="M5128">
        <v>23.804770183194702</v>
      </c>
      <c r="N5128">
        <v>53.9571226870098</v>
      </c>
      <c r="O5128">
        <v>51.693905499451198</v>
      </c>
      <c r="P5128">
        <v>-8.2456770696583595E-2</v>
      </c>
      <c r="Q5128">
        <v>0.28376659711186702</v>
      </c>
      <c r="R5128">
        <v>0.79665681138153999</v>
      </c>
      <c r="S5128" t="s">
        <v>10679</v>
      </c>
      <c r="T5128" t="s">
        <v>11100</v>
      </c>
      <c r="U5128" t="s">
        <v>11100</v>
      </c>
      <c r="V5128" t="s">
        <v>11100</v>
      </c>
      <c r="W5128" t="s">
        <v>16174</v>
      </c>
      <c r="X5128">
        <v>3</v>
      </c>
      <c r="Y5128" t="s">
        <v>21597</v>
      </c>
      <c r="Z5128" t="s">
        <v>27133</v>
      </c>
      <c r="AA5128">
        <v>0.65016766534632575</v>
      </c>
      <c r="AB5128" t="str">
        <f>HYPERLINK("Melting_Curves/meltCurve_Q9P0B6_CCDC167.pdf", "Melting_Curves/meltCurve_Q9P0B6_CCDC167.pdf")</f>
        <v>Melting_Curves/meltCurve_Q9P0B6_CCDC167.pdf</v>
      </c>
    </row>
    <row r="5129" spans="1:28" x14ac:dyDescent="0.25">
      <c r="A5129" t="s">
        <v>5133</v>
      </c>
      <c r="B5129">
        <v>0.99299721793515405</v>
      </c>
      <c r="C5129">
        <v>0.97095873960575496</v>
      </c>
      <c r="D5129">
        <v>0.93069567957296495</v>
      </c>
      <c r="E5129">
        <v>0.87329854896947401</v>
      </c>
      <c r="F5129">
        <v>0.69605017426507698</v>
      </c>
      <c r="G5129">
        <v>0.52798422238464005</v>
      </c>
      <c r="H5129">
        <v>0.31303004536780099</v>
      </c>
      <c r="I5129">
        <v>0.24109097303385199</v>
      </c>
      <c r="J5129">
        <v>0.23069367165697099</v>
      </c>
      <c r="K5129">
        <v>0.207855442639544</v>
      </c>
      <c r="L5129">
        <v>725.57176761769801</v>
      </c>
      <c r="M5129">
        <v>13.877651617436101</v>
      </c>
      <c r="N5129">
        <v>53.742129260330302</v>
      </c>
      <c r="O5129">
        <v>51.233715829178898</v>
      </c>
      <c r="P5129">
        <v>-5.7098651023361702E-2</v>
      </c>
      <c r="Q5129">
        <v>0.156924961946768</v>
      </c>
      <c r="R5129">
        <v>0.99602406166772495</v>
      </c>
      <c r="S5129" t="s">
        <v>10680</v>
      </c>
      <c r="T5129" t="s">
        <v>11100</v>
      </c>
      <c r="U5129" t="s">
        <v>11100</v>
      </c>
      <c r="V5129" t="s">
        <v>11100</v>
      </c>
      <c r="W5129" t="s">
        <v>16175</v>
      </c>
      <c r="X5129">
        <v>5</v>
      </c>
      <c r="Y5129" t="s">
        <v>21598</v>
      </c>
      <c r="Z5129" t="s">
        <v>27134</v>
      </c>
      <c r="AA5129">
        <v>0.60361128678075215</v>
      </c>
      <c r="AB5129" t="str">
        <f>HYPERLINK("Melting_Curves/meltCurve_Q9P0J1_PDP1.pdf", "Melting_Curves/meltCurve_Q9P0J1_PDP1.pdf")</f>
        <v>Melting_Curves/meltCurve_Q9P0J1_PDP1.pdf</v>
      </c>
    </row>
    <row r="5130" spans="1:28" x14ac:dyDescent="0.25">
      <c r="A5130" t="s">
        <v>5134</v>
      </c>
      <c r="B5130">
        <v>0.99299721793515405</v>
      </c>
      <c r="C5130">
        <v>0.96651658544827701</v>
      </c>
      <c r="D5130">
        <v>0.97320890389710801</v>
      </c>
      <c r="E5130">
        <v>0.82229658639397296</v>
      </c>
      <c r="F5130">
        <v>0.68783529118320996</v>
      </c>
      <c r="G5130">
        <v>0.66420893288982696</v>
      </c>
      <c r="H5130">
        <v>0.516721634462737</v>
      </c>
      <c r="I5130">
        <v>0.453040775097582</v>
      </c>
      <c r="J5130">
        <v>0.220468639080871</v>
      </c>
      <c r="K5130">
        <v>0.157636241569762</v>
      </c>
      <c r="L5130">
        <v>477.88494458661398</v>
      </c>
      <c r="M5130">
        <v>8.3907709276299105</v>
      </c>
      <c r="N5130">
        <v>56.953638073561898</v>
      </c>
      <c r="O5130">
        <v>53.9943156404278</v>
      </c>
      <c r="P5130">
        <v>-3.8886998933872499E-2</v>
      </c>
      <c r="Q5130">
        <v>0</v>
      </c>
      <c r="R5130">
        <v>0.96840650694791997</v>
      </c>
      <c r="S5130" t="s">
        <v>10681</v>
      </c>
      <c r="T5130" t="s">
        <v>11100</v>
      </c>
      <c r="U5130" t="s">
        <v>11100</v>
      </c>
      <c r="V5130" t="s">
        <v>11100</v>
      </c>
      <c r="W5130" t="s">
        <v>16176</v>
      </c>
      <c r="X5130">
        <v>12</v>
      </c>
      <c r="Y5130" t="s">
        <v>21599</v>
      </c>
      <c r="Z5130" t="s">
        <v>27135</v>
      </c>
      <c r="AA5130">
        <v>0.65707735837962178</v>
      </c>
      <c r="AB5130" t="str">
        <f>HYPERLINK("Melting_Curves/meltCurve_Q9P0L0_VAPA.pdf", "Melting_Curves/meltCurve_Q9P0L0_VAPA.pdf")</f>
        <v>Melting_Curves/meltCurve_Q9P0L0_VAPA.pdf</v>
      </c>
    </row>
    <row r="5131" spans="1:28" x14ac:dyDescent="0.25">
      <c r="A5131" t="s">
        <v>5135</v>
      </c>
      <c r="B5131">
        <v>0.99299721793515405</v>
      </c>
      <c r="C5131">
        <v>0.87241652791995805</v>
      </c>
      <c r="D5131">
        <v>0.80382493715340098</v>
      </c>
      <c r="E5131">
        <v>0.805558042430221</v>
      </c>
      <c r="F5131">
        <v>0.65230359127480197</v>
      </c>
      <c r="G5131">
        <v>0.337639410050869</v>
      </c>
      <c r="H5131">
        <v>0.32254372321177999</v>
      </c>
      <c r="I5131">
        <v>0.351508720951767</v>
      </c>
      <c r="J5131">
        <v>0.426670878741711</v>
      </c>
      <c r="K5131">
        <v>0.36761770009788303</v>
      </c>
      <c r="L5131">
        <v>605.92562784133804</v>
      </c>
      <c r="M5131">
        <v>12.6260049139328</v>
      </c>
      <c r="N5131">
        <v>52.219899931197901</v>
      </c>
      <c r="O5131">
        <v>46.834202569093002</v>
      </c>
      <c r="P5131">
        <v>-4.58270483723901E-2</v>
      </c>
      <c r="Q5131">
        <v>0.32018152537785599</v>
      </c>
      <c r="R5131">
        <v>0.91391619004842395</v>
      </c>
      <c r="S5131" t="s">
        <v>10682</v>
      </c>
      <c r="T5131" t="s">
        <v>11100</v>
      </c>
      <c r="U5131" t="s">
        <v>11100</v>
      </c>
      <c r="V5131" t="s">
        <v>11100</v>
      </c>
      <c r="W5131" t="s">
        <v>16177</v>
      </c>
      <c r="X5131">
        <v>2</v>
      </c>
      <c r="Y5131" t="s">
        <v>21600</v>
      </c>
      <c r="Z5131" t="s">
        <v>27136</v>
      </c>
      <c r="AA5131">
        <v>0.58896684369953545</v>
      </c>
      <c r="AB5131" t="str">
        <f>HYPERLINK("Melting_Curves/meltCurve_Q9P0L2_MARK1.pdf", "Melting_Curves/meltCurve_Q9P0L2_MARK1.pdf")</f>
        <v>Melting_Curves/meltCurve_Q9P0L2_MARK1.pdf</v>
      </c>
    </row>
    <row r="5132" spans="1:28" x14ac:dyDescent="0.25">
      <c r="A5132" t="s">
        <v>5136</v>
      </c>
      <c r="B5132">
        <v>0.99299721793515405</v>
      </c>
      <c r="C5132">
        <v>0.81773121650095704</v>
      </c>
      <c r="D5132">
        <v>0.96168374058357997</v>
      </c>
      <c r="E5132">
        <v>0.80002070170865502</v>
      </c>
      <c r="F5132">
        <v>0.69926646976459494</v>
      </c>
      <c r="G5132">
        <v>0.51373107329504197</v>
      </c>
      <c r="H5132">
        <v>0.46199274925244599</v>
      </c>
      <c r="I5132">
        <v>0.60759352221049001</v>
      </c>
      <c r="J5132">
        <v>0.712176411211496</v>
      </c>
      <c r="K5132">
        <v>0.51356849698442997</v>
      </c>
      <c r="L5132">
        <v>828.92461897763201</v>
      </c>
      <c r="M5132">
        <v>17.719299060371501</v>
      </c>
      <c r="O5132">
        <v>46.197248641546899</v>
      </c>
      <c r="P5132">
        <v>-4.2443452676072101E-2</v>
      </c>
      <c r="Q5132">
        <v>0.55739371131140003</v>
      </c>
      <c r="R5132">
        <v>0.757062805474633</v>
      </c>
      <c r="S5132" t="s">
        <v>10683</v>
      </c>
      <c r="T5132" t="s">
        <v>11100</v>
      </c>
      <c r="U5132" t="s">
        <v>11100</v>
      </c>
      <c r="V5132" t="s">
        <v>11100</v>
      </c>
      <c r="W5132" t="s">
        <v>16178</v>
      </c>
      <c r="X5132">
        <v>10</v>
      </c>
      <c r="Y5132" t="s">
        <v>21601</v>
      </c>
      <c r="Z5132" t="s">
        <v>27137</v>
      </c>
      <c r="AA5132">
        <v>0.70902835385770924</v>
      </c>
      <c r="AB5132" t="str">
        <f>HYPERLINK("Melting_Curves/meltCurve_Q9P0P0_RNF181.pdf", "Melting_Curves/meltCurve_Q9P0P0_RNF181.pdf")</f>
        <v>Melting_Curves/meltCurve_Q9P0P0_RNF181.pdf</v>
      </c>
    </row>
    <row r="5133" spans="1:28" x14ac:dyDescent="0.25">
      <c r="A5133" t="s">
        <v>5137</v>
      </c>
      <c r="B5133">
        <v>0.99299721793515405</v>
      </c>
      <c r="C5133">
        <v>0.93691072294512801</v>
      </c>
      <c r="D5133">
        <v>0.84197785385652901</v>
      </c>
      <c r="E5133">
        <v>0.86757307766431901</v>
      </c>
      <c r="F5133">
        <v>0.667393788612616</v>
      </c>
      <c r="G5133">
        <v>0.39369325271079902</v>
      </c>
      <c r="H5133">
        <v>0.35404401507337802</v>
      </c>
      <c r="I5133">
        <v>0.36770035483282498</v>
      </c>
      <c r="J5133">
        <v>0.28223525388569998</v>
      </c>
      <c r="K5133">
        <v>0.200286864141446</v>
      </c>
      <c r="L5133">
        <v>591.65926352125803</v>
      </c>
      <c r="M5133">
        <v>11.6136611939306</v>
      </c>
      <c r="N5133">
        <v>53.209371321372899</v>
      </c>
      <c r="O5133">
        <v>49.5049208127882</v>
      </c>
      <c r="P5133">
        <v>-4.7227035430296403E-2</v>
      </c>
      <c r="Q5133">
        <v>0.19497182216985101</v>
      </c>
      <c r="R5133">
        <v>0.96726883998202395</v>
      </c>
      <c r="S5133" t="s">
        <v>10684</v>
      </c>
      <c r="T5133" t="s">
        <v>11100</v>
      </c>
      <c r="U5133" t="s">
        <v>11100</v>
      </c>
      <c r="V5133" t="s">
        <v>11100</v>
      </c>
      <c r="W5133" t="s">
        <v>16179</v>
      </c>
      <c r="X5133">
        <v>3</v>
      </c>
      <c r="Y5133" t="s">
        <v>21602</v>
      </c>
      <c r="Z5133" t="s">
        <v>27138</v>
      </c>
      <c r="AA5133">
        <v>0.59091474145614942</v>
      </c>
      <c r="AB5133" t="str">
        <f>HYPERLINK("Melting_Curves/meltCurve_Q9P0R6_GSKIP.pdf", "Melting_Curves/meltCurve_Q9P0R6_GSKIP.pdf")</f>
        <v>Melting_Curves/meltCurve_Q9P0R6_GSKIP.pdf</v>
      </c>
    </row>
    <row r="5134" spans="1:28" x14ac:dyDescent="0.25">
      <c r="A5134" t="s">
        <v>5138</v>
      </c>
      <c r="B5134">
        <v>0.99299721793515405</v>
      </c>
      <c r="C5134">
        <v>1.0974675364807001</v>
      </c>
      <c r="D5134">
        <v>0.74814050584590497</v>
      </c>
      <c r="E5134">
        <v>0.86112240915792904</v>
      </c>
      <c r="F5134">
        <v>0.46255019642343798</v>
      </c>
      <c r="G5134">
        <v>0.15066719150805999</v>
      </c>
      <c r="H5134">
        <v>0.23541377686709999</v>
      </c>
      <c r="I5134">
        <v>0.23960443997767999</v>
      </c>
      <c r="J5134">
        <v>0.233708877640253</v>
      </c>
      <c r="K5134">
        <v>0.33864408186773498</v>
      </c>
      <c r="L5134">
        <v>1524.36610445728</v>
      </c>
      <c r="M5134">
        <v>31.403285287610501</v>
      </c>
      <c r="N5134">
        <v>49.552052884195199</v>
      </c>
      <c r="O5134">
        <v>48.346058173490697</v>
      </c>
      <c r="P5134">
        <v>-0.123992411267298</v>
      </c>
      <c r="Q5134">
        <v>0.23644805451251499</v>
      </c>
      <c r="R5134">
        <v>0.91842856702629105</v>
      </c>
      <c r="S5134" t="s">
        <v>10685</v>
      </c>
      <c r="T5134" t="s">
        <v>11100</v>
      </c>
      <c r="U5134" t="s">
        <v>11100</v>
      </c>
      <c r="V5134" t="s">
        <v>11100</v>
      </c>
      <c r="W5134" t="s">
        <v>16180</v>
      </c>
      <c r="X5134">
        <v>1</v>
      </c>
      <c r="Y5134" t="s">
        <v>21603</v>
      </c>
      <c r="Z5134" t="s">
        <v>27139</v>
      </c>
      <c r="AA5134">
        <v>0.53437008362993732</v>
      </c>
      <c r="AB5134" t="str">
        <f>HYPERLINK("Melting_Curves/meltCurve_Q9P0V3_SH3BP4.pdf", "Melting_Curves/meltCurve_Q9P0V3_SH3BP4.pdf")</f>
        <v>Melting_Curves/meltCurve_Q9P0V3_SH3BP4.pdf</v>
      </c>
    </row>
    <row r="5135" spans="1:28" x14ac:dyDescent="0.25">
      <c r="A5135" t="s">
        <v>5139</v>
      </c>
      <c r="B5135">
        <v>0.99299721793515405</v>
      </c>
      <c r="C5135">
        <v>0.93495067749154503</v>
      </c>
      <c r="D5135">
        <v>1.0102357522835299</v>
      </c>
      <c r="E5135">
        <v>0.77202740693016703</v>
      </c>
      <c r="F5135">
        <v>0.87683167163437103</v>
      </c>
      <c r="G5135">
        <v>0.54359607421740697</v>
      </c>
      <c r="H5135">
        <v>0.49653133918284198</v>
      </c>
      <c r="I5135">
        <v>0.34812928261441101</v>
      </c>
      <c r="J5135">
        <v>0.37161172186893099</v>
      </c>
      <c r="K5135">
        <v>0.340292114732687</v>
      </c>
      <c r="L5135">
        <v>647.84510174878994</v>
      </c>
      <c r="M5135">
        <v>12.2354050761856</v>
      </c>
      <c r="N5135">
        <v>56.629103451357402</v>
      </c>
      <c r="O5135">
        <v>51.5935968427913</v>
      </c>
      <c r="P5135">
        <v>-4.3036409884521398E-2</v>
      </c>
      <c r="Q5135">
        <v>0.274267803406753</v>
      </c>
      <c r="R5135">
        <v>0.94271498778016105</v>
      </c>
      <c r="S5135" t="s">
        <v>10686</v>
      </c>
      <c r="T5135" t="s">
        <v>11100</v>
      </c>
      <c r="U5135" t="s">
        <v>11100</v>
      </c>
      <c r="V5135" t="s">
        <v>11100</v>
      </c>
      <c r="W5135" t="s">
        <v>16181</v>
      </c>
      <c r="X5135">
        <v>2</v>
      </c>
      <c r="Y5135" t="s">
        <v>21604</v>
      </c>
      <c r="Z5135" t="s">
        <v>27140</v>
      </c>
      <c r="AA5135">
        <v>0.6753161805254273</v>
      </c>
      <c r="AB5135" t="str">
        <f>HYPERLINK("Melting_Curves/meltCurve_Q9P0W5_SCHIP1.pdf", "Melting_Curves/meltCurve_Q9P0W5_SCHIP1.pdf")</f>
        <v>Melting_Curves/meltCurve_Q9P0W5_SCHIP1.pdf</v>
      </c>
    </row>
    <row r="5136" spans="1:28" x14ac:dyDescent="0.25">
      <c r="A5136" t="s">
        <v>5140</v>
      </c>
      <c r="B5136">
        <v>0.99299721793515405</v>
      </c>
      <c r="C5136">
        <v>0.87367686591731497</v>
      </c>
      <c r="D5136">
        <v>0.99314063787332296</v>
      </c>
      <c r="E5136">
        <v>1.06621559341943</v>
      </c>
      <c r="F5136">
        <v>1.0254940668522701</v>
      </c>
      <c r="G5136">
        <v>1.50588487994142</v>
      </c>
      <c r="H5136">
        <v>3.6058056806677401</v>
      </c>
      <c r="I5136">
        <v>5.2782811266907501</v>
      </c>
      <c r="J5136">
        <v>6.1653722547543097</v>
      </c>
      <c r="K5136">
        <v>5.02525911583664</v>
      </c>
      <c r="L5136">
        <v>12696.775653071199</v>
      </c>
      <c r="M5136">
        <v>250</v>
      </c>
      <c r="O5136">
        <v>50.783852586878098</v>
      </c>
      <c r="P5136">
        <v>0.61535307883023804</v>
      </c>
      <c r="Q5136">
        <v>1.5</v>
      </c>
      <c r="R5136">
        <v>-0.29322633482889798</v>
      </c>
      <c r="S5136" t="s">
        <v>10687</v>
      </c>
      <c r="T5136" t="s">
        <v>11100</v>
      </c>
      <c r="U5136" t="s">
        <v>11100</v>
      </c>
      <c r="V5136" t="s">
        <v>11100</v>
      </c>
      <c r="W5136" t="s">
        <v>16182</v>
      </c>
      <c r="X5136">
        <v>4</v>
      </c>
      <c r="Y5136" t="s">
        <v>21605</v>
      </c>
      <c r="Z5136" t="s">
        <v>27141</v>
      </c>
      <c r="AA5136">
        <v>1.270170391174589</v>
      </c>
      <c r="AB5136" t="str">
        <f>HYPERLINK("Melting_Curves/meltCurve_Q9P1U0_ZNRD1.pdf", "Melting_Curves/meltCurve_Q9P1U0_ZNRD1.pdf")</f>
        <v>Melting_Curves/meltCurve_Q9P1U0_ZNRD1.pdf</v>
      </c>
    </row>
    <row r="5137" spans="1:28" x14ac:dyDescent="0.25">
      <c r="A5137" t="s">
        <v>5141</v>
      </c>
      <c r="B5137">
        <v>0.99299721793515405</v>
      </c>
      <c r="C5137">
        <v>0.88950673211487796</v>
      </c>
      <c r="D5137">
        <v>1.04527806955849</v>
      </c>
      <c r="E5137">
        <v>0.676894086360603</v>
      </c>
      <c r="F5137">
        <v>0.52335451022681301</v>
      </c>
      <c r="G5137">
        <v>0.33582074809713303</v>
      </c>
      <c r="H5137">
        <v>0.28682269850620801</v>
      </c>
      <c r="I5137">
        <v>0.23675163030600799</v>
      </c>
      <c r="J5137">
        <v>0.221131774978791</v>
      </c>
      <c r="K5137">
        <v>0.15072075413852301</v>
      </c>
      <c r="L5137">
        <v>780.94782350582204</v>
      </c>
      <c r="M5137">
        <v>15.9857607077876</v>
      </c>
      <c r="N5137">
        <v>50.3522308581286</v>
      </c>
      <c r="O5137">
        <v>48.107390442025597</v>
      </c>
      <c r="P5137">
        <v>-6.7345494712040502E-2</v>
      </c>
      <c r="Q5137">
        <v>0.189388175654227</v>
      </c>
      <c r="R5137">
        <v>0.96899841303564105</v>
      </c>
      <c r="S5137" t="s">
        <v>10688</v>
      </c>
      <c r="T5137" t="s">
        <v>11100</v>
      </c>
      <c r="U5137" t="s">
        <v>11100</v>
      </c>
      <c r="V5137" t="s">
        <v>11100</v>
      </c>
      <c r="W5137" t="s">
        <v>16183</v>
      </c>
      <c r="X5137">
        <v>5</v>
      </c>
      <c r="Y5137" t="s">
        <v>21606</v>
      </c>
      <c r="Z5137" t="s">
        <v>27142</v>
      </c>
      <c r="AA5137">
        <v>0.52544345368150525</v>
      </c>
      <c r="AB5137" t="str">
        <f>HYPERLINK("Melting_Curves/meltCurve_Q9P1Y5_CAMSAP3.pdf", "Melting_Curves/meltCurve_Q9P1Y5_CAMSAP3.pdf")</f>
        <v>Melting_Curves/meltCurve_Q9P1Y5_CAMSAP3.pdf</v>
      </c>
    </row>
    <row r="5138" spans="1:28" x14ac:dyDescent="0.25">
      <c r="A5138" t="s">
        <v>5142</v>
      </c>
      <c r="B5138">
        <v>0.99299721793515405</v>
      </c>
      <c r="C5138">
        <v>0.68603559230029398</v>
      </c>
      <c r="D5138">
        <v>0.71433882671471505</v>
      </c>
      <c r="E5138">
        <v>0.65090307664317604</v>
      </c>
      <c r="F5138">
        <v>0.86569641331760006</v>
      </c>
      <c r="G5138">
        <v>0.37834065922409799</v>
      </c>
      <c r="H5138">
        <v>0.23690947593019299</v>
      </c>
      <c r="I5138">
        <v>0.21770839004477999</v>
      </c>
      <c r="J5138">
        <v>0.22270168847079899</v>
      </c>
      <c r="K5138">
        <v>0.21815676920899599</v>
      </c>
      <c r="L5138">
        <v>322.06713695640099</v>
      </c>
      <c r="M5138">
        <v>6.2338871781396703</v>
      </c>
      <c r="N5138">
        <v>51.663934138144199</v>
      </c>
      <c r="O5138">
        <v>47.1094037840002</v>
      </c>
      <c r="P5138">
        <v>-3.3175393981475801E-2</v>
      </c>
      <c r="Q5138">
        <v>0</v>
      </c>
      <c r="R5138">
        <v>0.79463247300453499</v>
      </c>
      <c r="S5138" t="s">
        <v>10689</v>
      </c>
      <c r="T5138" t="s">
        <v>11100</v>
      </c>
      <c r="U5138" t="s">
        <v>11100</v>
      </c>
      <c r="V5138" t="s">
        <v>11100</v>
      </c>
      <c r="W5138" t="s">
        <v>16184</v>
      </c>
      <c r="X5138">
        <v>4</v>
      </c>
      <c r="Y5138" t="s">
        <v>21607</v>
      </c>
      <c r="Z5138" t="s">
        <v>27143</v>
      </c>
      <c r="AA5138">
        <v>0.52037594260165621</v>
      </c>
      <c r="AB5138" t="str">
        <f>HYPERLINK("Melting_Curves/meltCurve_Q9P1Z2_2_CALCOCO1.pdf", "Melting_Curves/meltCurve_Q9P1Z2_2_CALCOCO1.pdf")</f>
        <v>Melting_Curves/meltCurve_Q9P1Z2_2_CALCOCO1.pdf</v>
      </c>
    </row>
    <row r="5139" spans="1:28" x14ac:dyDescent="0.25">
      <c r="A5139" t="s">
        <v>5143</v>
      </c>
      <c r="B5139">
        <v>0.99299721793515405</v>
      </c>
      <c r="C5139">
        <v>0.977461103684513</v>
      </c>
      <c r="D5139">
        <v>1.06128964456307</v>
      </c>
      <c r="E5139">
        <v>1.01342445173051</v>
      </c>
      <c r="F5139">
        <v>0.782881632495668</v>
      </c>
      <c r="G5139">
        <v>0.67956771780249903</v>
      </c>
      <c r="H5139">
        <v>0.463283803324607</v>
      </c>
      <c r="I5139">
        <v>0.47386367424667802</v>
      </c>
      <c r="J5139">
        <v>0.46969608735625701</v>
      </c>
      <c r="K5139">
        <v>0.424427512054322</v>
      </c>
      <c r="L5139">
        <v>1157.1249194833899</v>
      </c>
      <c r="M5139">
        <v>22.1647747741555</v>
      </c>
      <c r="N5139">
        <v>57.6608382299559</v>
      </c>
      <c r="O5139">
        <v>51.786205050398202</v>
      </c>
      <c r="P5139">
        <v>-6.0073192220629498E-2</v>
      </c>
      <c r="Q5139">
        <v>0.43858759530183999</v>
      </c>
      <c r="R5139">
        <v>0.97530017709446204</v>
      </c>
      <c r="S5139" t="s">
        <v>10690</v>
      </c>
      <c r="T5139" t="s">
        <v>11100</v>
      </c>
      <c r="U5139" t="s">
        <v>11100</v>
      </c>
      <c r="V5139" t="s">
        <v>11100</v>
      </c>
      <c r="W5139" t="s">
        <v>16185</v>
      </c>
      <c r="X5139">
        <v>2</v>
      </c>
      <c r="Y5139" t="s">
        <v>21608</v>
      </c>
      <c r="Z5139" t="s">
        <v>27144</v>
      </c>
      <c r="AA5139">
        <v>0.72926375054223702</v>
      </c>
      <c r="AB5139" t="str">
        <f>HYPERLINK("Melting_Curves/meltCurve_Q9P206_KIAA1522.pdf", "Melting_Curves/meltCurve_Q9P206_KIAA1522.pdf")</f>
        <v>Melting_Curves/meltCurve_Q9P206_KIAA1522.pdf</v>
      </c>
    </row>
    <row r="5140" spans="1:28" x14ac:dyDescent="0.25">
      <c r="A5140" t="s">
        <v>5144</v>
      </c>
      <c r="B5140">
        <v>0.99299721793515405</v>
      </c>
      <c r="C5140">
        <v>1.07148554866989</v>
      </c>
      <c r="D5140">
        <v>1.22106354307815</v>
      </c>
      <c r="E5140">
        <v>0.91979404048139801</v>
      </c>
      <c r="F5140">
        <v>0.74236447390390703</v>
      </c>
      <c r="G5140">
        <v>0.59654647433317798</v>
      </c>
      <c r="H5140">
        <v>0.211124175549564</v>
      </c>
      <c r="I5140">
        <v>0.15243785602065099</v>
      </c>
      <c r="J5140">
        <v>0.122834909104978</v>
      </c>
      <c r="K5140">
        <v>0.101894142081492</v>
      </c>
      <c r="L5140">
        <v>1056.83359479399</v>
      </c>
      <c r="M5140">
        <v>19.731971688463801</v>
      </c>
      <c r="N5140">
        <v>54.012927421205902</v>
      </c>
      <c r="O5140">
        <v>53.018453451616097</v>
      </c>
      <c r="P5140">
        <v>-8.5943537895727506E-2</v>
      </c>
      <c r="Q5140">
        <v>7.6334261010203699E-2</v>
      </c>
      <c r="R5140">
        <v>0.95758918376564195</v>
      </c>
      <c r="S5140" t="s">
        <v>10691</v>
      </c>
      <c r="T5140" t="s">
        <v>11100</v>
      </c>
      <c r="U5140" t="s">
        <v>11100</v>
      </c>
      <c r="V5140" t="s">
        <v>11100</v>
      </c>
      <c r="W5140" t="s">
        <v>16186</v>
      </c>
      <c r="X5140">
        <v>30</v>
      </c>
      <c r="Y5140" t="s">
        <v>21609</v>
      </c>
      <c r="Z5140" t="s">
        <v>27145</v>
      </c>
      <c r="AA5140">
        <v>0.5977894508082463</v>
      </c>
      <c r="AB5140" t="str">
        <f>HYPERLINK("Melting_Curves/meltCurve_Q9P258_RCC2.pdf", "Melting_Curves/meltCurve_Q9P258_RCC2.pdf")</f>
        <v>Melting_Curves/meltCurve_Q9P258_RCC2.pdf</v>
      </c>
    </row>
    <row r="5141" spans="1:28" x14ac:dyDescent="0.25">
      <c r="A5141" t="s">
        <v>5145</v>
      </c>
      <c r="B5141">
        <v>0.99299721793515405</v>
      </c>
      <c r="C5141">
        <v>0.94691193946413998</v>
      </c>
      <c r="D5141">
        <v>0.89281308870586495</v>
      </c>
      <c r="E5141">
        <v>0.802013682923433</v>
      </c>
      <c r="F5141">
        <v>0.71460747897101395</v>
      </c>
      <c r="G5141">
        <v>0.605040917286359</v>
      </c>
      <c r="H5141">
        <v>0.37304879871836999</v>
      </c>
      <c r="I5141">
        <v>0.29875556199191999</v>
      </c>
      <c r="J5141">
        <v>0.30994925569405102</v>
      </c>
      <c r="K5141">
        <v>0.24141933091072099</v>
      </c>
      <c r="L5141">
        <v>477.21671617115999</v>
      </c>
      <c r="M5141">
        <v>8.86141173312995</v>
      </c>
      <c r="N5141">
        <v>55.241064628232998</v>
      </c>
      <c r="O5141">
        <v>51.322361835709202</v>
      </c>
      <c r="P5141">
        <v>-3.8888081890984902E-2</v>
      </c>
      <c r="Q5141">
        <v>9.9785716340692096E-2</v>
      </c>
      <c r="R5141">
        <v>0.98673218050485501</v>
      </c>
      <c r="S5141" t="s">
        <v>10692</v>
      </c>
      <c r="T5141" t="s">
        <v>11100</v>
      </c>
      <c r="U5141" t="s">
        <v>11100</v>
      </c>
      <c r="V5141" t="s">
        <v>11100</v>
      </c>
      <c r="W5141" t="s">
        <v>16187</v>
      </c>
      <c r="X5141">
        <v>6</v>
      </c>
      <c r="Y5141" t="s">
        <v>21610</v>
      </c>
      <c r="Z5141" t="s">
        <v>27146</v>
      </c>
      <c r="AA5141">
        <v>0.62104392416382515</v>
      </c>
      <c r="AB5141" t="str">
        <f>HYPERLINK("Melting_Curves/meltCurve_Q9P260_2_KIAA1468.pdf", "Melting_Curves/meltCurve_Q9P260_2_KIAA1468.pdf")</f>
        <v>Melting_Curves/meltCurve_Q9P260_2_KIAA1468.pdf</v>
      </c>
    </row>
    <row r="5142" spans="1:28" x14ac:dyDescent="0.25">
      <c r="A5142" t="s">
        <v>5146</v>
      </c>
      <c r="B5142">
        <v>0.99299721793515405</v>
      </c>
      <c r="C5142">
        <v>0.97804619838261597</v>
      </c>
      <c r="D5142">
        <v>0.85058829351753296</v>
      </c>
      <c r="E5142">
        <v>0.84054252539730601</v>
      </c>
      <c r="F5142">
        <v>0.71778936814082295</v>
      </c>
      <c r="G5142">
        <v>0.67811526112109499</v>
      </c>
      <c r="H5142">
        <v>0.73707805768548096</v>
      </c>
      <c r="I5142">
        <v>0.41199334557804601</v>
      </c>
      <c r="J5142">
        <v>0.35573307385384401</v>
      </c>
      <c r="K5142">
        <v>0.29816203486750897</v>
      </c>
      <c r="L5142">
        <v>379.13799066772498</v>
      </c>
      <c r="M5142">
        <v>6.3513405927135604</v>
      </c>
      <c r="N5142">
        <v>59.694167715663902</v>
      </c>
      <c r="O5142">
        <v>54.598300793466798</v>
      </c>
      <c r="P5142">
        <v>-2.9158928988792999E-2</v>
      </c>
      <c r="Q5142">
        <v>0</v>
      </c>
      <c r="R5142">
        <v>0.922046434761565</v>
      </c>
      <c r="S5142" t="s">
        <v>10693</v>
      </c>
      <c r="T5142" t="s">
        <v>11100</v>
      </c>
      <c r="U5142" t="s">
        <v>11100</v>
      </c>
      <c r="V5142" t="s">
        <v>11100</v>
      </c>
      <c r="W5142" t="s">
        <v>16188</v>
      </c>
      <c r="X5142">
        <v>11</v>
      </c>
      <c r="Y5142" t="s">
        <v>21611</v>
      </c>
      <c r="Z5142" t="s">
        <v>27147</v>
      </c>
      <c r="AA5142">
        <v>0.69670759141947769</v>
      </c>
      <c r="AB5142" t="str">
        <f>HYPERLINK("Melting_Curves/meltCurve_Q9P265_DIP2B.pdf", "Melting_Curves/meltCurve_Q9P265_DIP2B.pdf")</f>
        <v>Melting_Curves/meltCurve_Q9P265_DIP2B.pdf</v>
      </c>
    </row>
    <row r="5143" spans="1:28" x14ac:dyDescent="0.25">
      <c r="A5143" t="s">
        <v>5147</v>
      </c>
      <c r="B5143">
        <v>0.99299721793515405</v>
      </c>
      <c r="C5143">
        <v>0.77643863972556704</v>
      </c>
      <c r="D5143">
        <v>0.84932299099326403</v>
      </c>
      <c r="E5143">
        <v>0.67474029937236901</v>
      </c>
      <c r="F5143">
        <v>0.53674347442600301</v>
      </c>
      <c r="G5143">
        <v>0.242065968406419</v>
      </c>
      <c r="H5143">
        <v>0.228208780502453</v>
      </c>
      <c r="I5143">
        <v>0.27333260872398302</v>
      </c>
      <c r="J5143">
        <v>0.26151364694551399</v>
      </c>
      <c r="K5143">
        <v>0.32246577613282701</v>
      </c>
      <c r="L5143">
        <v>582.72149631723801</v>
      </c>
      <c r="M5143">
        <v>12.399842323251301</v>
      </c>
      <c r="N5143">
        <v>49.355231901977497</v>
      </c>
      <c r="O5143">
        <v>45.822194721436802</v>
      </c>
      <c r="P5143">
        <v>-5.2528518116346901E-2</v>
      </c>
      <c r="Q5143">
        <v>0.223712345917082</v>
      </c>
      <c r="R5143">
        <v>0.92715178121502995</v>
      </c>
      <c r="S5143" t="s">
        <v>10694</v>
      </c>
      <c r="T5143" t="s">
        <v>11100</v>
      </c>
      <c r="U5143" t="s">
        <v>11100</v>
      </c>
      <c r="V5143" t="s">
        <v>11100</v>
      </c>
      <c r="W5143" t="s">
        <v>16189</v>
      </c>
      <c r="X5143">
        <v>1</v>
      </c>
      <c r="Y5143" t="s">
        <v>21612</v>
      </c>
      <c r="Z5143" t="s">
        <v>27148</v>
      </c>
      <c r="AA5143">
        <v>0.50653279454045375</v>
      </c>
      <c r="AB5143" t="str">
        <f>HYPERLINK("Melting_Curves/meltCurve_Q9P266_KIAA1462.pdf", "Melting_Curves/meltCurve_Q9P266_KIAA1462.pdf")</f>
        <v>Melting_Curves/meltCurve_Q9P266_KIAA1462.pdf</v>
      </c>
    </row>
    <row r="5144" spans="1:28" x14ac:dyDescent="0.25">
      <c r="A5144" t="s">
        <v>5148</v>
      </c>
      <c r="B5144">
        <v>0.99299721793515405</v>
      </c>
      <c r="C5144">
        <v>0.81193731235794098</v>
      </c>
      <c r="D5144">
        <v>0.86051062074831897</v>
      </c>
      <c r="E5144">
        <v>0.71410169786157895</v>
      </c>
      <c r="F5144">
        <v>0.79858623141798302</v>
      </c>
      <c r="G5144">
        <v>0.36408066072723599</v>
      </c>
      <c r="H5144">
        <v>0.63001194294436402</v>
      </c>
      <c r="I5144">
        <v>0.74135644827965197</v>
      </c>
      <c r="J5144">
        <v>0.96412165344073697</v>
      </c>
      <c r="K5144">
        <v>0.80007325304986598</v>
      </c>
      <c r="L5144">
        <v>768.04721701531298</v>
      </c>
      <c r="M5144">
        <v>19.024180398794702</v>
      </c>
      <c r="O5144">
        <v>39.934008403821402</v>
      </c>
      <c r="P5144">
        <v>-3.3700445557062197E-2</v>
      </c>
      <c r="Q5144">
        <v>0.71704632852758499</v>
      </c>
      <c r="R5144">
        <v>0.23602773334315399</v>
      </c>
      <c r="S5144" t="s">
        <v>10695</v>
      </c>
      <c r="T5144" t="s">
        <v>11100</v>
      </c>
      <c r="U5144" t="s">
        <v>11100</v>
      </c>
      <c r="V5144" t="s">
        <v>11100</v>
      </c>
      <c r="W5144" t="s">
        <v>16190</v>
      </c>
      <c r="X5144">
        <v>7</v>
      </c>
      <c r="Y5144" t="s">
        <v>21613</v>
      </c>
      <c r="Z5144" t="s">
        <v>27149</v>
      </c>
      <c r="AA5144">
        <v>0.75491715094826439</v>
      </c>
      <c r="AB5144" t="str">
        <f>HYPERLINK("Melting_Curves/meltCurve_Q9P270_SLAIN2.pdf", "Melting_Curves/meltCurve_Q9P270_SLAIN2.pdf")</f>
        <v>Melting_Curves/meltCurve_Q9P270_SLAIN2.pdf</v>
      </c>
    </row>
    <row r="5145" spans="1:28" x14ac:dyDescent="0.25">
      <c r="A5145" t="s">
        <v>5149</v>
      </c>
      <c r="B5145">
        <v>0.99299721793515405</v>
      </c>
      <c r="C5145">
        <v>1.1481515293551201</v>
      </c>
      <c r="D5145">
        <v>1.62258798038788</v>
      </c>
      <c r="E5145">
        <v>1.05152543553897</v>
      </c>
      <c r="F5145">
        <v>0.77748716911052596</v>
      </c>
      <c r="G5145">
        <v>0.82113027466210697</v>
      </c>
      <c r="H5145">
        <v>0.31926724881944402</v>
      </c>
      <c r="I5145">
        <v>0.22234739348678301</v>
      </c>
      <c r="J5145">
        <v>0.185329096676594</v>
      </c>
      <c r="K5145">
        <v>0.148673690985897</v>
      </c>
      <c r="L5145">
        <v>1532.1625863439599</v>
      </c>
      <c r="M5145">
        <v>27.692680605300801</v>
      </c>
      <c r="N5145">
        <v>56.039340140859402</v>
      </c>
      <c r="O5145">
        <v>55.041250081976102</v>
      </c>
      <c r="P5145">
        <v>-0.107128526164375</v>
      </c>
      <c r="Q5145">
        <v>0.14830416890186701</v>
      </c>
      <c r="R5145">
        <v>0.79445901530945096</v>
      </c>
      <c r="S5145" t="s">
        <v>10696</v>
      </c>
      <c r="T5145" t="s">
        <v>11100</v>
      </c>
      <c r="U5145" t="s">
        <v>11100</v>
      </c>
      <c r="V5145" t="s">
        <v>11100</v>
      </c>
      <c r="W5145" t="s">
        <v>16191</v>
      </c>
      <c r="X5145">
        <v>9</v>
      </c>
      <c r="Y5145" t="s">
        <v>21614</v>
      </c>
      <c r="Z5145" t="s">
        <v>27150</v>
      </c>
      <c r="AA5145">
        <v>0.67474721298013085</v>
      </c>
      <c r="AB5145" t="str">
        <f>HYPERLINK("Melting_Curves/meltCurve_Q9P287_2_BCCIP.pdf", "Melting_Curves/meltCurve_Q9P287_2_BCCIP.pdf")</f>
        <v>Melting_Curves/meltCurve_Q9P287_2_BCCIP.pdf</v>
      </c>
    </row>
    <row r="5146" spans="1:28" x14ac:dyDescent="0.25">
      <c r="A5146" t="s">
        <v>5150</v>
      </c>
      <c r="B5146">
        <v>0.99299721793515405</v>
      </c>
      <c r="C5146">
        <v>0.92049500257769301</v>
      </c>
      <c r="D5146">
        <v>0.90578758496775602</v>
      </c>
      <c r="E5146">
        <v>0.76532256237950402</v>
      </c>
      <c r="F5146">
        <v>0.68740295728952105</v>
      </c>
      <c r="G5146">
        <v>0.639962457973691</v>
      </c>
      <c r="H5146">
        <v>0.660063470830627</v>
      </c>
      <c r="I5146">
        <v>0.68716498887216404</v>
      </c>
      <c r="J5146">
        <v>0.55613368661610696</v>
      </c>
      <c r="K5146">
        <v>0.468191375030927</v>
      </c>
      <c r="L5146">
        <v>369.69156639858198</v>
      </c>
      <c r="M5146">
        <v>7.49812394438898</v>
      </c>
      <c r="O5146">
        <v>46.163028801490803</v>
      </c>
      <c r="P5146">
        <v>-2.0926599827207199E-2</v>
      </c>
      <c r="Q5146">
        <v>0.48539289747578201</v>
      </c>
      <c r="R5146">
        <v>0.90466977691971395</v>
      </c>
      <c r="S5146" t="s">
        <v>10697</v>
      </c>
      <c r="T5146" t="s">
        <v>11100</v>
      </c>
      <c r="U5146" t="s">
        <v>11100</v>
      </c>
      <c r="V5146" t="s">
        <v>11100</v>
      </c>
      <c r="W5146" t="s">
        <v>16192</v>
      </c>
      <c r="X5146">
        <v>20</v>
      </c>
      <c r="Y5146" t="s">
        <v>21615</v>
      </c>
      <c r="Z5146" t="s">
        <v>27151</v>
      </c>
      <c r="AA5146">
        <v>0.72068986804439605</v>
      </c>
      <c r="AB5146" t="str">
        <f>HYPERLINK("Melting_Curves/meltCurve_Q9P2B2_PTGFRN.pdf", "Melting_Curves/meltCurve_Q9P2B2_PTGFRN.pdf")</f>
        <v>Melting_Curves/meltCurve_Q9P2B2_PTGFRN.pdf</v>
      </c>
    </row>
    <row r="5147" spans="1:28" x14ac:dyDescent="0.25">
      <c r="A5147" t="s">
        <v>5151</v>
      </c>
      <c r="B5147">
        <v>0.99299721793515405</v>
      </c>
      <c r="C5147">
        <v>1.2092502409318699</v>
      </c>
      <c r="D5147">
        <v>0.99271931876552399</v>
      </c>
      <c r="E5147">
        <v>1.0656097482062801</v>
      </c>
      <c r="F5147">
        <v>0.87967265209503198</v>
      </c>
      <c r="G5147">
        <v>0.52412257505210702</v>
      </c>
      <c r="H5147">
        <v>0.49388663298812002</v>
      </c>
      <c r="I5147">
        <v>0.41103538429643</v>
      </c>
      <c r="J5147">
        <v>0.33434534414015699</v>
      </c>
      <c r="K5147">
        <v>0.25795664554161801</v>
      </c>
      <c r="L5147">
        <v>1405.7139248106901</v>
      </c>
      <c r="M5147">
        <v>26.6636769465619</v>
      </c>
      <c r="N5147">
        <v>55.083868895924603</v>
      </c>
      <c r="O5147">
        <v>52.426322309128501</v>
      </c>
      <c r="P5147">
        <v>-8.3822938904611899E-2</v>
      </c>
      <c r="Q5147">
        <v>0.34075375583272799</v>
      </c>
      <c r="R5147">
        <v>0.93281600909282503</v>
      </c>
      <c r="S5147" t="s">
        <v>10698</v>
      </c>
      <c r="T5147" t="s">
        <v>11100</v>
      </c>
      <c r="U5147" t="s">
        <v>11100</v>
      </c>
      <c r="V5147" t="s">
        <v>11100</v>
      </c>
      <c r="W5147" t="s">
        <v>16193</v>
      </c>
      <c r="X5147">
        <v>1</v>
      </c>
      <c r="Y5147" t="s">
        <v>21616</v>
      </c>
      <c r="Z5147" t="s">
        <v>27152</v>
      </c>
      <c r="AA5147">
        <v>0.69140789844017558</v>
      </c>
      <c r="AB5147" t="str">
        <f>HYPERLINK("Melting_Curves/meltCurve_Q9P2B4_CTTNBP2NL.pdf", "Melting_Curves/meltCurve_Q9P2B4_CTTNBP2NL.pdf")</f>
        <v>Melting_Curves/meltCurve_Q9P2B4_CTTNBP2NL.pdf</v>
      </c>
    </row>
    <row r="5148" spans="1:28" x14ac:dyDescent="0.25">
      <c r="A5148" t="s">
        <v>5152</v>
      </c>
      <c r="B5148">
        <v>0.99299721793515405</v>
      </c>
      <c r="C5148">
        <v>0.82718283756479305</v>
      </c>
      <c r="D5148">
        <v>1.02876671790906</v>
      </c>
      <c r="E5148">
        <v>0.81490387028376499</v>
      </c>
      <c r="F5148">
        <v>0.54993488402800095</v>
      </c>
      <c r="G5148">
        <v>0.463344460369702</v>
      </c>
      <c r="H5148">
        <v>0.34416957313673702</v>
      </c>
      <c r="I5148">
        <v>0.34177569765375498</v>
      </c>
      <c r="J5148">
        <v>0.32313024084074798</v>
      </c>
      <c r="K5148">
        <v>0.20940280297043901</v>
      </c>
      <c r="L5148">
        <v>751.400454772167</v>
      </c>
      <c r="M5148">
        <v>15.1345602668993</v>
      </c>
      <c r="N5148">
        <v>52.228174987900601</v>
      </c>
      <c r="O5148">
        <v>48.805399629791403</v>
      </c>
      <c r="P5148">
        <v>-5.7120716246067203E-2</v>
      </c>
      <c r="Q5148">
        <v>0.263268346501146</v>
      </c>
      <c r="R5148">
        <v>0.94668070066682697</v>
      </c>
      <c r="S5148" t="s">
        <v>10699</v>
      </c>
      <c r="T5148" t="s">
        <v>11100</v>
      </c>
      <c r="U5148" t="s">
        <v>11100</v>
      </c>
      <c r="V5148" t="s">
        <v>11100</v>
      </c>
      <c r="W5148" t="s">
        <v>16194</v>
      </c>
      <c r="X5148">
        <v>2</v>
      </c>
      <c r="Y5148" t="s">
        <v>21617</v>
      </c>
      <c r="Z5148" t="s">
        <v>27153</v>
      </c>
      <c r="AA5148">
        <v>0.58923659166667752</v>
      </c>
      <c r="AB5148" t="str">
        <f>HYPERLINK("Melting_Curves/meltCurve_Q9P2D1_4_CHD7.pdf", "Melting_Curves/meltCurve_Q9P2D1_4_CHD7.pdf")</f>
        <v>Melting_Curves/meltCurve_Q9P2D1_4_CHD7.pdf</v>
      </c>
    </row>
    <row r="5149" spans="1:28" x14ac:dyDescent="0.25">
      <c r="A5149" t="s">
        <v>5153</v>
      </c>
      <c r="B5149">
        <v>0.99299721793515405</v>
      </c>
      <c r="C5149">
        <v>0.88675077288980497</v>
      </c>
      <c r="D5149">
        <v>1.0034407812331201</v>
      </c>
      <c r="E5149">
        <v>1.1881524320658301</v>
      </c>
      <c r="F5149">
        <v>0.44690427173625902</v>
      </c>
      <c r="G5149">
        <v>0.36369155343342402</v>
      </c>
      <c r="H5149">
        <v>0.12170886646288499</v>
      </c>
      <c r="I5149">
        <v>9.2160806020609706E-2</v>
      </c>
      <c r="J5149">
        <v>6.7566529443385204E-2</v>
      </c>
      <c r="K5149">
        <v>0.152910805398011</v>
      </c>
      <c r="L5149">
        <v>6654.17205535433</v>
      </c>
      <c r="M5149">
        <v>133.207494779764</v>
      </c>
      <c r="N5149">
        <v>50.098002145266101</v>
      </c>
      <c r="O5149">
        <v>49.942185232390599</v>
      </c>
      <c r="P5149">
        <v>-0.56040002591420701</v>
      </c>
      <c r="Q5149">
        <v>0.159578875152809</v>
      </c>
      <c r="R5149">
        <v>0.94025145509105501</v>
      </c>
      <c r="S5149" t="s">
        <v>10700</v>
      </c>
      <c r="T5149" t="s">
        <v>11100</v>
      </c>
      <c r="U5149" t="s">
        <v>11100</v>
      </c>
      <c r="V5149" t="s">
        <v>11100</v>
      </c>
      <c r="W5149" t="s">
        <v>16195</v>
      </c>
      <c r="X5149">
        <v>1</v>
      </c>
      <c r="Y5149" t="s">
        <v>21618</v>
      </c>
      <c r="Z5149" t="s">
        <v>27154</v>
      </c>
      <c r="AA5149">
        <v>0.52271657238535929</v>
      </c>
      <c r="AB5149" t="str">
        <f>HYPERLINK("Melting_Curves/meltCurve_Q9P2D3_3_HEATR5B.pdf", "Melting_Curves/meltCurve_Q9P2D3_3_HEATR5B.pdf")</f>
        <v>Melting_Curves/meltCurve_Q9P2D3_3_HEATR5B.pdf</v>
      </c>
    </row>
    <row r="5150" spans="1:28" x14ac:dyDescent="0.25">
      <c r="A5150" t="s">
        <v>5154</v>
      </c>
      <c r="B5150">
        <v>0.99299721793515405</v>
      </c>
      <c r="C5150">
        <v>0.95695210846726497</v>
      </c>
      <c r="D5150">
        <v>0.84843748654819195</v>
      </c>
      <c r="E5150">
        <v>0.92751865759807905</v>
      </c>
      <c r="F5150">
        <v>0.70469251465308202</v>
      </c>
      <c r="G5150">
        <v>0.48316444818183701</v>
      </c>
      <c r="H5150">
        <v>0.59344817398928595</v>
      </c>
      <c r="I5150">
        <v>0.36439082149545898</v>
      </c>
      <c r="J5150">
        <v>0.146390545572091</v>
      </c>
      <c r="K5150">
        <v>0.13553991898727499</v>
      </c>
      <c r="L5150">
        <v>500.13327081427298</v>
      </c>
      <c r="M5150">
        <v>8.9674850197764897</v>
      </c>
      <c r="N5150">
        <v>55.771853811611201</v>
      </c>
      <c r="O5150">
        <v>53.207740841866098</v>
      </c>
      <c r="P5150">
        <v>-4.2165336373520997E-2</v>
      </c>
      <c r="Q5150">
        <v>0</v>
      </c>
      <c r="R5150">
        <v>0.93603127782550999</v>
      </c>
      <c r="S5150" t="s">
        <v>10701</v>
      </c>
      <c r="T5150" t="s">
        <v>11100</v>
      </c>
      <c r="U5150" t="s">
        <v>11100</v>
      </c>
      <c r="V5150" t="s">
        <v>11100</v>
      </c>
      <c r="W5150" t="s">
        <v>16196</v>
      </c>
      <c r="X5150">
        <v>1</v>
      </c>
      <c r="Y5150" t="s">
        <v>21619</v>
      </c>
      <c r="Z5150" t="s">
        <v>27155</v>
      </c>
      <c r="AA5150">
        <v>0.63014064315506146</v>
      </c>
      <c r="AB5150" t="str">
        <f>HYPERLINK("Melting_Curves/meltCurve_Q9P2D7_5_DNAH1.pdf", "Melting_Curves/meltCurve_Q9P2D7_5_DNAH1.pdf")</f>
        <v>Melting_Curves/meltCurve_Q9P2D7_5_DNAH1.pdf</v>
      </c>
    </row>
    <row r="5151" spans="1:28" x14ac:dyDescent="0.25">
      <c r="A5151" t="s">
        <v>5155</v>
      </c>
      <c r="B5151">
        <v>0.99299721793515405</v>
      </c>
      <c r="C5151">
        <v>0.87489649283134396</v>
      </c>
      <c r="D5151">
        <v>0.90917605128750001</v>
      </c>
      <c r="E5151">
        <v>0.82098431384339399</v>
      </c>
      <c r="F5151">
        <v>0.69461664267612699</v>
      </c>
      <c r="G5151">
        <v>0.45045564801374999</v>
      </c>
      <c r="H5151">
        <v>0.30355093266630301</v>
      </c>
      <c r="I5151">
        <v>0.21063870696499301</v>
      </c>
      <c r="J5151">
        <v>0.22317663941836499</v>
      </c>
      <c r="K5151">
        <v>0.18015240387137499</v>
      </c>
      <c r="L5151">
        <v>596.97801177811903</v>
      </c>
      <c r="M5151">
        <v>11.476669860678401</v>
      </c>
      <c r="N5151">
        <v>53.074622902325103</v>
      </c>
      <c r="O5151">
        <v>50.5125399630058</v>
      </c>
      <c r="P5151">
        <v>-5.1008094356570402E-2</v>
      </c>
      <c r="Q5151">
        <v>0.102244635059193</v>
      </c>
      <c r="R5151">
        <v>0.98354324282657601</v>
      </c>
      <c r="S5151" t="s">
        <v>10702</v>
      </c>
      <c r="T5151" t="s">
        <v>11100</v>
      </c>
      <c r="U5151" t="s">
        <v>11100</v>
      </c>
      <c r="V5151" t="s">
        <v>11100</v>
      </c>
      <c r="W5151" t="s">
        <v>16197</v>
      </c>
      <c r="X5151">
        <v>20</v>
      </c>
      <c r="Y5151" t="s">
        <v>21620</v>
      </c>
      <c r="Z5151" t="s">
        <v>27156</v>
      </c>
      <c r="AA5151">
        <v>0.57362826831214531</v>
      </c>
      <c r="AB5151" t="str">
        <f>HYPERLINK("Melting_Curves/meltCurve_Q9P2E9_RRBP1.pdf", "Melting_Curves/meltCurve_Q9P2E9_RRBP1.pdf")</f>
        <v>Melting_Curves/meltCurve_Q9P2E9_RRBP1.pdf</v>
      </c>
    </row>
    <row r="5152" spans="1:28" x14ac:dyDescent="0.25">
      <c r="A5152" t="s">
        <v>5156</v>
      </c>
      <c r="B5152">
        <v>0.99299721793515405</v>
      </c>
      <c r="C5152">
        <v>0.94001326395043105</v>
      </c>
      <c r="D5152">
        <v>0.80455946481798402</v>
      </c>
      <c r="E5152">
        <v>0.80295856240004304</v>
      </c>
      <c r="F5152">
        <v>0.72379919563407402</v>
      </c>
      <c r="G5152">
        <v>0.54720129013109398</v>
      </c>
      <c r="H5152">
        <v>0.35833965707841298</v>
      </c>
      <c r="I5152">
        <v>0.31013823701534099</v>
      </c>
      <c r="J5152">
        <v>0.212557489667698</v>
      </c>
      <c r="K5152">
        <v>0.16707001989598699</v>
      </c>
      <c r="L5152">
        <v>440.53227218307802</v>
      </c>
      <c r="M5152">
        <v>8.0900247609526001</v>
      </c>
      <c r="N5152">
        <v>54.453769234245001</v>
      </c>
      <c r="O5152">
        <v>51.429368685782599</v>
      </c>
      <c r="P5152">
        <v>-3.9368562188725503E-2</v>
      </c>
      <c r="Q5152">
        <v>0</v>
      </c>
      <c r="R5152">
        <v>0.98245533847570199</v>
      </c>
      <c r="S5152" t="s">
        <v>10703</v>
      </c>
      <c r="T5152" t="s">
        <v>11100</v>
      </c>
      <c r="U5152" t="s">
        <v>11100</v>
      </c>
      <c r="V5152" t="s">
        <v>11100</v>
      </c>
      <c r="W5152" t="s">
        <v>16198</v>
      </c>
      <c r="X5152">
        <v>7</v>
      </c>
      <c r="Y5152" t="s">
        <v>21621</v>
      </c>
      <c r="Z5152" t="s">
        <v>27157</v>
      </c>
      <c r="AA5152">
        <v>0.59319525251898664</v>
      </c>
      <c r="AB5152" t="str">
        <f>HYPERLINK("Melting_Curves/meltCurve_Q9P2I0_CPSF2.pdf", "Melting_Curves/meltCurve_Q9P2I0_CPSF2.pdf")</f>
        <v>Melting_Curves/meltCurve_Q9P2I0_CPSF2.pdf</v>
      </c>
    </row>
    <row r="5153" spans="1:28" x14ac:dyDescent="0.25">
      <c r="A5153" t="s">
        <v>5157</v>
      </c>
      <c r="B5153">
        <v>0.99299721793515405</v>
      </c>
      <c r="C5153">
        <v>0.92002186707717903</v>
      </c>
      <c r="D5153">
        <v>0.98677708226615801</v>
      </c>
      <c r="E5153">
        <v>0.86951437874058002</v>
      </c>
      <c r="F5153">
        <v>0.84330752320105695</v>
      </c>
      <c r="G5153">
        <v>0.70977467485485501</v>
      </c>
      <c r="H5153">
        <v>0.43139719719014702</v>
      </c>
      <c r="I5153">
        <v>0.39918315846569802</v>
      </c>
      <c r="J5153">
        <v>0.352164228471747</v>
      </c>
      <c r="K5153">
        <v>0.37261940781594799</v>
      </c>
      <c r="L5153">
        <v>816.127395182952</v>
      </c>
      <c r="M5153">
        <v>15.188744826264699</v>
      </c>
      <c r="N5153">
        <v>57.319009738727502</v>
      </c>
      <c r="O5153">
        <v>52.826783685784697</v>
      </c>
      <c r="P5153">
        <v>-4.9838513020756502E-2</v>
      </c>
      <c r="Q5153">
        <v>0.30670893177406899</v>
      </c>
      <c r="R5153">
        <v>0.96925305154380803</v>
      </c>
      <c r="S5153" t="s">
        <v>10704</v>
      </c>
      <c r="T5153" t="s">
        <v>11100</v>
      </c>
      <c r="U5153" t="s">
        <v>11100</v>
      </c>
      <c r="V5153" t="s">
        <v>11100</v>
      </c>
      <c r="W5153" t="s">
        <v>16199</v>
      </c>
      <c r="X5153">
        <v>27</v>
      </c>
      <c r="Y5153" t="s">
        <v>21622</v>
      </c>
      <c r="Z5153" t="s">
        <v>27158</v>
      </c>
      <c r="AA5153">
        <v>0.70483710453996984</v>
      </c>
      <c r="AB5153" t="str">
        <f>HYPERLINK("Melting_Curves/meltCurve_Q9P2M7_CGN.pdf", "Melting_Curves/meltCurve_Q9P2M7_CGN.pdf")</f>
        <v>Melting_Curves/meltCurve_Q9P2M7_CGN.pdf</v>
      </c>
    </row>
    <row r="5154" spans="1:28" x14ac:dyDescent="0.25">
      <c r="A5154" t="s">
        <v>5158</v>
      </c>
      <c r="B5154">
        <v>0.99299721793515405</v>
      </c>
      <c r="C5154">
        <v>0.952684983769857</v>
      </c>
      <c r="D5154">
        <v>1.05578866425642</v>
      </c>
      <c r="E5154">
        <v>0.67744273112972497</v>
      </c>
      <c r="F5154">
        <v>0.57251076514214505</v>
      </c>
      <c r="G5154">
        <v>0.35036177282652198</v>
      </c>
      <c r="H5154">
        <v>0.215148155569404</v>
      </c>
      <c r="I5154">
        <v>0.20469243965133599</v>
      </c>
      <c r="J5154">
        <v>0.189179624005131</v>
      </c>
      <c r="K5154">
        <v>0.17840716520008801</v>
      </c>
      <c r="L5154">
        <v>811.16489843568604</v>
      </c>
      <c r="M5154">
        <v>16.4215359633045</v>
      </c>
      <c r="N5154">
        <v>50.643423740529698</v>
      </c>
      <c r="O5154">
        <v>48.681318580845797</v>
      </c>
      <c r="P5154">
        <v>-7.0312723414384604E-2</v>
      </c>
      <c r="Q5154">
        <v>0.16629632133356601</v>
      </c>
      <c r="R5154">
        <v>0.97602720392553599</v>
      </c>
      <c r="S5154" t="s">
        <v>10705</v>
      </c>
      <c r="T5154" t="s">
        <v>11100</v>
      </c>
      <c r="U5154" t="s">
        <v>11100</v>
      </c>
      <c r="V5154" t="s">
        <v>11100</v>
      </c>
      <c r="W5154" t="s">
        <v>16200</v>
      </c>
      <c r="X5154">
        <v>7</v>
      </c>
      <c r="Y5154" t="s">
        <v>21623</v>
      </c>
      <c r="Z5154" t="s">
        <v>27159</v>
      </c>
      <c r="AA5154">
        <v>0.52618835096280347</v>
      </c>
      <c r="AB5154" t="str">
        <f>HYPERLINK("Melting_Curves/meltCurve_Q9P2N5_RBM27.pdf", "Melting_Curves/meltCurve_Q9P2N5_RBM27.pdf")</f>
        <v>Melting_Curves/meltCurve_Q9P2N5_RBM27.pdf</v>
      </c>
    </row>
    <row r="5155" spans="1:28" x14ac:dyDescent="0.25">
      <c r="A5155" t="s">
        <v>5159</v>
      </c>
      <c r="B5155">
        <v>0.99299721793515405</v>
      </c>
      <c r="C5155">
        <v>1.0052622397608599</v>
      </c>
      <c r="D5155">
        <v>1.0452554805668499</v>
      </c>
      <c r="E5155">
        <v>0.91733975447574301</v>
      </c>
      <c r="F5155">
        <v>0.55158908940721096</v>
      </c>
      <c r="G5155">
        <v>0.19901098624946201</v>
      </c>
      <c r="H5155">
        <v>0.14160876316934101</v>
      </c>
      <c r="I5155">
        <v>0.12354799260080999</v>
      </c>
      <c r="J5155">
        <v>0.109276034337452</v>
      </c>
      <c r="K5155">
        <v>0.11095989439275999</v>
      </c>
      <c r="L5155">
        <v>1597.10406982975</v>
      </c>
      <c r="M5155">
        <v>31.858700529374602</v>
      </c>
      <c r="N5155">
        <v>50.5465302405279</v>
      </c>
      <c r="O5155">
        <v>49.934588543171998</v>
      </c>
      <c r="P5155">
        <v>-0.14112178183318899</v>
      </c>
      <c r="Q5155">
        <v>0.115240586266124</v>
      </c>
      <c r="R5155">
        <v>0.99820866810019304</v>
      </c>
      <c r="S5155" t="s">
        <v>10706</v>
      </c>
      <c r="T5155" t="s">
        <v>11100</v>
      </c>
      <c r="U5155" t="s">
        <v>11100</v>
      </c>
      <c r="V5155" t="s">
        <v>11100</v>
      </c>
      <c r="W5155" t="s">
        <v>16201</v>
      </c>
      <c r="X5155">
        <v>13</v>
      </c>
      <c r="Y5155" t="s">
        <v>21624</v>
      </c>
      <c r="Z5155" t="s">
        <v>27160</v>
      </c>
      <c r="AA5155">
        <v>0.50732564362537036</v>
      </c>
      <c r="AB5155" t="str">
        <f>HYPERLINK("Melting_Curves/meltCurve_Q9P2R3_ANKFY1.pdf", "Melting_Curves/meltCurve_Q9P2R3_ANKFY1.pdf")</f>
        <v>Melting_Curves/meltCurve_Q9P2R3_ANKFY1.pdf</v>
      </c>
    </row>
    <row r="5156" spans="1:28" x14ac:dyDescent="0.25">
      <c r="A5156" t="s">
        <v>5160</v>
      </c>
      <c r="B5156">
        <v>0.99299721793515405</v>
      </c>
      <c r="C5156">
        <v>1.04697033257359</v>
      </c>
      <c r="D5156">
        <v>0.94209461777763204</v>
      </c>
      <c r="E5156">
        <v>0.83396768542969102</v>
      </c>
      <c r="F5156">
        <v>0.59111267729412498</v>
      </c>
      <c r="G5156">
        <v>0.37689711835793899</v>
      </c>
      <c r="H5156">
        <v>0.30126464358286298</v>
      </c>
      <c r="I5156">
        <v>0.29677395866069001</v>
      </c>
      <c r="J5156">
        <v>0.24342122866944299</v>
      </c>
      <c r="K5156">
        <v>0.19135108438691401</v>
      </c>
      <c r="L5156">
        <v>889.56467628323901</v>
      </c>
      <c r="M5156">
        <v>17.829961506997499</v>
      </c>
      <c r="N5156">
        <v>51.622272795300297</v>
      </c>
      <c r="O5156">
        <v>49.276670337469</v>
      </c>
      <c r="P5156">
        <v>-7.0110439308495198E-2</v>
      </c>
      <c r="Q5156">
        <v>0.22498273849435799</v>
      </c>
      <c r="R5156">
        <v>0.99305233947011395</v>
      </c>
      <c r="S5156" t="s">
        <v>10707</v>
      </c>
      <c r="T5156" t="s">
        <v>11100</v>
      </c>
      <c r="U5156" t="s">
        <v>11100</v>
      </c>
      <c r="V5156" t="s">
        <v>11100</v>
      </c>
      <c r="W5156" t="s">
        <v>16202</v>
      </c>
      <c r="X5156">
        <v>5</v>
      </c>
      <c r="Y5156" t="s">
        <v>21625</v>
      </c>
      <c r="Z5156" t="s">
        <v>27161</v>
      </c>
      <c r="AA5156">
        <v>0.57044131596016989</v>
      </c>
      <c r="AB5156" t="str">
        <f>HYPERLINK("Melting_Curves/meltCurve_Q9P2W1_2_PSMC3IP.pdf", "Melting_Curves/meltCurve_Q9P2W1_2_PSMC3IP.pdf")</f>
        <v>Melting_Curves/meltCurve_Q9P2W1_2_PSMC3IP.pdf</v>
      </c>
    </row>
    <row r="5157" spans="1:28" x14ac:dyDescent="0.25">
      <c r="A5157" t="s">
        <v>5161</v>
      </c>
      <c r="B5157">
        <v>0.99299721793515405</v>
      </c>
      <c r="C5157">
        <v>1.0411768355417701</v>
      </c>
      <c r="D5157">
        <v>1.0310166018048299</v>
      </c>
      <c r="E5157">
        <v>0.85632436554895197</v>
      </c>
      <c r="F5157">
        <v>0.87767395569996498</v>
      </c>
      <c r="G5157">
        <v>0.65547776343965103</v>
      </c>
      <c r="H5157">
        <v>0.65146229502000796</v>
      </c>
      <c r="I5157">
        <v>0.70902338595896996</v>
      </c>
      <c r="J5157">
        <v>0.55743481232370495</v>
      </c>
      <c r="K5157">
        <v>0.41423071518794302</v>
      </c>
      <c r="L5157">
        <v>424.78333403052602</v>
      </c>
      <c r="M5157">
        <v>7.1441193101337097</v>
      </c>
      <c r="N5157">
        <v>65.840031302637598</v>
      </c>
      <c r="O5157">
        <v>55.328920092525202</v>
      </c>
      <c r="P5157">
        <v>-2.4258096014246101E-2</v>
      </c>
      <c r="Q5157">
        <v>0.249805607698601</v>
      </c>
      <c r="R5157">
        <v>0.89237527421096696</v>
      </c>
      <c r="S5157" t="s">
        <v>10708</v>
      </c>
      <c r="T5157" t="s">
        <v>11100</v>
      </c>
      <c r="U5157" t="s">
        <v>11100</v>
      </c>
      <c r="V5157" t="s">
        <v>11100</v>
      </c>
      <c r="W5157" t="s">
        <v>16203</v>
      </c>
      <c r="X5157">
        <v>2</v>
      </c>
      <c r="Y5157" t="s">
        <v>21626</v>
      </c>
      <c r="Z5157" t="s">
        <v>27162</v>
      </c>
      <c r="AA5157">
        <v>0.77681443189805577</v>
      </c>
      <c r="AB5157" t="str">
        <f>HYPERLINK("Melting_Curves/meltCurve_Q9P2X0_DPM3.pdf", "Melting_Curves/meltCurve_Q9P2X0_DPM3.pdf")</f>
        <v>Melting_Curves/meltCurve_Q9P2X0_DPM3.pdf</v>
      </c>
    </row>
    <row r="5158" spans="1:28" x14ac:dyDescent="0.25">
      <c r="A5158" t="s">
        <v>5162</v>
      </c>
      <c r="B5158">
        <v>0.99299721793515405</v>
      </c>
      <c r="C5158">
        <v>1.1550838179674601</v>
      </c>
      <c r="D5158">
        <v>0.95047000991043595</v>
      </c>
      <c r="E5158">
        <v>0.98243311319448201</v>
      </c>
      <c r="F5158">
        <v>0.88411687376965398</v>
      </c>
      <c r="G5158">
        <v>0.570787509711009</v>
      </c>
      <c r="H5158">
        <v>0.27533245595824601</v>
      </c>
      <c r="I5158">
        <v>0.14788618056776801</v>
      </c>
      <c r="J5158">
        <v>0.135479430796309</v>
      </c>
      <c r="K5158">
        <v>9.4448703312587506E-2</v>
      </c>
      <c r="L5158">
        <v>1320.4584190451101</v>
      </c>
      <c r="M5158">
        <v>24.436761068891499</v>
      </c>
      <c r="N5158">
        <v>54.532750431501</v>
      </c>
      <c r="O5158">
        <v>53.677773389272701</v>
      </c>
      <c r="P5158">
        <v>-0.10245197375145999</v>
      </c>
      <c r="Q5158">
        <v>9.9829497596241296E-2</v>
      </c>
      <c r="R5158">
        <v>0.98306441464187899</v>
      </c>
      <c r="S5158" t="s">
        <v>10709</v>
      </c>
      <c r="T5158" t="s">
        <v>11100</v>
      </c>
      <c r="U5158" t="s">
        <v>11100</v>
      </c>
      <c r="V5158" t="s">
        <v>11100</v>
      </c>
      <c r="W5158" t="s">
        <v>16204</v>
      </c>
      <c r="X5158">
        <v>19</v>
      </c>
      <c r="Y5158" t="s">
        <v>21627</v>
      </c>
      <c r="Z5158" t="s">
        <v>27163</v>
      </c>
      <c r="AA5158">
        <v>0.6191431839538456</v>
      </c>
      <c r="AB5158" t="str">
        <f>HYPERLINK("Melting_Curves/meltCurve_Q9UBB4_ATXN10.pdf", "Melting_Curves/meltCurve_Q9UBB4_ATXN10.pdf")</f>
        <v>Melting_Curves/meltCurve_Q9UBB4_ATXN10.pdf</v>
      </c>
    </row>
    <row r="5159" spans="1:28" x14ac:dyDescent="0.25">
      <c r="A5159" t="s">
        <v>5163</v>
      </c>
      <c r="B5159">
        <v>0.99299721793515405</v>
      </c>
      <c r="C5159">
        <v>1.09729274801597</v>
      </c>
      <c r="D5159">
        <v>0.96364194824393401</v>
      </c>
      <c r="E5159">
        <v>0.82800781204603102</v>
      </c>
      <c r="F5159">
        <v>0.76390702117466602</v>
      </c>
      <c r="G5159">
        <v>0.70167248241523295</v>
      </c>
      <c r="H5159">
        <v>0.42758857008993001</v>
      </c>
      <c r="I5159">
        <v>0.32661906946460501</v>
      </c>
      <c r="J5159">
        <v>0.20898097305105401</v>
      </c>
      <c r="K5159">
        <v>0.18321742695064699</v>
      </c>
      <c r="L5159">
        <v>575.63463600556395</v>
      </c>
      <c r="M5159">
        <v>10.181569922569</v>
      </c>
      <c r="N5159">
        <v>56.536937642979701</v>
      </c>
      <c r="O5159">
        <v>54.486048074354002</v>
      </c>
      <c r="P5159">
        <v>-4.6737619379576802E-2</v>
      </c>
      <c r="Q5159">
        <v>0</v>
      </c>
      <c r="R5159">
        <v>0.97557273061600602</v>
      </c>
      <c r="S5159" t="s">
        <v>10710</v>
      </c>
      <c r="T5159" t="s">
        <v>11100</v>
      </c>
      <c r="U5159" t="s">
        <v>11100</v>
      </c>
      <c r="V5159" t="s">
        <v>11100</v>
      </c>
      <c r="W5159" t="s">
        <v>16205</v>
      </c>
      <c r="X5159">
        <v>14</v>
      </c>
      <c r="Y5159" t="s">
        <v>21628</v>
      </c>
      <c r="Z5159" t="s">
        <v>27164</v>
      </c>
      <c r="AA5159">
        <v>0.65425564074602582</v>
      </c>
      <c r="AB5159" t="str">
        <f>HYPERLINK("Melting_Curves/meltCurve_Q9UBB6_NCDN.pdf", "Melting_Curves/meltCurve_Q9UBB6_NCDN.pdf")</f>
        <v>Melting_Curves/meltCurve_Q9UBB6_NCDN.pdf</v>
      </c>
    </row>
    <row r="5160" spans="1:28" x14ac:dyDescent="0.25">
      <c r="A5160" t="s">
        <v>5164</v>
      </c>
      <c r="B5160">
        <v>0.99299721793515405</v>
      </c>
      <c r="C5160">
        <v>0.97918998715260996</v>
      </c>
      <c r="D5160">
        <v>0.79931435929648298</v>
      </c>
      <c r="E5160">
        <v>0.70668378617901695</v>
      </c>
      <c r="F5160">
        <v>0.27215071459922402</v>
      </c>
      <c r="G5160">
        <v>0.19409208329966299</v>
      </c>
      <c r="H5160">
        <v>0.12626855050758301</v>
      </c>
      <c r="I5160">
        <v>0.11169344512092599</v>
      </c>
      <c r="J5160">
        <v>9.7891187340996694E-2</v>
      </c>
      <c r="K5160">
        <v>6.8322308239588E-2</v>
      </c>
      <c r="L5160">
        <v>842.11230829717499</v>
      </c>
      <c r="M5160">
        <v>17.7098507019039</v>
      </c>
      <c r="N5160">
        <v>48.015649533618998</v>
      </c>
      <c r="O5160">
        <v>46.956649125096497</v>
      </c>
      <c r="P5160">
        <v>-8.6860497745914894E-2</v>
      </c>
      <c r="Q5160">
        <v>7.8826027713934099E-2</v>
      </c>
      <c r="R5160">
        <v>0.98624305887672603</v>
      </c>
      <c r="S5160" t="s">
        <v>10711</v>
      </c>
      <c r="T5160" t="s">
        <v>11100</v>
      </c>
      <c r="U5160" t="s">
        <v>11100</v>
      </c>
      <c r="V5160" t="s">
        <v>11100</v>
      </c>
      <c r="W5160" t="s">
        <v>16206</v>
      </c>
      <c r="X5160">
        <v>7</v>
      </c>
      <c r="Y5160" t="s">
        <v>21629</v>
      </c>
      <c r="Z5160" t="s">
        <v>27165</v>
      </c>
      <c r="AA5160">
        <v>0.41799192516525119</v>
      </c>
      <c r="AB5160" t="str">
        <f>HYPERLINK("Melting_Curves/meltCurve_Q9UBB9_TFIP11.pdf", "Melting_Curves/meltCurve_Q9UBB9_TFIP11.pdf")</f>
        <v>Melting_Curves/meltCurve_Q9UBB9_TFIP11.pdf</v>
      </c>
    </row>
    <row r="5161" spans="1:28" x14ac:dyDescent="0.25">
      <c r="A5161" t="s">
        <v>5165</v>
      </c>
      <c r="B5161">
        <v>0.99299721793515405</v>
      </c>
      <c r="C5161">
        <v>1.00587609204393</v>
      </c>
      <c r="D5161">
        <v>0.95267779955059695</v>
      </c>
      <c r="E5161">
        <v>0.92318299888460098</v>
      </c>
      <c r="F5161">
        <v>0.70630646287358301</v>
      </c>
      <c r="G5161">
        <v>0.44271527115024101</v>
      </c>
      <c r="H5161">
        <v>0.31880464089621802</v>
      </c>
      <c r="I5161">
        <v>0.202611785613451</v>
      </c>
      <c r="J5161">
        <v>0.161097426035576</v>
      </c>
      <c r="K5161">
        <v>0.11663264556776901</v>
      </c>
      <c r="L5161">
        <v>833.06372461020896</v>
      </c>
      <c r="M5161">
        <v>15.8666696405731</v>
      </c>
      <c r="N5161">
        <v>53.321180104663398</v>
      </c>
      <c r="O5161">
        <v>51.691206223051701</v>
      </c>
      <c r="P5161">
        <v>-6.8461078766219402E-2</v>
      </c>
      <c r="Q5161">
        <v>0.10792869501154401</v>
      </c>
      <c r="R5161">
        <v>0.99727280884112102</v>
      </c>
      <c r="S5161" t="s">
        <v>10712</v>
      </c>
      <c r="T5161" t="s">
        <v>11100</v>
      </c>
      <c r="U5161" t="s">
        <v>11100</v>
      </c>
      <c r="V5161" t="s">
        <v>11100</v>
      </c>
      <c r="W5161" t="s">
        <v>16207</v>
      </c>
      <c r="X5161">
        <v>13</v>
      </c>
      <c r="Y5161" t="s">
        <v>21630</v>
      </c>
      <c r="Z5161" t="s">
        <v>27166</v>
      </c>
      <c r="AA5161">
        <v>0.5844816484216937</v>
      </c>
      <c r="AB5161" t="str">
        <f>HYPERLINK("Melting_Curves/meltCurve_Q9UBC2_2_EPS15L1.pdf", "Melting_Curves/meltCurve_Q9UBC2_2_EPS15L1.pdf")</f>
        <v>Melting_Curves/meltCurve_Q9UBC2_2_EPS15L1.pdf</v>
      </c>
    </row>
    <row r="5162" spans="1:28" x14ac:dyDescent="0.25">
      <c r="A5162" t="s">
        <v>5166</v>
      </c>
      <c r="B5162">
        <v>0.99299721793515405</v>
      </c>
      <c r="C5162">
        <v>1.17352058778075</v>
      </c>
      <c r="D5162">
        <v>1.13825869805058</v>
      </c>
      <c r="E5162">
        <v>1.05421241666003</v>
      </c>
      <c r="F5162">
        <v>0.75248674292374396</v>
      </c>
      <c r="G5162">
        <v>0.334835428338009</v>
      </c>
      <c r="H5162">
        <v>0.28862284939989702</v>
      </c>
      <c r="I5162">
        <v>0.27229212463478702</v>
      </c>
      <c r="J5162">
        <v>0.16950790117308701</v>
      </c>
      <c r="K5162">
        <v>0.28971246716379601</v>
      </c>
      <c r="L5162">
        <v>2253.1594739428501</v>
      </c>
      <c r="M5162">
        <v>44.130903737015302</v>
      </c>
      <c r="N5162">
        <v>51.894853365466098</v>
      </c>
      <c r="O5162">
        <v>50.9517673880584</v>
      </c>
      <c r="P5162">
        <v>-0.161329267806997</v>
      </c>
      <c r="Q5162">
        <v>0.25494389400933798</v>
      </c>
      <c r="R5162">
        <v>0.95881800880408796</v>
      </c>
      <c r="S5162" t="s">
        <v>10713</v>
      </c>
      <c r="T5162" t="s">
        <v>11100</v>
      </c>
      <c r="U5162" t="s">
        <v>11100</v>
      </c>
      <c r="V5162" t="s">
        <v>11100</v>
      </c>
      <c r="W5162" t="s">
        <v>16208</v>
      </c>
      <c r="X5162">
        <v>1</v>
      </c>
      <c r="Y5162" t="s">
        <v>21631</v>
      </c>
      <c r="Z5162" t="s">
        <v>27167</v>
      </c>
      <c r="AA5162">
        <v>0.60619024869925842</v>
      </c>
      <c r="AB5162" t="str">
        <f>HYPERLINK("Melting_Curves/meltCurve_Q9UBD5_3_ORC3.pdf", "Melting_Curves/meltCurve_Q9UBD5_3_ORC3.pdf")</f>
        <v>Melting_Curves/meltCurve_Q9UBD5_3_ORC3.pdf</v>
      </c>
    </row>
    <row r="5163" spans="1:28" x14ac:dyDescent="0.25">
      <c r="A5163" t="s">
        <v>5167</v>
      </c>
      <c r="B5163">
        <v>0.99299721793515405</v>
      </c>
      <c r="C5163">
        <v>0.90008359856435904</v>
      </c>
      <c r="D5163">
        <v>1.00745746246041</v>
      </c>
      <c r="E5163">
        <v>0.84006121860891303</v>
      </c>
      <c r="F5163">
        <v>0.74758062037171302</v>
      </c>
      <c r="G5163">
        <v>0.64964866691178602</v>
      </c>
      <c r="H5163">
        <v>0.359918463705451</v>
      </c>
      <c r="I5163">
        <v>0.191098206995619</v>
      </c>
      <c r="J5163">
        <v>0.13664419691294599</v>
      </c>
      <c r="K5163">
        <v>0.11439164066543001</v>
      </c>
      <c r="L5163">
        <v>676.19597734290301</v>
      </c>
      <c r="M5163">
        <v>12.287568236537201</v>
      </c>
      <c r="N5163">
        <v>55.0309031604246</v>
      </c>
      <c r="O5163">
        <v>53.6342478364271</v>
      </c>
      <c r="P5163">
        <v>-5.72874191269407E-2</v>
      </c>
      <c r="Q5163">
        <v>0</v>
      </c>
      <c r="R5163">
        <v>0.980737453544133</v>
      </c>
      <c r="S5163" t="s">
        <v>10714</v>
      </c>
      <c r="T5163" t="s">
        <v>11100</v>
      </c>
      <c r="U5163" t="s">
        <v>11100</v>
      </c>
      <c r="V5163" t="s">
        <v>11100</v>
      </c>
      <c r="W5163" t="s">
        <v>16209</v>
      </c>
      <c r="X5163">
        <v>27</v>
      </c>
      <c r="Y5163" t="s">
        <v>21632</v>
      </c>
      <c r="Z5163" t="s">
        <v>27168</v>
      </c>
      <c r="AA5163">
        <v>0.61520799277556015</v>
      </c>
      <c r="AB5163" t="str">
        <f>HYPERLINK("Melting_Curves/meltCurve_Q9UBE0_SAE1.pdf", "Melting_Curves/meltCurve_Q9UBE0_SAE1.pdf")</f>
        <v>Melting_Curves/meltCurve_Q9UBE0_SAE1.pdf</v>
      </c>
    </row>
    <row r="5164" spans="1:28" x14ac:dyDescent="0.25">
      <c r="A5164" t="s">
        <v>5168</v>
      </c>
      <c r="B5164">
        <v>0.99299721793515405</v>
      </c>
      <c r="C5164">
        <v>1.0147322217421</v>
      </c>
      <c r="D5164">
        <v>0.95542874059343397</v>
      </c>
      <c r="E5164">
        <v>0.87515916888227696</v>
      </c>
      <c r="F5164">
        <v>0.60978521096315796</v>
      </c>
      <c r="G5164">
        <v>0.61078999645335896</v>
      </c>
      <c r="H5164">
        <v>0.371122035162051</v>
      </c>
      <c r="I5164">
        <v>0.180635672125145</v>
      </c>
      <c r="J5164">
        <v>0.12754680496444301</v>
      </c>
      <c r="K5164">
        <v>0.10271689654461599</v>
      </c>
      <c r="L5164">
        <v>609.56714348948299</v>
      </c>
      <c r="M5164">
        <v>11.2501084358562</v>
      </c>
      <c r="N5164">
        <v>54.183221684607503</v>
      </c>
      <c r="O5164">
        <v>52.555844052516001</v>
      </c>
      <c r="P5164">
        <v>-5.3531562493121798E-2</v>
      </c>
      <c r="Q5164">
        <v>0</v>
      </c>
      <c r="R5164">
        <v>0.98193284370599498</v>
      </c>
      <c r="S5164" t="s">
        <v>10715</v>
      </c>
      <c r="T5164" t="s">
        <v>11100</v>
      </c>
      <c r="U5164" t="s">
        <v>11100</v>
      </c>
      <c r="V5164" t="s">
        <v>11100</v>
      </c>
      <c r="W5164" t="s">
        <v>16210</v>
      </c>
      <c r="X5164">
        <v>20</v>
      </c>
      <c r="Y5164" t="s">
        <v>21633</v>
      </c>
      <c r="Z5164" t="s">
        <v>27169</v>
      </c>
      <c r="AA5164">
        <v>0.59003867134571186</v>
      </c>
      <c r="AB5164" t="str">
        <f>HYPERLINK("Melting_Curves/meltCurve_Q9UBF2_COPG2.pdf", "Melting_Curves/meltCurve_Q9UBF2_COPG2.pdf")</f>
        <v>Melting_Curves/meltCurve_Q9UBF2_COPG2.pdf</v>
      </c>
    </row>
    <row r="5165" spans="1:28" x14ac:dyDescent="0.25">
      <c r="A5165" t="s">
        <v>5169</v>
      </c>
      <c r="B5165">
        <v>0.99299721793515405</v>
      </c>
      <c r="C5165">
        <v>0.833767703886516</v>
      </c>
      <c r="D5165">
        <v>0.81413396095357704</v>
      </c>
      <c r="E5165">
        <v>0.79392681329098702</v>
      </c>
      <c r="F5165">
        <v>0.82212157664097996</v>
      </c>
      <c r="G5165">
        <v>0.51746614480280695</v>
      </c>
      <c r="H5165">
        <v>0.88599730546564803</v>
      </c>
      <c r="I5165">
        <v>1.0483604433609199</v>
      </c>
      <c r="J5165">
        <v>1.4130569550768799</v>
      </c>
      <c r="K5165">
        <v>1.2363412951928701</v>
      </c>
      <c r="L5165">
        <v>15000</v>
      </c>
      <c r="M5165">
        <v>244.15934553936799</v>
      </c>
      <c r="O5165">
        <v>61.431167372868003</v>
      </c>
      <c r="P5165">
        <v>0.322633288805726</v>
      </c>
      <c r="Q5165">
        <v>1.32470171490058</v>
      </c>
      <c r="R5165">
        <v>0.30186811737911901</v>
      </c>
      <c r="S5165" t="s">
        <v>10716</v>
      </c>
      <c r="T5165" t="s">
        <v>11100</v>
      </c>
      <c r="U5165" t="s">
        <v>11100</v>
      </c>
      <c r="V5165" t="s">
        <v>11100</v>
      </c>
      <c r="W5165" t="s">
        <v>16211</v>
      </c>
      <c r="X5165">
        <v>3</v>
      </c>
      <c r="Y5165" t="s">
        <v>21634</v>
      </c>
      <c r="Z5165" t="s">
        <v>27170</v>
      </c>
      <c r="AA5165">
        <v>1.060192334148405</v>
      </c>
      <c r="AB5165" t="str">
        <f>HYPERLINK("Melting_Curves/meltCurve_Q9UBF6_RNF7.pdf", "Melting_Curves/meltCurve_Q9UBF6_RNF7.pdf")</f>
        <v>Melting_Curves/meltCurve_Q9UBF6_RNF7.pdf</v>
      </c>
    </row>
    <row r="5166" spans="1:28" x14ac:dyDescent="0.25">
      <c r="A5166" t="s">
        <v>5170</v>
      </c>
      <c r="B5166">
        <v>0.99299721793515405</v>
      </c>
      <c r="C5166">
        <v>0.98593319390001499</v>
      </c>
      <c r="D5166">
        <v>0.92794876465436105</v>
      </c>
      <c r="E5166">
        <v>0.84043188107162203</v>
      </c>
      <c r="F5166">
        <v>0.75165687262115399</v>
      </c>
      <c r="G5166">
        <v>0.57999674169464299</v>
      </c>
      <c r="H5166">
        <v>0.26399374008091198</v>
      </c>
      <c r="I5166">
        <v>0.156588017704933</v>
      </c>
      <c r="J5166">
        <v>0.130127043749757</v>
      </c>
      <c r="K5166">
        <v>0.11179571356969099</v>
      </c>
      <c r="L5166">
        <v>710.20354312333097</v>
      </c>
      <c r="M5166">
        <v>13.163845049846501</v>
      </c>
      <c r="N5166">
        <v>54.050955515454902</v>
      </c>
      <c r="O5166">
        <v>52.7515983828945</v>
      </c>
      <c r="P5166">
        <v>-6.1646578748096301E-2</v>
      </c>
      <c r="Q5166">
        <v>1.20186510403507E-2</v>
      </c>
      <c r="R5166">
        <v>0.98902340808801803</v>
      </c>
      <c r="S5166" t="s">
        <v>10717</v>
      </c>
      <c r="T5166" t="s">
        <v>11100</v>
      </c>
      <c r="U5166" t="s">
        <v>11100</v>
      </c>
      <c r="V5166" t="s">
        <v>11100</v>
      </c>
      <c r="W5166" t="s">
        <v>16212</v>
      </c>
      <c r="X5166">
        <v>7</v>
      </c>
      <c r="Y5166" t="s">
        <v>21635</v>
      </c>
      <c r="Z5166" t="s">
        <v>27171</v>
      </c>
      <c r="AA5166">
        <v>0.58762618856879445</v>
      </c>
      <c r="AB5166" t="str">
        <f>HYPERLINK("Melting_Curves/meltCurve_Q9UBF8_2_PI4KB.pdf", "Melting_Curves/meltCurve_Q9UBF8_2_PI4KB.pdf")</f>
        <v>Melting_Curves/meltCurve_Q9UBF8_2_PI4KB.pdf</v>
      </c>
    </row>
    <row r="5167" spans="1:28" x14ac:dyDescent="0.25">
      <c r="A5167" t="s">
        <v>5171</v>
      </c>
      <c r="B5167">
        <v>0.99299721793515405</v>
      </c>
      <c r="C5167">
        <v>0.88970620629747499</v>
      </c>
      <c r="D5167">
        <v>0.98423222254075704</v>
      </c>
      <c r="E5167">
        <v>0.73459032042585404</v>
      </c>
      <c r="F5167">
        <v>0.74379281750417303</v>
      </c>
      <c r="G5167">
        <v>0.93603679366561598</v>
      </c>
      <c r="H5167">
        <v>0.68238238431670994</v>
      </c>
      <c r="I5167">
        <v>0.68847416664477201</v>
      </c>
      <c r="J5167">
        <v>0.36224191699050401</v>
      </c>
      <c r="K5167">
        <v>0.33159226646238799</v>
      </c>
      <c r="L5167">
        <v>414.931691369877</v>
      </c>
      <c r="M5167">
        <v>6.5852185875815197</v>
      </c>
      <c r="N5167">
        <v>63.009554707788901</v>
      </c>
      <c r="O5167">
        <v>57.957878579254398</v>
      </c>
      <c r="P5167">
        <v>-2.8471005870240498E-2</v>
      </c>
      <c r="Q5167">
        <v>0</v>
      </c>
      <c r="R5167">
        <v>0.763694232563077</v>
      </c>
      <c r="S5167" t="s">
        <v>10718</v>
      </c>
      <c r="T5167" t="s">
        <v>11100</v>
      </c>
      <c r="U5167" t="s">
        <v>11100</v>
      </c>
      <c r="V5167" t="s">
        <v>11100</v>
      </c>
      <c r="W5167" t="s">
        <v>16213</v>
      </c>
      <c r="X5167">
        <v>6</v>
      </c>
      <c r="Y5167" t="s">
        <v>21636</v>
      </c>
      <c r="Z5167" t="s">
        <v>27172</v>
      </c>
      <c r="AA5167">
        <v>0.76134854580210276</v>
      </c>
      <c r="AB5167" t="str">
        <f>HYPERLINK("Melting_Curves/meltCurve_Q9UBI6_GNG12.pdf", "Melting_Curves/meltCurve_Q9UBI6_GNG12.pdf")</f>
        <v>Melting_Curves/meltCurve_Q9UBI6_GNG12.pdf</v>
      </c>
    </row>
    <row r="5168" spans="1:28" x14ac:dyDescent="0.25">
      <c r="A5168" t="s">
        <v>5172</v>
      </c>
      <c r="B5168">
        <v>0.99299721793515405</v>
      </c>
      <c r="C5168">
        <v>1.0212376156330401</v>
      </c>
      <c r="D5168">
        <v>1.1231708796023201</v>
      </c>
      <c r="E5168">
        <v>0.94680565291278396</v>
      </c>
      <c r="F5168">
        <v>0.68490600683188196</v>
      </c>
      <c r="G5168">
        <v>0.30324300565372703</v>
      </c>
      <c r="H5168">
        <v>0.21372625947241899</v>
      </c>
      <c r="I5168">
        <v>0.18865046618265</v>
      </c>
      <c r="J5168">
        <v>0.17572377903062</v>
      </c>
      <c r="K5168">
        <v>0.14572180797453299</v>
      </c>
      <c r="L5168">
        <v>1581.2828114480101</v>
      </c>
      <c r="M5168">
        <v>31.017158163963199</v>
      </c>
      <c r="N5168">
        <v>51.682652855340102</v>
      </c>
      <c r="O5168">
        <v>50.770407676483899</v>
      </c>
      <c r="P5168">
        <v>-0.126484883869243</v>
      </c>
      <c r="Q5168">
        <v>0.171858204054884</v>
      </c>
      <c r="R5168">
        <v>0.98843347798711501</v>
      </c>
      <c r="S5168" t="s">
        <v>10719</v>
      </c>
      <c r="T5168" t="s">
        <v>11100</v>
      </c>
      <c r="U5168" t="s">
        <v>11100</v>
      </c>
      <c r="V5168" t="s">
        <v>11100</v>
      </c>
      <c r="W5168" t="s">
        <v>16214</v>
      </c>
      <c r="X5168">
        <v>14</v>
      </c>
      <c r="Y5168" t="s">
        <v>21637</v>
      </c>
      <c r="Z5168" t="s">
        <v>27173</v>
      </c>
      <c r="AA5168">
        <v>0.56262967003626818</v>
      </c>
      <c r="AB5168" t="str">
        <f>HYPERLINK("Melting_Curves/meltCurve_Q9UBK8_2_MTRR.pdf", "Melting_Curves/meltCurve_Q9UBK8_2_MTRR.pdf")</f>
        <v>Melting_Curves/meltCurve_Q9UBK8_2_MTRR.pdf</v>
      </c>
    </row>
    <row r="5169" spans="1:28" x14ac:dyDescent="0.25">
      <c r="A5169" t="s">
        <v>5173</v>
      </c>
      <c r="B5169">
        <v>0.99299721793515405</v>
      </c>
      <c r="C5169">
        <v>0.984780661750979</v>
      </c>
      <c r="D5169">
        <v>0.875545491971645</v>
      </c>
      <c r="E5169">
        <v>0.77937091488507404</v>
      </c>
      <c r="F5169">
        <v>0.71547752719290802</v>
      </c>
      <c r="G5169">
        <v>0.34191133546576002</v>
      </c>
      <c r="H5169">
        <v>0.18134483056869599</v>
      </c>
      <c r="I5169">
        <v>0.10781017076996199</v>
      </c>
      <c r="J5169">
        <v>9.3867614345224504E-2</v>
      </c>
      <c r="K5169">
        <v>6.4468557164497897E-2</v>
      </c>
      <c r="L5169">
        <v>706.91270531178998</v>
      </c>
      <c r="M5169">
        <v>13.633255216313501</v>
      </c>
      <c r="N5169">
        <v>51.892482586098801</v>
      </c>
      <c r="O5169">
        <v>50.774599398043399</v>
      </c>
      <c r="P5169">
        <v>-6.6781792657529399E-2</v>
      </c>
      <c r="Q5169">
        <v>5.2786162370418201E-3</v>
      </c>
      <c r="R5169">
        <v>0.984901133157292</v>
      </c>
      <c r="S5169" t="s">
        <v>10720</v>
      </c>
      <c r="T5169" t="s">
        <v>11100</v>
      </c>
      <c r="U5169" t="s">
        <v>11100</v>
      </c>
      <c r="V5169" t="s">
        <v>11100</v>
      </c>
      <c r="W5169" t="s">
        <v>16215</v>
      </c>
      <c r="X5169">
        <v>7</v>
      </c>
      <c r="Y5169" t="s">
        <v>21638</v>
      </c>
      <c r="Z5169" t="s">
        <v>27174</v>
      </c>
      <c r="AA5169">
        <v>0.51906219361807449</v>
      </c>
      <c r="AB5169" t="str">
        <f>HYPERLINK("Melting_Curves/meltCurve_Q9UBL6_2_CPNE7.pdf", "Melting_Curves/meltCurve_Q9UBL6_2_CPNE7.pdf")</f>
        <v>Melting_Curves/meltCurve_Q9UBL6_2_CPNE7.pdf</v>
      </c>
    </row>
    <row r="5170" spans="1:28" x14ac:dyDescent="0.25">
      <c r="A5170" t="s">
        <v>5174</v>
      </c>
      <c r="B5170">
        <v>0.99299721793515405</v>
      </c>
      <c r="C5170">
        <v>1.1695991130919501</v>
      </c>
      <c r="D5170">
        <v>1.21737886395947</v>
      </c>
      <c r="E5170">
        <v>0.93924268546513001</v>
      </c>
      <c r="F5170">
        <v>0.91552186329621299</v>
      </c>
      <c r="G5170">
        <v>0.35132171450961802</v>
      </c>
      <c r="H5170">
        <v>0.22117910821507999</v>
      </c>
      <c r="I5170">
        <v>0.22094456885646099</v>
      </c>
      <c r="J5170">
        <v>0.21882422877361499</v>
      </c>
      <c r="K5170">
        <v>0.27934371513739298</v>
      </c>
      <c r="L5170">
        <v>2847.8365622742499</v>
      </c>
      <c r="M5170">
        <v>54.653469451800298</v>
      </c>
      <c r="N5170">
        <v>52.7158849616591</v>
      </c>
      <c r="O5170">
        <v>52.037532153413999</v>
      </c>
      <c r="P5170">
        <v>-0.201126678076294</v>
      </c>
      <c r="Q5170">
        <v>0.23400077716036299</v>
      </c>
      <c r="R5170">
        <v>0.949883454602097</v>
      </c>
      <c r="S5170" t="s">
        <v>10721</v>
      </c>
      <c r="T5170" t="s">
        <v>11100</v>
      </c>
      <c r="U5170" t="s">
        <v>11100</v>
      </c>
      <c r="V5170" t="s">
        <v>11100</v>
      </c>
      <c r="W5170" t="s">
        <v>16216</v>
      </c>
      <c r="X5170">
        <v>4</v>
      </c>
      <c r="Y5170" t="s">
        <v>21639</v>
      </c>
      <c r="Z5170" t="s">
        <v>27175</v>
      </c>
      <c r="AA5170">
        <v>0.6212082944510231</v>
      </c>
      <c r="AB5170" t="str">
        <f>HYPERLINK("Melting_Curves/meltCurve_Q9UBM7_DHCR7.pdf", "Melting_Curves/meltCurve_Q9UBM7_DHCR7.pdf")</f>
        <v>Melting_Curves/meltCurve_Q9UBM7_DHCR7.pdf</v>
      </c>
    </row>
    <row r="5171" spans="1:28" x14ac:dyDescent="0.25">
      <c r="A5171" t="s">
        <v>5175</v>
      </c>
      <c r="B5171">
        <v>0.99299721793515405</v>
      </c>
      <c r="C5171">
        <v>0.89605405350195599</v>
      </c>
      <c r="D5171">
        <v>0.90551016732924405</v>
      </c>
      <c r="E5171">
        <v>0.73483893036582404</v>
      </c>
      <c r="F5171">
        <v>0.65352260330245304</v>
      </c>
      <c r="G5171">
        <v>0.36719762273635198</v>
      </c>
      <c r="H5171">
        <v>0.56534968749068704</v>
      </c>
      <c r="I5171">
        <v>0.68277167088873203</v>
      </c>
      <c r="J5171">
        <v>0.79524539481907097</v>
      </c>
      <c r="K5171">
        <v>0.55938084944696598</v>
      </c>
      <c r="L5171">
        <v>1046.9035047984401</v>
      </c>
      <c r="M5171">
        <v>23.372198000127501</v>
      </c>
      <c r="O5171">
        <v>44.468637800752497</v>
      </c>
      <c r="P5171">
        <v>-5.2586639666310601E-2</v>
      </c>
      <c r="Q5171">
        <v>0.59979542906177097</v>
      </c>
      <c r="R5171">
        <v>0.65100657190175304</v>
      </c>
      <c r="S5171" t="s">
        <v>10722</v>
      </c>
      <c r="T5171" t="s">
        <v>11100</v>
      </c>
      <c r="U5171" t="s">
        <v>11100</v>
      </c>
      <c r="V5171" t="s">
        <v>11100</v>
      </c>
      <c r="W5171" t="s">
        <v>16217</v>
      </c>
      <c r="X5171">
        <v>5</v>
      </c>
      <c r="Y5171" t="s">
        <v>21640</v>
      </c>
      <c r="Z5171" t="s">
        <v>27176</v>
      </c>
      <c r="AA5171">
        <v>0.70753634133612275</v>
      </c>
      <c r="AB5171" t="str">
        <f>HYPERLINK("Melting_Curves/meltCurve_Q9UBN6_TNFRSF10D.pdf", "Melting_Curves/meltCurve_Q9UBN6_TNFRSF10D.pdf")</f>
        <v>Melting_Curves/meltCurve_Q9UBN6_TNFRSF10D.pdf</v>
      </c>
    </row>
    <row r="5172" spans="1:28" x14ac:dyDescent="0.25">
      <c r="A5172" t="s">
        <v>5176</v>
      </c>
      <c r="B5172">
        <v>0.99299721793515405</v>
      </c>
      <c r="C5172">
        <v>1.00389147791565</v>
      </c>
      <c r="D5172">
        <v>0.96144484459352197</v>
      </c>
      <c r="E5172">
        <v>0.85070253478783897</v>
      </c>
      <c r="F5172">
        <v>0.61244704305570297</v>
      </c>
      <c r="G5172">
        <v>0.229984250327853</v>
      </c>
      <c r="H5172">
        <v>0.17811650371534801</v>
      </c>
      <c r="I5172">
        <v>0.152894700858313</v>
      </c>
      <c r="J5172">
        <v>0.14516204877452199</v>
      </c>
      <c r="K5172">
        <v>9.5199713657805898E-2</v>
      </c>
      <c r="L5172">
        <v>1172.7879745806699</v>
      </c>
      <c r="M5172">
        <v>23.306978910008301</v>
      </c>
      <c r="N5172">
        <v>50.912461606921902</v>
      </c>
      <c r="O5172">
        <v>49.9531323320913</v>
      </c>
      <c r="P5172">
        <v>-0.10277479679151801</v>
      </c>
      <c r="Q5172">
        <v>0.118919394200837</v>
      </c>
      <c r="R5172">
        <v>0.99497361513431404</v>
      </c>
      <c r="S5172" t="s">
        <v>10723</v>
      </c>
      <c r="T5172" t="s">
        <v>11100</v>
      </c>
      <c r="U5172" t="s">
        <v>11100</v>
      </c>
      <c r="V5172" t="s">
        <v>11100</v>
      </c>
      <c r="W5172" t="s">
        <v>16218</v>
      </c>
      <c r="X5172">
        <v>12</v>
      </c>
      <c r="Y5172" t="s">
        <v>21641</v>
      </c>
      <c r="Z5172" t="s">
        <v>27177</v>
      </c>
      <c r="AA5172">
        <v>0.51890843805225018</v>
      </c>
      <c r="AB5172" t="str">
        <f>HYPERLINK("Melting_Curves/meltCurve_Q9UBP0_3_SPAST.pdf", "Melting_Curves/meltCurve_Q9UBP0_3_SPAST.pdf")</f>
        <v>Melting_Curves/meltCurve_Q9UBP0_3_SPAST.pdf</v>
      </c>
    </row>
    <row r="5173" spans="1:28" x14ac:dyDescent="0.25">
      <c r="A5173" t="s">
        <v>5177</v>
      </c>
      <c r="B5173">
        <v>0.99299721793515405</v>
      </c>
      <c r="C5173">
        <v>0.841085359897083</v>
      </c>
      <c r="D5173">
        <v>1.0815590204608001</v>
      </c>
      <c r="E5173">
        <v>0.73098607286008099</v>
      </c>
      <c r="F5173">
        <v>0.79777080674427703</v>
      </c>
      <c r="G5173">
        <v>0.81914865770204204</v>
      </c>
      <c r="H5173">
        <v>0.64392950926013603</v>
      </c>
      <c r="I5173">
        <v>0.25624507793790702</v>
      </c>
      <c r="J5173">
        <v>0.117019028346853</v>
      </c>
      <c r="K5173">
        <v>0.12661975339672399</v>
      </c>
      <c r="L5173">
        <v>856.26666970804501</v>
      </c>
      <c r="M5173">
        <v>14.7917521958432</v>
      </c>
      <c r="N5173">
        <v>57.888116209850899</v>
      </c>
      <c r="O5173">
        <v>56.860968129546201</v>
      </c>
      <c r="P5173">
        <v>-6.5041676131151901E-2</v>
      </c>
      <c r="Q5173">
        <v>0</v>
      </c>
      <c r="R5173">
        <v>0.88334289237502195</v>
      </c>
      <c r="S5173" t="s">
        <v>10724</v>
      </c>
      <c r="T5173" t="s">
        <v>11100</v>
      </c>
      <c r="U5173" t="s">
        <v>11100</v>
      </c>
      <c r="V5173" t="s">
        <v>11100</v>
      </c>
      <c r="W5173" t="s">
        <v>16219</v>
      </c>
      <c r="X5173">
        <v>7</v>
      </c>
      <c r="Y5173" t="s">
        <v>21642</v>
      </c>
      <c r="Z5173" t="s">
        <v>27178</v>
      </c>
      <c r="AA5173">
        <v>0.70068510718698618</v>
      </c>
      <c r="AB5173" t="str">
        <f>HYPERLINK("Melting_Curves/meltCurve_Q9UBP6_METTL1.pdf", "Melting_Curves/meltCurve_Q9UBP6_METTL1.pdf")</f>
        <v>Melting_Curves/meltCurve_Q9UBP6_METTL1.pdf</v>
      </c>
    </row>
    <row r="5174" spans="1:28" x14ac:dyDescent="0.25">
      <c r="A5174" t="s">
        <v>5178</v>
      </c>
      <c r="B5174">
        <v>0.99299721793515405</v>
      </c>
      <c r="C5174">
        <v>1.1397549369898099</v>
      </c>
      <c r="D5174">
        <v>1.1001603017544499</v>
      </c>
      <c r="E5174">
        <v>1.01585618562708</v>
      </c>
      <c r="F5174">
        <v>0.92885540384183096</v>
      </c>
      <c r="G5174">
        <v>0.85064580558984404</v>
      </c>
      <c r="H5174">
        <v>0.89134732241592696</v>
      </c>
      <c r="I5174">
        <v>0.75418174403610605</v>
      </c>
      <c r="J5174">
        <v>0.45397288873549402</v>
      </c>
      <c r="K5174">
        <v>0.19648176853955901</v>
      </c>
      <c r="L5174">
        <v>1439.88116615441</v>
      </c>
      <c r="M5174">
        <v>22.688028044270698</v>
      </c>
      <c r="N5174">
        <v>63.464359308017997</v>
      </c>
      <c r="O5174">
        <v>62.977480172904698</v>
      </c>
      <c r="P5174">
        <v>-9.0065826810128202E-2</v>
      </c>
      <c r="Q5174">
        <v>0</v>
      </c>
      <c r="R5174">
        <v>0.92962004931993703</v>
      </c>
      <c r="S5174" t="s">
        <v>10725</v>
      </c>
      <c r="T5174" t="s">
        <v>11100</v>
      </c>
      <c r="U5174" t="s">
        <v>11100</v>
      </c>
      <c r="V5174" t="s">
        <v>11100</v>
      </c>
      <c r="W5174" t="s">
        <v>16220</v>
      </c>
      <c r="X5174">
        <v>10</v>
      </c>
      <c r="Y5174" t="s">
        <v>21643</v>
      </c>
      <c r="Z5174" t="s">
        <v>27179</v>
      </c>
      <c r="AA5174">
        <v>0.86540851024149634</v>
      </c>
      <c r="AB5174" t="str">
        <f>HYPERLINK("Melting_Curves/meltCurve_Q9UBQ0_VPS29.pdf", "Melting_Curves/meltCurve_Q9UBQ0_VPS29.pdf")</f>
        <v>Melting_Curves/meltCurve_Q9UBQ0_VPS29.pdf</v>
      </c>
    </row>
    <row r="5175" spans="1:28" x14ac:dyDescent="0.25">
      <c r="A5175" t="s">
        <v>5179</v>
      </c>
      <c r="B5175">
        <v>0.99299721793515405</v>
      </c>
      <c r="C5175">
        <v>1.01853528083814</v>
      </c>
      <c r="D5175">
        <v>0.85600216789889905</v>
      </c>
      <c r="E5175">
        <v>0.886354436056219</v>
      </c>
      <c r="F5175">
        <v>0.72178571701601102</v>
      </c>
      <c r="G5175">
        <v>0.53630671967172705</v>
      </c>
      <c r="H5175">
        <v>0.390824561286714</v>
      </c>
      <c r="I5175">
        <v>0.21816784813850101</v>
      </c>
      <c r="J5175">
        <v>0.124152526952407</v>
      </c>
      <c r="K5175">
        <v>0.103886726708253</v>
      </c>
      <c r="L5175">
        <v>609.92782747473302</v>
      </c>
      <c r="M5175">
        <v>11.2053797869139</v>
      </c>
      <c r="N5175">
        <v>54.431690860693699</v>
      </c>
      <c r="O5175">
        <v>52.7844403317144</v>
      </c>
      <c r="P5175">
        <v>-5.3088088427712898E-2</v>
      </c>
      <c r="Q5175">
        <v>0</v>
      </c>
      <c r="R5175">
        <v>0.98882713724712801</v>
      </c>
      <c r="S5175" t="s">
        <v>10726</v>
      </c>
      <c r="T5175" t="s">
        <v>11100</v>
      </c>
      <c r="U5175" t="s">
        <v>11100</v>
      </c>
      <c r="V5175" t="s">
        <v>11100</v>
      </c>
      <c r="W5175" t="s">
        <v>16221</v>
      </c>
      <c r="X5175">
        <v>8</v>
      </c>
      <c r="Y5175" t="s">
        <v>21644</v>
      </c>
      <c r="Z5175" t="s">
        <v>27180</v>
      </c>
      <c r="AA5175">
        <v>0.59726744370131091</v>
      </c>
      <c r="AB5175" t="str">
        <f>HYPERLINK("Melting_Curves/meltCurve_Q9UBQ7_GRHPR.pdf", "Melting_Curves/meltCurve_Q9UBQ7_GRHPR.pdf")</f>
        <v>Melting_Curves/meltCurve_Q9UBQ7_GRHPR.pdf</v>
      </c>
    </row>
    <row r="5176" spans="1:28" x14ac:dyDescent="0.25">
      <c r="A5176" t="s">
        <v>5180</v>
      </c>
      <c r="B5176">
        <v>0.99299721793515405</v>
      </c>
      <c r="C5176">
        <v>0.98566863507467495</v>
      </c>
      <c r="D5176">
        <v>0.92545403329365195</v>
      </c>
      <c r="E5176">
        <v>0.78341180604053795</v>
      </c>
      <c r="F5176">
        <v>0.50436339497502303</v>
      </c>
      <c r="G5176">
        <v>0.289662357691786</v>
      </c>
      <c r="H5176">
        <v>0.21912262484457001</v>
      </c>
      <c r="I5176">
        <v>0.198415468064532</v>
      </c>
      <c r="J5176">
        <v>0.17722651635539699</v>
      </c>
      <c r="K5176">
        <v>0.11599209317242699</v>
      </c>
      <c r="L5176">
        <v>861.40779787572706</v>
      </c>
      <c r="M5176">
        <v>17.4750295994229</v>
      </c>
      <c r="N5176">
        <v>50.277297006471301</v>
      </c>
      <c r="O5176">
        <v>48.661711875515202</v>
      </c>
      <c r="P5176">
        <v>-7.6783597972664694E-2</v>
      </c>
      <c r="Q5176">
        <v>0.14478788914556801</v>
      </c>
      <c r="R5176">
        <v>0.99755661431961296</v>
      </c>
      <c r="S5176" t="s">
        <v>10727</v>
      </c>
      <c r="T5176" t="s">
        <v>11100</v>
      </c>
      <c r="U5176" t="s">
        <v>11100</v>
      </c>
      <c r="V5176" t="s">
        <v>11100</v>
      </c>
      <c r="W5176" t="s">
        <v>16222</v>
      </c>
      <c r="X5176">
        <v>7</v>
      </c>
      <c r="Y5176" t="s">
        <v>21645</v>
      </c>
      <c r="Z5176" t="s">
        <v>27181</v>
      </c>
      <c r="AA5176">
        <v>0.50951246561242625</v>
      </c>
      <c r="AB5176" t="str">
        <f>HYPERLINK("Melting_Curves/meltCurve_Q9UBS0_RPS6KB2.pdf", "Melting_Curves/meltCurve_Q9UBS0_RPS6KB2.pdf")</f>
        <v>Melting_Curves/meltCurve_Q9UBS0_RPS6KB2.pdf</v>
      </c>
    </row>
    <row r="5177" spans="1:28" x14ac:dyDescent="0.25">
      <c r="A5177" t="s">
        <v>5181</v>
      </c>
      <c r="B5177">
        <v>0.99299721793515405</v>
      </c>
      <c r="C5177">
        <v>1.04091651937364</v>
      </c>
      <c r="D5177">
        <v>1.1378650135911199</v>
      </c>
      <c r="E5177">
        <v>0.92322965035405702</v>
      </c>
      <c r="F5177">
        <v>0.79719248042489699</v>
      </c>
      <c r="G5177">
        <v>0.74405671631660197</v>
      </c>
      <c r="H5177">
        <v>0.73390879737006598</v>
      </c>
      <c r="I5177">
        <v>0.58677897548819802</v>
      </c>
      <c r="J5177">
        <v>0.49138854738160298</v>
      </c>
      <c r="K5177">
        <v>0.31618223941774598</v>
      </c>
      <c r="L5177">
        <v>508.87754706450698</v>
      </c>
      <c r="M5177">
        <v>8.11091462776022</v>
      </c>
      <c r="N5177">
        <v>62.739845991497901</v>
      </c>
      <c r="O5177">
        <v>59.271529017351398</v>
      </c>
      <c r="P5177">
        <v>-3.42475757661709E-2</v>
      </c>
      <c r="Q5177">
        <v>0</v>
      </c>
      <c r="R5177">
        <v>0.92153711389631499</v>
      </c>
      <c r="S5177" t="s">
        <v>10728</v>
      </c>
      <c r="T5177" t="s">
        <v>11100</v>
      </c>
      <c r="U5177" t="s">
        <v>11100</v>
      </c>
      <c r="V5177" t="s">
        <v>11100</v>
      </c>
      <c r="W5177" t="s">
        <v>16223</v>
      </c>
      <c r="X5177">
        <v>7</v>
      </c>
      <c r="Y5177" t="s">
        <v>21646</v>
      </c>
      <c r="Z5177" t="s">
        <v>27182</v>
      </c>
      <c r="AA5177">
        <v>0.77929570255015401</v>
      </c>
      <c r="AB5177" t="str">
        <f>HYPERLINK("Melting_Curves/meltCurve_Q9UBS4_DNAJB11.pdf", "Melting_Curves/meltCurve_Q9UBS4_DNAJB11.pdf")</f>
        <v>Melting_Curves/meltCurve_Q9UBS4_DNAJB11.pdf</v>
      </c>
    </row>
    <row r="5178" spans="1:28" x14ac:dyDescent="0.25">
      <c r="A5178" t="s">
        <v>5182</v>
      </c>
      <c r="B5178">
        <v>0.99299721793515405</v>
      </c>
      <c r="C5178">
        <v>1.0518803421699501</v>
      </c>
      <c r="D5178">
        <v>0.90860161726674804</v>
      </c>
      <c r="E5178">
        <v>0.89902654579639396</v>
      </c>
      <c r="F5178">
        <v>0.75025590736802095</v>
      </c>
      <c r="G5178">
        <v>0.38974570245023599</v>
      </c>
      <c r="H5178">
        <v>0.19783487610477499</v>
      </c>
      <c r="I5178">
        <v>0.16672230584741901</v>
      </c>
      <c r="J5178">
        <v>0.168330533563367</v>
      </c>
      <c r="K5178">
        <v>0.13692187488028801</v>
      </c>
      <c r="L5178">
        <v>1172.85884182684</v>
      </c>
      <c r="M5178">
        <v>22.631743869697999</v>
      </c>
      <c r="N5178">
        <v>52.558288270431397</v>
      </c>
      <c r="O5178">
        <v>51.424094019703503</v>
      </c>
      <c r="P5178">
        <v>-9.5107704582019004E-2</v>
      </c>
      <c r="Q5178">
        <v>0.13559827508101999</v>
      </c>
      <c r="R5178">
        <v>0.99016344863780204</v>
      </c>
      <c r="S5178" t="s">
        <v>10729</v>
      </c>
      <c r="T5178" t="s">
        <v>11100</v>
      </c>
      <c r="U5178" t="s">
        <v>11100</v>
      </c>
      <c r="V5178" t="s">
        <v>11100</v>
      </c>
      <c r="W5178" t="s">
        <v>16224</v>
      </c>
      <c r="X5178">
        <v>5</v>
      </c>
      <c r="Y5178" t="s">
        <v>21647</v>
      </c>
      <c r="Z5178" t="s">
        <v>27183</v>
      </c>
      <c r="AA5178">
        <v>0.57184361275401208</v>
      </c>
      <c r="AB5178" t="str">
        <f>HYPERLINK("Melting_Curves/meltCurve_Q9UBS8_2_RNF14.pdf", "Melting_Curves/meltCurve_Q9UBS8_2_RNF14.pdf")</f>
        <v>Melting_Curves/meltCurve_Q9UBS8_2_RNF14.pdf</v>
      </c>
    </row>
    <row r="5179" spans="1:28" x14ac:dyDescent="0.25">
      <c r="A5179" t="s">
        <v>5183</v>
      </c>
      <c r="B5179">
        <v>0.99299721793515405</v>
      </c>
      <c r="C5179">
        <v>0.95316375220560701</v>
      </c>
      <c r="D5179">
        <v>0.93214219849998603</v>
      </c>
      <c r="E5179">
        <v>0.88086750260833602</v>
      </c>
      <c r="F5179">
        <v>0.75463203902215104</v>
      </c>
      <c r="G5179">
        <v>0.66592549087957598</v>
      </c>
      <c r="H5179">
        <v>0.33413956464602002</v>
      </c>
      <c r="I5179">
        <v>0.16284574543692401</v>
      </c>
      <c r="J5179">
        <v>0.122340199071163</v>
      </c>
      <c r="K5179">
        <v>9.9210383982695799E-2</v>
      </c>
      <c r="L5179">
        <v>743.19771560440597</v>
      </c>
      <c r="M5179">
        <v>13.514828658261999</v>
      </c>
      <c r="N5179">
        <v>54.991279285370297</v>
      </c>
      <c r="O5179">
        <v>53.8291736589102</v>
      </c>
      <c r="P5179">
        <v>-6.2776746017759497E-2</v>
      </c>
      <c r="Q5179">
        <v>0</v>
      </c>
      <c r="R5179">
        <v>0.98564608981819501</v>
      </c>
      <c r="S5179" t="s">
        <v>10730</v>
      </c>
      <c r="T5179" t="s">
        <v>11100</v>
      </c>
      <c r="U5179" t="s">
        <v>11100</v>
      </c>
      <c r="V5179" t="s">
        <v>11100</v>
      </c>
      <c r="W5179" t="s">
        <v>16225</v>
      </c>
      <c r="X5179">
        <v>32</v>
      </c>
      <c r="Y5179" t="s">
        <v>21648</v>
      </c>
      <c r="Z5179" t="s">
        <v>27184</v>
      </c>
      <c r="AA5179">
        <v>0.61417896536601646</v>
      </c>
      <c r="AB5179" t="str">
        <f>HYPERLINK("Melting_Curves/meltCurve_Q9UBT2_UBA2.pdf", "Melting_Curves/meltCurve_Q9UBT2_UBA2.pdf")</f>
        <v>Melting_Curves/meltCurve_Q9UBT2_UBA2.pdf</v>
      </c>
    </row>
    <row r="5180" spans="1:28" x14ac:dyDescent="0.25">
      <c r="A5180" t="s">
        <v>5184</v>
      </c>
      <c r="B5180">
        <v>0.99299721793515405</v>
      </c>
      <c r="C5180">
        <v>0.93081756721362297</v>
      </c>
      <c r="D5180">
        <v>0.80657745070660103</v>
      </c>
      <c r="E5180">
        <v>0.78780384943452098</v>
      </c>
      <c r="F5180">
        <v>0.73771459965392205</v>
      </c>
      <c r="G5180">
        <v>0.46201618781680998</v>
      </c>
      <c r="H5180">
        <v>0.38555468422092598</v>
      </c>
      <c r="I5180">
        <v>0.36212548009880202</v>
      </c>
      <c r="J5180">
        <v>0.27161130452688098</v>
      </c>
      <c r="K5180">
        <v>0.15234045670759899</v>
      </c>
      <c r="L5180">
        <v>400.53879843660599</v>
      </c>
      <c r="M5180">
        <v>7.3505913439114696</v>
      </c>
      <c r="N5180">
        <v>54.490668909025501</v>
      </c>
      <c r="O5180">
        <v>50.892930970489601</v>
      </c>
      <c r="P5180">
        <v>-3.6164026631317597E-2</v>
      </c>
      <c r="Q5180">
        <v>0</v>
      </c>
      <c r="R5180">
        <v>0.97133354443516795</v>
      </c>
      <c r="S5180" t="s">
        <v>10731</v>
      </c>
      <c r="T5180" t="s">
        <v>11100</v>
      </c>
      <c r="U5180" t="s">
        <v>11100</v>
      </c>
      <c r="V5180" t="s">
        <v>11100</v>
      </c>
      <c r="W5180" t="s">
        <v>16226</v>
      </c>
      <c r="X5180">
        <v>3</v>
      </c>
      <c r="Y5180" t="s">
        <v>21649</v>
      </c>
      <c r="Z5180" t="s">
        <v>27185</v>
      </c>
      <c r="AA5180">
        <v>0.5914921223785562</v>
      </c>
      <c r="AB5180" t="str">
        <f>HYPERLINK("Melting_Curves/meltCurve_Q9UBU6_FAM8A1.pdf", "Melting_Curves/meltCurve_Q9UBU6_FAM8A1.pdf")</f>
        <v>Melting_Curves/meltCurve_Q9UBU6_FAM8A1.pdf</v>
      </c>
    </row>
    <row r="5181" spans="1:28" x14ac:dyDescent="0.25">
      <c r="A5181" t="s">
        <v>5185</v>
      </c>
      <c r="B5181">
        <v>0.99299721793515405</v>
      </c>
      <c r="C5181">
        <v>0.85347154162599803</v>
      </c>
      <c r="D5181">
        <v>0.98595807661739598</v>
      </c>
      <c r="E5181">
        <v>0.72726125672506903</v>
      </c>
      <c r="F5181">
        <v>0.58480015004812202</v>
      </c>
      <c r="G5181">
        <v>0.349696320833013</v>
      </c>
      <c r="H5181">
        <v>0.245110338005634</v>
      </c>
      <c r="I5181">
        <v>0.19419159921071899</v>
      </c>
      <c r="J5181">
        <v>0.16011580388755201</v>
      </c>
      <c r="K5181">
        <v>0.141832793647858</v>
      </c>
      <c r="L5181">
        <v>650.94340275230195</v>
      </c>
      <c r="M5181">
        <v>12.9662178889656</v>
      </c>
      <c r="N5181">
        <v>51.145544503426798</v>
      </c>
      <c r="O5181">
        <v>49.053891824142802</v>
      </c>
      <c r="P5181">
        <v>-5.90695481009504E-2</v>
      </c>
      <c r="Q5181">
        <v>0.106270087368931</v>
      </c>
      <c r="R5181">
        <v>0.97956479599790902</v>
      </c>
      <c r="S5181" t="s">
        <v>10732</v>
      </c>
      <c r="T5181" t="s">
        <v>11100</v>
      </c>
      <c r="U5181" t="s">
        <v>11100</v>
      </c>
      <c r="V5181" t="s">
        <v>11100</v>
      </c>
      <c r="W5181" t="s">
        <v>16227</v>
      </c>
      <c r="X5181">
        <v>6</v>
      </c>
      <c r="Y5181" t="s">
        <v>21650</v>
      </c>
      <c r="Z5181" t="s">
        <v>27186</v>
      </c>
      <c r="AA5181">
        <v>0.52211823347617625</v>
      </c>
      <c r="AB5181" t="str">
        <f>HYPERLINK("Melting_Curves/meltCurve_Q9UBU8_2_MORF4L1.pdf", "Melting_Curves/meltCurve_Q9UBU8_2_MORF4L1.pdf")</f>
        <v>Melting_Curves/meltCurve_Q9UBU8_2_MORF4L1.pdf</v>
      </c>
    </row>
    <row r="5182" spans="1:28" x14ac:dyDescent="0.25">
      <c r="A5182" t="s">
        <v>5186</v>
      </c>
      <c r="B5182">
        <v>0.99299721793515405</v>
      </c>
      <c r="C5182">
        <v>0.98637363220072805</v>
      </c>
      <c r="D5182">
        <v>1.0800336166139799</v>
      </c>
      <c r="E5182">
        <v>0.90943980113917</v>
      </c>
      <c r="F5182">
        <v>0.79964661036185702</v>
      </c>
      <c r="G5182">
        <v>0.69847247107625698</v>
      </c>
      <c r="H5182">
        <v>0.45135711675986001</v>
      </c>
      <c r="I5182">
        <v>0.28698853932606799</v>
      </c>
      <c r="J5182">
        <v>0.20096653810930301</v>
      </c>
      <c r="K5182">
        <v>0.15106687528927201</v>
      </c>
      <c r="L5182">
        <v>733.86158975992998</v>
      </c>
      <c r="M5182">
        <v>13.036181604392199</v>
      </c>
      <c r="N5182">
        <v>56.645337911588101</v>
      </c>
      <c r="O5182">
        <v>55.018931413885198</v>
      </c>
      <c r="P5182">
        <v>-5.6945788110968502E-2</v>
      </c>
      <c r="Q5182">
        <v>3.8813978453572102E-2</v>
      </c>
      <c r="R5182">
        <v>0.98812909975755603</v>
      </c>
      <c r="S5182" t="s">
        <v>10733</v>
      </c>
      <c r="T5182" t="s">
        <v>11100</v>
      </c>
      <c r="U5182" t="s">
        <v>11100</v>
      </c>
      <c r="V5182" t="s">
        <v>11100</v>
      </c>
      <c r="W5182" t="s">
        <v>16228</v>
      </c>
      <c r="X5182">
        <v>5</v>
      </c>
      <c r="Y5182" t="s">
        <v>21651</v>
      </c>
      <c r="Z5182" t="s">
        <v>27187</v>
      </c>
      <c r="AA5182">
        <v>0.66615809996765152</v>
      </c>
      <c r="AB5182" t="str">
        <f>HYPERLINK("Melting_Curves/meltCurve_Q9UBV8_PEF1.pdf", "Melting_Curves/meltCurve_Q9UBV8_PEF1.pdf")</f>
        <v>Melting_Curves/meltCurve_Q9UBV8_PEF1.pdf</v>
      </c>
    </row>
    <row r="5183" spans="1:28" x14ac:dyDescent="0.25">
      <c r="A5183" t="s">
        <v>5187</v>
      </c>
      <c r="B5183">
        <v>0.99299721793515405</v>
      </c>
      <c r="C5183">
        <v>1.0555684808533801</v>
      </c>
      <c r="D5183">
        <v>0.92921897871011905</v>
      </c>
      <c r="E5183">
        <v>0.87036867934922502</v>
      </c>
      <c r="F5183">
        <v>0.65181604519674397</v>
      </c>
      <c r="G5183">
        <v>0.40950811906697399</v>
      </c>
      <c r="H5183">
        <v>0.37419077341572299</v>
      </c>
      <c r="I5183">
        <v>0.39406823077019398</v>
      </c>
      <c r="J5183">
        <v>0.41081293707698702</v>
      </c>
      <c r="K5183">
        <v>0.35117710056767498</v>
      </c>
      <c r="L5183">
        <v>1182.8006427238599</v>
      </c>
      <c r="M5183">
        <v>23.9554058114499</v>
      </c>
      <c r="N5183">
        <v>52.316831057554502</v>
      </c>
      <c r="O5183">
        <v>49.034889419340097</v>
      </c>
      <c r="P5183">
        <v>-7.6947278186298804E-2</v>
      </c>
      <c r="Q5183">
        <v>0.36998919723469498</v>
      </c>
      <c r="R5183">
        <v>0.98550864651775405</v>
      </c>
      <c r="S5183" t="s">
        <v>10734</v>
      </c>
      <c r="T5183" t="s">
        <v>11100</v>
      </c>
      <c r="U5183" t="s">
        <v>11100</v>
      </c>
      <c r="V5183" t="s">
        <v>11100</v>
      </c>
      <c r="W5183" t="s">
        <v>16229</v>
      </c>
      <c r="X5183">
        <v>3</v>
      </c>
      <c r="Y5183" t="s">
        <v>21652</v>
      </c>
      <c r="Z5183" t="s">
        <v>27188</v>
      </c>
      <c r="AA5183">
        <v>0.63580837793686718</v>
      </c>
      <c r="AB5183" t="str">
        <f>HYPERLINK("Melting_Curves/meltCurve_Q9UBW7_ZMYM2.pdf", "Melting_Curves/meltCurve_Q9UBW7_ZMYM2.pdf")</f>
        <v>Melting_Curves/meltCurve_Q9UBW7_ZMYM2.pdf</v>
      </c>
    </row>
    <row r="5184" spans="1:28" x14ac:dyDescent="0.25">
      <c r="A5184" t="s">
        <v>5188</v>
      </c>
      <c r="B5184">
        <v>0.99299721793515405</v>
      </c>
      <c r="C5184">
        <v>0.97398893850279</v>
      </c>
      <c r="D5184">
        <v>0.95340730307677302</v>
      </c>
      <c r="E5184">
        <v>0.82446863175362495</v>
      </c>
      <c r="F5184">
        <v>0.69125223190070195</v>
      </c>
      <c r="G5184">
        <v>1.11017867278363</v>
      </c>
      <c r="H5184">
        <v>1.4684483006895701</v>
      </c>
      <c r="I5184">
        <v>0.85001156222987695</v>
      </c>
      <c r="J5184">
        <v>0.51514707667869997</v>
      </c>
      <c r="K5184">
        <v>0.38090360257470401</v>
      </c>
      <c r="L5184">
        <v>3807.6785760718799</v>
      </c>
      <c r="M5184">
        <v>60.9644817084667</v>
      </c>
      <c r="N5184">
        <v>64.009667620662896</v>
      </c>
      <c r="O5184">
        <v>62.390228906980603</v>
      </c>
      <c r="P5184">
        <v>-0.14999004894475201</v>
      </c>
      <c r="Q5184">
        <v>0.38600905926520801</v>
      </c>
      <c r="R5184">
        <v>0.56932006558679704</v>
      </c>
      <c r="S5184" t="s">
        <v>10735</v>
      </c>
      <c r="T5184" t="s">
        <v>11100</v>
      </c>
      <c r="U5184" t="s">
        <v>11100</v>
      </c>
      <c r="V5184" t="s">
        <v>11100</v>
      </c>
      <c r="W5184" t="s">
        <v>16230</v>
      </c>
      <c r="X5184">
        <v>8</v>
      </c>
      <c r="Y5184" t="s">
        <v>21653</v>
      </c>
      <c r="Z5184" t="s">
        <v>27189</v>
      </c>
      <c r="AA5184">
        <v>0.90776575020496819</v>
      </c>
      <c r="AB5184" t="str">
        <f>HYPERLINK("Melting_Curves/meltCurve_Q9UBW8_COPS7A.pdf", "Melting_Curves/meltCurve_Q9UBW8_COPS7A.pdf")</f>
        <v>Melting_Curves/meltCurve_Q9UBW8_COPS7A.pdf</v>
      </c>
    </row>
    <row r="5185" spans="1:28" x14ac:dyDescent="0.25">
      <c r="A5185" t="s">
        <v>5189</v>
      </c>
      <c r="B5185">
        <v>0.99299721793515405</v>
      </c>
      <c r="C5185">
        <v>0.96618989783046505</v>
      </c>
      <c r="D5185">
        <v>0.97635396755623904</v>
      </c>
      <c r="E5185">
        <v>0.88187131486716697</v>
      </c>
      <c r="F5185">
        <v>0.76569538870397003</v>
      </c>
      <c r="G5185">
        <v>0.58946639724162497</v>
      </c>
      <c r="H5185">
        <v>0.62889648627670203</v>
      </c>
      <c r="I5185">
        <v>0.738397599690789</v>
      </c>
      <c r="J5185">
        <v>0.86099929450814905</v>
      </c>
      <c r="K5185">
        <v>0.700885658160601</v>
      </c>
      <c r="L5185">
        <v>1652.59566262358</v>
      </c>
      <c r="M5185">
        <v>35.053762628228498</v>
      </c>
      <c r="O5185">
        <v>46.9919593472803</v>
      </c>
      <c r="P5185">
        <v>-5.4496772293066403E-2</v>
      </c>
      <c r="Q5185">
        <v>0.70777446706615899</v>
      </c>
      <c r="R5185">
        <v>0.75356611047565503</v>
      </c>
      <c r="S5185" t="s">
        <v>10736</v>
      </c>
      <c r="T5185" t="s">
        <v>11100</v>
      </c>
      <c r="U5185" t="s">
        <v>11100</v>
      </c>
      <c r="V5185" t="s">
        <v>11100</v>
      </c>
      <c r="W5185" t="s">
        <v>16231</v>
      </c>
      <c r="X5185">
        <v>10</v>
      </c>
      <c r="Y5185" t="s">
        <v>21654</v>
      </c>
      <c r="Z5185" t="s">
        <v>27190</v>
      </c>
      <c r="AA5185">
        <v>0.80783486671341442</v>
      </c>
      <c r="AB5185" t="str">
        <f>HYPERLINK("Melting_Curves/meltCurve_Q9UDX5_MTFP1.pdf", "Melting_Curves/meltCurve_Q9UDX5_MTFP1.pdf")</f>
        <v>Melting_Curves/meltCurve_Q9UDX5_MTFP1.pdf</v>
      </c>
    </row>
    <row r="5186" spans="1:28" x14ac:dyDescent="0.25">
      <c r="A5186" t="s">
        <v>5190</v>
      </c>
      <c r="B5186">
        <v>0.99299721793515405</v>
      </c>
      <c r="C5186">
        <v>0.87202467565307695</v>
      </c>
      <c r="D5186">
        <v>0.84738001883964098</v>
      </c>
      <c r="E5186">
        <v>0.74998889573241301</v>
      </c>
      <c r="F5186">
        <v>0.58179641347853395</v>
      </c>
      <c r="G5186">
        <v>0.189389547769337</v>
      </c>
      <c r="H5186">
        <v>0.18272431962597599</v>
      </c>
      <c r="I5186">
        <v>0.197077846241063</v>
      </c>
      <c r="J5186">
        <v>0.20229470932365501</v>
      </c>
      <c r="K5186">
        <v>0.15375718768496899</v>
      </c>
      <c r="L5186">
        <v>728.90147655576595</v>
      </c>
      <c r="M5186">
        <v>14.8917085999352</v>
      </c>
      <c r="N5186">
        <v>49.970250242818203</v>
      </c>
      <c r="O5186">
        <v>48.089587939773502</v>
      </c>
      <c r="P5186">
        <v>-6.7248137606298594E-2</v>
      </c>
      <c r="Q5186">
        <v>0.13143637933587199</v>
      </c>
      <c r="R5186">
        <v>0.96107364444999299</v>
      </c>
      <c r="S5186" t="s">
        <v>10737</v>
      </c>
      <c r="T5186" t="s">
        <v>11100</v>
      </c>
      <c r="U5186" t="s">
        <v>11100</v>
      </c>
      <c r="V5186" t="s">
        <v>11100</v>
      </c>
      <c r="W5186" t="s">
        <v>16232</v>
      </c>
      <c r="X5186">
        <v>11</v>
      </c>
      <c r="Y5186" t="s">
        <v>21655</v>
      </c>
      <c r="Z5186" t="s">
        <v>27191</v>
      </c>
      <c r="AA5186">
        <v>0.49624593759162522</v>
      </c>
      <c r="AB5186" t="str">
        <f>HYPERLINK("Melting_Curves/meltCurve_Q9UDY2_3_TJP2.pdf", "Melting_Curves/meltCurve_Q9UDY2_3_TJP2.pdf")</f>
        <v>Melting_Curves/meltCurve_Q9UDY2_3_TJP2.pdf</v>
      </c>
    </row>
    <row r="5187" spans="1:28" x14ac:dyDescent="0.25">
      <c r="A5187" t="s">
        <v>5191</v>
      </c>
      <c r="B5187">
        <v>0.99299721793515405</v>
      </c>
      <c r="C5187">
        <v>0.96325501951421399</v>
      </c>
      <c r="D5187">
        <v>0.71337391726496702</v>
      </c>
      <c r="E5187">
        <v>0.64511513898245898</v>
      </c>
      <c r="F5187">
        <v>0.43596633501203202</v>
      </c>
      <c r="G5187">
        <v>0.22233861035300301</v>
      </c>
      <c r="H5187">
        <v>0.15161482946135199</v>
      </c>
      <c r="I5187">
        <v>0.11132102090259099</v>
      </c>
      <c r="J5187">
        <v>0.10838361377377</v>
      </c>
      <c r="K5187">
        <v>7.2457914485343403E-2</v>
      </c>
      <c r="L5187">
        <v>548.06582637768804</v>
      </c>
      <c r="M5187">
        <v>11.3917153392754</v>
      </c>
      <c r="N5187">
        <v>48.414529466732198</v>
      </c>
      <c r="O5187">
        <v>46.699913915640998</v>
      </c>
      <c r="P5187">
        <v>-5.8898633889188298E-2</v>
      </c>
      <c r="Q5187">
        <v>3.4473690935809098E-2</v>
      </c>
      <c r="R5187">
        <v>0.98722268726794105</v>
      </c>
      <c r="S5187" t="s">
        <v>10738</v>
      </c>
      <c r="T5187" t="s">
        <v>11100</v>
      </c>
      <c r="U5187" t="s">
        <v>11100</v>
      </c>
      <c r="V5187" t="s">
        <v>11100</v>
      </c>
      <c r="W5187" t="s">
        <v>16233</v>
      </c>
      <c r="X5187">
        <v>3</v>
      </c>
      <c r="Y5187" t="s">
        <v>21656</v>
      </c>
      <c r="Z5187" t="s">
        <v>27192</v>
      </c>
      <c r="AA5187">
        <v>0.42443768450519459</v>
      </c>
      <c r="AB5187" t="str">
        <f>HYPERLINK("Melting_Curves/meltCurve_Q9UDY4_DNAJB4.pdf", "Melting_Curves/meltCurve_Q9UDY4_DNAJB4.pdf")</f>
        <v>Melting_Curves/meltCurve_Q9UDY4_DNAJB4.pdf</v>
      </c>
    </row>
    <row r="5188" spans="1:28" x14ac:dyDescent="0.25">
      <c r="A5188" t="s">
        <v>5192</v>
      </c>
      <c r="B5188">
        <v>0.99299721793515405</v>
      </c>
      <c r="C5188">
        <v>0.98144314668505905</v>
      </c>
      <c r="D5188">
        <v>0.86512204495329403</v>
      </c>
      <c r="E5188">
        <v>0.94525599797775495</v>
      </c>
      <c r="F5188">
        <v>0.66665932991877497</v>
      </c>
      <c r="G5188">
        <v>0.29116755256973498</v>
      </c>
      <c r="H5188">
        <v>0.222422741592089</v>
      </c>
      <c r="I5188">
        <v>0.13153411171301799</v>
      </c>
      <c r="J5188">
        <v>0.107393588458832</v>
      </c>
      <c r="K5188">
        <v>6.1402210770888803E-2</v>
      </c>
      <c r="L5188">
        <v>1113.5326081937101</v>
      </c>
      <c r="M5188">
        <v>21.696473937057799</v>
      </c>
      <c r="N5188">
        <v>51.802220096906098</v>
      </c>
      <c r="O5188">
        <v>50.8931878385876</v>
      </c>
      <c r="P5188">
        <v>-9.6893775392940501E-2</v>
      </c>
      <c r="Q5188">
        <v>9.0890899576427694E-2</v>
      </c>
      <c r="R5188">
        <v>0.98442509455732796</v>
      </c>
      <c r="S5188" t="s">
        <v>10739</v>
      </c>
      <c r="T5188" t="s">
        <v>11100</v>
      </c>
      <c r="U5188" t="s">
        <v>11100</v>
      </c>
      <c r="V5188" t="s">
        <v>11100</v>
      </c>
      <c r="W5188" t="s">
        <v>16234</v>
      </c>
      <c r="X5188">
        <v>4</v>
      </c>
      <c r="Y5188" t="s">
        <v>21657</v>
      </c>
      <c r="Z5188" t="s">
        <v>27193</v>
      </c>
      <c r="AA5188">
        <v>0.53528272647513719</v>
      </c>
      <c r="AB5188" t="str">
        <f>HYPERLINK("Melting_Curves/meltCurve_Q9UDY8_2_MALT1.pdf", "Melting_Curves/meltCurve_Q9UDY8_2_MALT1.pdf")</f>
        <v>Melting_Curves/meltCurve_Q9UDY8_2_MALT1.pdf</v>
      </c>
    </row>
    <row r="5189" spans="1:28" x14ac:dyDescent="0.25">
      <c r="A5189" t="s">
        <v>5193</v>
      </c>
      <c r="B5189">
        <v>0.99299721793515405</v>
      </c>
      <c r="C5189">
        <v>1.08816089788606</v>
      </c>
      <c r="D5189">
        <v>1.42439204073627</v>
      </c>
      <c r="E5189">
        <v>1.1888852765092901</v>
      </c>
      <c r="F5189">
        <v>0.88530795924715999</v>
      </c>
      <c r="G5189">
        <v>0.99797774524107896</v>
      </c>
      <c r="H5189">
        <v>0.68534648433646395</v>
      </c>
      <c r="I5189">
        <v>0.90179404100786298</v>
      </c>
      <c r="J5189">
        <v>1.0993146026246601</v>
      </c>
      <c r="K5189">
        <v>1.0613522504980899</v>
      </c>
      <c r="L5189">
        <v>6815.6667553819598</v>
      </c>
      <c r="M5189">
        <v>108.268229776488</v>
      </c>
      <c r="O5189">
        <v>62.930223966228397</v>
      </c>
      <c r="P5189">
        <v>3.5407039342166602E-2</v>
      </c>
      <c r="Q5189">
        <v>1.0823204479672801</v>
      </c>
      <c r="R5189">
        <v>3.8739084953066699E-3</v>
      </c>
      <c r="S5189" t="s">
        <v>10740</v>
      </c>
      <c r="T5189" t="s">
        <v>11100</v>
      </c>
      <c r="U5189" t="s">
        <v>11100</v>
      </c>
      <c r="V5189" t="s">
        <v>11100</v>
      </c>
      <c r="W5189" t="s">
        <v>16235</v>
      </c>
      <c r="X5189">
        <v>19</v>
      </c>
      <c r="Y5189" t="s">
        <v>21658</v>
      </c>
      <c r="Z5189" t="s">
        <v>27194</v>
      </c>
      <c r="AA5189">
        <v>1.0110627741091851</v>
      </c>
      <c r="AB5189" t="str">
        <f>HYPERLINK("Melting_Curves/meltCurve_Q9UEE9_CFDP1.pdf", "Melting_Curves/meltCurve_Q9UEE9_CFDP1.pdf")</f>
        <v>Melting_Curves/meltCurve_Q9UEE9_CFDP1.pdf</v>
      </c>
    </row>
    <row r="5190" spans="1:28" x14ac:dyDescent="0.25">
      <c r="A5190" t="s">
        <v>5194</v>
      </c>
      <c r="B5190">
        <v>0.99299721793515405</v>
      </c>
      <c r="C5190">
        <v>0.71546802197511605</v>
      </c>
      <c r="D5190">
        <v>0.80142144811696303</v>
      </c>
      <c r="E5190">
        <v>0.67059654456296103</v>
      </c>
      <c r="F5190">
        <v>0.478905829108007</v>
      </c>
      <c r="G5190">
        <v>0.39646641679745498</v>
      </c>
      <c r="H5190">
        <v>0.28077681534264098</v>
      </c>
      <c r="I5190">
        <v>0.30421047495400999</v>
      </c>
      <c r="J5190">
        <v>0.36597798326202602</v>
      </c>
      <c r="K5190">
        <v>0.23302561391701801</v>
      </c>
      <c r="L5190">
        <v>395.43214844614602</v>
      </c>
      <c r="M5190">
        <v>8.4254002571525994</v>
      </c>
      <c r="N5190">
        <v>50.073217419821702</v>
      </c>
      <c r="O5190">
        <v>44.513003589402103</v>
      </c>
      <c r="P5190">
        <v>-3.7644738499262101E-2</v>
      </c>
      <c r="Q5190">
        <v>0.20520283561046199</v>
      </c>
      <c r="R5190">
        <v>0.92807365058428504</v>
      </c>
      <c r="S5190" t="s">
        <v>10741</v>
      </c>
      <c r="T5190" t="s">
        <v>11100</v>
      </c>
      <c r="U5190" t="s">
        <v>11100</v>
      </c>
      <c r="V5190" t="s">
        <v>11100</v>
      </c>
      <c r="W5190" t="s">
        <v>16236</v>
      </c>
      <c r="X5190">
        <v>3</v>
      </c>
      <c r="Y5190" t="s">
        <v>18155</v>
      </c>
      <c r="Z5190" t="s">
        <v>27195</v>
      </c>
      <c r="AA5190">
        <v>0.51151063916740513</v>
      </c>
      <c r="AB5190" t="str">
        <f>HYPERLINK("Melting_Curves/meltCurve_Q9UEL6_MPZL1.pdf", "Melting_Curves/meltCurve_Q9UEL6_MPZL1.pdf")</f>
        <v>Melting_Curves/meltCurve_Q9UEL6_MPZL1.pdf</v>
      </c>
    </row>
    <row r="5191" spans="1:28" x14ac:dyDescent="0.25">
      <c r="A5191" t="s">
        <v>5195</v>
      </c>
      <c r="B5191">
        <v>0.99299721793515405</v>
      </c>
      <c r="C5191">
        <v>0.96790412313382801</v>
      </c>
      <c r="D5191">
        <v>0.97555038407336403</v>
      </c>
      <c r="E5191">
        <v>0.89871875083979003</v>
      </c>
      <c r="F5191">
        <v>0.68683187584224203</v>
      </c>
      <c r="G5191">
        <v>0.47562018611475498</v>
      </c>
      <c r="H5191">
        <v>0.35824266028298402</v>
      </c>
      <c r="I5191">
        <v>0.32484964287439799</v>
      </c>
      <c r="J5191">
        <v>0.30797947595005998</v>
      </c>
      <c r="K5191">
        <v>0.24605611450488099</v>
      </c>
      <c r="L5191">
        <v>903.28807852614796</v>
      </c>
      <c r="M5191">
        <v>17.678388204403401</v>
      </c>
      <c r="N5191">
        <v>53.410446643812101</v>
      </c>
      <c r="O5191">
        <v>50.455245991541197</v>
      </c>
      <c r="P5191">
        <v>-6.4156676249052996E-2</v>
      </c>
      <c r="Q5191">
        <v>0.267609656586068</v>
      </c>
      <c r="R5191">
        <v>0.99689098301648305</v>
      </c>
      <c r="S5191" t="s">
        <v>10742</v>
      </c>
      <c r="T5191" t="s">
        <v>11100</v>
      </c>
      <c r="U5191" t="s">
        <v>11100</v>
      </c>
      <c r="V5191" t="s">
        <v>11100</v>
      </c>
      <c r="W5191" t="s">
        <v>16237</v>
      </c>
      <c r="X5191">
        <v>6</v>
      </c>
      <c r="Y5191" t="s">
        <v>21659</v>
      </c>
      <c r="Z5191" t="s">
        <v>27196</v>
      </c>
      <c r="AA5191">
        <v>0.62337860241214804</v>
      </c>
      <c r="AB5191" t="str">
        <f>HYPERLINK("Melting_Curves/meltCurve_Q9UER7_3_DAXX.pdf", "Melting_Curves/meltCurve_Q9UER7_3_DAXX.pdf")</f>
        <v>Melting_Curves/meltCurve_Q9UER7_3_DAXX.pdf</v>
      </c>
    </row>
    <row r="5192" spans="1:28" x14ac:dyDescent="0.25">
      <c r="A5192" t="s">
        <v>5196</v>
      </c>
      <c r="B5192">
        <v>0.99299721793515405</v>
      </c>
      <c r="C5192">
        <v>1.12181793522991</v>
      </c>
      <c r="D5192">
        <v>0.97421675923297202</v>
      </c>
      <c r="E5192">
        <v>0.77682408237082501</v>
      </c>
      <c r="F5192">
        <v>0.71430405949185105</v>
      </c>
      <c r="G5192">
        <v>0.43837438571436899</v>
      </c>
      <c r="H5192">
        <v>0.27307985676201801</v>
      </c>
      <c r="I5192">
        <v>0.15188538913612801</v>
      </c>
      <c r="J5192">
        <v>0.20364306692730899</v>
      </c>
      <c r="K5192">
        <v>9.0420286157530796E-2</v>
      </c>
      <c r="L5192">
        <v>739.44424282391003</v>
      </c>
      <c r="M5192">
        <v>14.1697138329426</v>
      </c>
      <c r="N5192">
        <v>52.838397163397097</v>
      </c>
      <c r="O5192">
        <v>51.178455648940698</v>
      </c>
      <c r="P5192">
        <v>-6.3661359831136799E-2</v>
      </c>
      <c r="Q5192">
        <v>8.0382663232400897E-2</v>
      </c>
      <c r="R5192">
        <v>0.97578950416722798</v>
      </c>
      <c r="S5192" t="s">
        <v>10743</v>
      </c>
      <c r="T5192" t="s">
        <v>11100</v>
      </c>
      <c r="U5192" t="s">
        <v>11100</v>
      </c>
      <c r="V5192" t="s">
        <v>11100</v>
      </c>
      <c r="W5192" t="s">
        <v>16238</v>
      </c>
      <c r="X5192">
        <v>2</v>
      </c>
      <c r="Y5192" t="s">
        <v>21660</v>
      </c>
      <c r="Z5192" t="s">
        <v>27197</v>
      </c>
      <c r="AA5192">
        <v>0.56435334920658708</v>
      </c>
      <c r="AB5192" t="str">
        <f>HYPERLINK("Melting_Curves/meltCurve_Q9UET6_2_FTSJ1.pdf", "Melting_Curves/meltCurve_Q9UET6_2_FTSJ1.pdf")</f>
        <v>Melting_Curves/meltCurve_Q9UET6_2_FTSJ1.pdf</v>
      </c>
    </row>
    <row r="5193" spans="1:28" x14ac:dyDescent="0.25">
      <c r="A5193" t="s">
        <v>5197</v>
      </c>
      <c r="B5193">
        <v>0.99299721793515405</v>
      </c>
      <c r="C5193">
        <v>0.90434464095424405</v>
      </c>
      <c r="D5193">
        <v>0.98042612117652395</v>
      </c>
      <c r="E5193">
        <v>0.766858516569491</v>
      </c>
      <c r="F5193">
        <v>0.79527762603614105</v>
      </c>
      <c r="G5193">
        <v>0.50700388803625795</v>
      </c>
      <c r="H5193">
        <v>0.48378485563045298</v>
      </c>
      <c r="I5193">
        <v>0.556715093841049</v>
      </c>
      <c r="J5193">
        <v>0.59248702642698403</v>
      </c>
      <c r="K5193">
        <v>0.485545933962309</v>
      </c>
      <c r="L5193">
        <v>751.69449447505997</v>
      </c>
      <c r="M5193">
        <v>15.5440080421121</v>
      </c>
      <c r="O5193">
        <v>47.579920110270599</v>
      </c>
      <c r="P5193">
        <v>-4.0264004117769502E-2</v>
      </c>
      <c r="Q5193">
        <v>0.50705369617343699</v>
      </c>
      <c r="R5193">
        <v>0.89065531457930303</v>
      </c>
      <c r="S5193" t="s">
        <v>10744</v>
      </c>
      <c r="T5193" t="s">
        <v>11100</v>
      </c>
      <c r="U5193" t="s">
        <v>11100</v>
      </c>
      <c r="V5193" t="s">
        <v>11100</v>
      </c>
      <c r="W5193" t="s">
        <v>16239</v>
      </c>
      <c r="X5193">
        <v>10</v>
      </c>
      <c r="Y5193" t="s">
        <v>21661</v>
      </c>
      <c r="Z5193" t="s">
        <v>27198</v>
      </c>
      <c r="AA5193">
        <v>0.70385299401522183</v>
      </c>
      <c r="AB5193" t="str">
        <f>HYPERLINK("Melting_Curves/meltCurve_Q9UEU0_VTI1B.pdf", "Melting_Curves/meltCurve_Q9UEU0_VTI1B.pdf")</f>
        <v>Melting_Curves/meltCurve_Q9UEU0_VTI1B.pdf</v>
      </c>
    </row>
    <row r="5194" spans="1:28" x14ac:dyDescent="0.25">
      <c r="A5194" t="s">
        <v>5198</v>
      </c>
      <c r="B5194">
        <v>0.99299721793515405</v>
      </c>
      <c r="C5194">
        <v>0.89926590072410795</v>
      </c>
      <c r="D5194">
        <v>1.17071044615721</v>
      </c>
      <c r="E5194">
        <v>0.77102857331775299</v>
      </c>
      <c r="F5194">
        <v>0.481403034794047</v>
      </c>
      <c r="G5194">
        <v>0.29041573490756001</v>
      </c>
      <c r="H5194">
        <v>0.210428951322606</v>
      </c>
      <c r="I5194">
        <v>0.17180789079213901</v>
      </c>
      <c r="J5194">
        <v>0.14319877165311501</v>
      </c>
      <c r="K5194">
        <v>0.211183993488293</v>
      </c>
      <c r="L5194">
        <v>1222.50280365343</v>
      </c>
      <c r="M5194">
        <v>24.934540021959801</v>
      </c>
      <c r="N5194">
        <v>49.936034274306401</v>
      </c>
      <c r="O5194">
        <v>48.716397578443598</v>
      </c>
      <c r="P5194">
        <v>-0.104646492810055</v>
      </c>
      <c r="Q5194">
        <v>0.18218970911381499</v>
      </c>
      <c r="R5194">
        <v>0.96024795623618397</v>
      </c>
      <c r="S5194" t="s">
        <v>10745</v>
      </c>
      <c r="T5194" t="s">
        <v>11100</v>
      </c>
      <c r="U5194" t="s">
        <v>11100</v>
      </c>
      <c r="V5194" t="s">
        <v>11100</v>
      </c>
      <c r="W5194" t="s">
        <v>16240</v>
      </c>
      <c r="X5194">
        <v>5</v>
      </c>
      <c r="Y5194" t="s">
        <v>21662</v>
      </c>
      <c r="Z5194" t="s">
        <v>27199</v>
      </c>
      <c r="AA5194">
        <v>0.51719605472553498</v>
      </c>
      <c r="AB5194" t="str">
        <f>HYPERLINK("Melting_Curves/meltCurve_Q9UEW8_STK39.pdf", "Melting_Curves/meltCurve_Q9UEW8_STK39.pdf")</f>
        <v>Melting_Curves/meltCurve_Q9UEW8_STK39.pdf</v>
      </c>
    </row>
    <row r="5195" spans="1:28" x14ac:dyDescent="0.25">
      <c r="A5195" t="s">
        <v>5199</v>
      </c>
      <c r="B5195">
        <v>0.99299721793515405</v>
      </c>
      <c r="C5195">
        <v>0.91519824135280903</v>
      </c>
      <c r="D5195">
        <v>1.08318668829544</v>
      </c>
      <c r="E5195">
        <v>0.87704274339139299</v>
      </c>
      <c r="F5195">
        <v>0.72704577293834105</v>
      </c>
      <c r="G5195">
        <v>0.68523507727827504</v>
      </c>
      <c r="H5195">
        <v>0.54469163412194299</v>
      </c>
      <c r="I5195">
        <v>0.57085541518372496</v>
      </c>
      <c r="J5195">
        <v>0.50611170401717898</v>
      </c>
      <c r="K5195">
        <v>0.389376590181363</v>
      </c>
      <c r="L5195">
        <v>608.05559878251904</v>
      </c>
      <c r="M5195">
        <v>11.5869997203148</v>
      </c>
      <c r="N5195">
        <v>61.607268774284201</v>
      </c>
      <c r="O5195">
        <v>50.987374889936298</v>
      </c>
      <c r="P5195">
        <v>-3.3517051944073402E-2</v>
      </c>
      <c r="Q5195">
        <v>0.41020975410897997</v>
      </c>
      <c r="R5195">
        <v>0.92868910055367804</v>
      </c>
      <c r="S5195" t="s">
        <v>10746</v>
      </c>
      <c r="T5195" t="s">
        <v>11100</v>
      </c>
      <c r="U5195" t="s">
        <v>11100</v>
      </c>
      <c r="V5195" t="s">
        <v>11100</v>
      </c>
      <c r="W5195" t="s">
        <v>16241</v>
      </c>
      <c r="X5195">
        <v>14</v>
      </c>
      <c r="Y5195" t="s">
        <v>21663</v>
      </c>
      <c r="Z5195" t="s">
        <v>27200</v>
      </c>
      <c r="AA5195">
        <v>0.72807921955985289</v>
      </c>
      <c r="AB5195" t="str">
        <f>HYPERLINK("Melting_Curves/meltCurve_Q9UEY8_2_ADD3.pdf", "Melting_Curves/meltCurve_Q9UEY8_2_ADD3.pdf")</f>
        <v>Melting_Curves/meltCurve_Q9UEY8_2_ADD3.pdf</v>
      </c>
    </row>
    <row r="5196" spans="1:28" x14ac:dyDescent="0.25">
      <c r="A5196" t="s">
        <v>5200</v>
      </c>
      <c r="B5196">
        <v>0.99299721793515405</v>
      </c>
      <c r="C5196">
        <v>0.94383801642987697</v>
      </c>
      <c r="D5196">
        <v>1.0475759683449699</v>
      </c>
      <c r="E5196">
        <v>0.81755100501427502</v>
      </c>
      <c r="F5196">
        <v>0.50535546022637101</v>
      </c>
      <c r="G5196">
        <v>8.9737596114757401E-2</v>
      </c>
      <c r="H5196">
        <v>0.21145911865084099</v>
      </c>
      <c r="I5196">
        <v>0.10062001586593899</v>
      </c>
      <c r="J5196">
        <v>8.6879231465723794E-2</v>
      </c>
      <c r="K5196">
        <v>0.17709592117001</v>
      </c>
      <c r="L5196">
        <v>1448.3623814472101</v>
      </c>
      <c r="M5196">
        <v>29.352915985629298</v>
      </c>
      <c r="N5196">
        <v>49.816972231176102</v>
      </c>
      <c r="O5196">
        <v>49.115740149504397</v>
      </c>
      <c r="P5196">
        <v>-0.131206819912698</v>
      </c>
      <c r="Q5196">
        <v>0.121821802938494</v>
      </c>
      <c r="R5196">
        <v>0.97835639222909199</v>
      </c>
      <c r="S5196" t="s">
        <v>10747</v>
      </c>
      <c r="T5196" t="s">
        <v>11100</v>
      </c>
      <c r="U5196" t="s">
        <v>11100</v>
      </c>
      <c r="V5196" t="s">
        <v>11100</v>
      </c>
      <c r="W5196" t="s">
        <v>16242</v>
      </c>
      <c r="X5196">
        <v>2</v>
      </c>
      <c r="Y5196" t="s">
        <v>21664</v>
      </c>
      <c r="Z5196" t="s">
        <v>27201</v>
      </c>
      <c r="AA5196">
        <v>0.48869967836469841</v>
      </c>
      <c r="AB5196" t="str">
        <f>HYPERLINK("Melting_Curves/meltCurve_Q9UFC0_LRWD1.pdf", "Melting_Curves/meltCurve_Q9UFC0_LRWD1.pdf")</f>
        <v>Melting_Curves/meltCurve_Q9UFC0_LRWD1.pdf</v>
      </c>
    </row>
    <row r="5197" spans="1:28" x14ac:dyDescent="0.25">
      <c r="A5197" t="s">
        <v>5201</v>
      </c>
      <c r="B5197">
        <v>0.99299721793515405</v>
      </c>
      <c r="C5197">
        <v>0.95950288073708501</v>
      </c>
      <c r="D5197">
        <v>0.96078428907070601</v>
      </c>
      <c r="E5197">
        <v>0.85652649119149604</v>
      </c>
      <c r="F5197">
        <v>0.70345521265098598</v>
      </c>
      <c r="G5197">
        <v>0.57030774610935697</v>
      </c>
      <c r="H5197">
        <v>0.79945274173532199</v>
      </c>
      <c r="I5197">
        <v>0.967909768720148</v>
      </c>
      <c r="J5197">
        <v>1.24964499466514</v>
      </c>
      <c r="K5197">
        <v>1.1172768399152799</v>
      </c>
      <c r="L5197">
        <v>15000</v>
      </c>
      <c r="M5197">
        <v>240.31074393979</v>
      </c>
      <c r="O5197">
        <v>62.414858827640998</v>
      </c>
      <c r="P5197">
        <v>0.17663555736389</v>
      </c>
      <c r="Q5197">
        <v>1.18350712364148</v>
      </c>
      <c r="R5197">
        <v>-1.0536779545760001E-3</v>
      </c>
      <c r="S5197" t="s">
        <v>10748</v>
      </c>
      <c r="T5197" t="s">
        <v>11100</v>
      </c>
      <c r="U5197" t="s">
        <v>11100</v>
      </c>
      <c r="V5197" t="s">
        <v>11100</v>
      </c>
      <c r="W5197" t="s">
        <v>16243</v>
      </c>
      <c r="X5197">
        <v>7</v>
      </c>
      <c r="Y5197" t="s">
        <v>21665</v>
      </c>
      <c r="Z5197" t="s">
        <v>27202</v>
      </c>
      <c r="AA5197">
        <v>1.027998669891542</v>
      </c>
      <c r="AB5197" t="str">
        <f>HYPERLINK("Melting_Curves/meltCurve_Q9UFG5_C19orf25.pdf", "Melting_Curves/meltCurve_Q9UFG5_C19orf25.pdf")</f>
        <v>Melting_Curves/meltCurve_Q9UFG5_C19orf25.pdf</v>
      </c>
    </row>
    <row r="5198" spans="1:28" x14ac:dyDescent="0.25">
      <c r="A5198" t="s">
        <v>5202</v>
      </c>
      <c r="B5198">
        <v>0.99299721793515405</v>
      </c>
      <c r="C5198">
        <v>1.00035999062589</v>
      </c>
      <c r="D5198">
        <v>0.985900382348741</v>
      </c>
      <c r="E5198">
        <v>0.81952117744783404</v>
      </c>
      <c r="F5198">
        <v>0.71606733519335797</v>
      </c>
      <c r="G5198">
        <v>0.42602766426180799</v>
      </c>
      <c r="H5198">
        <v>0.37568236128954302</v>
      </c>
      <c r="I5198">
        <v>0.36332851732925803</v>
      </c>
      <c r="J5198">
        <v>0.424263150035811</v>
      </c>
      <c r="K5198">
        <v>0.38880216064149198</v>
      </c>
      <c r="L5198">
        <v>1045.0231314845801</v>
      </c>
      <c r="M5198">
        <v>21.048994814392501</v>
      </c>
      <c r="N5198">
        <v>53.066657649471097</v>
      </c>
      <c r="O5198">
        <v>49.2055932630144</v>
      </c>
      <c r="P5198">
        <v>-6.72482983200033E-2</v>
      </c>
      <c r="Q5198">
        <v>0.37119965421381002</v>
      </c>
      <c r="R5198">
        <v>0.98084782821267802</v>
      </c>
      <c r="S5198" t="s">
        <v>10749</v>
      </c>
      <c r="T5198" t="s">
        <v>11100</v>
      </c>
      <c r="U5198" t="s">
        <v>11100</v>
      </c>
      <c r="V5198" t="s">
        <v>11100</v>
      </c>
      <c r="W5198" t="s">
        <v>16244</v>
      </c>
      <c r="X5198">
        <v>4</v>
      </c>
      <c r="Y5198" t="s">
        <v>21666</v>
      </c>
      <c r="Z5198" t="s">
        <v>27203</v>
      </c>
      <c r="AA5198">
        <v>0.64384331034298747</v>
      </c>
      <c r="AB5198" t="str">
        <f>HYPERLINK("Melting_Curves/meltCurve_Q9UFW8_CGGBP1.pdf", "Melting_Curves/meltCurve_Q9UFW8_CGGBP1.pdf")</f>
        <v>Melting_Curves/meltCurve_Q9UFW8_CGGBP1.pdf</v>
      </c>
    </row>
    <row r="5199" spans="1:28" x14ac:dyDescent="0.25">
      <c r="A5199" t="s">
        <v>5203</v>
      </c>
      <c r="B5199">
        <v>0.99299721793515405</v>
      </c>
      <c r="C5199">
        <v>0.90879552545405695</v>
      </c>
      <c r="D5199">
        <v>1.04403813504486</v>
      </c>
      <c r="E5199">
        <v>0.97781468148660799</v>
      </c>
      <c r="F5199">
        <v>0.70474588812733696</v>
      </c>
      <c r="G5199">
        <v>0.49367077671070397</v>
      </c>
      <c r="H5199">
        <v>0.33667062782247997</v>
      </c>
      <c r="I5199">
        <v>0.28533252842360102</v>
      </c>
      <c r="J5199">
        <v>0.21287042125858399</v>
      </c>
      <c r="K5199">
        <v>0.22116686144358</v>
      </c>
      <c r="L5199">
        <v>1038.6726516637</v>
      </c>
      <c r="M5199">
        <v>19.977290932901798</v>
      </c>
      <c r="N5199">
        <v>53.556617417382299</v>
      </c>
      <c r="O5199">
        <v>51.480107754114599</v>
      </c>
      <c r="P5199">
        <v>-7.5577701081855297E-2</v>
      </c>
      <c r="Q5199">
        <v>0.22099140489843999</v>
      </c>
      <c r="R5199">
        <v>0.98448045990897204</v>
      </c>
      <c r="S5199" t="s">
        <v>10750</v>
      </c>
      <c r="T5199" t="s">
        <v>11100</v>
      </c>
      <c r="U5199" t="s">
        <v>11100</v>
      </c>
      <c r="V5199" t="s">
        <v>11100</v>
      </c>
      <c r="W5199" t="s">
        <v>16245</v>
      </c>
      <c r="X5199">
        <v>4</v>
      </c>
      <c r="Y5199" t="s">
        <v>21667</v>
      </c>
      <c r="Z5199" t="s">
        <v>27204</v>
      </c>
      <c r="AA5199">
        <v>0.62038489730299251</v>
      </c>
      <c r="AB5199" t="str">
        <f>HYPERLINK("Melting_Curves/meltCurve_Q9UG56_2_PISD.pdf", "Melting_Curves/meltCurve_Q9UG56_2_PISD.pdf")</f>
        <v>Melting_Curves/meltCurve_Q9UG56_2_PISD.pdf</v>
      </c>
    </row>
    <row r="5200" spans="1:28" x14ac:dyDescent="0.25">
      <c r="A5200" t="s">
        <v>5204</v>
      </c>
      <c r="B5200">
        <v>0.99299721793515405</v>
      </c>
      <c r="C5200">
        <v>1.09811717752556</v>
      </c>
      <c r="D5200">
        <v>0.87021751450852303</v>
      </c>
      <c r="E5200">
        <v>0.85914518648329197</v>
      </c>
      <c r="F5200">
        <v>0.61980588850812701</v>
      </c>
      <c r="G5200">
        <v>0.39408128413287902</v>
      </c>
      <c r="H5200">
        <v>0.238925168985617</v>
      </c>
      <c r="I5200">
        <v>0.180450732299346</v>
      </c>
      <c r="J5200">
        <v>0.16270085953222599</v>
      </c>
      <c r="K5200">
        <v>0.123762964034405</v>
      </c>
      <c r="L5200">
        <v>785.92782523449705</v>
      </c>
      <c r="M5200">
        <v>15.3676048395339</v>
      </c>
      <c r="N5200">
        <v>51.980218142022501</v>
      </c>
      <c r="O5200">
        <v>50.299326759840298</v>
      </c>
      <c r="P5200">
        <v>-6.8003158711406705E-2</v>
      </c>
      <c r="Q5200">
        <v>0.10976396634673299</v>
      </c>
      <c r="R5200">
        <v>0.98449922954073199</v>
      </c>
      <c r="S5200" t="s">
        <v>10751</v>
      </c>
      <c r="T5200" t="s">
        <v>11100</v>
      </c>
      <c r="U5200" t="s">
        <v>11100</v>
      </c>
      <c r="V5200" t="s">
        <v>11100</v>
      </c>
      <c r="W5200" t="s">
        <v>16246</v>
      </c>
      <c r="X5200">
        <v>5</v>
      </c>
      <c r="Y5200" t="s">
        <v>21668</v>
      </c>
      <c r="Z5200" t="s">
        <v>27205</v>
      </c>
      <c r="AA5200">
        <v>0.54667248888212827</v>
      </c>
      <c r="AB5200" t="str">
        <f>HYPERLINK("Melting_Curves/meltCurve_Q9UG63_ABCF2.pdf", "Melting_Curves/meltCurve_Q9UG63_ABCF2.pdf")</f>
        <v>Melting_Curves/meltCurve_Q9UG63_ABCF2.pdf</v>
      </c>
    </row>
    <row r="5201" spans="1:28" x14ac:dyDescent="0.25">
      <c r="A5201" t="s">
        <v>5205</v>
      </c>
      <c r="B5201">
        <v>0.99299721793515405</v>
      </c>
      <c r="C5201">
        <v>0.83103055350782495</v>
      </c>
      <c r="D5201">
        <v>1.01489315632288</v>
      </c>
      <c r="E5201">
        <v>0.73462616254748903</v>
      </c>
      <c r="F5201">
        <v>0.85003505809334001</v>
      </c>
      <c r="G5201">
        <v>0.52039075242156196</v>
      </c>
      <c r="H5201">
        <v>0.43510224849439799</v>
      </c>
      <c r="I5201">
        <v>0.32565091507149602</v>
      </c>
      <c r="J5201">
        <v>0.38221274948060402</v>
      </c>
      <c r="K5201">
        <v>0.39188506147993601</v>
      </c>
      <c r="L5201">
        <v>610.20850263327202</v>
      </c>
      <c r="M5201">
        <v>11.8383572321569</v>
      </c>
      <c r="N5201">
        <v>55.826840181071702</v>
      </c>
      <c r="O5201">
        <v>50.140217976107003</v>
      </c>
      <c r="P5201">
        <v>-4.1427437734711699E-2</v>
      </c>
      <c r="Q5201">
        <v>0.29833063883597399</v>
      </c>
      <c r="R5201">
        <v>0.888412698148764</v>
      </c>
      <c r="S5201" t="s">
        <v>10752</v>
      </c>
      <c r="T5201" t="s">
        <v>11100</v>
      </c>
      <c r="U5201" t="s">
        <v>11100</v>
      </c>
      <c r="V5201" t="s">
        <v>11100</v>
      </c>
      <c r="W5201" t="s">
        <v>16247</v>
      </c>
      <c r="X5201">
        <v>43</v>
      </c>
      <c r="Y5201" t="s">
        <v>21669</v>
      </c>
      <c r="Z5201" t="s">
        <v>27206</v>
      </c>
      <c r="AA5201">
        <v>0.65615896407730578</v>
      </c>
      <c r="AB5201" t="str">
        <f>HYPERLINK("Melting_Curves/meltCurve_Q9UGI8_TES.pdf", "Melting_Curves/meltCurve_Q9UGI8_TES.pdf")</f>
        <v>Melting_Curves/meltCurve_Q9UGI8_TES.pdf</v>
      </c>
    </row>
    <row r="5202" spans="1:28" x14ac:dyDescent="0.25">
      <c r="A5202" t="s">
        <v>5206</v>
      </c>
      <c r="B5202">
        <v>0.99299721793515405</v>
      </c>
      <c r="C5202">
        <v>0.94398953633457505</v>
      </c>
      <c r="D5202">
        <v>0.95178583657306803</v>
      </c>
      <c r="E5202">
        <v>0.84711991459472102</v>
      </c>
      <c r="F5202">
        <v>0.75474310036425696</v>
      </c>
      <c r="G5202">
        <v>0.561899244490767</v>
      </c>
      <c r="H5202">
        <v>0.35867520714392398</v>
      </c>
      <c r="I5202">
        <v>0.18645726151022399</v>
      </c>
      <c r="J5202">
        <v>0.15031911799446401</v>
      </c>
      <c r="K5202">
        <v>0.12607599160319799</v>
      </c>
      <c r="L5202">
        <v>632.70189335786495</v>
      </c>
      <c r="M5202">
        <v>11.597324735212601</v>
      </c>
      <c r="N5202">
        <v>54.555833074075998</v>
      </c>
      <c r="O5202">
        <v>53.009439211675399</v>
      </c>
      <c r="P5202">
        <v>-5.4709667998645198E-2</v>
      </c>
      <c r="Q5202">
        <v>0</v>
      </c>
      <c r="R5202">
        <v>0.99481062896275696</v>
      </c>
      <c r="S5202" t="s">
        <v>10753</v>
      </c>
      <c r="T5202" t="s">
        <v>11100</v>
      </c>
      <c r="U5202" t="s">
        <v>11100</v>
      </c>
      <c r="V5202" t="s">
        <v>11100</v>
      </c>
      <c r="W5202" t="s">
        <v>16248</v>
      </c>
      <c r="X5202">
        <v>43</v>
      </c>
      <c r="Y5202" t="s">
        <v>21669</v>
      </c>
      <c r="Z5202" t="s">
        <v>27207</v>
      </c>
      <c r="AA5202">
        <v>0.60102421424108243</v>
      </c>
      <c r="AB5202" t="str">
        <f>HYPERLINK("Melting_Curves/meltCurve_Q9UGI8_2_TES.pdf", "Melting_Curves/meltCurve_Q9UGI8_2_TES.pdf")</f>
        <v>Melting_Curves/meltCurve_Q9UGI8_2_TES.pdf</v>
      </c>
    </row>
    <row r="5203" spans="1:28" x14ac:dyDescent="0.25">
      <c r="A5203" t="s">
        <v>5207</v>
      </c>
      <c r="B5203">
        <v>0.99299721793515405</v>
      </c>
      <c r="C5203">
        <v>0.89062748050866003</v>
      </c>
      <c r="D5203">
        <v>1.06255687198426</v>
      </c>
      <c r="E5203">
        <v>0.73435301031012001</v>
      </c>
      <c r="F5203">
        <v>0.77764893794165701</v>
      </c>
      <c r="G5203">
        <v>0.54251510908049405</v>
      </c>
      <c r="H5203">
        <v>0.31422798620958298</v>
      </c>
      <c r="I5203">
        <v>0.24201457637815699</v>
      </c>
      <c r="J5203">
        <v>0.26386991832419199</v>
      </c>
      <c r="K5203">
        <v>0.21899430779807999</v>
      </c>
      <c r="L5203">
        <v>672.62783014669401</v>
      </c>
      <c r="M5203">
        <v>12.7985423154259</v>
      </c>
      <c r="N5203">
        <v>54.113089580672799</v>
      </c>
      <c r="O5203">
        <v>51.321561041250099</v>
      </c>
      <c r="P5203">
        <v>-5.2746488620361298E-2</v>
      </c>
      <c r="Q5203">
        <v>0.15411492083683001</v>
      </c>
      <c r="R5203">
        <v>0.94920113935357397</v>
      </c>
      <c r="S5203" t="s">
        <v>10754</v>
      </c>
      <c r="T5203" t="s">
        <v>11100</v>
      </c>
      <c r="U5203" t="s">
        <v>11100</v>
      </c>
      <c r="V5203" t="s">
        <v>11100</v>
      </c>
      <c r="W5203" t="s">
        <v>16249</v>
      </c>
      <c r="X5203">
        <v>3</v>
      </c>
      <c r="Y5203" t="s">
        <v>21670</v>
      </c>
      <c r="Z5203" t="s">
        <v>27208</v>
      </c>
      <c r="AA5203">
        <v>0.6107502097991897</v>
      </c>
      <c r="AB5203" t="str">
        <f>HYPERLINK("Melting_Curves/meltCurve_Q9UGK8_SERGEF.pdf", "Melting_Curves/meltCurve_Q9UGK8_SERGEF.pdf")</f>
        <v>Melting_Curves/meltCurve_Q9UGK8_SERGEF.pdf</v>
      </c>
    </row>
    <row r="5204" spans="1:28" x14ac:dyDescent="0.25">
      <c r="A5204" t="s">
        <v>5208</v>
      </c>
      <c r="B5204">
        <v>0.99299721793515405</v>
      </c>
      <c r="C5204">
        <v>0.92323802474502603</v>
      </c>
      <c r="D5204">
        <v>0.92278152868609598</v>
      </c>
      <c r="E5204">
        <v>0.78379668289488302</v>
      </c>
      <c r="F5204">
        <v>0.77143431553846797</v>
      </c>
      <c r="G5204">
        <v>0.43660883219582602</v>
      </c>
      <c r="H5204">
        <v>0.38884530642230097</v>
      </c>
      <c r="I5204">
        <v>0.390749997458263</v>
      </c>
      <c r="J5204">
        <v>0.365440952048184</v>
      </c>
      <c r="K5204">
        <v>0.29244265678777598</v>
      </c>
      <c r="L5204">
        <v>618.86404778402903</v>
      </c>
      <c r="M5204">
        <v>12.197005442060499</v>
      </c>
      <c r="N5204">
        <v>54.359273385059097</v>
      </c>
      <c r="O5204">
        <v>49.432905070823999</v>
      </c>
      <c r="P5204">
        <v>-4.45412709798041E-2</v>
      </c>
      <c r="Q5204">
        <v>0.27808305917675802</v>
      </c>
      <c r="R5204">
        <v>0.96218778404234295</v>
      </c>
      <c r="S5204" t="s">
        <v>10755</v>
      </c>
      <c r="T5204" t="s">
        <v>11100</v>
      </c>
      <c r="U5204" t="s">
        <v>11100</v>
      </c>
      <c r="V5204" t="s">
        <v>11100</v>
      </c>
      <c r="W5204" t="s">
        <v>16250</v>
      </c>
      <c r="X5204">
        <v>12</v>
      </c>
      <c r="Y5204" t="s">
        <v>21671</v>
      </c>
      <c r="Z5204" t="s">
        <v>27209</v>
      </c>
      <c r="AA5204">
        <v>0.62755377343345053</v>
      </c>
      <c r="AB5204" t="str">
        <f>HYPERLINK("Melting_Curves/meltCurve_Q9UGP4_LIMD1.pdf", "Melting_Curves/meltCurve_Q9UGP4_LIMD1.pdf")</f>
        <v>Melting_Curves/meltCurve_Q9UGP4_LIMD1.pdf</v>
      </c>
    </row>
    <row r="5205" spans="1:28" x14ac:dyDescent="0.25">
      <c r="A5205" t="s">
        <v>5209</v>
      </c>
      <c r="B5205">
        <v>0.99299721793515405</v>
      </c>
      <c r="C5205">
        <v>1.01896330478801</v>
      </c>
      <c r="D5205">
        <v>1.0384191478851801</v>
      </c>
      <c r="E5205">
        <v>0.90644548328310803</v>
      </c>
      <c r="F5205">
        <v>0.77094761824692903</v>
      </c>
      <c r="G5205">
        <v>0.62736333360801799</v>
      </c>
      <c r="H5205">
        <v>0.41904035292979802</v>
      </c>
      <c r="I5205">
        <v>0.25963205063432598</v>
      </c>
      <c r="J5205">
        <v>0.137350735238119</v>
      </c>
      <c r="K5205">
        <v>0.111225925879943</v>
      </c>
      <c r="L5205">
        <v>704.55862668246505</v>
      </c>
      <c r="M5205">
        <v>12.6393236955417</v>
      </c>
      <c r="N5205">
        <v>55.743380349050398</v>
      </c>
      <c r="O5205">
        <v>54.403219200061599</v>
      </c>
      <c r="P5205">
        <v>-5.8093137699850403E-2</v>
      </c>
      <c r="Q5205">
        <v>0</v>
      </c>
      <c r="R5205">
        <v>0.99464709889983605</v>
      </c>
      <c r="S5205" t="s">
        <v>10756</v>
      </c>
      <c r="T5205" t="s">
        <v>11100</v>
      </c>
      <c r="U5205" t="s">
        <v>11100</v>
      </c>
      <c r="V5205" t="s">
        <v>11100</v>
      </c>
      <c r="W5205" t="s">
        <v>16251</v>
      </c>
      <c r="X5205">
        <v>10</v>
      </c>
      <c r="Y5205" t="s">
        <v>21672</v>
      </c>
      <c r="Z5205" t="s">
        <v>27210</v>
      </c>
      <c r="AA5205">
        <v>0.63630368455667607</v>
      </c>
      <c r="AB5205" t="str">
        <f>HYPERLINK("Melting_Curves/meltCurve_Q9UGP8_SEC63.pdf", "Melting_Curves/meltCurve_Q9UGP8_SEC63.pdf")</f>
        <v>Melting_Curves/meltCurve_Q9UGP8_SEC63.pdf</v>
      </c>
    </row>
    <row r="5206" spans="1:28" x14ac:dyDescent="0.25">
      <c r="A5206" t="s">
        <v>5210</v>
      </c>
      <c r="B5206">
        <v>0.99299721793515405</v>
      </c>
      <c r="C5206">
        <v>1.00364223111999</v>
      </c>
      <c r="D5206">
        <v>0.91856681400762796</v>
      </c>
      <c r="E5206">
        <v>1.0382613048498599</v>
      </c>
      <c r="F5206">
        <v>0.90610042231200205</v>
      </c>
      <c r="G5206">
        <v>0.52709100636528605</v>
      </c>
      <c r="H5206">
        <v>0.55945139621715001</v>
      </c>
      <c r="I5206">
        <v>0.60454485483427201</v>
      </c>
      <c r="J5206">
        <v>0.82066346735095097</v>
      </c>
      <c r="K5206">
        <v>0.68131121748010604</v>
      </c>
      <c r="L5206">
        <v>12602.551761398599</v>
      </c>
      <c r="M5206">
        <v>250</v>
      </c>
      <c r="O5206">
        <v>50.406981327157297</v>
      </c>
      <c r="P5206">
        <v>-0.44808725790272202</v>
      </c>
      <c r="Q5206">
        <v>0.63861238518798802</v>
      </c>
      <c r="R5206">
        <v>0.81773646449475301</v>
      </c>
      <c r="S5206" t="s">
        <v>10757</v>
      </c>
      <c r="T5206" t="s">
        <v>11100</v>
      </c>
      <c r="U5206" t="s">
        <v>11100</v>
      </c>
      <c r="V5206" t="s">
        <v>11100</v>
      </c>
      <c r="W5206" t="s">
        <v>16252</v>
      </c>
      <c r="X5206">
        <v>2</v>
      </c>
      <c r="Y5206" t="s">
        <v>21673</v>
      </c>
      <c r="Z5206" t="s">
        <v>27211</v>
      </c>
      <c r="AA5206">
        <v>0.80018711478018811</v>
      </c>
      <c r="AB5206" t="str">
        <f>HYPERLINK("Melting_Curves/meltCurve_Q9UGQ2_2_CACFD1.pdf", "Melting_Curves/meltCurve_Q9UGQ2_2_CACFD1.pdf")</f>
        <v>Melting_Curves/meltCurve_Q9UGQ2_2_CACFD1.pdf</v>
      </c>
    </row>
    <row r="5207" spans="1:28" x14ac:dyDescent="0.25">
      <c r="A5207" t="s">
        <v>5211</v>
      </c>
      <c r="B5207">
        <v>0.99299721793515405</v>
      </c>
      <c r="C5207">
        <v>0.74306972204945798</v>
      </c>
      <c r="D5207">
        <v>0.97707798610469498</v>
      </c>
      <c r="E5207">
        <v>0.79788612661814395</v>
      </c>
      <c r="F5207">
        <v>0.61321417153601299</v>
      </c>
      <c r="G5207">
        <v>0.54566585528627798</v>
      </c>
      <c r="H5207">
        <v>0.384070280894035</v>
      </c>
      <c r="I5207">
        <v>0.31024987945789401</v>
      </c>
      <c r="J5207">
        <v>0.39166723376963702</v>
      </c>
      <c r="K5207">
        <v>0.29007609710073201</v>
      </c>
      <c r="L5207">
        <v>437.59177635971298</v>
      </c>
      <c r="M5207">
        <v>8.5333558967871799</v>
      </c>
      <c r="N5207">
        <v>54.520463098078402</v>
      </c>
      <c r="O5207">
        <v>48.696699606962703</v>
      </c>
      <c r="P5207">
        <v>-3.5126349938466798E-2</v>
      </c>
      <c r="Q5207">
        <v>0.19889899936738201</v>
      </c>
      <c r="R5207">
        <v>0.90304558765450904</v>
      </c>
      <c r="S5207" t="s">
        <v>10758</v>
      </c>
      <c r="T5207" t="s">
        <v>11100</v>
      </c>
      <c r="U5207" t="s">
        <v>11100</v>
      </c>
      <c r="V5207" t="s">
        <v>11100</v>
      </c>
      <c r="W5207" t="s">
        <v>16253</v>
      </c>
      <c r="X5207">
        <v>2</v>
      </c>
      <c r="Y5207" t="s">
        <v>21674</v>
      </c>
      <c r="Z5207" t="s">
        <v>27212</v>
      </c>
      <c r="AA5207">
        <v>0.60603675242444544</v>
      </c>
      <c r="AB5207" t="str">
        <f>HYPERLINK("Melting_Curves/meltCurve_Q9UGU0_2_TCF20.pdf", "Melting_Curves/meltCurve_Q9UGU0_2_TCF20.pdf")</f>
        <v>Melting_Curves/meltCurve_Q9UGU0_2_TCF20.pdf</v>
      </c>
    </row>
    <row r="5208" spans="1:28" x14ac:dyDescent="0.25">
      <c r="A5208" t="s">
        <v>5212</v>
      </c>
      <c r="B5208">
        <v>0.99299721793515405</v>
      </c>
      <c r="C5208">
        <v>1.0520130691304499</v>
      </c>
      <c r="D5208">
        <v>0.93004213280664805</v>
      </c>
      <c r="E5208">
        <v>0.89057949779568202</v>
      </c>
      <c r="F5208">
        <v>0.52676540308669095</v>
      </c>
      <c r="G5208">
        <v>0.223711902937202</v>
      </c>
      <c r="H5208">
        <v>0.14194126272971699</v>
      </c>
      <c r="I5208">
        <v>0.106955880695822</v>
      </c>
      <c r="J5208">
        <v>9.4895238883935196E-2</v>
      </c>
      <c r="K5208">
        <v>8.0763506746749397E-2</v>
      </c>
      <c r="L5208">
        <v>1235.22627133176</v>
      </c>
      <c r="M5208">
        <v>24.673938312392199</v>
      </c>
      <c r="N5208">
        <v>50.4736592341389</v>
      </c>
      <c r="O5208">
        <v>49.736622735696201</v>
      </c>
      <c r="P5208">
        <v>-0.112720561575754</v>
      </c>
      <c r="Q5208">
        <v>9.1144650178908507E-2</v>
      </c>
      <c r="R5208">
        <v>0.99586441658311398</v>
      </c>
      <c r="S5208" t="s">
        <v>10759</v>
      </c>
      <c r="T5208" t="s">
        <v>11100</v>
      </c>
      <c r="U5208" t="s">
        <v>11100</v>
      </c>
      <c r="V5208" t="s">
        <v>11100</v>
      </c>
      <c r="W5208" t="s">
        <v>16254</v>
      </c>
      <c r="X5208">
        <v>7</v>
      </c>
      <c r="Y5208" t="s">
        <v>21675</v>
      </c>
      <c r="Z5208" t="s">
        <v>27213</v>
      </c>
      <c r="AA5208">
        <v>0.49501397258832269</v>
      </c>
      <c r="AB5208" t="str">
        <f>HYPERLINK("Melting_Curves/meltCurve_Q9UH62_ARMCX3.pdf", "Melting_Curves/meltCurve_Q9UH62_ARMCX3.pdf")</f>
        <v>Melting_Curves/meltCurve_Q9UH62_ARMCX3.pdf</v>
      </c>
    </row>
    <row r="5209" spans="1:28" x14ac:dyDescent="0.25">
      <c r="A5209" t="s">
        <v>5213</v>
      </c>
      <c r="B5209">
        <v>0.99299721793515405</v>
      </c>
      <c r="C5209">
        <v>0.77721381466588602</v>
      </c>
      <c r="D5209">
        <v>0.90431745550838405</v>
      </c>
      <c r="E5209">
        <v>0.72245736683497996</v>
      </c>
      <c r="F5209">
        <v>0.89819017031331305</v>
      </c>
      <c r="G5209">
        <v>0.38330793611379299</v>
      </c>
      <c r="H5209">
        <v>0.23359917325361301</v>
      </c>
      <c r="I5209">
        <v>0.270647637095421</v>
      </c>
      <c r="J5209">
        <v>0.27733733992166298</v>
      </c>
      <c r="K5209">
        <v>0.26261313632042899</v>
      </c>
      <c r="L5209">
        <v>587.98816400620694</v>
      </c>
      <c r="M5209">
        <v>11.409095360442199</v>
      </c>
      <c r="N5209">
        <v>53.301026996665897</v>
      </c>
      <c r="O5209">
        <v>50.029693436532902</v>
      </c>
      <c r="P5209">
        <v>-4.8060071306865501E-2</v>
      </c>
      <c r="Q5209">
        <v>0.15725968714701499</v>
      </c>
      <c r="R5209">
        <v>0.842569243569666</v>
      </c>
      <c r="S5209" t="s">
        <v>10760</v>
      </c>
      <c r="T5209" t="s">
        <v>11100</v>
      </c>
      <c r="U5209" t="s">
        <v>11100</v>
      </c>
      <c r="V5209" t="s">
        <v>11100</v>
      </c>
      <c r="W5209" t="s">
        <v>16255</v>
      </c>
      <c r="X5209">
        <v>2</v>
      </c>
      <c r="Y5209" t="s">
        <v>21676</v>
      </c>
      <c r="Z5209" t="s">
        <v>27214</v>
      </c>
      <c r="AA5209">
        <v>0.58747975831973975</v>
      </c>
      <c r="AB5209" t="str">
        <f>HYPERLINK("Melting_Curves/meltCurve_Q9UHA2_SS18L2.pdf", "Melting_Curves/meltCurve_Q9UHA2_SS18L2.pdf")</f>
        <v>Melting_Curves/meltCurve_Q9UHA2_SS18L2.pdf</v>
      </c>
    </row>
    <row r="5210" spans="1:28" x14ac:dyDescent="0.25">
      <c r="A5210" t="s">
        <v>5214</v>
      </c>
      <c r="B5210">
        <v>0.99299721793515405</v>
      </c>
      <c r="C5210">
        <v>1.37810112485103</v>
      </c>
      <c r="D5210">
        <v>1.05224040829486</v>
      </c>
      <c r="E5210">
        <v>1.03601157750343</v>
      </c>
      <c r="F5210">
        <v>0.97107347912494701</v>
      </c>
      <c r="G5210">
        <v>0.84602833656543297</v>
      </c>
      <c r="H5210">
        <v>0.83643899367674301</v>
      </c>
      <c r="I5210">
        <v>0.83141159305418899</v>
      </c>
      <c r="J5210">
        <v>0.99931832189915504</v>
      </c>
      <c r="K5210">
        <v>0.47491777233987198</v>
      </c>
      <c r="L5210">
        <v>10797.980126504701</v>
      </c>
      <c r="M5210">
        <v>161.264295224466</v>
      </c>
      <c r="N5210">
        <v>66.958257825112497</v>
      </c>
      <c r="O5210">
        <v>66.947988669116896</v>
      </c>
      <c r="P5210">
        <v>-0.60219995786545399</v>
      </c>
      <c r="Q5210">
        <v>0</v>
      </c>
      <c r="R5210">
        <v>0.51616167447782002</v>
      </c>
      <c r="S5210" t="s">
        <v>10761</v>
      </c>
      <c r="T5210" t="s">
        <v>11100</v>
      </c>
      <c r="U5210" t="s">
        <v>11100</v>
      </c>
      <c r="V5210" t="s">
        <v>11100</v>
      </c>
      <c r="W5210" t="s">
        <v>16256</v>
      </c>
      <c r="X5210">
        <v>2</v>
      </c>
      <c r="Y5210" t="s">
        <v>21677</v>
      </c>
      <c r="Z5210" t="s">
        <v>27215</v>
      </c>
      <c r="AA5210">
        <v>0.98983226449718942</v>
      </c>
      <c r="AB5210" t="str">
        <f>HYPERLINK("Melting_Curves/meltCurve_Q9UHA4_LAMTOR3.pdf", "Melting_Curves/meltCurve_Q9UHA4_LAMTOR3.pdf")</f>
        <v>Melting_Curves/meltCurve_Q9UHA4_LAMTOR3.pdf</v>
      </c>
    </row>
    <row r="5211" spans="1:28" x14ac:dyDescent="0.25">
      <c r="A5211" t="s">
        <v>5215</v>
      </c>
      <c r="B5211">
        <v>0.99299721793515405</v>
      </c>
      <c r="C5211">
        <v>1.0996165721914599</v>
      </c>
      <c r="D5211">
        <v>1.0002914872126101</v>
      </c>
      <c r="E5211">
        <v>0.95543841795988904</v>
      </c>
      <c r="F5211">
        <v>0.73966673034346997</v>
      </c>
      <c r="G5211">
        <v>0.515672528271229</v>
      </c>
      <c r="H5211">
        <v>0.25061200995282401</v>
      </c>
      <c r="I5211">
        <v>0.14471448849491</v>
      </c>
      <c r="J5211">
        <v>9.1834916893818994E-2</v>
      </c>
      <c r="K5211">
        <v>7.1811941557362896E-2</v>
      </c>
      <c r="L5211">
        <v>955.43914004781095</v>
      </c>
      <c r="M5211">
        <v>17.885337625006802</v>
      </c>
      <c r="N5211">
        <v>53.718999991221999</v>
      </c>
      <c r="O5211">
        <v>52.765849225555598</v>
      </c>
      <c r="P5211">
        <v>-8.0731665891401405E-2</v>
      </c>
      <c r="Q5211">
        <v>4.73404588436371E-2</v>
      </c>
      <c r="R5211">
        <v>0.992069133084444</v>
      </c>
      <c r="S5211" t="s">
        <v>10762</v>
      </c>
      <c r="T5211" t="s">
        <v>11100</v>
      </c>
      <c r="U5211" t="s">
        <v>11100</v>
      </c>
      <c r="V5211" t="s">
        <v>11100</v>
      </c>
      <c r="W5211" t="s">
        <v>16257</v>
      </c>
      <c r="X5211">
        <v>5</v>
      </c>
      <c r="Y5211" t="s">
        <v>21678</v>
      </c>
      <c r="Z5211" t="s">
        <v>27216</v>
      </c>
      <c r="AA5211">
        <v>0.58242889125650477</v>
      </c>
      <c r="AB5211" t="str">
        <f>HYPERLINK("Melting_Curves/meltCurve_Q9UHB4_3_NDOR1.pdf", "Melting_Curves/meltCurve_Q9UHB4_3_NDOR1.pdf")</f>
        <v>Melting_Curves/meltCurve_Q9UHB4_3_NDOR1.pdf</v>
      </c>
    </row>
    <row r="5212" spans="1:28" x14ac:dyDescent="0.25">
      <c r="A5212" t="s">
        <v>5216</v>
      </c>
      <c r="B5212">
        <v>0.99299721793515405</v>
      </c>
      <c r="C5212">
        <v>0.96070718171717895</v>
      </c>
      <c r="D5212">
        <v>0.95160826322424397</v>
      </c>
      <c r="E5212">
        <v>0.76113117799540397</v>
      </c>
      <c r="F5212">
        <v>0.66253759937835999</v>
      </c>
      <c r="G5212">
        <v>0.42523526618507801</v>
      </c>
      <c r="H5212">
        <v>0.36194904480726198</v>
      </c>
      <c r="I5212">
        <v>0.37184046949643801</v>
      </c>
      <c r="J5212">
        <v>0.35590855403902399</v>
      </c>
      <c r="K5212">
        <v>0.32176510838846101</v>
      </c>
      <c r="L5212">
        <v>758.345358898727</v>
      </c>
      <c r="M5212">
        <v>15.4171831680006</v>
      </c>
      <c r="N5212">
        <v>52.658965786109398</v>
      </c>
      <c r="O5212">
        <v>48.383038969622199</v>
      </c>
      <c r="P5212">
        <v>-5.4254774758322397E-2</v>
      </c>
      <c r="Q5212">
        <v>0.31900069752528998</v>
      </c>
      <c r="R5212">
        <v>0.98881423049817996</v>
      </c>
      <c r="S5212" t="s">
        <v>10763</v>
      </c>
      <c r="T5212" t="s">
        <v>11100</v>
      </c>
      <c r="U5212" t="s">
        <v>11100</v>
      </c>
      <c r="V5212" t="s">
        <v>11100</v>
      </c>
      <c r="W5212" t="s">
        <v>16258</v>
      </c>
      <c r="X5212">
        <v>13</v>
      </c>
      <c r="Y5212" t="s">
        <v>21679</v>
      </c>
      <c r="Z5212" t="s">
        <v>27217</v>
      </c>
      <c r="AA5212">
        <v>0.60964229466062381</v>
      </c>
      <c r="AB5212" t="str">
        <f>HYPERLINK("Melting_Curves/meltCurve_Q9UHB6_LIMA1.pdf", "Melting_Curves/meltCurve_Q9UHB6_LIMA1.pdf")</f>
        <v>Melting_Curves/meltCurve_Q9UHB6_LIMA1.pdf</v>
      </c>
    </row>
    <row r="5213" spans="1:28" x14ac:dyDescent="0.25">
      <c r="A5213" t="s">
        <v>5217</v>
      </c>
      <c r="B5213">
        <v>0.99299721793515405</v>
      </c>
      <c r="C5213">
        <v>1.02138920550339</v>
      </c>
      <c r="D5213">
        <v>0.96726744731140202</v>
      </c>
      <c r="E5213">
        <v>0.86361131956724202</v>
      </c>
      <c r="F5213">
        <v>0.77205423443472299</v>
      </c>
      <c r="G5213">
        <v>0.66085814213757998</v>
      </c>
      <c r="H5213">
        <v>0.34987032620902397</v>
      </c>
      <c r="I5213">
        <v>0.188440773236077</v>
      </c>
      <c r="J5213">
        <v>0.150981905934507</v>
      </c>
      <c r="K5213">
        <v>0.13364965131961401</v>
      </c>
      <c r="L5213">
        <v>726.78624710002896</v>
      </c>
      <c r="M5213">
        <v>13.197135241587301</v>
      </c>
      <c r="N5213">
        <v>55.2232899585984</v>
      </c>
      <c r="O5213">
        <v>53.853074920198303</v>
      </c>
      <c r="P5213">
        <v>-6.0183423870839199E-2</v>
      </c>
      <c r="Q5213">
        <v>1.7810315364689199E-2</v>
      </c>
      <c r="R5213">
        <v>0.98891101637798196</v>
      </c>
      <c r="S5213" t="s">
        <v>10764</v>
      </c>
      <c r="T5213" t="s">
        <v>11100</v>
      </c>
      <c r="U5213" t="s">
        <v>11100</v>
      </c>
      <c r="V5213" t="s">
        <v>11100</v>
      </c>
      <c r="W5213" t="s">
        <v>16259</v>
      </c>
      <c r="X5213">
        <v>14</v>
      </c>
      <c r="Y5213" t="s">
        <v>21680</v>
      </c>
      <c r="Z5213" t="s">
        <v>27218</v>
      </c>
      <c r="AA5213">
        <v>0.62342779633461765</v>
      </c>
      <c r="AB5213" t="str">
        <f>HYPERLINK("Melting_Curves/meltCurve_Q9UHD1_CHORDC1.pdf", "Melting_Curves/meltCurve_Q9UHD1_CHORDC1.pdf")</f>
        <v>Melting_Curves/meltCurve_Q9UHD1_CHORDC1.pdf</v>
      </c>
    </row>
    <row r="5214" spans="1:28" x14ac:dyDescent="0.25">
      <c r="A5214" t="s">
        <v>5218</v>
      </c>
      <c r="B5214">
        <v>0.99299721793515405</v>
      </c>
      <c r="C5214">
        <v>0.93854482901700498</v>
      </c>
      <c r="D5214">
        <v>0.92304828220990998</v>
      </c>
      <c r="E5214">
        <v>0.79869677415146401</v>
      </c>
      <c r="F5214">
        <v>0.72519301094764499</v>
      </c>
      <c r="G5214">
        <v>0.68670256700861498</v>
      </c>
      <c r="H5214">
        <v>0.77140049460057203</v>
      </c>
      <c r="I5214">
        <v>0.29776547995699998</v>
      </c>
      <c r="J5214">
        <v>0.24821076961817601</v>
      </c>
      <c r="K5214">
        <v>0.21435452902108201</v>
      </c>
      <c r="L5214">
        <v>482.76620913853799</v>
      </c>
      <c r="M5214">
        <v>8.3092451268975793</v>
      </c>
      <c r="N5214">
        <v>58.099883255106498</v>
      </c>
      <c r="O5214">
        <v>55.026588784424099</v>
      </c>
      <c r="P5214">
        <v>-3.7788089787001898E-2</v>
      </c>
      <c r="Q5214">
        <v>0</v>
      </c>
      <c r="R5214">
        <v>0.88466222394985605</v>
      </c>
      <c r="S5214" t="s">
        <v>10765</v>
      </c>
      <c r="T5214" t="s">
        <v>11100</v>
      </c>
      <c r="U5214" t="s">
        <v>11100</v>
      </c>
      <c r="V5214" t="s">
        <v>11100</v>
      </c>
      <c r="W5214" t="s">
        <v>16260</v>
      </c>
      <c r="X5214">
        <v>31</v>
      </c>
      <c r="Y5214" t="s">
        <v>21681</v>
      </c>
      <c r="Z5214" t="s">
        <v>27219</v>
      </c>
      <c r="AA5214">
        <v>0.68377603089412353</v>
      </c>
      <c r="AB5214" t="str">
        <f>HYPERLINK("Melting_Curves/meltCurve_Q9UHD8_7_SEPT9.pdf", "Melting_Curves/meltCurve_Q9UHD8_7_SEPT9.pdf")</f>
        <v>Melting_Curves/meltCurve_Q9UHD8_7_SEPT9.pdf</v>
      </c>
    </row>
    <row r="5215" spans="1:28" x14ac:dyDescent="0.25">
      <c r="A5215" t="s">
        <v>5219</v>
      </c>
      <c r="B5215">
        <v>0.99299721793515405</v>
      </c>
      <c r="C5215">
        <v>1.0090747886494</v>
      </c>
      <c r="D5215">
        <v>0.91708052256364603</v>
      </c>
      <c r="E5215">
        <v>0.87024472320514201</v>
      </c>
      <c r="F5215">
        <v>0.74695378899527298</v>
      </c>
      <c r="G5215">
        <v>0.55408249958218403</v>
      </c>
      <c r="H5215">
        <v>0.59225201993807097</v>
      </c>
      <c r="I5215">
        <v>0.63677402928209803</v>
      </c>
      <c r="J5215">
        <v>0.62519947916458696</v>
      </c>
      <c r="K5215">
        <v>0.48140656379378499</v>
      </c>
      <c r="L5215">
        <v>872.21425019297601</v>
      </c>
      <c r="M5215">
        <v>17.996095637777799</v>
      </c>
      <c r="O5215">
        <v>47.880280846340199</v>
      </c>
      <c r="P5215">
        <v>-4.1112235922243098E-2</v>
      </c>
      <c r="Q5215">
        <v>0.56248993700078598</v>
      </c>
      <c r="R5215">
        <v>0.93106990881472296</v>
      </c>
      <c r="S5215" t="s">
        <v>10766</v>
      </c>
      <c r="T5215" t="s">
        <v>11100</v>
      </c>
      <c r="U5215" t="s">
        <v>11100</v>
      </c>
      <c r="V5215" t="s">
        <v>11100</v>
      </c>
      <c r="W5215" t="s">
        <v>16261</v>
      </c>
      <c r="X5215">
        <v>5</v>
      </c>
      <c r="Y5215" t="s">
        <v>21682</v>
      </c>
      <c r="Z5215" t="s">
        <v>27220</v>
      </c>
      <c r="AA5215">
        <v>0.73669943356374057</v>
      </c>
      <c r="AB5215" t="str">
        <f>HYPERLINK("Melting_Curves/meltCurve_Q9UHD9_UBQLN2.pdf", "Melting_Curves/meltCurve_Q9UHD9_UBQLN2.pdf")</f>
        <v>Melting_Curves/meltCurve_Q9UHD9_UBQLN2.pdf</v>
      </c>
    </row>
    <row r="5216" spans="1:28" x14ac:dyDescent="0.25">
      <c r="A5216" t="s">
        <v>5220</v>
      </c>
      <c r="B5216">
        <v>0.99299721793515405</v>
      </c>
      <c r="C5216">
        <v>1.0014194584017599</v>
      </c>
      <c r="D5216">
        <v>1.07927786499853</v>
      </c>
      <c r="E5216">
        <v>0.94939542507042995</v>
      </c>
      <c r="F5216">
        <v>0.72738161121890699</v>
      </c>
      <c r="G5216">
        <v>0.72957484900327096</v>
      </c>
      <c r="H5216">
        <v>0.55019945416764504</v>
      </c>
      <c r="I5216">
        <v>0.41877870293750502</v>
      </c>
      <c r="J5216">
        <v>0.61807673797689699</v>
      </c>
      <c r="K5216">
        <v>0.56501605645566999</v>
      </c>
      <c r="L5216">
        <v>1067.30901644853</v>
      </c>
      <c r="M5216">
        <v>21.0795585185083</v>
      </c>
      <c r="O5216">
        <v>50.183333861907002</v>
      </c>
      <c r="P5216">
        <v>-4.8698594539241601E-2</v>
      </c>
      <c r="Q5216">
        <v>0.536272267517373</v>
      </c>
      <c r="R5216">
        <v>0.90649519205853102</v>
      </c>
      <c r="S5216" t="s">
        <v>10767</v>
      </c>
      <c r="T5216" t="s">
        <v>11100</v>
      </c>
      <c r="U5216" t="s">
        <v>11100</v>
      </c>
      <c r="V5216" t="s">
        <v>11100</v>
      </c>
      <c r="W5216" t="s">
        <v>16262</v>
      </c>
      <c r="X5216">
        <v>3</v>
      </c>
      <c r="Y5216" t="s">
        <v>21683</v>
      </c>
      <c r="Z5216" t="s">
        <v>27221</v>
      </c>
      <c r="AA5216">
        <v>0.75255829381461015</v>
      </c>
      <c r="AB5216" t="str">
        <f>HYPERLINK("Melting_Curves/meltCurve_Q9UHG2_PCSK1N.pdf", "Melting_Curves/meltCurve_Q9UHG2_PCSK1N.pdf")</f>
        <v>Melting_Curves/meltCurve_Q9UHG2_PCSK1N.pdf</v>
      </c>
    </row>
    <row r="5217" spans="1:28" x14ac:dyDescent="0.25">
      <c r="A5217" t="s">
        <v>5221</v>
      </c>
      <c r="B5217">
        <v>0.99299721793515405</v>
      </c>
      <c r="C5217">
        <v>1.0029629552514201</v>
      </c>
      <c r="D5217">
        <v>0.94018034462321198</v>
      </c>
      <c r="E5217">
        <v>0.94987382967535605</v>
      </c>
      <c r="F5217">
        <v>0.87027563846545497</v>
      </c>
      <c r="G5217">
        <v>0.65292564123585795</v>
      </c>
      <c r="H5217">
        <v>0.652667592860394</v>
      </c>
      <c r="I5217">
        <v>0.63454929074365596</v>
      </c>
      <c r="J5217">
        <v>0.47549433641288003</v>
      </c>
      <c r="K5217">
        <v>0.21097573435476</v>
      </c>
      <c r="L5217">
        <v>493.93031104575101</v>
      </c>
      <c r="M5217">
        <v>8.0327719711811092</v>
      </c>
      <c r="N5217">
        <v>61.489394659312701</v>
      </c>
      <c r="O5217">
        <v>58.029844197180701</v>
      </c>
      <c r="P5217">
        <v>-3.4644765367604899E-2</v>
      </c>
      <c r="Q5217">
        <v>0</v>
      </c>
      <c r="R5217">
        <v>0.92271459578334603</v>
      </c>
      <c r="S5217" t="s">
        <v>10768</v>
      </c>
      <c r="T5217" t="s">
        <v>11100</v>
      </c>
      <c r="U5217" t="s">
        <v>11100</v>
      </c>
      <c r="V5217" t="s">
        <v>11100</v>
      </c>
      <c r="W5217" t="s">
        <v>16263</v>
      </c>
      <c r="X5217">
        <v>7</v>
      </c>
      <c r="Y5217" t="s">
        <v>21684</v>
      </c>
      <c r="Z5217" t="s">
        <v>27222</v>
      </c>
      <c r="AA5217">
        <v>0.75423540215911955</v>
      </c>
      <c r="AB5217" t="str">
        <f>HYPERLINK("Melting_Curves/meltCurve_Q9UHG3_PCYOX1.pdf", "Melting_Curves/meltCurve_Q9UHG3_PCYOX1.pdf")</f>
        <v>Melting_Curves/meltCurve_Q9UHG3_PCYOX1.pdf</v>
      </c>
    </row>
    <row r="5218" spans="1:28" x14ac:dyDescent="0.25">
      <c r="A5218" t="s">
        <v>5222</v>
      </c>
      <c r="B5218">
        <v>0.99299721793515405</v>
      </c>
      <c r="C5218">
        <v>1.08138874487762</v>
      </c>
      <c r="D5218">
        <v>1.80490497980817</v>
      </c>
      <c r="E5218">
        <v>0.97520435032062003</v>
      </c>
      <c r="F5218">
        <v>0.718316817282866</v>
      </c>
      <c r="G5218">
        <v>0.37436910400971801</v>
      </c>
      <c r="H5218">
        <v>0.20913660724597499</v>
      </c>
      <c r="I5218">
        <v>0.19422497386659901</v>
      </c>
      <c r="J5218">
        <v>0.20685114855484199</v>
      </c>
      <c r="K5218">
        <v>0.226001023020905</v>
      </c>
      <c r="L5218">
        <v>1722.2320906285699</v>
      </c>
      <c r="M5218">
        <v>33.582550726950203</v>
      </c>
      <c r="N5218">
        <v>52.1147652194445</v>
      </c>
      <c r="O5218">
        <v>51.102717499022802</v>
      </c>
      <c r="P5218">
        <v>-0.130224210908684</v>
      </c>
      <c r="Q5218">
        <v>0.20735224280112799</v>
      </c>
      <c r="R5218">
        <v>0.74596328214954699</v>
      </c>
      <c r="S5218" t="s">
        <v>10769</v>
      </c>
      <c r="T5218" t="s">
        <v>11100</v>
      </c>
      <c r="U5218" t="s">
        <v>11100</v>
      </c>
      <c r="V5218" t="s">
        <v>11100</v>
      </c>
      <c r="W5218" t="s">
        <v>16264</v>
      </c>
      <c r="X5218">
        <v>4</v>
      </c>
      <c r="Y5218" t="s">
        <v>21685</v>
      </c>
      <c r="Z5218" t="s">
        <v>27223</v>
      </c>
      <c r="AA5218">
        <v>0.58872022850898276</v>
      </c>
      <c r="AB5218" t="str">
        <f>HYPERLINK("Melting_Curves/meltCurve_Q9UHI6_DDX20.pdf", "Melting_Curves/meltCurve_Q9UHI6_DDX20.pdf")</f>
        <v>Melting_Curves/meltCurve_Q9UHI6_DDX20.pdf</v>
      </c>
    </row>
    <row r="5219" spans="1:28" x14ac:dyDescent="0.25">
      <c r="A5219" t="s">
        <v>5223</v>
      </c>
      <c r="B5219">
        <v>0.99299721793515405</v>
      </c>
      <c r="C5219">
        <v>0.94261671704798999</v>
      </c>
      <c r="D5219">
        <v>0.90682481939396997</v>
      </c>
      <c r="E5219">
        <v>0.78720118813953899</v>
      </c>
      <c r="F5219">
        <v>0.69982541696394396</v>
      </c>
      <c r="G5219">
        <v>0.40728289863219203</v>
      </c>
      <c r="H5219">
        <v>0.17014111705517401</v>
      </c>
      <c r="I5219">
        <v>0.14383885498406099</v>
      </c>
      <c r="J5219">
        <v>0.13234121139058</v>
      </c>
      <c r="K5219">
        <v>0.130066667309235</v>
      </c>
      <c r="L5219">
        <v>731.00081262626497</v>
      </c>
      <c r="M5219">
        <v>14.1604364026383</v>
      </c>
      <c r="N5219">
        <v>52.104538714252797</v>
      </c>
      <c r="O5219">
        <v>50.625949780082998</v>
      </c>
      <c r="P5219">
        <v>-6.5644270069793106E-2</v>
      </c>
      <c r="Q5219">
        <v>6.13614307478016E-2</v>
      </c>
      <c r="R5219">
        <v>0.98511484461374599</v>
      </c>
      <c r="S5219" t="s">
        <v>10770</v>
      </c>
      <c r="T5219" t="s">
        <v>11100</v>
      </c>
      <c r="U5219" t="s">
        <v>11100</v>
      </c>
      <c r="V5219" t="s">
        <v>11100</v>
      </c>
      <c r="W5219" t="s">
        <v>16265</v>
      </c>
      <c r="X5219">
        <v>9</v>
      </c>
      <c r="Y5219" t="s">
        <v>21686</v>
      </c>
      <c r="Z5219" t="s">
        <v>27224</v>
      </c>
      <c r="AA5219">
        <v>0.53849953679942475</v>
      </c>
      <c r="AB5219" t="str">
        <f>HYPERLINK("Melting_Curves/meltCurve_Q9UHJ6_SHPK.pdf", "Melting_Curves/meltCurve_Q9UHJ6_SHPK.pdf")</f>
        <v>Melting_Curves/meltCurve_Q9UHJ6_SHPK.pdf</v>
      </c>
    </row>
    <row r="5220" spans="1:28" x14ac:dyDescent="0.25">
      <c r="A5220" t="s">
        <v>5224</v>
      </c>
      <c r="B5220">
        <v>0.99299721793515405</v>
      </c>
      <c r="C5220">
        <v>1.0888624090391901</v>
      </c>
      <c r="D5220">
        <v>0.769050973875541</v>
      </c>
      <c r="E5220">
        <v>0.72105816354266705</v>
      </c>
      <c r="F5220">
        <v>0.66227919092687004</v>
      </c>
      <c r="G5220">
        <v>0.66140898609860499</v>
      </c>
      <c r="H5220">
        <v>0.57789341616146495</v>
      </c>
      <c r="I5220">
        <v>0.42562217282788001</v>
      </c>
      <c r="J5220">
        <v>0.335335911665127</v>
      </c>
      <c r="K5220">
        <v>0.28361506771436301</v>
      </c>
      <c r="L5220">
        <v>329.20920934514299</v>
      </c>
      <c r="M5220">
        <v>5.7038109837314899</v>
      </c>
      <c r="N5220">
        <v>57.717414368867203</v>
      </c>
      <c r="O5220">
        <v>51.800643387788497</v>
      </c>
      <c r="P5220">
        <v>-2.76343980629623E-2</v>
      </c>
      <c r="Q5220">
        <v>0</v>
      </c>
      <c r="R5220">
        <v>0.91021968204550396</v>
      </c>
      <c r="S5220" t="s">
        <v>10771</v>
      </c>
      <c r="T5220" t="s">
        <v>11100</v>
      </c>
      <c r="U5220" t="s">
        <v>11100</v>
      </c>
      <c r="V5220" t="s">
        <v>11100</v>
      </c>
      <c r="W5220" t="s">
        <v>16266</v>
      </c>
      <c r="X5220">
        <v>3</v>
      </c>
      <c r="Y5220" t="s">
        <v>21687</v>
      </c>
      <c r="Z5220" t="s">
        <v>27225</v>
      </c>
      <c r="AA5220">
        <v>0.64863880938070428</v>
      </c>
      <c r="AB5220" t="str">
        <f>HYPERLINK("Melting_Curves/meltCurve_Q9UHN6_2_TMEM2.pdf", "Melting_Curves/meltCurve_Q9UHN6_2_TMEM2.pdf")</f>
        <v>Melting_Curves/meltCurve_Q9UHN6_2_TMEM2.pdf</v>
      </c>
    </row>
    <row r="5221" spans="1:28" x14ac:dyDescent="0.25">
      <c r="A5221" t="s">
        <v>5225</v>
      </c>
      <c r="B5221">
        <v>0.99299721793515405</v>
      </c>
      <c r="C5221">
        <v>0.97352127686765699</v>
      </c>
      <c r="D5221">
        <v>0.92766505327472404</v>
      </c>
      <c r="E5221">
        <v>0.85130765596157898</v>
      </c>
      <c r="F5221">
        <v>0.73634945131698304</v>
      </c>
      <c r="G5221">
        <v>0.58104604198431498</v>
      </c>
      <c r="H5221">
        <v>0.34195184718222799</v>
      </c>
      <c r="I5221">
        <v>0.269179618324701</v>
      </c>
      <c r="J5221">
        <v>0.24713406944621899</v>
      </c>
      <c r="K5221">
        <v>0.15977613866371501</v>
      </c>
      <c r="L5221">
        <v>596.20264474895896</v>
      </c>
      <c r="M5221">
        <v>11.0351830036513</v>
      </c>
      <c r="N5221">
        <v>54.806790250643999</v>
      </c>
      <c r="O5221">
        <v>52.3441849688747</v>
      </c>
      <c r="P5221">
        <v>-4.8894091369473203E-2</v>
      </c>
      <c r="Q5221">
        <v>7.2613857726940706E-2</v>
      </c>
      <c r="R5221">
        <v>0.99397304735011005</v>
      </c>
      <c r="S5221" t="s">
        <v>10772</v>
      </c>
      <c r="T5221" t="s">
        <v>11100</v>
      </c>
      <c r="U5221" t="s">
        <v>11100</v>
      </c>
      <c r="V5221" t="s">
        <v>11100</v>
      </c>
      <c r="W5221" t="s">
        <v>16267</v>
      </c>
      <c r="X5221">
        <v>5</v>
      </c>
      <c r="Y5221" t="s">
        <v>21688</v>
      </c>
      <c r="Z5221" t="s">
        <v>27226</v>
      </c>
      <c r="AA5221">
        <v>0.61555782596070763</v>
      </c>
      <c r="AB5221" t="str">
        <f>HYPERLINK("Melting_Curves/meltCurve_Q9UHP3_USP25.pdf", "Melting_Curves/meltCurve_Q9UHP3_USP25.pdf")</f>
        <v>Melting_Curves/meltCurve_Q9UHP3_USP25.pdf</v>
      </c>
    </row>
    <row r="5222" spans="1:28" x14ac:dyDescent="0.25">
      <c r="A5222" t="s">
        <v>5226</v>
      </c>
      <c r="B5222">
        <v>0.99299721793515405</v>
      </c>
      <c r="C5222">
        <v>0.87279951508048503</v>
      </c>
      <c r="D5222">
        <v>0.93521920586214402</v>
      </c>
      <c r="E5222">
        <v>0.74860479254338197</v>
      </c>
      <c r="F5222">
        <v>0.65848767787836004</v>
      </c>
      <c r="G5222">
        <v>0.63559130883307002</v>
      </c>
      <c r="H5222">
        <v>0.56002507832257997</v>
      </c>
      <c r="I5222">
        <v>0.56432882105997095</v>
      </c>
      <c r="J5222">
        <v>0.63379578529502401</v>
      </c>
      <c r="K5222">
        <v>0.57059092982639703</v>
      </c>
      <c r="L5222">
        <v>628.29652194673702</v>
      </c>
      <c r="M5222">
        <v>13.7273478036032</v>
      </c>
      <c r="O5222">
        <v>44.8311751321759</v>
      </c>
      <c r="P5222">
        <v>-3.28089455870497E-2</v>
      </c>
      <c r="Q5222">
        <v>0.57146756672201204</v>
      </c>
      <c r="R5222">
        <v>0.93688391880460198</v>
      </c>
      <c r="S5222" t="s">
        <v>10773</v>
      </c>
      <c r="T5222" t="s">
        <v>11100</v>
      </c>
      <c r="U5222" t="s">
        <v>11100</v>
      </c>
      <c r="V5222" t="s">
        <v>11100</v>
      </c>
      <c r="W5222" t="s">
        <v>16268</v>
      </c>
      <c r="X5222">
        <v>8</v>
      </c>
      <c r="Y5222" t="s">
        <v>21689</v>
      </c>
      <c r="Z5222" t="s">
        <v>27227</v>
      </c>
      <c r="AA5222">
        <v>0.70849285012944052</v>
      </c>
      <c r="AB5222" t="str">
        <f>HYPERLINK("Melting_Curves/meltCurve_Q9UHQ4_BCAP29.pdf", "Melting_Curves/meltCurve_Q9UHQ4_BCAP29.pdf")</f>
        <v>Melting_Curves/meltCurve_Q9UHQ4_BCAP29.pdf</v>
      </c>
    </row>
    <row r="5223" spans="1:28" x14ac:dyDescent="0.25">
      <c r="A5223" t="s">
        <v>5227</v>
      </c>
      <c r="B5223">
        <v>0.99299721793515405</v>
      </c>
      <c r="C5223">
        <v>1.3905530470879299</v>
      </c>
      <c r="D5223">
        <v>1.1285983026361499</v>
      </c>
      <c r="E5223">
        <v>0.99691315976381401</v>
      </c>
      <c r="F5223">
        <v>0.90143219531433505</v>
      </c>
      <c r="G5223">
        <v>0.68940461811062603</v>
      </c>
      <c r="H5223">
        <v>0.57985662253685</v>
      </c>
      <c r="I5223">
        <v>0.31407198921828</v>
      </c>
      <c r="J5223">
        <v>0.25930666104476502</v>
      </c>
      <c r="K5223">
        <v>0.188926026060415</v>
      </c>
      <c r="L5223">
        <v>914.29951719025598</v>
      </c>
      <c r="M5223">
        <v>16.114364733166301</v>
      </c>
      <c r="N5223">
        <v>57.798274501154403</v>
      </c>
      <c r="O5223">
        <v>55.885963987614502</v>
      </c>
      <c r="P5223">
        <v>-6.2867845231814198E-2</v>
      </c>
      <c r="Q5223">
        <v>0.127942690982768</v>
      </c>
      <c r="R5223">
        <v>0.87869529177019201</v>
      </c>
      <c r="S5223" t="s">
        <v>10774</v>
      </c>
      <c r="T5223" t="s">
        <v>11100</v>
      </c>
      <c r="U5223" t="s">
        <v>11100</v>
      </c>
      <c r="V5223" t="s">
        <v>11100</v>
      </c>
      <c r="W5223" t="s">
        <v>16269</v>
      </c>
      <c r="X5223">
        <v>4</v>
      </c>
      <c r="Y5223" t="s">
        <v>21690</v>
      </c>
      <c r="Z5223" t="s">
        <v>27228</v>
      </c>
      <c r="AA5223">
        <v>0.7099686787313586</v>
      </c>
      <c r="AB5223" t="str">
        <f>HYPERLINK("Melting_Curves/meltCurve_Q9UHQ9_CYB5R1.pdf", "Melting_Curves/meltCurve_Q9UHQ9_CYB5R1.pdf")</f>
        <v>Melting_Curves/meltCurve_Q9UHQ9_CYB5R1.pdf</v>
      </c>
    </row>
    <row r="5224" spans="1:28" x14ac:dyDescent="0.25">
      <c r="A5224" t="s">
        <v>5228</v>
      </c>
      <c r="B5224">
        <v>0.99299721793515405</v>
      </c>
      <c r="C5224">
        <v>0.98223755383053102</v>
      </c>
      <c r="D5224">
        <v>0.89115035453679003</v>
      </c>
      <c r="E5224">
        <v>0.80623201124670096</v>
      </c>
      <c r="F5224">
        <v>0.69788113102804294</v>
      </c>
      <c r="G5224">
        <v>0.55073752474823801</v>
      </c>
      <c r="H5224">
        <v>0.45266362479461297</v>
      </c>
      <c r="I5224">
        <v>0.388194769746803</v>
      </c>
      <c r="J5224">
        <v>0.27515882506255201</v>
      </c>
      <c r="K5224">
        <v>0.14969891947841299</v>
      </c>
      <c r="L5224">
        <v>432.26739201820499</v>
      </c>
      <c r="M5224">
        <v>7.7665342694198198</v>
      </c>
      <c r="N5224">
        <v>55.657694575325301</v>
      </c>
      <c r="O5224">
        <v>52.328994498842</v>
      </c>
      <c r="P5224">
        <v>-3.7151217116207398E-2</v>
      </c>
      <c r="Q5224">
        <v>0</v>
      </c>
      <c r="R5224">
        <v>0.98970650152315498</v>
      </c>
      <c r="S5224" t="s">
        <v>10775</v>
      </c>
      <c r="T5224" t="s">
        <v>11100</v>
      </c>
      <c r="U5224" t="s">
        <v>11100</v>
      </c>
      <c r="V5224" t="s">
        <v>11100</v>
      </c>
      <c r="W5224" t="s">
        <v>16270</v>
      </c>
      <c r="X5224">
        <v>13</v>
      </c>
      <c r="Y5224" t="s">
        <v>21691</v>
      </c>
      <c r="Z5224" t="s">
        <v>27229</v>
      </c>
      <c r="AA5224">
        <v>0.6220149836147707</v>
      </c>
      <c r="AB5224" t="str">
        <f>HYPERLINK("Melting_Curves/meltCurve_Q9UHR4_BAIAP2L1.pdf", "Melting_Curves/meltCurve_Q9UHR4_BAIAP2L1.pdf")</f>
        <v>Melting_Curves/meltCurve_Q9UHR4_BAIAP2L1.pdf</v>
      </c>
    </row>
    <row r="5225" spans="1:28" x14ac:dyDescent="0.25">
      <c r="A5225" t="s">
        <v>5229</v>
      </c>
      <c r="B5225">
        <v>0.99299721793515405</v>
      </c>
      <c r="C5225">
        <v>0.75470528654114999</v>
      </c>
      <c r="D5225">
        <v>0.68573851846818401</v>
      </c>
      <c r="E5225">
        <v>0.634289811983203</v>
      </c>
      <c r="F5225">
        <v>0.60087814549912999</v>
      </c>
      <c r="G5225">
        <v>0.26085142792141802</v>
      </c>
      <c r="H5225">
        <v>0.46270868026740603</v>
      </c>
      <c r="I5225">
        <v>0.38334957640680201</v>
      </c>
      <c r="J5225">
        <v>9.4250135235900798E-2</v>
      </c>
      <c r="K5225">
        <v>0</v>
      </c>
      <c r="L5225">
        <v>326.86140890002099</v>
      </c>
      <c r="M5225">
        <v>6.50962459854731</v>
      </c>
      <c r="N5225">
        <v>50.2120208796266</v>
      </c>
      <c r="O5225">
        <v>46.1046134776564</v>
      </c>
      <c r="P5225">
        <v>-3.5383388840370802E-2</v>
      </c>
      <c r="Q5225">
        <v>0</v>
      </c>
      <c r="R5225">
        <v>0.85016435146121005</v>
      </c>
      <c r="S5225" t="s">
        <v>10776</v>
      </c>
      <c r="T5225" t="s">
        <v>11100</v>
      </c>
      <c r="U5225" t="s">
        <v>11100</v>
      </c>
      <c r="V5225" t="s">
        <v>11100</v>
      </c>
      <c r="W5225" t="s">
        <v>16271</v>
      </c>
      <c r="X5225">
        <v>1</v>
      </c>
      <c r="Y5225" t="s">
        <v>21692</v>
      </c>
      <c r="Z5225" t="s">
        <v>27230</v>
      </c>
      <c r="AA5225">
        <v>0.48474414532387639</v>
      </c>
      <c r="AB5225" t="str">
        <f>HYPERLINK("Melting_Curves/meltCurve_Q9UHR6_ZNHIT2.pdf", "Melting_Curves/meltCurve_Q9UHR6_ZNHIT2.pdf")</f>
        <v>Melting_Curves/meltCurve_Q9UHR6_ZNHIT2.pdf</v>
      </c>
    </row>
    <row r="5226" spans="1:28" x14ac:dyDescent="0.25">
      <c r="A5226" t="s">
        <v>5230</v>
      </c>
      <c r="B5226">
        <v>0.99299721793515405</v>
      </c>
      <c r="C5226">
        <v>0.95400023346995799</v>
      </c>
      <c r="D5226">
        <v>1.00419731234072</v>
      </c>
      <c r="E5226">
        <v>0.903617384214221</v>
      </c>
      <c r="F5226">
        <v>0.783812822809836</v>
      </c>
      <c r="G5226">
        <v>0.650960063263055</v>
      </c>
      <c r="H5226">
        <v>0.67723223930683096</v>
      </c>
      <c r="I5226">
        <v>0.90526262862663098</v>
      </c>
      <c r="J5226">
        <v>0.88966313750731096</v>
      </c>
      <c r="K5226">
        <v>0.78588672929168402</v>
      </c>
      <c r="L5226">
        <v>4603.3537425393197</v>
      </c>
      <c r="M5226">
        <v>98.5524988860181</v>
      </c>
      <c r="O5226">
        <v>46.690441448837397</v>
      </c>
      <c r="P5226">
        <v>-0.114985396316635</v>
      </c>
      <c r="Q5226">
        <v>0.78209713078079701</v>
      </c>
      <c r="R5226">
        <v>0.59269803993560499</v>
      </c>
      <c r="S5226" t="s">
        <v>10777</v>
      </c>
      <c r="T5226" t="s">
        <v>11100</v>
      </c>
      <c r="U5226" t="s">
        <v>11100</v>
      </c>
      <c r="V5226" t="s">
        <v>11100</v>
      </c>
      <c r="W5226" t="s">
        <v>16272</v>
      </c>
      <c r="X5226">
        <v>15</v>
      </c>
      <c r="Y5226" t="s">
        <v>21693</v>
      </c>
      <c r="Z5226" t="s">
        <v>27231</v>
      </c>
      <c r="AA5226">
        <v>0.85273764152944698</v>
      </c>
      <c r="AB5226" t="str">
        <f>HYPERLINK("Melting_Curves/meltCurve_Q9UHV9_PFDN2.pdf", "Melting_Curves/meltCurve_Q9UHV9_PFDN2.pdf")</f>
        <v>Melting_Curves/meltCurve_Q9UHV9_PFDN2.pdf</v>
      </c>
    </row>
    <row r="5227" spans="1:28" x14ac:dyDescent="0.25">
      <c r="A5227" t="s">
        <v>5231</v>
      </c>
      <c r="B5227">
        <v>0.99299721793515405</v>
      </c>
      <c r="C5227">
        <v>0.98446479510421503</v>
      </c>
      <c r="D5227">
        <v>0.88413628216169304</v>
      </c>
      <c r="E5227">
        <v>0.87138655834625001</v>
      </c>
      <c r="F5227">
        <v>0.77719985540291603</v>
      </c>
      <c r="G5227">
        <v>0.64821308557592605</v>
      </c>
      <c r="H5227">
        <v>0.74051052607533496</v>
      </c>
      <c r="I5227">
        <v>0.84453670369263401</v>
      </c>
      <c r="J5227">
        <v>0.93982433150267497</v>
      </c>
      <c r="K5227">
        <v>0.75137597283055302</v>
      </c>
      <c r="L5227">
        <v>986.57235097084003</v>
      </c>
      <c r="M5227">
        <v>22.720297119822298</v>
      </c>
      <c r="O5227">
        <v>43.090322348126499</v>
      </c>
      <c r="P5227">
        <v>-2.8091005051428201E-2</v>
      </c>
      <c r="Q5227">
        <v>0.786899498513702</v>
      </c>
      <c r="R5227">
        <v>0.53926604777655296</v>
      </c>
      <c r="S5227" t="s">
        <v>10778</v>
      </c>
      <c r="T5227" t="s">
        <v>11100</v>
      </c>
      <c r="U5227" t="s">
        <v>11100</v>
      </c>
      <c r="V5227" t="s">
        <v>11100</v>
      </c>
      <c r="W5227" t="s">
        <v>16273</v>
      </c>
      <c r="X5227">
        <v>4</v>
      </c>
      <c r="Y5227" t="s">
        <v>21694</v>
      </c>
      <c r="Z5227" t="s">
        <v>27232</v>
      </c>
      <c r="AA5227">
        <v>0.83470631187621935</v>
      </c>
      <c r="AB5227" t="str">
        <f>HYPERLINK("Melting_Curves/meltCurve_Q9UHW5_GPN3.pdf", "Melting_Curves/meltCurve_Q9UHW5_GPN3.pdf")</f>
        <v>Melting_Curves/meltCurve_Q9UHW5_GPN3.pdf</v>
      </c>
    </row>
    <row r="5228" spans="1:28" x14ac:dyDescent="0.25">
      <c r="A5228" t="s">
        <v>5232</v>
      </c>
      <c r="B5228">
        <v>0.99299721793515405</v>
      </c>
      <c r="C5228">
        <v>0.989593973872399</v>
      </c>
      <c r="D5228">
        <v>0.87857556878661103</v>
      </c>
      <c r="E5228">
        <v>0.77519783437129197</v>
      </c>
      <c r="F5228">
        <v>0.63970891122770301</v>
      </c>
      <c r="G5228">
        <v>0.436309114088612</v>
      </c>
      <c r="H5228">
        <v>0.25921943131147102</v>
      </c>
      <c r="I5228">
        <v>0.19253513556951901</v>
      </c>
      <c r="J5228">
        <v>0.16890423670052501</v>
      </c>
      <c r="K5228">
        <v>0.12942546037452399</v>
      </c>
      <c r="L5228">
        <v>579.25508520504195</v>
      </c>
      <c r="M5228">
        <v>11.194313429577599</v>
      </c>
      <c r="N5228">
        <v>52.296131871779501</v>
      </c>
      <c r="O5228">
        <v>50.176570398199303</v>
      </c>
      <c r="P5228">
        <v>-5.2690439893543599E-2</v>
      </c>
      <c r="Q5228">
        <v>5.5594771123402199E-2</v>
      </c>
      <c r="R5228">
        <v>0.99619899382166899</v>
      </c>
      <c r="S5228" t="s">
        <v>10779</v>
      </c>
      <c r="T5228" t="s">
        <v>11100</v>
      </c>
      <c r="U5228" t="s">
        <v>11100</v>
      </c>
      <c r="V5228" t="s">
        <v>11100</v>
      </c>
      <c r="W5228" t="s">
        <v>16274</v>
      </c>
      <c r="X5228">
        <v>13</v>
      </c>
      <c r="Y5228" t="s">
        <v>21695</v>
      </c>
      <c r="Z5228" t="s">
        <v>27233</v>
      </c>
      <c r="AA5228">
        <v>0.54409244401602663</v>
      </c>
      <c r="AB5228" t="str">
        <f>HYPERLINK("Melting_Curves/meltCurve_Q9UHX1_4_PUF60.pdf", "Melting_Curves/meltCurve_Q9UHX1_4_PUF60.pdf")</f>
        <v>Melting_Curves/meltCurve_Q9UHX1_4_PUF60.pdf</v>
      </c>
    </row>
    <row r="5229" spans="1:28" x14ac:dyDescent="0.25">
      <c r="A5229" t="s">
        <v>5233</v>
      </c>
      <c r="B5229">
        <v>0.99299721793515405</v>
      </c>
      <c r="C5229">
        <v>0.93978750699497704</v>
      </c>
      <c r="D5229">
        <v>1.0078486240740501</v>
      </c>
      <c r="E5229">
        <v>0.802471404251343</v>
      </c>
      <c r="F5229">
        <v>0.69886704916665998</v>
      </c>
      <c r="G5229">
        <v>0.65202397682494295</v>
      </c>
      <c r="H5229">
        <v>0.33593273103316001</v>
      </c>
      <c r="I5229">
        <v>0.14983808710218599</v>
      </c>
      <c r="J5229">
        <v>0.111541410478978</v>
      </c>
      <c r="K5229">
        <v>9.1848460033003204E-2</v>
      </c>
      <c r="L5229">
        <v>671.26992534167903</v>
      </c>
      <c r="M5229">
        <v>12.337339645683</v>
      </c>
      <c r="N5229">
        <v>54.409635016213898</v>
      </c>
      <c r="O5229">
        <v>53.039388850173999</v>
      </c>
      <c r="P5229">
        <v>-5.8164371502343201E-2</v>
      </c>
      <c r="Q5229">
        <v>0</v>
      </c>
      <c r="R5229">
        <v>0.97532758782920403</v>
      </c>
      <c r="S5229" t="s">
        <v>10780</v>
      </c>
      <c r="T5229" t="s">
        <v>11100</v>
      </c>
      <c r="U5229" t="s">
        <v>11100</v>
      </c>
      <c r="V5229" t="s">
        <v>11100</v>
      </c>
      <c r="W5229" t="s">
        <v>16275</v>
      </c>
      <c r="X5229">
        <v>7</v>
      </c>
      <c r="Y5229" t="s">
        <v>21696</v>
      </c>
      <c r="Z5229" t="s">
        <v>27234</v>
      </c>
      <c r="AA5229">
        <v>0.59677354628245893</v>
      </c>
      <c r="AB5229" t="str">
        <f>HYPERLINK("Melting_Curves/meltCurve_Q9UHY1_NRBP1.pdf", "Melting_Curves/meltCurve_Q9UHY1_NRBP1.pdf")</f>
        <v>Melting_Curves/meltCurve_Q9UHY1_NRBP1.pdf</v>
      </c>
    </row>
    <row r="5230" spans="1:28" x14ac:dyDescent="0.25">
      <c r="A5230" t="s">
        <v>5234</v>
      </c>
      <c r="B5230">
        <v>0.99299721793515405</v>
      </c>
      <c r="C5230">
        <v>1.0671457837676299</v>
      </c>
      <c r="D5230">
        <v>1.2179369593609699</v>
      </c>
      <c r="E5230">
        <v>1.0307676514629001</v>
      </c>
      <c r="F5230">
        <v>0.77461445634749504</v>
      </c>
      <c r="G5230">
        <v>0.409048385790313</v>
      </c>
      <c r="H5230">
        <v>0.28592657043234398</v>
      </c>
      <c r="I5230">
        <v>0.25197872083716399</v>
      </c>
      <c r="J5230">
        <v>0.21803937786310301</v>
      </c>
      <c r="K5230">
        <v>0.159052396513542</v>
      </c>
      <c r="L5230">
        <v>1582.3860398563399</v>
      </c>
      <c r="M5230">
        <v>30.503985134732499</v>
      </c>
      <c r="N5230">
        <v>52.845250187509698</v>
      </c>
      <c r="O5230">
        <v>51.653317433464899</v>
      </c>
      <c r="P5230">
        <v>-0.115976794759448</v>
      </c>
      <c r="Q5230">
        <v>0.21445678283437999</v>
      </c>
      <c r="R5230">
        <v>0.96063067009038305</v>
      </c>
      <c r="S5230" t="s">
        <v>10781</v>
      </c>
      <c r="T5230" t="s">
        <v>11100</v>
      </c>
      <c r="U5230" t="s">
        <v>11100</v>
      </c>
      <c r="V5230" t="s">
        <v>11100</v>
      </c>
      <c r="W5230" t="s">
        <v>16276</v>
      </c>
      <c r="X5230">
        <v>10</v>
      </c>
      <c r="Y5230" t="s">
        <v>21697</v>
      </c>
      <c r="Z5230" t="s">
        <v>27235</v>
      </c>
      <c r="AA5230">
        <v>0.60874149149435719</v>
      </c>
      <c r="AB5230" t="str">
        <f>HYPERLINK("Melting_Curves/meltCurve_Q9UHY7_ENOPH1.pdf", "Melting_Curves/meltCurve_Q9UHY7_ENOPH1.pdf")</f>
        <v>Melting_Curves/meltCurve_Q9UHY7_ENOPH1.pdf</v>
      </c>
    </row>
    <row r="5231" spans="1:28" x14ac:dyDescent="0.25">
      <c r="A5231" t="s">
        <v>5235</v>
      </c>
      <c r="B5231">
        <v>0.99299721793515405</v>
      </c>
      <c r="C5231">
        <v>0.82449185487710297</v>
      </c>
      <c r="D5231">
        <v>1.1004906282345801</v>
      </c>
      <c r="E5231">
        <v>0.64692506760655299</v>
      </c>
      <c r="F5231">
        <v>0.72557242513497799</v>
      </c>
      <c r="G5231">
        <v>0.442311803938923</v>
      </c>
      <c r="H5231">
        <v>0.42931995542766299</v>
      </c>
      <c r="I5231">
        <v>0.133754355744057</v>
      </c>
      <c r="J5231">
        <v>0.368361184618552</v>
      </c>
      <c r="K5231">
        <v>0.149314395379891</v>
      </c>
      <c r="L5231">
        <v>529.01926646781203</v>
      </c>
      <c r="M5231">
        <v>10.155379586437199</v>
      </c>
      <c r="N5231">
        <v>53.440414291988901</v>
      </c>
      <c r="O5231">
        <v>50.193683276048603</v>
      </c>
      <c r="P5231">
        <v>-4.4886659665335102E-2</v>
      </c>
      <c r="Q5231">
        <v>0.112984731712576</v>
      </c>
      <c r="R5231">
        <v>0.86569212808173002</v>
      </c>
      <c r="S5231" t="s">
        <v>10782</v>
      </c>
      <c r="T5231" t="s">
        <v>11100</v>
      </c>
      <c r="U5231" t="s">
        <v>11100</v>
      </c>
      <c r="V5231" t="s">
        <v>11100</v>
      </c>
      <c r="W5231" t="s">
        <v>16277</v>
      </c>
      <c r="X5231">
        <v>2</v>
      </c>
      <c r="Y5231" t="s">
        <v>21698</v>
      </c>
      <c r="Z5231" t="s">
        <v>27236</v>
      </c>
      <c r="AA5231">
        <v>0.58237644080434514</v>
      </c>
      <c r="AB5231" t="str">
        <f>HYPERLINK("Melting_Curves/meltCurve_Q9UI08_EVL.pdf", "Melting_Curves/meltCurve_Q9UI08_EVL.pdf")</f>
        <v>Melting_Curves/meltCurve_Q9UI08_EVL.pdf</v>
      </c>
    </row>
    <row r="5232" spans="1:28" x14ac:dyDescent="0.25">
      <c r="A5232" t="s">
        <v>5236</v>
      </c>
      <c r="B5232">
        <v>0.99299721793515405</v>
      </c>
      <c r="C5232">
        <v>0.96987071568561201</v>
      </c>
      <c r="D5232">
        <v>0.98359597670604404</v>
      </c>
      <c r="E5232">
        <v>0.85509660378577501</v>
      </c>
      <c r="F5232">
        <v>0.71281673797307699</v>
      </c>
      <c r="G5232">
        <v>0.47499515463873199</v>
      </c>
      <c r="H5232">
        <v>0.341893821487183</v>
      </c>
      <c r="I5232">
        <v>0.211012539040457</v>
      </c>
      <c r="J5232">
        <v>0.142101751585897</v>
      </c>
      <c r="K5232">
        <v>0.116857943784325</v>
      </c>
      <c r="L5232">
        <v>675.59438409560505</v>
      </c>
      <c r="M5232">
        <v>12.6781664388339</v>
      </c>
      <c r="N5232">
        <v>53.734885038262</v>
      </c>
      <c r="O5232">
        <v>52.014401415998897</v>
      </c>
      <c r="P5232">
        <v>-5.7898338467962003E-2</v>
      </c>
      <c r="Q5232">
        <v>5.0032333853070002E-2</v>
      </c>
      <c r="R5232">
        <v>0.99814572453725303</v>
      </c>
      <c r="S5232" t="s">
        <v>10783</v>
      </c>
      <c r="T5232" t="s">
        <v>11100</v>
      </c>
      <c r="U5232" t="s">
        <v>11100</v>
      </c>
      <c r="V5232" t="s">
        <v>11100</v>
      </c>
      <c r="W5232" t="s">
        <v>16278</v>
      </c>
      <c r="X5232">
        <v>12</v>
      </c>
      <c r="Y5232" t="s">
        <v>21699</v>
      </c>
      <c r="Z5232" t="s">
        <v>27237</v>
      </c>
      <c r="AA5232">
        <v>0.58449777497151822</v>
      </c>
      <c r="AB5232" t="str">
        <f>HYPERLINK("Melting_Curves/meltCurve_Q9UI12_2_ATP6V1H.pdf", "Melting_Curves/meltCurve_Q9UI12_2_ATP6V1H.pdf")</f>
        <v>Melting_Curves/meltCurve_Q9UI12_2_ATP6V1H.pdf</v>
      </c>
    </row>
    <row r="5233" spans="1:28" x14ac:dyDescent="0.25">
      <c r="A5233" t="s">
        <v>5237</v>
      </c>
      <c r="B5233">
        <v>0.99299721793515405</v>
      </c>
      <c r="C5233">
        <v>0.95921335399490604</v>
      </c>
      <c r="D5233">
        <v>0.99171956133256201</v>
      </c>
      <c r="E5233">
        <v>0.77902293889109497</v>
      </c>
      <c r="F5233">
        <v>0.774103391219365</v>
      </c>
      <c r="G5233">
        <v>0.63722227279988497</v>
      </c>
      <c r="H5233">
        <v>0.25615487851564001</v>
      </c>
      <c r="I5233">
        <v>0.259976700512356</v>
      </c>
      <c r="J5233">
        <v>0.18725958010416999</v>
      </c>
      <c r="K5233">
        <v>0.146831560830158</v>
      </c>
      <c r="L5233">
        <v>642.80851390047997</v>
      </c>
      <c r="M5233">
        <v>11.8527090839992</v>
      </c>
      <c r="N5233">
        <v>54.654250561801099</v>
      </c>
      <c r="O5233">
        <v>52.758389476009199</v>
      </c>
      <c r="P5233">
        <v>-5.37270826465732E-2</v>
      </c>
      <c r="Q5233">
        <v>4.3648937399382401E-2</v>
      </c>
      <c r="R5233">
        <v>0.96768483747717304</v>
      </c>
      <c r="S5233" t="s">
        <v>10784</v>
      </c>
      <c r="T5233" t="s">
        <v>11100</v>
      </c>
      <c r="U5233" t="s">
        <v>11100</v>
      </c>
      <c r="V5233" t="s">
        <v>11100</v>
      </c>
      <c r="W5233" t="s">
        <v>16279</v>
      </c>
      <c r="X5233">
        <v>4</v>
      </c>
      <c r="Y5233" t="s">
        <v>21700</v>
      </c>
      <c r="Z5233" t="s">
        <v>27238</v>
      </c>
      <c r="AA5233">
        <v>0.60937321998337457</v>
      </c>
      <c r="AB5233" t="str">
        <f>HYPERLINK("Melting_Curves/meltCurve_Q9UI26_IPO11.pdf", "Melting_Curves/meltCurve_Q9UI26_IPO11.pdf")</f>
        <v>Melting_Curves/meltCurve_Q9UI26_IPO11.pdf</v>
      </c>
    </row>
    <row r="5234" spans="1:28" x14ac:dyDescent="0.25">
      <c r="A5234" t="s">
        <v>5238</v>
      </c>
      <c r="B5234">
        <v>0.99299721793515405</v>
      </c>
      <c r="C5234">
        <v>0.95001508605653195</v>
      </c>
      <c r="D5234">
        <v>0.88832632788302801</v>
      </c>
      <c r="E5234">
        <v>0.91322669830566405</v>
      </c>
      <c r="F5234">
        <v>0.76223248574003599</v>
      </c>
      <c r="G5234">
        <v>0.59226171972591002</v>
      </c>
      <c r="H5234">
        <v>0.45731507132217097</v>
      </c>
      <c r="I5234">
        <v>0.44986507591574099</v>
      </c>
      <c r="J5234">
        <v>0.44530852716949998</v>
      </c>
      <c r="K5234">
        <v>0.37637005855460998</v>
      </c>
      <c r="L5234">
        <v>670.20500938459395</v>
      </c>
      <c r="M5234">
        <v>12.970698536398199</v>
      </c>
      <c r="N5234">
        <v>57.352643176881699</v>
      </c>
      <c r="O5234">
        <v>50.488768211264599</v>
      </c>
      <c r="P5234">
        <v>-4.1004081344515102E-2</v>
      </c>
      <c r="Q5234">
        <v>0.361676346192918</v>
      </c>
      <c r="R5234">
        <v>0.978607570889932</v>
      </c>
      <c r="S5234" t="s">
        <v>10785</v>
      </c>
      <c r="T5234" t="s">
        <v>11100</v>
      </c>
      <c r="U5234" t="s">
        <v>11100</v>
      </c>
      <c r="V5234" t="s">
        <v>11100</v>
      </c>
      <c r="W5234" t="s">
        <v>16280</v>
      </c>
      <c r="X5234">
        <v>9</v>
      </c>
      <c r="Y5234" t="s">
        <v>21701</v>
      </c>
      <c r="Z5234" t="s">
        <v>27239</v>
      </c>
      <c r="AA5234">
        <v>0.68841880066750383</v>
      </c>
      <c r="AB5234" t="str">
        <f>HYPERLINK("Melting_Curves/meltCurve_Q9UI30_TRMT112.pdf", "Melting_Curves/meltCurve_Q9UI30_TRMT112.pdf")</f>
        <v>Melting_Curves/meltCurve_Q9UI30_TRMT112.pdf</v>
      </c>
    </row>
    <row r="5235" spans="1:28" x14ac:dyDescent="0.25">
      <c r="A5235" t="s">
        <v>5239</v>
      </c>
      <c r="B5235">
        <v>0.99299721793515405</v>
      </c>
      <c r="C5235">
        <v>0.97950977159266295</v>
      </c>
      <c r="D5235">
        <v>0.90258037009084602</v>
      </c>
      <c r="E5235">
        <v>0.90102704860627802</v>
      </c>
      <c r="F5235">
        <v>0.70938448776142804</v>
      </c>
      <c r="G5235">
        <v>0.557119208977368</v>
      </c>
      <c r="H5235">
        <v>0.243050768599745</v>
      </c>
      <c r="I5235">
        <v>0.136871301400355</v>
      </c>
      <c r="J5235">
        <v>0.100401491069746</v>
      </c>
      <c r="K5235">
        <v>7.1078558010726697E-2</v>
      </c>
      <c r="L5235">
        <v>752.70644667208796</v>
      </c>
      <c r="M5235">
        <v>14.014942819968701</v>
      </c>
      <c r="N5235">
        <v>53.707436964725801</v>
      </c>
      <c r="O5235">
        <v>52.649417978034599</v>
      </c>
      <c r="P5235">
        <v>-6.6557193078205706E-2</v>
      </c>
      <c r="Q5235">
        <v>0</v>
      </c>
      <c r="R5235">
        <v>0.99121256989950102</v>
      </c>
      <c r="S5235" t="s">
        <v>10786</v>
      </c>
      <c r="T5235" t="s">
        <v>11100</v>
      </c>
      <c r="U5235" t="s">
        <v>11100</v>
      </c>
      <c r="V5235" t="s">
        <v>11100</v>
      </c>
      <c r="W5235" t="s">
        <v>16281</v>
      </c>
      <c r="X5235">
        <v>11</v>
      </c>
      <c r="Y5235" t="s">
        <v>21702</v>
      </c>
      <c r="Z5235" t="s">
        <v>27240</v>
      </c>
      <c r="AA5235">
        <v>0.57447917909753066</v>
      </c>
      <c r="AB5235" t="str">
        <f>HYPERLINK("Melting_Curves/meltCurve_Q9UIC8_LCMT1.pdf", "Melting_Curves/meltCurve_Q9UIC8_LCMT1.pdf")</f>
        <v>Melting_Curves/meltCurve_Q9UIC8_LCMT1.pdf</v>
      </c>
    </row>
    <row r="5236" spans="1:28" x14ac:dyDescent="0.25">
      <c r="A5236" t="s">
        <v>5240</v>
      </c>
      <c r="B5236">
        <v>0.99299721793515405</v>
      </c>
      <c r="C5236">
        <v>0.92125359153641695</v>
      </c>
      <c r="D5236">
        <v>0.86337595969124903</v>
      </c>
      <c r="E5236">
        <v>0.84696392241382001</v>
      </c>
      <c r="F5236">
        <v>0.67526997816693202</v>
      </c>
      <c r="G5236">
        <v>0.34607318614898303</v>
      </c>
      <c r="H5236">
        <v>0.27327278242918801</v>
      </c>
      <c r="I5236">
        <v>0.25423193082732298</v>
      </c>
      <c r="J5236">
        <v>0.23916133172982201</v>
      </c>
      <c r="K5236">
        <v>0.17280151317626</v>
      </c>
      <c r="L5236">
        <v>752.49123722401202</v>
      </c>
      <c r="M5236">
        <v>14.860957874688699</v>
      </c>
      <c r="N5236">
        <v>52.0911138902066</v>
      </c>
      <c r="O5236">
        <v>49.745092715015403</v>
      </c>
      <c r="P5236">
        <v>-6.20012528608926E-2</v>
      </c>
      <c r="Q5236">
        <v>0.16992295981935099</v>
      </c>
      <c r="R5236">
        <v>0.97703901121197601</v>
      </c>
      <c r="S5236" t="s">
        <v>10787</v>
      </c>
      <c r="T5236" t="s">
        <v>11100</v>
      </c>
      <c r="U5236" t="s">
        <v>11100</v>
      </c>
      <c r="V5236" t="s">
        <v>11100</v>
      </c>
      <c r="W5236" t="s">
        <v>16282</v>
      </c>
      <c r="X5236">
        <v>6</v>
      </c>
      <c r="Y5236" t="s">
        <v>21703</v>
      </c>
      <c r="Z5236" t="s">
        <v>27241</v>
      </c>
      <c r="AA5236">
        <v>0.56438387519916278</v>
      </c>
      <c r="AB5236" t="str">
        <f>HYPERLINK("Melting_Curves/meltCurve_Q9UID3_VPS51.pdf", "Melting_Curves/meltCurve_Q9UID3_VPS51.pdf")</f>
        <v>Melting_Curves/meltCurve_Q9UID3_VPS51.pdf</v>
      </c>
    </row>
    <row r="5237" spans="1:28" x14ac:dyDescent="0.25">
      <c r="A5237" t="s">
        <v>5241</v>
      </c>
      <c r="B5237">
        <v>0.99299721793515405</v>
      </c>
      <c r="C5237">
        <v>0.97907726896082503</v>
      </c>
      <c r="D5237">
        <v>1.0737255385862701</v>
      </c>
      <c r="E5237">
        <v>0.98165161672513601</v>
      </c>
      <c r="F5237">
        <v>0.42654814126708401</v>
      </c>
      <c r="G5237">
        <v>0.156487134106848</v>
      </c>
      <c r="H5237">
        <v>0.19331248180436</v>
      </c>
      <c r="I5237">
        <v>0.19772423527914601</v>
      </c>
      <c r="J5237">
        <v>0.207537874792736</v>
      </c>
      <c r="K5237">
        <v>0.172482776535438</v>
      </c>
      <c r="L5237">
        <v>3557.8612108382399</v>
      </c>
      <c r="M5237">
        <v>71.744599091005199</v>
      </c>
      <c r="N5237">
        <v>49.9122239222961</v>
      </c>
      <c r="O5237">
        <v>49.552161307318698</v>
      </c>
      <c r="P5237">
        <v>-0.29498203158023101</v>
      </c>
      <c r="Q5237">
        <v>0.18505395847828299</v>
      </c>
      <c r="R5237">
        <v>0.99479446643575997</v>
      </c>
      <c r="S5237" t="s">
        <v>10788</v>
      </c>
      <c r="T5237" t="s">
        <v>11100</v>
      </c>
      <c r="U5237" t="s">
        <v>11100</v>
      </c>
      <c r="V5237" t="s">
        <v>11100</v>
      </c>
      <c r="W5237" t="s">
        <v>16283</v>
      </c>
      <c r="X5237">
        <v>2</v>
      </c>
      <c r="Y5237" t="s">
        <v>21704</v>
      </c>
      <c r="Z5237" t="s">
        <v>27242</v>
      </c>
      <c r="AA5237">
        <v>0.5279406032615791</v>
      </c>
      <c r="AB5237" t="str">
        <f>HYPERLINK("Melting_Curves/meltCurve_Q9UIG0_2_BAZ1B.pdf", "Melting_Curves/meltCurve_Q9UIG0_2_BAZ1B.pdf")</f>
        <v>Melting_Curves/meltCurve_Q9UIG0_2_BAZ1B.pdf</v>
      </c>
    </row>
    <row r="5238" spans="1:28" x14ac:dyDescent="0.25">
      <c r="A5238" t="s">
        <v>5242</v>
      </c>
      <c r="B5238">
        <v>0.99299721793515405</v>
      </c>
      <c r="C5238">
        <v>0.89588352050818898</v>
      </c>
      <c r="D5238">
        <v>1.2387329773785301</v>
      </c>
      <c r="E5238">
        <v>0.83718906941430404</v>
      </c>
      <c r="F5238">
        <v>0.62615161343244197</v>
      </c>
      <c r="G5238">
        <v>0.69772924363654398</v>
      </c>
      <c r="H5238">
        <v>0.50914598162451496</v>
      </c>
      <c r="I5238">
        <v>0.70802528280699595</v>
      </c>
      <c r="J5238">
        <v>0.93411864278854095</v>
      </c>
      <c r="K5238">
        <v>1.13347337104255</v>
      </c>
      <c r="L5238">
        <v>11610.0498395045</v>
      </c>
      <c r="M5238">
        <v>250</v>
      </c>
      <c r="O5238">
        <v>46.437206916713997</v>
      </c>
      <c r="P5238">
        <v>-0.31210498558299898</v>
      </c>
      <c r="Q5238">
        <v>0.76810735608276204</v>
      </c>
      <c r="R5238">
        <v>0.30965225545438702</v>
      </c>
      <c r="S5238" t="s">
        <v>10789</v>
      </c>
      <c r="T5238" t="s">
        <v>11100</v>
      </c>
      <c r="U5238" t="s">
        <v>11100</v>
      </c>
      <c r="V5238" t="s">
        <v>11100</v>
      </c>
      <c r="W5238" t="s">
        <v>16284</v>
      </c>
      <c r="X5238">
        <v>19</v>
      </c>
      <c r="Y5238" t="s">
        <v>21705</v>
      </c>
      <c r="Z5238" t="s">
        <v>27243</v>
      </c>
      <c r="AA5238">
        <v>0.84109668203148691</v>
      </c>
      <c r="AB5238" t="str">
        <f>HYPERLINK("Melting_Curves/meltCurve_Q9UII2_ATPIF1.pdf", "Melting_Curves/meltCurve_Q9UII2_ATPIF1.pdf")</f>
        <v>Melting_Curves/meltCurve_Q9UII2_ATPIF1.pdf</v>
      </c>
    </row>
    <row r="5239" spans="1:28" x14ac:dyDescent="0.25">
      <c r="A5239" t="s">
        <v>5243</v>
      </c>
      <c r="B5239">
        <v>0.99299721793515405</v>
      </c>
      <c r="C5239">
        <v>0.98784428000148405</v>
      </c>
      <c r="D5239">
        <v>0.99341744844573199</v>
      </c>
      <c r="E5239">
        <v>0.85010698754004199</v>
      </c>
      <c r="F5239">
        <v>0.73214349611966001</v>
      </c>
      <c r="G5239">
        <v>0.58518274765077605</v>
      </c>
      <c r="H5239">
        <v>0.46452715378494602</v>
      </c>
      <c r="I5239">
        <v>0.33750701303686997</v>
      </c>
      <c r="J5239">
        <v>0.164384886659176</v>
      </c>
      <c r="K5239">
        <v>0.139598145302708</v>
      </c>
      <c r="L5239">
        <v>560.41475175978599</v>
      </c>
      <c r="M5239">
        <v>10.0471166851509</v>
      </c>
      <c r="N5239">
        <v>55.778652203226102</v>
      </c>
      <c r="O5239">
        <v>53.704094930877801</v>
      </c>
      <c r="P5239">
        <v>-4.6793062938038303E-2</v>
      </c>
      <c r="Q5239">
        <v>0</v>
      </c>
      <c r="R5239">
        <v>0.991598052522218</v>
      </c>
      <c r="S5239" t="s">
        <v>10790</v>
      </c>
      <c r="T5239" t="s">
        <v>11100</v>
      </c>
      <c r="U5239" t="s">
        <v>11100</v>
      </c>
      <c r="V5239" t="s">
        <v>11100</v>
      </c>
      <c r="W5239" t="s">
        <v>16285</v>
      </c>
      <c r="X5239">
        <v>14</v>
      </c>
      <c r="Y5239" t="s">
        <v>21706</v>
      </c>
      <c r="Z5239" t="s">
        <v>27244</v>
      </c>
      <c r="AA5239">
        <v>0.63354251547479046</v>
      </c>
      <c r="AB5239" t="str">
        <f>HYPERLINK("Melting_Curves/meltCurve_Q9UIJ7_AK3.pdf", "Melting_Curves/meltCurve_Q9UIJ7_AK3.pdf")</f>
        <v>Melting_Curves/meltCurve_Q9UIJ7_AK3.pdf</v>
      </c>
    </row>
    <row r="5240" spans="1:28" x14ac:dyDescent="0.25">
      <c r="A5240" t="s">
        <v>5244</v>
      </c>
      <c r="B5240">
        <v>0.99299721793515405</v>
      </c>
      <c r="C5240">
        <v>0.96532422911384697</v>
      </c>
      <c r="D5240">
        <v>0.89560378567201404</v>
      </c>
      <c r="E5240">
        <v>0.80445679024935302</v>
      </c>
      <c r="F5240">
        <v>0.70362159710146599</v>
      </c>
      <c r="G5240">
        <v>0.59787123036336498</v>
      </c>
      <c r="H5240">
        <v>0.42014363725111098</v>
      </c>
      <c r="I5240">
        <v>0.30206547856330901</v>
      </c>
      <c r="J5240">
        <v>0.250311262761923</v>
      </c>
      <c r="K5240">
        <v>0.19517438661807701</v>
      </c>
      <c r="L5240">
        <v>452.50064420684998</v>
      </c>
      <c r="M5240">
        <v>8.1672242376473108</v>
      </c>
      <c r="N5240">
        <v>55.404459473128199</v>
      </c>
      <c r="O5240">
        <v>52.380030668170001</v>
      </c>
      <c r="P5240">
        <v>-3.9021423470422298E-2</v>
      </c>
      <c r="Q5240">
        <v>0</v>
      </c>
      <c r="R5240">
        <v>0.99678678968958201</v>
      </c>
      <c r="S5240" t="s">
        <v>10791</v>
      </c>
      <c r="T5240" t="s">
        <v>11100</v>
      </c>
      <c r="U5240" t="s">
        <v>11100</v>
      </c>
      <c r="V5240" t="s">
        <v>11100</v>
      </c>
      <c r="W5240" t="s">
        <v>16286</v>
      </c>
      <c r="X5240">
        <v>10</v>
      </c>
      <c r="Y5240" t="s">
        <v>21707</v>
      </c>
      <c r="Z5240" t="s">
        <v>27245</v>
      </c>
      <c r="AA5240">
        <v>0.61763241347317999</v>
      </c>
      <c r="AB5240" t="str">
        <f>HYPERLINK("Melting_Curves/meltCurve_Q9UIM3_FKBPL.pdf", "Melting_Curves/meltCurve_Q9UIM3_FKBPL.pdf")</f>
        <v>Melting_Curves/meltCurve_Q9UIM3_FKBPL.pdf</v>
      </c>
    </row>
    <row r="5241" spans="1:28" x14ac:dyDescent="0.25">
      <c r="A5241" t="s">
        <v>5245</v>
      </c>
      <c r="B5241">
        <v>0.99299721793515405</v>
      </c>
      <c r="C5241">
        <v>0.94215347833367102</v>
      </c>
      <c r="D5241">
        <v>0.87842378870585403</v>
      </c>
      <c r="E5241">
        <v>0.83278988791559805</v>
      </c>
      <c r="F5241">
        <v>0.77236802547578598</v>
      </c>
      <c r="G5241">
        <v>0.65687349928512995</v>
      </c>
      <c r="H5241">
        <v>0.75288249119980599</v>
      </c>
      <c r="I5241">
        <v>0.74886786821667595</v>
      </c>
      <c r="J5241">
        <v>0.71531098290321804</v>
      </c>
      <c r="K5241">
        <v>0.54882070844668296</v>
      </c>
      <c r="L5241">
        <v>384.37211556883398</v>
      </c>
      <c r="M5241">
        <v>8.0421760317967301</v>
      </c>
      <c r="O5241">
        <v>45.111197725989499</v>
      </c>
      <c r="P5241">
        <v>-1.6921895596287401E-2</v>
      </c>
      <c r="Q5241">
        <v>0.620738788822357</v>
      </c>
      <c r="R5241">
        <v>0.821896917308374</v>
      </c>
      <c r="S5241" t="s">
        <v>10792</v>
      </c>
      <c r="T5241" t="s">
        <v>11100</v>
      </c>
      <c r="U5241" t="s">
        <v>11100</v>
      </c>
      <c r="V5241" t="s">
        <v>11100</v>
      </c>
      <c r="W5241" t="s">
        <v>16287</v>
      </c>
      <c r="X5241">
        <v>5</v>
      </c>
      <c r="Y5241" t="s">
        <v>21708</v>
      </c>
      <c r="Z5241" t="s">
        <v>27246</v>
      </c>
      <c r="AA5241">
        <v>0.77720193707107399</v>
      </c>
      <c r="AB5241" t="str">
        <f>HYPERLINK("Melting_Curves/meltCurve_Q9UIQ6_3_LNPEP.pdf", "Melting_Curves/meltCurve_Q9UIQ6_3_LNPEP.pdf")</f>
        <v>Melting_Curves/meltCurve_Q9UIQ6_3_LNPEP.pdf</v>
      </c>
    </row>
    <row r="5242" spans="1:28" x14ac:dyDescent="0.25">
      <c r="A5242" t="s">
        <v>5246</v>
      </c>
      <c r="B5242">
        <v>0.99299721793515405</v>
      </c>
      <c r="C5242">
        <v>0.928823300853161</v>
      </c>
      <c r="D5242">
        <v>0.87376608220590601</v>
      </c>
      <c r="E5242">
        <v>0.82435416752454005</v>
      </c>
      <c r="F5242">
        <v>0.71221179260871004</v>
      </c>
      <c r="G5242">
        <v>0.464852317074265</v>
      </c>
      <c r="H5242">
        <v>0.26284629597183801</v>
      </c>
      <c r="I5242">
        <v>0.249181700256355</v>
      </c>
      <c r="J5242">
        <v>0.17896464069569901</v>
      </c>
      <c r="K5242">
        <v>0.12589701532886999</v>
      </c>
      <c r="L5242">
        <v>563.73765587949197</v>
      </c>
      <c r="M5242">
        <v>10.6551069477869</v>
      </c>
      <c r="N5242">
        <v>53.265375865740801</v>
      </c>
      <c r="O5242">
        <v>51.146220478233602</v>
      </c>
      <c r="P5242">
        <v>-5.03028829283289E-2</v>
      </c>
      <c r="Q5242">
        <v>3.45206172206763E-2</v>
      </c>
      <c r="R5242">
        <v>0.98751547825575203</v>
      </c>
      <c r="S5242" t="s">
        <v>10793</v>
      </c>
      <c r="T5242" t="s">
        <v>11100</v>
      </c>
      <c r="U5242" t="s">
        <v>11100</v>
      </c>
      <c r="V5242" t="s">
        <v>11100</v>
      </c>
      <c r="W5242" t="s">
        <v>16288</v>
      </c>
      <c r="X5242">
        <v>6</v>
      </c>
      <c r="Y5242" t="s">
        <v>21709</v>
      </c>
      <c r="Z5242" t="s">
        <v>27247</v>
      </c>
      <c r="AA5242">
        <v>0.56816007261596724</v>
      </c>
      <c r="AB5242" t="str">
        <f>HYPERLINK("Melting_Curves/meltCurve_Q9UJ41_RABGEF1.pdf", "Melting_Curves/meltCurve_Q9UJ41_RABGEF1.pdf")</f>
        <v>Melting_Curves/meltCurve_Q9UJ41_RABGEF1.pdf</v>
      </c>
    </row>
    <row r="5243" spans="1:28" x14ac:dyDescent="0.25">
      <c r="A5243" t="s">
        <v>5247</v>
      </c>
      <c r="B5243">
        <v>0.99299721793515405</v>
      </c>
      <c r="C5243">
        <v>1.04037093241434</v>
      </c>
      <c r="D5243">
        <v>0.88345133217247596</v>
      </c>
      <c r="E5243">
        <v>0.86460468573782101</v>
      </c>
      <c r="F5243">
        <v>0.74315530120040196</v>
      </c>
      <c r="G5243">
        <v>0.64546853655028802</v>
      </c>
      <c r="H5243">
        <v>0.54103109312410502</v>
      </c>
      <c r="I5243">
        <v>0.45507873228525297</v>
      </c>
      <c r="J5243">
        <v>0.22149594876064299</v>
      </c>
      <c r="K5243">
        <v>0.107017848306648</v>
      </c>
      <c r="L5243">
        <v>525.77148771880604</v>
      </c>
      <c r="M5243">
        <v>9.2005680065776296</v>
      </c>
      <c r="N5243">
        <v>57.145533866208901</v>
      </c>
      <c r="O5243">
        <v>54.640305112694698</v>
      </c>
      <c r="P5243">
        <v>-4.2124186224591499E-2</v>
      </c>
      <c r="Q5243">
        <v>0</v>
      </c>
      <c r="R5243">
        <v>0.96212892377965897</v>
      </c>
      <c r="S5243" t="s">
        <v>10794</v>
      </c>
      <c r="T5243" t="s">
        <v>11100</v>
      </c>
      <c r="U5243" t="s">
        <v>11100</v>
      </c>
      <c r="V5243" t="s">
        <v>11100</v>
      </c>
      <c r="W5243" t="s">
        <v>16289</v>
      </c>
      <c r="X5243">
        <v>8</v>
      </c>
      <c r="Y5243" t="s">
        <v>21710</v>
      </c>
      <c r="Z5243" t="s">
        <v>27248</v>
      </c>
      <c r="AA5243">
        <v>0.66615071803215187</v>
      </c>
      <c r="AB5243" t="str">
        <f>HYPERLINK("Melting_Curves/meltCurve_Q9UJ70_NAGK.pdf", "Melting_Curves/meltCurve_Q9UJ70_NAGK.pdf")</f>
        <v>Melting_Curves/meltCurve_Q9UJ70_NAGK.pdf</v>
      </c>
    </row>
    <row r="5244" spans="1:28" x14ac:dyDescent="0.25">
      <c r="A5244" t="s">
        <v>5248</v>
      </c>
      <c r="B5244">
        <v>0.99299721793515405</v>
      </c>
      <c r="C5244">
        <v>0.93017926336331003</v>
      </c>
      <c r="D5244">
        <v>0.82823772798283002</v>
      </c>
      <c r="E5244">
        <v>0.79432919942158398</v>
      </c>
      <c r="F5244">
        <v>0.74553694532870196</v>
      </c>
      <c r="G5244">
        <v>0.84530857946628501</v>
      </c>
      <c r="H5244">
        <v>0.98162500742320402</v>
      </c>
      <c r="I5244">
        <v>0.81184649842669099</v>
      </c>
      <c r="J5244">
        <v>0.28635288270354903</v>
      </c>
      <c r="K5244">
        <v>0.20092448644908301</v>
      </c>
      <c r="L5244">
        <v>4041.4611048084998</v>
      </c>
      <c r="M5244">
        <v>65.070403964087703</v>
      </c>
      <c r="N5244">
        <v>62.578526727664801</v>
      </c>
      <c r="O5244">
        <v>62.050470618799999</v>
      </c>
      <c r="P5244">
        <v>-0.21153614128314699</v>
      </c>
      <c r="Q5244">
        <v>0.19312545917232499</v>
      </c>
      <c r="R5244">
        <v>0.75714985911105703</v>
      </c>
      <c r="S5244" t="s">
        <v>10795</v>
      </c>
      <c r="T5244" t="s">
        <v>11100</v>
      </c>
      <c r="U5244" t="s">
        <v>11100</v>
      </c>
      <c r="V5244" t="s">
        <v>11100</v>
      </c>
      <c r="W5244" t="s">
        <v>16290</v>
      </c>
      <c r="X5244">
        <v>8</v>
      </c>
      <c r="Y5244" t="s">
        <v>21711</v>
      </c>
      <c r="Z5244" t="s">
        <v>27249</v>
      </c>
      <c r="AA5244">
        <v>0.86948981519181356</v>
      </c>
      <c r="AB5244" t="str">
        <f>HYPERLINK("Melting_Curves/meltCurve_Q9UJA5_TRMT6.pdf", "Melting_Curves/meltCurve_Q9UJA5_TRMT6.pdf")</f>
        <v>Melting_Curves/meltCurve_Q9UJA5_TRMT6.pdf</v>
      </c>
    </row>
    <row r="5245" spans="1:28" x14ac:dyDescent="0.25">
      <c r="A5245" t="s">
        <v>5249</v>
      </c>
      <c r="B5245">
        <v>0.99299721793515405</v>
      </c>
      <c r="C5245">
        <v>1.0332128697610199</v>
      </c>
      <c r="D5245">
        <v>0.98826940010998099</v>
      </c>
      <c r="E5245">
        <v>0.92075035474841105</v>
      </c>
      <c r="F5245">
        <v>0.75795008921026197</v>
      </c>
      <c r="G5245">
        <v>0.69739880747146599</v>
      </c>
      <c r="H5245">
        <v>0.65562784977163102</v>
      </c>
      <c r="I5245">
        <v>0.60272078653160499</v>
      </c>
      <c r="J5245">
        <v>0.55185880448242597</v>
      </c>
      <c r="K5245">
        <v>0.303123245772495</v>
      </c>
      <c r="L5245">
        <v>399.40889218225698</v>
      </c>
      <c r="M5245">
        <v>6.3616262764664899</v>
      </c>
      <c r="N5245">
        <v>62.784086098781401</v>
      </c>
      <c r="O5245">
        <v>57.4393998132322</v>
      </c>
      <c r="P5245">
        <v>-2.7761110026415899E-2</v>
      </c>
      <c r="Q5245">
        <v>0</v>
      </c>
      <c r="R5245">
        <v>0.93390082143622699</v>
      </c>
      <c r="S5245" t="s">
        <v>10796</v>
      </c>
      <c r="T5245" t="s">
        <v>11100</v>
      </c>
      <c r="U5245" t="s">
        <v>11100</v>
      </c>
      <c r="V5245" t="s">
        <v>11100</v>
      </c>
      <c r="W5245" t="s">
        <v>16291</v>
      </c>
      <c r="X5245">
        <v>32</v>
      </c>
      <c r="Y5245" t="s">
        <v>21712</v>
      </c>
      <c r="Z5245" t="s">
        <v>27250</v>
      </c>
      <c r="AA5245">
        <v>0.75344620667828877</v>
      </c>
      <c r="AB5245" t="str">
        <f>HYPERLINK("Melting_Curves/meltCurve_Q9UJS0_SLC25A13.pdf", "Melting_Curves/meltCurve_Q9UJS0_SLC25A13.pdf")</f>
        <v>Melting_Curves/meltCurve_Q9UJS0_SLC25A13.pdf</v>
      </c>
    </row>
    <row r="5246" spans="1:28" x14ac:dyDescent="0.25">
      <c r="A5246" t="s">
        <v>5250</v>
      </c>
      <c r="B5246">
        <v>0.99299721793515405</v>
      </c>
      <c r="C5246">
        <v>0.99579963136245997</v>
      </c>
      <c r="D5246">
        <v>1.0290606322828399</v>
      </c>
      <c r="E5246">
        <v>0.98875108098799203</v>
      </c>
      <c r="F5246">
        <v>0.80079002225373197</v>
      </c>
      <c r="G5246">
        <v>0.44010201686366002</v>
      </c>
      <c r="H5246">
        <v>0.26674491705022502</v>
      </c>
      <c r="I5246">
        <v>0.26017530233645703</v>
      </c>
      <c r="J5246">
        <v>0.27204863971385601</v>
      </c>
      <c r="K5246">
        <v>0.25066666070435301</v>
      </c>
      <c r="L5246">
        <v>1667.7171279814099</v>
      </c>
      <c r="M5246">
        <v>32.168781402407099</v>
      </c>
      <c r="N5246">
        <v>53.012360018880599</v>
      </c>
      <c r="O5246">
        <v>51.643611172152198</v>
      </c>
      <c r="P5246">
        <v>-0.11615295419409501</v>
      </c>
      <c r="Q5246">
        <v>0.25411805543154098</v>
      </c>
      <c r="R5246">
        <v>0.998438072544374</v>
      </c>
      <c r="S5246" t="s">
        <v>10797</v>
      </c>
      <c r="T5246" t="s">
        <v>11100</v>
      </c>
      <c r="U5246" t="s">
        <v>11100</v>
      </c>
      <c r="V5246" t="s">
        <v>11100</v>
      </c>
      <c r="W5246" t="s">
        <v>16292</v>
      </c>
      <c r="X5246">
        <v>24</v>
      </c>
      <c r="Y5246" t="s">
        <v>21713</v>
      </c>
      <c r="Z5246" t="s">
        <v>27251</v>
      </c>
      <c r="AA5246">
        <v>0.62725240912359181</v>
      </c>
      <c r="AB5246" t="str">
        <f>HYPERLINK("Melting_Curves/meltCurve_Q9UJU6_DBNL.pdf", "Melting_Curves/meltCurve_Q9UJU6_DBNL.pdf")</f>
        <v>Melting_Curves/meltCurve_Q9UJU6_DBNL.pdf</v>
      </c>
    </row>
    <row r="5247" spans="1:28" x14ac:dyDescent="0.25">
      <c r="A5247" t="s">
        <v>5251</v>
      </c>
      <c r="B5247">
        <v>0.99299721793515405</v>
      </c>
      <c r="C5247">
        <v>0.64134897264990098</v>
      </c>
      <c r="D5247">
        <v>0.99870318490728005</v>
      </c>
      <c r="E5247">
        <v>0.71621670061536902</v>
      </c>
      <c r="F5247">
        <v>0.66637994093068198</v>
      </c>
      <c r="G5247">
        <v>0.27541113293113201</v>
      </c>
      <c r="H5247">
        <v>0.116704519448593</v>
      </c>
      <c r="I5247">
        <v>0.12014800349454199</v>
      </c>
      <c r="J5247">
        <v>0.13594572973685001</v>
      </c>
      <c r="K5247">
        <v>0.19829631087070501</v>
      </c>
      <c r="L5247">
        <v>721.91622783329501</v>
      </c>
      <c r="M5247">
        <v>14.4226601784691</v>
      </c>
      <c r="N5247">
        <v>50.723628831862598</v>
      </c>
      <c r="O5247">
        <v>49.1215490004816</v>
      </c>
      <c r="P5247">
        <v>-6.7050445786406704E-2</v>
      </c>
      <c r="Q5247">
        <v>8.6650363515786005E-2</v>
      </c>
      <c r="R5247">
        <v>0.86087914995149095</v>
      </c>
      <c r="S5247" t="s">
        <v>10798</v>
      </c>
      <c r="T5247" t="s">
        <v>11100</v>
      </c>
      <c r="U5247" t="s">
        <v>11100</v>
      </c>
      <c r="V5247" t="s">
        <v>11100</v>
      </c>
      <c r="W5247" t="s">
        <v>16293</v>
      </c>
      <c r="X5247">
        <v>23</v>
      </c>
      <c r="Y5247" t="s">
        <v>21713</v>
      </c>
      <c r="Z5247" t="s">
        <v>27252</v>
      </c>
      <c r="AA5247">
        <v>0.50423490645579494</v>
      </c>
      <c r="AB5247" t="str">
        <f>HYPERLINK("Melting_Curves/meltCurve_Q9UJU6_2_DBNL.pdf", "Melting_Curves/meltCurve_Q9UJU6_2_DBNL.pdf")</f>
        <v>Melting_Curves/meltCurve_Q9UJU6_2_DBNL.pdf</v>
      </c>
    </row>
    <row r="5248" spans="1:28" x14ac:dyDescent="0.25">
      <c r="A5248" t="s">
        <v>5252</v>
      </c>
      <c r="B5248">
        <v>0.99299721793515405</v>
      </c>
      <c r="C5248">
        <v>0.92977545890403202</v>
      </c>
      <c r="D5248">
        <v>0.85897603633805397</v>
      </c>
      <c r="E5248">
        <v>0.76314514016306001</v>
      </c>
      <c r="F5248">
        <v>0.62643276505983903</v>
      </c>
      <c r="G5248">
        <v>0.58003692719554001</v>
      </c>
      <c r="H5248">
        <v>0.73814870406167998</v>
      </c>
      <c r="I5248">
        <v>0.93974594438326398</v>
      </c>
      <c r="J5248">
        <v>1.22161167893634</v>
      </c>
      <c r="K5248">
        <v>1.2161081369779601</v>
      </c>
      <c r="L5248">
        <v>15000</v>
      </c>
      <c r="M5248">
        <v>238.57914629979001</v>
      </c>
      <c r="O5248">
        <v>62.867799718123997</v>
      </c>
      <c r="P5248">
        <v>0.208671791272451</v>
      </c>
      <c r="Q5248">
        <v>1.2199477462338799</v>
      </c>
      <c r="R5248">
        <v>-7.4696465715385005E-2</v>
      </c>
      <c r="S5248" t="s">
        <v>10799</v>
      </c>
      <c r="T5248" t="s">
        <v>11100</v>
      </c>
      <c r="U5248" t="s">
        <v>11100</v>
      </c>
      <c r="V5248" t="s">
        <v>11100</v>
      </c>
      <c r="W5248" t="s">
        <v>16294</v>
      </c>
      <c r="X5248">
        <v>8</v>
      </c>
      <c r="Y5248" t="s">
        <v>21714</v>
      </c>
      <c r="Z5248" t="s">
        <v>27253</v>
      </c>
      <c r="AA5248">
        <v>1.0302365667731479</v>
      </c>
      <c r="AB5248" t="str">
        <f>HYPERLINK("Melting_Curves/meltCurve_Q9UJW0_2_DCTN4.pdf", "Melting_Curves/meltCurve_Q9UJW0_2_DCTN4.pdf")</f>
        <v>Melting_Curves/meltCurve_Q9UJW0_2_DCTN4.pdf</v>
      </c>
    </row>
    <row r="5249" spans="1:28" x14ac:dyDescent="0.25">
      <c r="A5249" t="s">
        <v>5253</v>
      </c>
      <c r="B5249">
        <v>0.99299721793515405</v>
      </c>
      <c r="C5249">
        <v>0.87521326825238499</v>
      </c>
      <c r="D5249">
        <v>0.94732432702804803</v>
      </c>
      <c r="E5249">
        <v>0.66177720482753299</v>
      </c>
      <c r="F5249">
        <v>0.55772135384905797</v>
      </c>
      <c r="G5249">
        <v>0.39873167313880398</v>
      </c>
      <c r="H5249">
        <v>0.341771377927646</v>
      </c>
      <c r="I5249">
        <v>0.236494118434291</v>
      </c>
      <c r="J5249">
        <v>0.15305165715325</v>
      </c>
      <c r="K5249">
        <v>0.225010912024249</v>
      </c>
      <c r="L5249">
        <v>523.47630882164196</v>
      </c>
      <c r="M5249">
        <v>10.518075771801101</v>
      </c>
      <c r="N5249">
        <v>51.289215651281999</v>
      </c>
      <c r="O5249">
        <v>48.071153721585198</v>
      </c>
      <c r="P5249">
        <v>-4.73949069869549E-2</v>
      </c>
      <c r="Q5249">
        <v>0.13390430208698401</v>
      </c>
      <c r="R5249">
        <v>0.97687096180683897</v>
      </c>
      <c r="S5249" t="s">
        <v>10800</v>
      </c>
      <c r="T5249" t="s">
        <v>11100</v>
      </c>
      <c r="U5249" t="s">
        <v>11100</v>
      </c>
      <c r="V5249" t="s">
        <v>11100</v>
      </c>
      <c r="W5249" t="s">
        <v>16295</v>
      </c>
      <c r="X5249">
        <v>5</v>
      </c>
      <c r="Y5249" t="s">
        <v>21715</v>
      </c>
      <c r="Z5249" t="s">
        <v>27254</v>
      </c>
      <c r="AA5249">
        <v>0.53109188630390514</v>
      </c>
      <c r="AB5249" t="str">
        <f>HYPERLINK("Melting_Curves/meltCurve_Q9UJX3_2_ANAPC7.pdf", "Melting_Curves/meltCurve_Q9UJX3_2_ANAPC7.pdf")</f>
        <v>Melting_Curves/meltCurve_Q9UJX3_2_ANAPC7.pdf</v>
      </c>
    </row>
    <row r="5250" spans="1:28" x14ac:dyDescent="0.25">
      <c r="A5250" t="s">
        <v>5254</v>
      </c>
      <c r="B5250">
        <v>0.99299721793515405</v>
      </c>
      <c r="C5250">
        <v>1.0497804082444699</v>
      </c>
      <c r="D5250">
        <v>1.10252197629032</v>
      </c>
      <c r="E5250">
        <v>0.83561775603955601</v>
      </c>
      <c r="F5250">
        <v>0.60694721768774296</v>
      </c>
      <c r="G5250">
        <v>0.58329010596701003</v>
      </c>
      <c r="H5250">
        <v>0.29111675430600897</v>
      </c>
      <c r="I5250">
        <v>0.31809139071870202</v>
      </c>
      <c r="J5250">
        <v>0.31742110079762897</v>
      </c>
      <c r="K5250">
        <v>0.40916066986042998</v>
      </c>
      <c r="L5250">
        <v>998.91278724075903</v>
      </c>
      <c r="M5250">
        <v>19.988252252326301</v>
      </c>
      <c r="N5250">
        <v>52.897508616842103</v>
      </c>
      <c r="O5250">
        <v>49.482848550315097</v>
      </c>
      <c r="P5250">
        <v>-6.7230186134435196E-2</v>
      </c>
      <c r="Q5250">
        <v>0.33428245703822401</v>
      </c>
      <c r="R5250">
        <v>0.94431798800455602</v>
      </c>
      <c r="S5250" t="s">
        <v>10801</v>
      </c>
      <c r="T5250" t="s">
        <v>11100</v>
      </c>
      <c r="U5250" t="s">
        <v>11100</v>
      </c>
      <c r="V5250" t="s">
        <v>11100</v>
      </c>
      <c r="W5250" t="s">
        <v>16296</v>
      </c>
      <c r="X5250">
        <v>7</v>
      </c>
      <c r="Y5250" t="s">
        <v>21716</v>
      </c>
      <c r="Z5250" t="s">
        <v>27255</v>
      </c>
      <c r="AA5250">
        <v>0.63098162643169908</v>
      </c>
      <c r="AB5250" t="str">
        <f>HYPERLINK("Melting_Curves/meltCurve_Q9UJX6_2_ANAPC2.pdf", "Melting_Curves/meltCurve_Q9UJX6_2_ANAPC2.pdf")</f>
        <v>Melting_Curves/meltCurve_Q9UJX6_2_ANAPC2.pdf</v>
      </c>
    </row>
    <row r="5251" spans="1:28" x14ac:dyDescent="0.25">
      <c r="A5251" t="s">
        <v>5255</v>
      </c>
      <c r="B5251">
        <v>0.99299721793515405</v>
      </c>
      <c r="C5251">
        <v>0.91718912459129998</v>
      </c>
      <c r="D5251">
        <v>1.15818332087545</v>
      </c>
      <c r="E5251">
        <v>0.90299270878573901</v>
      </c>
      <c r="F5251">
        <v>0.57731469373473598</v>
      </c>
      <c r="G5251">
        <v>0.61470055296617998</v>
      </c>
      <c r="H5251">
        <v>0.31044017273846902</v>
      </c>
      <c r="I5251">
        <v>0.25520074234002998</v>
      </c>
      <c r="J5251">
        <v>0.36407689421108502</v>
      </c>
      <c r="K5251">
        <v>0.31249317954410899</v>
      </c>
      <c r="L5251">
        <v>980.04621396652897</v>
      </c>
      <c r="M5251">
        <v>19.337139649740099</v>
      </c>
      <c r="N5251">
        <v>53.222342524015197</v>
      </c>
      <c r="O5251">
        <v>50.149376202169101</v>
      </c>
      <c r="P5251">
        <v>-6.7352913253643204E-2</v>
      </c>
      <c r="Q5251">
        <v>0.301327694760952</v>
      </c>
      <c r="R5251">
        <v>0.91781724773026496</v>
      </c>
      <c r="S5251" t="s">
        <v>10802</v>
      </c>
      <c r="T5251" t="s">
        <v>11100</v>
      </c>
      <c r="U5251" t="s">
        <v>11100</v>
      </c>
      <c r="V5251" t="s">
        <v>11100</v>
      </c>
      <c r="W5251" t="s">
        <v>16297</v>
      </c>
      <c r="X5251">
        <v>3</v>
      </c>
      <c r="Y5251" t="s">
        <v>21717</v>
      </c>
      <c r="Z5251" t="s">
        <v>27256</v>
      </c>
      <c r="AA5251">
        <v>0.62967479959498829</v>
      </c>
      <c r="AB5251" t="str">
        <f>HYPERLINK("Melting_Curves/meltCurve_Q9UJY1_HSPB8.pdf", "Melting_Curves/meltCurve_Q9UJY1_HSPB8.pdf")</f>
        <v>Melting_Curves/meltCurve_Q9UJY1_HSPB8.pdf</v>
      </c>
    </row>
    <row r="5252" spans="1:28" x14ac:dyDescent="0.25">
      <c r="A5252" t="s">
        <v>5256</v>
      </c>
      <c r="B5252">
        <v>0.99299721793515405</v>
      </c>
      <c r="C5252">
        <v>0.962178208839641</v>
      </c>
      <c r="D5252">
        <v>0.90631431003469098</v>
      </c>
      <c r="E5252">
        <v>0.82486669781514399</v>
      </c>
      <c r="F5252">
        <v>0.48464909009768797</v>
      </c>
      <c r="G5252">
        <v>0.29908607705482598</v>
      </c>
      <c r="H5252">
        <v>0.242946154911237</v>
      </c>
      <c r="I5252">
        <v>0.18405553156059301</v>
      </c>
      <c r="J5252">
        <v>0.12503737669037901</v>
      </c>
      <c r="K5252">
        <v>0.10947050514144301</v>
      </c>
      <c r="L5252">
        <v>818.40949390608296</v>
      </c>
      <c r="M5252">
        <v>16.492395054958099</v>
      </c>
      <c r="N5252">
        <v>50.467955720752997</v>
      </c>
      <c r="O5252">
        <v>48.911067697123499</v>
      </c>
      <c r="P5252">
        <v>-7.4138041789322207E-2</v>
      </c>
      <c r="Q5252">
        <v>0.120583873119139</v>
      </c>
      <c r="R5252">
        <v>0.99350788277499202</v>
      </c>
      <c r="S5252" t="s">
        <v>10803</v>
      </c>
      <c r="T5252" t="s">
        <v>11100</v>
      </c>
      <c r="U5252" t="s">
        <v>11100</v>
      </c>
      <c r="V5252" t="s">
        <v>11100</v>
      </c>
      <c r="W5252" t="s">
        <v>16298</v>
      </c>
      <c r="X5252">
        <v>6</v>
      </c>
      <c r="Y5252" t="s">
        <v>21718</v>
      </c>
      <c r="Z5252" t="s">
        <v>27257</v>
      </c>
      <c r="AA5252">
        <v>0.50668657456918997</v>
      </c>
      <c r="AB5252" t="str">
        <f>HYPERLINK("Melting_Curves/meltCurve_Q9UJY4_GGA2.pdf", "Melting_Curves/meltCurve_Q9UJY4_GGA2.pdf")</f>
        <v>Melting_Curves/meltCurve_Q9UJY4_GGA2.pdf</v>
      </c>
    </row>
    <row r="5253" spans="1:28" x14ac:dyDescent="0.25">
      <c r="A5253" t="s">
        <v>5257</v>
      </c>
      <c r="B5253">
        <v>0.99299721793515405</v>
      </c>
      <c r="C5253">
        <v>0.92993860746354895</v>
      </c>
      <c r="D5253">
        <v>0.94227488826035199</v>
      </c>
      <c r="E5253">
        <v>0.92155871833840697</v>
      </c>
      <c r="F5253">
        <v>0.75897317746753701</v>
      </c>
      <c r="G5253">
        <v>0.48844808714272803</v>
      </c>
      <c r="H5253">
        <v>0.261469578813804</v>
      </c>
      <c r="I5253">
        <v>0.17853718400986199</v>
      </c>
      <c r="J5253">
        <v>0.155630298002294</v>
      </c>
      <c r="K5253">
        <v>0.12355510920903499</v>
      </c>
      <c r="L5253">
        <v>939.16299917865899</v>
      </c>
      <c r="M5253">
        <v>17.771330084518802</v>
      </c>
      <c r="N5253">
        <v>53.552922877581103</v>
      </c>
      <c r="O5253">
        <v>52.191548422620897</v>
      </c>
      <c r="P5253">
        <v>-7.6241530428850193E-2</v>
      </c>
      <c r="Q5253">
        <v>0.104409852128635</v>
      </c>
      <c r="R5253">
        <v>0.99424381005850004</v>
      </c>
      <c r="S5253" t="s">
        <v>10804</v>
      </c>
      <c r="T5253" t="s">
        <v>11100</v>
      </c>
      <c r="U5253" t="s">
        <v>11100</v>
      </c>
      <c r="V5253" t="s">
        <v>11100</v>
      </c>
      <c r="W5253" t="s">
        <v>16299</v>
      </c>
      <c r="X5253">
        <v>11</v>
      </c>
      <c r="Y5253" t="s">
        <v>21719</v>
      </c>
      <c r="Z5253" t="s">
        <v>27258</v>
      </c>
      <c r="AA5253">
        <v>0.59082693831604105</v>
      </c>
      <c r="AB5253" t="str">
        <f>HYPERLINK("Melting_Curves/meltCurve_Q9UJY5_4_GGA1.pdf", "Melting_Curves/meltCurve_Q9UJY5_4_GGA1.pdf")</f>
        <v>Melting_Curves/meltCurve_Q9UJY5_4_GGA1.pdf</v>
      </c>
    </row>
    <row r="5254" spans="1:28" x14ac:dyDescent="0.25">
      <c r="A5254" t="s">
        <v>5258</v>
      </c>
      <c r="B5254">
        <v>0.99299721793515405</v>
      </c>
      <c r="C5254">
        <v>0.93625243502216304</v>
      </c>
      <c r="D5254">
        <v>0.90619572907660495</v>
      </c>
      <c r="E5254">
        <v>0.790163149516104</v>
      </c>
      <c r="F5254">
        <v>0.76321415550525495</v>
      </c>
      <c r="G5254">
        <v>0.50729261129459002</v>
      </c>
      <c r="H5254">
        <v>0.74020072594217701</v>
      </c>
      <c r="I5254">
        <v>0.86746928188292705</v>
      </c>
      <c r="J5254">
        <v>1.0828752808342501</v>
      </c>
      <c r="K5254">
        <v>1.1710979233399701</v>
      </c>
      <c r="L5254">
        <v>1221.4117671204101</v>
      </c>
      <c r="M5254">
        <v>29.9824212189002</v>
      </c>
      <c r="O5254">
        <v>40.557663415824599</v>
      </c>
      <c r="P5254">
        <v>-2.7924457727919998E-2</v>
      </c>
      <c r="Q5254">
        <v>0.84890569331737198</v>
      </c>
      <c r="R5254">
        <v>7.0551959446732204E-2</v>
      </c>
      <c r="S5254" t="s">
        <v>10805</v>
      </c>
      <c r="T5254" t="s">
        <v>11100</v>
      </c>
      <c r="U5254" t="s">
        <v>11100</v>
      </c>
      <c r="V5254" t="s">
        <v>11100</v>
      </c>
      <c r="W5254" t="s">
        <v>16300</v>
      </c>
      <c r="X5254">
        <v>16</v>
      </c>
      <c r="Y5254" t="s">
        <v>21720</v>
      </c>
      <c r="Z5254" t="s">
        <v>27259</v>
      </c>
      <c r="AA5254">
        <v>0.86874437325092202</v>
      </c>
      <c r="AB5254" t="str">
        <f>HYPERLINK("Melting_Curves/meltCurve_Q9UJZ1_STOML2.pdf", "Melting_Curves/meltCurve_Q9UJZ1_STOML2.pdf")</f>
        <v>Melting_Curves/meltCurve_Q9UJZ1_STOML2.pdf</v>
      </c>
    </row>
    <row r="5255" spans="1:28" x14ac:dyDescent="0.25">
      <c r="A5255" t="s">
        <v>5259</v>
      </c>
      <c r="B5255">
        <v>0.99299721793515405</v>
      </c>
      <c r="C5255">
        <v>0.94986813180310603</v>
      </c>
      <c r="D5255">
        <v>0.83321529487718005</v>
      </c>
      <c r="E5255">
        <v>0.83850374296553498</v>
      </c>
      <c r="F5255">
        <v>0.82545651632059602</v>
      </c>
      <c r="G5255">
        <v>0.70788786550843097</v>
      </c>
      <c r="H5255">
        <v>0.53124420520432702</v>
      </c>
      <c r="I5255">
        <v>0.61732075280194998</v>
      </c>
      <c r="J5255">
        <v>0.603775298568487</v>
      </c>
      <c r="K5255">
        <v>0.473916496165396</v>
      </c>
      <c r="L5255">
        <v>324.314069272251</v>
      </c>
      <c r="M5255">
        <v>5.8622131278533898</v>
      </c>
      <c r="O5255">
        <v>49.906983953409899</v>
      </c>
      <c r="P5255">
        <v>-1.9510974142467E-2</v>
      </c>
      <c r="Q5255">
        <v>0.337915220772319</v>
      </c>
      <c r="R5255">
        <v>0.90882997040092695</v>
      </c>
      <c r="S5255" t="s">
        <v>10806</v>
      </c>
      <c r="T5255" t="s">
        <v>11100</v>
      </c>
      <c r="U5255" t="s">
        <v>11100</v>
      </c>
      <c r="V5255" t="s">
        <v>11100</v>
      </c>
      <c r="W5255" t="s">
        <v>16301</v>
      </c>
      <c r="X5255">
        <v>3</v>
      </c>
      <c r="Y5255" t="s">
        <v>21721</v>
      </c>
      <c r="Z5255" t="s">
        <v>27260</v>
      </c>
      <c r="AA5255">
        <v>0.73603056013300572</v>
      </c>
      <c r="AB5255" t="str">
        <f>HYPERLINK("Melting_Curves/meltCurve_Q9UK23_NAGPA.pdf", "Melting_Curves/meltCurve_Q9UK23_NAGPA.pdf")</f>
        <v>Melting_Curves/meltCurve_Q9UK23_NAGPA.pdf</v>
      </c>
    </row>
    <row r="5256" spans="1:28" x14ac:dyDescent="0.25">
      <c r="A5256" t="s">
        <v>5260</v>
      </c>
      <c r="B5256">
        <v>0.99299721793515405</v>
      </c>
      <c r="C5256">
        <v>1.1147556502904601</v>
      </c>
      <c r="D5256">
        <v>1.8666741898883199</v>
      </c>
      <c r="E5256">
        <v>1.0911343095820001</v>
      </c>
      <c r="F5256">
        <v>0.81285410475754805</v>
      </c>
      <c r="G5256">
        <v>1.4151792425501599</v>
      </c>
      <c r="H5256">
        <v>0.71293130639371705</v>
      </c>
      <c r="I5256">
        <v>0.94520644200234105</v>
      </c>
      <c r="J5256">
        <v>0.87710494362665303</v>
      </c>
      <c r="K5256">
        <v>1.2570310123330299</v>
      </c>
      <c r="L5256">
        <v>15000</v>
      </c>
      <c r="M5256">
        <v>223.936693646225</v>
      </c>
      <c r="O5256">
        <v>66.977878179738298</v>
      </c>
      <c r="P5256">
        <v>0.41793035543851598</v>
      </c>
      <c r="Q5256">
        <v>1.5</v>
      </c>
      <c r="R5256">
        <v>-5.0404030118472901E-2</v>
      </c>
      <c r="S5256" t="s">
        <v>10807</v>
      </c>
      <c r="T5256" t="s">
        <v>11100</v>
      </c>
      <c r="U5256" t="s">
        <v>11100</v>
      </c>
      <c r="V5256" t="s">
        <v>11100</v>
      </c>
      <c r="W5256" t="s">
        <v>16302</v>
      </c>
      <c r="X5256">
        <v>4</v>
      </c>
      <c r="Y5256" t="s">
        <v>21722</v>
      </c>
      <c r="Z5256" t="s">
        <v>27261</v>
      </c>
      <c r="AA5256">
        <v>1.0035612656688651</v>
      </c>
      <c r="AB5256" t="str">
        <f>HYPERLINK("Melting_Curves/meltCurve_Q9UK45_LSM7.pdf", "Melting_Curves/meltCurve_Q9UK45_LSM7.pdf")</f>
        <v>Melting_Curves/meltCurve_Q9UK45_LSM7.pdf</v>
      </c>
    </row>
    <row r="5257" spans="1:28" x14ac:dyDescent="0.25">
      <c r="A5257" t="s">
        <v>5261</v>
      </c>
      <c r="B5257">
        <v>0.99299721793515405</v>
      </c>
      <c r="C5257">
        <v>0.92538728655934399</v>
      </c>
      <c r="D5257">
        <v>1.0508627549326599</v>
      </c>
      <c r="E5257">
        <v>0.76516772398045896</v>
      </c>
      <c r="F5257">
        <v>0.82153799137414296</v>
      </c>
      <c r="G5257">
        <v>0.50939099625806705</v>
      </c>
      <c r="H5257">
        <v>0.45921264274818102</v>
      </c>
      <c r="I5257">
        <v>0.437803249006392</v>
      </c>
      <c r="J5257">
        <v>0.317356754994576</v>
      </c>
      <c r="K5257">
        <v>0.16598427242948599</v>
      </c>
      <c r="L5257">
        <v>462.089652688505</v>
      </c>
      <c r="M5257">
        <v>8.1770790295880094</v>
      </c>
      <c r="N5257">
        <v>56.642943265295997</v>
      </c>
      <c r="O5257">
        <v>53.432335585209501</v>
      </c>
      <c r="P5257">
        <v>-3.7935863201773501E-2</v>
      </c>
      <c r="Q5257">
        <v>9.4792268458570202E-3</v>
      </c>
      <c r="R5257">
        <v>0.93935662442422696</v>
      </c>
      <c r="S5257" t="s">
        <v>10808</v>
      </c>
      <c r="T5257" t="s">
        <v>11100</v>
      </c>
      <c r="U5257" t="s">
        <v>11100</v>
      </c>
      <c r="V5257" t="s">
        <v>11100</v>
      </c>
      <c r="W5257" t="s">
        <v>16303</v>
      </c>
      <c r="X5257">
        <v>10</v>
      </c>
      <c r="Y5257" t="s">
        <v>21723</v>
      </c>
      <c r="Z5257" t="s">
        <v>27262</v>
      </c>
      <c r="AA5257">
        <v>0.64842284856287635</v>
      </c>
      <c r="AB5257" t="str">
        <f>HYPERLINK("Melting_Curves/meltCurve_Q9UK59_DBR1.pdf", "Melting_Curves/meltCurve_Q9UK59_DBR1.pdf")</f>
        <v>Melting_Curves/meltCurve_Q9UK59_DBR1.pdf</v>
      </c>
    </row>
    <row r="5258" spans="1:28" x14ac:dyDescent="0.25">
      <c r="A5258" t="s">
        <v>5262</v>
      </c>
      <c r="B5258">
        <v>0.99299721793515405</v>
      </c>
      <c r="C5258">
        <v>0.90363555739943502</v>
      </c>
      <c r="D5258">
        <v>0.90242379998440003</v>
      </c>
      <c r="E5258">
        <v>0.90374429614579599</v>
      </c>
      <c r="F5258">
        <v>0.82766531528593201</v>
      </c>
      <c r="G5258">
        <v>0.544353139449545</v>
      </c>
      <c r="H5258">
        <v>0.62272909571345503</v>
      </c>
      <c r="I5258">
        <v>0.80409985024512698</v>
      </c>
      <c r="J5258">
        <v>0.99797757259915598</v>
      </c>
      <c r="K5258">
        <v>0.85413759831804403</v>
      </c>
      <c r="L5258">
        <v>710.80213707657401</v>
      </c>
      <c r="M5258">
        <v>16.472959137133</v>
      </c>
      <c r="O5258">
        <v>42.528776538742001</v>
      </c>
      <c r="P5258">
        <v>-2.1379154345479E-2</v>
      </c>
      <c r="Q5258">
        <v>0.77923440109984599</v>
      </c>
      <c r="R5258">
        <v>0.25064911675032397</v>
      </c>
      <c r="S5258" t="s">
        <v>10809</v>
      </c>
      <c r="T5258" t="s">
        <v>11100</v>
      </c>
      <c r="U5258" t="s">
        <v>11100</v>
      </c>
      <c r="V5258" t="s">
        <v>11100</v>
      </c>
      <c r="W5258" t="s">
        <v>16304</v>
      </c>
      <c r="X5258">
        <v>14</v>
      </c>
      <c r="Y5258" t="s">
        <v>21724</v>
      </c>
      <c r="Z5258" t="s">
        <v>27263</v>
      </c>
      <c r="AA5258">
        <v>0.82920204535288733</v>
      </c>
      <c r="AB5258" t="str">
        <f>HYPERLINK("Melting_Curves/meltCurve_Q9UK76_HN1.pdf", "Melting_Curves/meltCurve_Q9UK76_HN1.pdf")</f>
        <v>Melting_Curves/meltCurve_Q9UK76_HN1.pdf</v>
      </c>
    </row>
    <row r="5259" spans="1:28" x14ac:dyDescent="0.25">
      <c r="A5259" t="s">
        <v>5263</v>
      </c>
      <c r="B5259">
        <v>0.99299721793515405</v>
      </c>
      <c r="C5259">
        <v>1.0576191056287001</v>
      </c>
      <c r="D5259">
        <v>0.93216915585770699</v>
      </c>
      <c r="E5259">
        <v>0.88455031300635201</v>
      </c>
      <c r="F5259">
        <v>0.77241802666563797</v>
      </c>
      <c r="G5259">
        <v>0.65462233798176706</v>
      </c>
      <c r="H5259">
        <v>0.54093470565051804</v>
      </c>
      <c r="I5259">
        <v>0.30171568311424202</v>
      </c>
      <c r="J5259">
        <v>0.18352259320827799</v>
      </c>
      <c r="K5259">
        <v>0.13019068969374401</v>
      </c>
      <c r="L5259">
        <v>625.38149222169898</v>
      </c>
      <c r="M5259">
        <v>11.027330555252799</v>
      </c>
      <c r="N5259">
        <v>56.711956669015699</v>
      </c>
      <c r="O5259">
        <v>54.942684210057202</v>
      </c>
      <c r="P5259">
        <v>-5.01932866993079E-2</v>
      </c>
      <c r="Q5259">
        <v>0</v>
      </c>
      <c r="R5259">
        <v>0.98492923871210902</v>
      </c>
      <c r="S5259" t="s">
        <v>10810</v>
      </c>
      <c r="T5259" t="s">
        <v>11100</v>
      </c>
      <c r="U5259" t="s">
        <v>11100</v>
      </c>
      <c r="V5259" t="s">
        <v>11100</v>
      </c>
      <c r="W5259" t="s">
        <v>16305</v>
      </c>
      <c r="X5259">
        <v>6</v>
      </c>
      <c r="Y5259" t="s">
        <v>21725</v>
      </c>
      <c r="Z5259" t="s">
        <v>27264</v>
      </c>
      <c r="AA5259">
        <v>0.66127157873888598</v>
      </c>
      <c r="AB5259" t="str">
        <f>HYPERLINK("Melting_Curves/meltCurve_Q9UK99_FBXO3.pdf", "Melting_Curves/meltCurve_Q9UK99_FBXO3.pdf")</f>
        <v>Melting_Curves/meltCurve_Q9UK99_FBXO3.pdf</v>
      </c>
    </row>
    <row r="5260" spans="1:28" x14ac:dyDescent="0.25">
      <c r="A5260" t="s">
        <v>5264</v>
      </c>
      <c r="B5260">
        <v>0.99299721793515405</v>
      </c>
      <c r="C5260">
        <v>0.90237144650765</v>
      </c>
      <c r="D5260">
        <v>0.93432375496101505</v>
      </c>
      <c r="E5260">
        <v>0.80741405103407604</v>
      </c>
      <c r="F5260">
        <v>0.73314403566674802</v>
      </c>
      <c r="G5260">
        <v>0.49714967196429299</v>
      </c>
      <c r="H5260">
        <v>0.41251999236504899</v>
      </c>
      <c r="I5260">
        <v>0.47205018947539501</v>
      </c>
      <c r="J5260">
        <v>0.47260518875938001</v>
      </c>
      <c r="K5260">
        <v>0.46372741214433499</v>
      </c>
      <c r="L5260">
        <v>752.30185542412801</v>
      </c>
      <c r="M5260">
        <v>15.3705928446727</v>
      </c>
      <c r="N5260">
        <v>56.137304271982302</v>
      </c>
      <c r="O5260">
        <v>48.138213377628702</v>
      </c>
      <c r="P5260">
        <v>-4.5485776520062901E-2</v>
      </c>
      <c r="Q5260">
        <v>0.43023590478713297</v>
      </c>
      <c r="R5260">
        <v>0.95550969909569505</v>
      </c>
      <c r="S5260" t="s">
        <v>10811</v>
      </c>
      <c r="T5260" t="s">
        <v>11100</v>
      </c>
      <c r="U5260" t="s">
        <v>11100</v>
      </c>
      <c r="V5260" t="s">
        <v>11100</v>
      </c>
      <c r="W5260" t="s">
        <v>16306</v>
      </c>
      <c r="X5260">
        <v>8</v>
      </c>
      <c r="Y5260" t="s">
        <v>21726</v>
      </c>
      <c r="Z5260" t="s">
        <v>27265</v>
      </c>
      <c r="AA5260">
        <v>0.668890102382522</v>
      </c>
      <c r="AB5260" t="str">
        <f>HYPERLINK("Melting_Curves/meltCurve_Q9UKB3_DNAJC12.pdf", "Melting_Curves/meltCurve_Q9UKB3_DNAJC12.pdf")</f>
        <v>Melting_Curves/meltCurve_Q9UKB3_DNAJC12.pdf</v>
      </c>
    </row>
    <row r="5261" spans="1:28" x14ac:dyDescent="0.25">
      <c r="A5261" t="s">
        <v>5265</v>
      </c>
      <c r="B5261">
        <v>0.99299721793515405</v>
      </c>
      <c r="C5261">
        <v>0.98086072674633396</v>
      </c>
      <c r="D5261">
        <v>0.91596243972559299</v>
      </c>
      <c r="E5261">
        <v>0.85485630697626103</v>
      </c>
      <c r="F5261">
        <v>0.74049844538726795</v>
      </c>
      <c r="G5261">
        <v>0.50960853151784502</v>
      </c>
      <c r="H5261">
        <v>0.36252407287573402</v>
      </c>
      <c r="I5261">
        <v>0.31123556039217098</v>
      </c>
      <c r="J5261">
        <v>0.24636002828872899</v>
      </c>
      <c r="K5261">
        <v>0.16680974686785399</v>
      </c>
      <c r="L5261">
        <v>596.90745881528699</v>
      </c>
      <c r="M5261">
        <v>11.182375977666499</v>
      </c>
      <c r="N5261">
        <v>54.547630425168599</v>
      </c>
      <c r="O5261">
        <v>51.7575762713915</v>
      </c>
      <c r="P5261">
        <v>-4.8276487142642703E-2</v>
      </c>
      <c r="Q5261">
        <v>0.10649294104165601</v>
      </c>
      <c r="R5261">
        <v>0.994803487853407</v>
      </c>
      <c r="S5261" t="s">
        <v>10812</v>
      </c>
      <c r="T5261" t="s">
        <v>11100</v>
      </c>
      <c r="U5261" t="s">
        <v>11100</v>
      </c>
      <c r="V5261" t="s">
        <v>11100</v>
      </c>
      <c r="W5261" t="s">
        <v>16307</v>
      </c>
      <c r="X5261">
        <v>13</v>
      </c>
      <c r="Y5261" t="s">
        <v>21727</v>
      </c>
      <c r="Z5261" t="s">
        <v>27266</v>
      </c>
      <c r="AA5261">
        <v>0.61255287064218178</v>
      </c>
      <c r="AB5261" t="str">
        <f>HYPERLINK("Melting_Curves/meltCurve_Q9UKF6_CPSF3.pdf", "Melting_Curves/meltCurve_Q9UKF6_CPSF3.pdf")</f>
        <v>Melting_Curves/meltCurve_Q9UKF6_CPSF3.pdf</v>
      </c>
    </row>
    <row r="5262" spans="1:28" x14ac:dyDescent="0.25">
      <c r="A5262" t="s">
        <v>5266</v>
      </c>
      <c r="B5262">
        <v>0.99299721793515405</v>
      </c>
      <c r="C5262">
        <v>1.0225912280882901</v>
      </c>
      <c r="D5262">
        <v>0.90380954664938695</v>
      </c>
      <c r="E5262">
        <v>0.92532230418212102</v>
      </c>
      <c r="F5262">
        <v>0.812894042357445</v>
      </c>
      <c r="G5262">
        <v>0.43321881446964</v>
      </c>
      <c r="H5262">
        <v>0.24734721738058399</v>
      </c>
      <c r="I5262">
        <v>0.15477165323893599</v>
      </c>
      <c r="J5262">
        <v>0.101743495909805</v>
      </c>
      <c r="K5262">
        <v>9.6506801399872402E-2</v>
      </c>
      <c r="L5262">
        <v>1107.5862596731799</v>
      </c>
      <c r="M5262">
        <v>20.948339313899599</v>
      </c>
      <c r="N5262">
        <v>53.370164377313998</v>
      </c>
      <c r="O5262">
        <v>52.397531196791697</v>
      </c>
      <c r="P5262">
        <v>-9.1079976943459706E-2</v>
      </c>
      <c r="Q5262">
        <v>8.8760882619940196E-2</v>
      </c>
      <c r="R5262">
        <v>0.99169273559707305</v>
      </c>
      <c r="S5262" t="s">
        <v>10813</v>
      </c>
      <c r="T5262" t="s">
        <v>11100</v>
      </c>
      <c r="U5262" t="s">
        <v>11100</v>
      </c>
      <c r="V5262" t="s">
        <v>11100</v>
      </c>
      <c r="W5262" t="s">
        <v>16308</v>
      </c>
      <c r="X5262">
        <v>14</v>
      </c>
      <c r="Y5262" t="s">
        <v>21728</v>
      </c>
      <c r="Z5262" t="s">
        <v>27267</v>
      </c>
      <c r="AA5262">
        <v>0.5816296884420562</v>
      </c>
      <c r="AB5262" t="str">
        <f>HYPERLINK("Melting_Curves/meltCurve_Q9UKG1_APPL1.pdf", "Melting_Curves/meltCurve_Q9UKG1_APPL1.pdf")</f>
        <v>Melting_Curves/meltCurve_Q9UKG1_APPL1.pdf</v>
      </c>
    </row>
    <row r="5263" spans="1:28" x14ac:dyDescent="0.25">
      <c r="A5263" t="s">
        <v>5267</v>
      </c>
      <c r="B5263">
        <v>0.99299721793515405</v>
      </c>
      <c r="C5263">
        <v>0.79171836889514502</v>
      </c>
      <c r="D5263">
        <v>1.0083297212845499</v>
      </c>
      <c r="E5263">
        <v>0.69359397360823805</v>
      </c>
      <c r="F5263">
        <v>0.64119809499038904</v>
      </c>
      <c r="G5263">
        <v>0.47562939181816399</v>
      </c>
      <c r="H5263">
        <v>0.25131524391080701</v>
      </c>
      <c r="I5263">
        <v>0.29554492861465997</v>
      </c>
      <c r="J5263">
        <v>0.29541382821713302</v>
      </c>
      <c r="K5263">
        <v>0.154564407906634</v>
      </c>
      <c r="L5263">
        <v>489.85913288788799</v>
      </c>
      <c r="M5263">
        <v>9.5585264195709403</v>
      </c>
      <c r="N5263">
        <v>52.624886109866097</v>
      </c>
      <c r="O5263">
        <v>49.155811264548397</v>
      </c>
      <c r="P5263">
        <v>-4.3261386371702203E-2</v>
      </c>
      <c r="Q5263">
        <v>0.110607475943206</v>
      </c>
      <c r="R5263">
        <v>0.92820781589793899</v>
      </c>
      <c r="S5263" t="s">
        <v>10814</v>
      </c>
      <c r="T5263" t="s">
        <v>11100</v>
      </c>
      <c r="U5263" t="s">
        <v>11100</v>
      </c>
      <c r="V5263" t="s">
        <v>11100</v>
      </c>
      <c r="W5263" t="s">
        <v>16309</v>
      </c>
      <c r="X5263">
        <v>6</v>
      </c>
      <c r="Y5263" t="s">
        <v>21729</v>
      </c>
      <c r="Z5263" t="s">
        <v>27268</v>
      </c>
      <c r="AA5263">
        <v>0.56010238683624058</v>
      </c>
      <c r="AB5263" t="str">
        <f>HYPERLINK("Melting_Curves/meltCurve_Q9UKI8_TLK1.pdf", "Melting_Curves/meltCurve_Q9UKI8_TLK1.pdf")</f>
        <v>Melting_Curves/meltCurve_Q9UKI8_TLK1.pdf</v>
      </c>
    </row>
    <row r="5264" spans="1:28" x14ac:dyDescent="0.25">
      <c r="A5264" t="s">
        <v>5268</v>
      </c>
      <c r="B5264">
        <v>0.99299721793515405</v>
      </c>
      <c r="C5264">
        <v>1.0503191690517</v>
      </c>
      <c r="D5264">
        <v>1.68017278429529</v>
      </c>
      <c r="E5264">
        <v>1.13137117961071</v>
      </c>
      <c r="F5264">
        <v>0.98761662615965595</v>
      </c>
      <c r="G5264">
        <v>1.1763486747826</v>
      </c>
      <c r="H5264">
        <v>0.41944310740509499</v>
      </c>
      <c r="I5264">
        <v>0.54165211274555103</v>
      </c>
      <c r="J5264">
        <v>0.30488031809930799</v>
      </c>
      <c r="K5264">
        <v>0.28103852979593102</v>
      </c>
      <c r="L5264">
        <v>14201.381742089899</v>
      </c>
      <c r="M5264">
        <v>250</v>
      </c>
      <c r="N5264">
        <v>57.123843824608798</v>
      </c>
      <c r="O5264">
        <v>56.801891135577897</v>
      </c>
      <c r="P5264">
        <v>-0.68675504154592804</v>
      </c>
      <c r="Q5264">
        <v>0.37585623181661199</v>
      </c>
      <c r="R5264">
        <v>0.70072132218489902</v>
      </c>
      <c r="S5264" t="s">
        <v>10815</v>
      </c>
      <c r="T5264" t="s">
        <v>11100</v>
      </c>
      <c r="U5264" t="s">
        <v>11100</v>
      </c>
      <c r="V5264" t="s">
        <v>11100</v>
      </c>
      <c r="W5264" t="s">
        <v>16310</v>
      </c>
      <c r="X5264">
        <v>3</v>
      </c>
      <c r="Y5264" t="s">
        <v>21730</v>
      </c>
      <c r="Z5264" t="s">
        <v>27269</v>
      </c>
      <c r="AA5264">
        <v>0.78796832889594459</v>
      </c>
      <c r="AB5264" t="str">
        <f>HYPERLINK("Melting_Curves/meltCurve_Q9UKJ3_2_GPATCH8.pdf", "Melting_Curves/meltCurve_Q9UKJ3_2_GPATCH8.pdf")</f>
        <v>Melting_Curves/meltCurve_Q9UKJ3_2_GPATCH8.pdf</v>
      </c>
    </row>
    <row r="5265" spans="1:28" x14ac:dyDescent="0.25">
      <c r="A5265" t="s">
        <v>5269</v>
      </c>
      <c r="B5265">
        <v>0.99299721793515405</v>
      </c>
      <c r="C5265">
        <v>0.89535783736353802</v>
      </c>
      <c r="D5265">
        <v>0.97544202848942096</v>
      </c>
      <c r="E5265">
        <v>0.80929601553481301</v>
      </c>
      <c r="F5265">
        <v>0.76833534045400997</v>
      </c>
      <c r="G5265">
        <v>0.752765596421475</v>
      </c>
      <c r="H5265">
        <v>0.88389893621287896</v>
      </c>
      <c r="I5265">
        <v>1.1868550092854799</v>
      </c>
      <c r="J5265">
        <v>1.3449432449070799</v>
      </c>
      <c r="K5265">
        <v>1.7473158288039301</v>
      </c>
      <c r="L5265">
        <v>3340.9928352012798</v>
      </c>
      <c r="M5265">
        <v>53.925110668027898</v>
      </c>
      <c r="O5265">
        <v>61.8711393106408</v>
      </c>
      <c r="P5265">
        <v>0.108946497085937</v>
      </c>
      <c r="Q5265">
        <v>1.5</v>
      </c>
      <c r="R5265">
        <v>0.71247389442118703</v>
      </c>
      <c r="S5265" t="s">
        <v>10816</v>
      </c>
      <c r="T5265" t="s">
        <v>11100</v>
      </c>
      <c r="U5265" t="s">
        <v>11100</v>
      </c>
      <c r="V5265" t="s">
        <v>11100</v>
      </c>
      <c r="W5265" t="s">
        <v>16311</v>
      </c>
      <c r="X5265">
        <v>10</v>
      </c>
      <c r="Y5265" t="s">
        <v>16899</v>
      </c>
      <c r="Z5265" t="s">
        <v>27270</v>
      </c>
      <c r="AA5265">
        <v>1.0832897313049861</v>
      </c>
      <c r="AB5265" t="str">
        <f>HYPERLINK("Melting_Curves/meltCurve_Q9UKK9_NUDT5.pdf", "Melting_Curves/meltCurve_Q9UKK9_NUDT5.pdf")</f>
        <v>Melting_Curves/meltCurve_Q9UKK9_NUDT5.pdf</v>
      </c>
    </row>
    <row r="5266" spans="1:28" x14ac:dyDescent="0.25">
      <c r="A5266" t="s">
        <v>5270</v>
      </c>
      <c r="B5266">
        <v>0.99299721793515405</v>
      </c>
      <c r="C5266">
        <v>0.88191150843465305</v>
      </c>
      <c r="D5266">
        <v>1.21378211633281</v>
      </c>
      <c r="E5266">
        <v>0.70418815333402196</v>
      </c>
      <c r="F5266">
        <v>0.77431280840906502</v>
      </c>
      <c r="G5266">
        <v>0.56252239670375104</v>
      </c>
      <c r="H5266">
        <v>0.292747294810765</v>
      </c>
      <c r="I5266">
        <v>0.32967924876471499</v>
      </c>
      <c r="J5266">
        <v>0.26376107717323</v>
      </c>
      <c r="K5266">
        <v>0.20183287499403799</v>
      </c>
      <c r="L5266">
        <v>732.98118916305896</v>
      </c>
      <c r="M5266">
        <v>13.9641107861679</v>
      </c>
      <c r="N5266">
        <v>54.279331573588003</v>
      </c>
      <c r="O5266">
        <v>51.449034909754097</v>
      </c>
      <c r="P5266">
        <v>-5.53469326029754E-2</v>
      </c>
      <c r="Q5266">
        <v>0.18443336738400601</v>
      </c>
      <c r="R5266">
        <v>0.89041289451929695</v>
      </c>
      <c r="S5266" t="s">
        <v>10817</v>
      </c>
      <c r="T5266" t="s">
        <v>11100</v>
      </c>
      <c r="U5266" t="s">
        <v>11100</v>
      </c>
      <c r="V5266" t="s">
        <v>11100</v>
      </c>
      <c r="W5266" t="s">
        <v>16312</v>
      </c>
      <c r="X5266">
        <v>3</v>
      </c>
      <c r="Y5266" t="s">
        <v>21731</v>
      </c>
      <c r="Z5266" t="s">
        <v>27271</v>
      </c>
      <c r="AA5266">
        <v>0.62179512083343991</v>
      </c>
      <c r="AB5266" t="str">
        <f>HYPERLINK("Melting_Curves/meltCurve_Q9UKL6_2_PCTP.pdf", "Melting_Curves/meltCurve_Q9UKL6_2_PCTP.pdf")</f>
        <v>Melting_Curves/meltCurve_Q9UKL6_2_PCTP.pdf</v>
      </c>
    </row>
    <row r="5267" spans="1:28" x14ac:dyDescent="0.25">
      <c r="A5267" t="s">
        <v>5271</v>
      </c>
      <c r="B5267">
        <v>0.99299721793515405</v>
      </c>
      <c r="C5267">
        <v>1.0518252397118999</v>
      </c>
      <c r="D5267">
        <v>0.93196536391089302</v>
      </c>
      <c r="E5267">
        <v>0.878796583973108</v>
      </c>
      <c r="F5267">
        <v>0.75052544453926195</v>
      </c>
      <c r="G5267">
        <v>0.50117340105484698</v>
      </c>
      <c r="H5267">
        <v>0.27002418489732999</v>
      </c>
      <c r="I5267">
        <v>0.192531644709411</v>
      </c>
      <c r="J5267">
        <v>0.15195348524454699</v>
      </c>
      <c r="K5267">
        <v>0.167564741222544</v>
      </c>
      <c r="L5267">
        <v>869.48257491000402</v>
      </c>
      <c r="M5267">
        <v>16.499048663412001</v>
      </c>
      <c r="N5267">
        <v>53.556128816171103</v>
      </c>
      <c r="O5267">
        <v>51.943034643756498</v>
      </c>
      <c r="P5267">
        <v>-7.0199538663762898E-2</v>
      </c>
      <c r="Q5267">
        <v>0.116040279763413</v>
      </c>
      <c r="R5267">
        <v>0.99304683618478395</v>
      </c>
      <c r="S5267" t="s">
        <v>10818</v>
      </c>
      <c r="T5267" t="s">
        <v>11100</v>
      </c>
      <c r="U5267" t="s">
        <v>11100</v>
      </c>
      <c r="V5267" t="s">
        <v>11100</v>
      </c>
      <c r="W5267" t="s">
        <v>16313</v>
      </c>
      <c r="X5267">
        <v>13</v>
      </c>
      <c r="Y5267" t="s">
        <v>21732</v>
      </c>
      <c r="Z5267" t="s">
        <v>27272</v>
      </c>
      <c r="AA5267">
        <v>0.59315123894081567</v>
      </c>
      <c r="AB5267" t="str">
        <f>HYPERLINK("Melting_Curves/meltCurve_Q9UKN8_GTF3C4.pdf", "Melting_Curves/meltCurve_Q9UKN8_GTF3C4.pdf")</f>
        <v>Melting_Curves/meltCurve_Q9UKN8_GTF3C4.pdf</v>
      </c>
    </row>
    <row r="5268" spans="1:28" x14ac:dyDescent="0.25">
      <c r="A5268" t="s">
        <v>5272</v>
      </c>
      <c r="B5268">
        <v>0.99299721793515405</v>
      </c>
      <c r="C5268">
        <v>0.96568235725234897</v>
      </c>
      <c r="D5268">
        <v>0.93967408779059103</v>
      </c>
      <c r="E5268">
        <v>0.79576782646150801</v>
      </c>
      <c r="F5268">
        <v>0.56516417232522498</v>
      </c>
      <c r="G5268">
        <v>0.32744318344718998</v>
      </c>
      <c r="H5268">
        <v>0.19187675202746801</v>
      </c>
      <c r="I5268">
        <v>0.16379979541984199</v>
      </c>
      <c r="J5268">
        <v>0.138492807913383</v>
      </c>
      <c r="K5268">
        <v>0.100896725785869</v>
      </c>
      <c r="L5268">
        <v>792.01925909650902</v>
      </c>
      <c r="M5268">
        <v>15.7509587333053</v>
      </c>
      <c r="N5268">
        <v>50.972649271096699</v>
      </c>
      <c r="O5268">
        <v>49.494281749126301</v>
      </c>
      <c r="P5268">
        <v>-7.1939248696995903E-2</v>
      </c>
      <c r="Q5268">
        <v>9.5855808464676395E-2</v>
      </c>
      <c r="R5268">
        <v>0.99891338628677695</v>
      </c>
      <c r="S5268" t="s">
        <v>10819</v>
      </c>
      <c r="T5268" t="s">
        <v>11100</v>
      </c>
      <c r="U5268" t="s">
        <v>11100</v>
      </c>
      <c r="V5268" t="s">
        <v>11100</v>
      </c>
      <c r="W5268" t="s">
        <v>16314</v>
      </c>
      <c r="X5268">
        <v>9</v>
      </c>
      <c r="Y5268" t="s">
        <v>21733</v>
      </c>
      <c r="Z5268" t="s">
        <v>27273</v>
      </c>
      <c r="AA5268">
        <v>0.51365487326999038</v>
      </c>
      <c r="AB5268" t="str">
        <f>HYPERLINK("Melting_Curves/meltCurve_Q9UKS6_PACSIN3.pdf", "Melting_Curves/meltCurve_Q9UKS6_PACSIN3.pdf")</f>
        <v>Melting_Curves/meltCurve_Q9UKS6_PACSIN3.pdf</v>
      </c>
    </row>
    <row r="5269" spans="1:28" x14ac:dyDescent="0.25">
      <c r="A5269" t="s">
        <v>5273</v>
      </c>
      <c r="B5269">
        <v>0.99299721793515405</v>
      </c>
      <c r="C5269">
        <v>0.84719475040553804</v>
      </c>
      <c r="D5269">
        <v>0.93435906949005298</v>
      </c>
      <c r="E5269">
        <v>0.86217431603235195</v>
      </c>
      <c r="F5269">
        <v>0.65887972119616001</v>
      </c>
      <c r="G5269">
        <v>0.42929461128201701</v>
      </c>
      <c r="H5269">
        <v>0.29667061487718499</v>
      </c>
      <c r="I5269">
        <v>0.23898204585765201</v>
      </c>
      <c r="J5269">
        <v>0.17888258842906499</v>
      </c>
      <c r="K5269">
        <v>0.14894444940648799</v>
      </c>
      <c r="L5269">
        <v>640.91808307364397</v>
      </c>
      <c r="M5269">
        <v>12.335888364048699</v>
      </c>
      <c r="N5269">
        <v>52.878707103809496</v>
      </c>
      <c r="O5269">
        <v>50.646846664770898</v>
      </c>
      <c r="P5269">
        <v>-5.5004870207305497E-2</v>
      </c>
      <c r="Q5269">
        <v>9.6872540908749097E-2</v>
      </c>
      <c r="R5269">
        <v>0.98017096024327699</v>
      </c>
      <c r="S5269" t="s">
        <v>10820</v>
      </c>
      <c r="T5269" t="s">
        <v>11100</v>
      </c>
      <c r="U5269" t="s">
        <v>11100</v>
      </c>
      <c r="V5269" t="s">
        <v>11100</v>
      </c>
      <c r="W5269" t="s">
        <v>16315</v>
      </c>
      <c r="X5269">
        <v>4</v>
      </c>
      <c r="Y5269" t="s">
        <v>21734</v>
      </c>
      <c r="Z5269" t="s">
        <v>27274</v>
      </c>
      <c r="AA5269">
        <v>0.56817106825376085</v>
      </c>
      <c r="AB5269" t="str">
        <f>HYPERLINK("Melting_Curves/meltCurve_Q9UKT4_2_FBXO5.pdf", "Melting_Curves/meltCurve_Q9UKT4_2_FBXO5.pdf")</f>
        <v>Melting_Curves/meltCurve_Q9UKT4_2_FBXO5.pdf</v>
      </c>
    </row>
    <row r="5270" spans="1:28" x14ac:dyDescent="0.25">
      <c r="A5270" t="s">
        <v>5274</v>
      </c>
      <c r="B5270">
        <v>0.99299721793515405</v>
      </c>
      <c r="C5270">
        <v>1.07606941354389</v>
      </c>
      <c r="D5270">
        <v>0.85872020666734705</v>
      </c>
      <c r="E5270">
        <v>0.85222690114482702</v>
      </c>
      <c r="F5270">
        <v>0.57373906742969705</v>
      </c>
      <c r="G5270">
        <v>0.43406115679017998</v>
      </c>
      <c r="H5270">
        <v>0.427353764347086</v>
      </c>
      <c r="I5270">
        <v>0.33440202070916603</v>
      </c>
      <c r="J5270">
        <v>0.265249108956922</v>
      </c>
      <c r="K5270">
        <v>0.14158040336347499</v>
      </c>
      <c r="L5270">
        <v>564.92810197776805</v>
      </c>
      <c r="M5270">
        <v>10.9889171066567</v>
      </c>
      <c r="N5270">
        <v>53.2462214320811</v>
      </c>
      <c r="O5270">
        <v>49.794410570053699</v>
      </c>
      <c r="P5270">
        <v>-4.6481680907524803E-2</v>
      </c>
      <c r="Q5270">
        <v>0.15778986484737301</v>
      </c>
      <c r="R5270">
        <v>0.96144494542161496</v>
      </c>
      <c r="S5270" t="s">
        <v>10821</v>
      </c>
      <c r="T5270" t="s">
        <v>11100</v>
      </c>
      <c r="U5270" t="s">
        <v>11100</v>
      </c>
      <c r="V5270" t="s">
        <v>11100</v>
      </c>
      <c r="W5270" t="s">
        <v>16316</v>
      </c>
      <c r="X5270">
        <v>3</v>
      </c>
      <c r="Y5270" t="s">
        <v>21735</v>
      </c>
      <c r="Z5270" t="s">
        <v>27275</v>
      </c>
      <c r="AA5270">
        <v>0.58511508150529279</v>
      </c>
      <c r="AB5270" t="str">
        <f>HYPERLINK("Melting_Curves/meltCurve_Q9UKU7_ACAD8.pdf", "Melting_Curves/meltCurve_Q9UKU7_ACAD8.pdf")</f>
        <v>Melting_Curves/meltCurve_Q9UKU7_ACAD8.pdf</v>
      </c>
    </row>
    <row r="5271" spans="1:28" x14ac:dyDescent="0.25">
      <c r="A5271" t="s">
        <v>5275</v>
      </c>
      <c r="B5271">
        <v>0.99299721793515405</v>
      </c>
      <c r="C5271">
        <v>1.0442064710949599</v>
      </c>
      <c r="D5271">
        <v>0.83142161368245304</v>
      </c>
      <c r="E5271">
        <v>0.88884278557205598</v>
      </c>
      <c r="F5271">
        <v>0.70915520967536005</v>
      </c>
      <c r="G5271">
        <v>0.39932831008237302</v>
      </c>
      <c r="H5271">
        <v>0.19128093960381801</v>
      </c>
      <c r="I5271">
        <v>0.14574663952293701</v>
      </c>
      <c r="J5271">
        <v>9.7964611850954106E-2</v>
      </c>
      <c r="K5271">
        <v>0.110181204220983</v>
      </c>
      <c r="L5271">
        <v>877.71526015785503</v>
      </c>
      <c r="M5271">
        <v>16.877264156582601</v>
      </c>
      <c r="N5271">
        <v>52.453694285713901</v>
      </c>
      <c r="O5271">
        <v>51.2921152535896</v>
      </c>
      <c r="P5271">
        <v>-7.6745085529600895E-2</v>
      </c>
      <c r="Q5271">
        <v>6.7107735249591099E-2</v>
      </c>
      <c r="R5271">
        <v>0.98104802931794899</v>
      </c>
      <c r="S5271" t="s">
        <v>10822</v>
      </c>
      <c r="T5271" t="s">
        <v>11100</v>
      </c>
      <c r="U5271" t="s">
        <v>11100</v>
      </c>
      <c r="V5271" t="s">
        <v>11100</v>
      </c>
      <c r="W5271" t="s">
        <v>16317</v>
      </c>
      <c r="X5271">
        <v>5</v>
      </c>
      <c r="Y5271" t="s">
        <v>21736</v>
      </c>
      <c r="Z5271" t="s">
        <v>27276</v>
      </c>
      <c r="AA5271">
        <v>0.54914686839917404</v>
      </c>
      <c r="AB5271" t="str">
        <f>HYPERLINK("Melting_Curves/meltCurve_Q9UKV5_AMFR.pdf", "Melting_Curves/meltCurve_Q9UKV5_AMFR.pdf")</f>
        <v>Melting_Curves/meltCurve_Q9UKV5_AMFR.pdf</v>
      </c>
    </row>
    <row r="5272" spans="1:28" x14ac:dyDescent="0.25">
      <c r="A5272" t="s">
        <v>5276</v>
      </c>
      <c r="B5272">
        <v>0.99299721793515405</v>
      </c>
      <c r="C5272">
        <v>0.965146810136433</v>
      </c>
      <c r="D5272">
        <v>0.96366650768454598</v>
      </c>
      <c r="E5272">
        <v>0.838255909947485</v>
      </c>
      <c r="F5272">
        <v>0.81358972258241502</v>
      </c>
      <c r="G5272">
        <v>0.76749762177794001</v>
      </c>
      <c r="H5272">
        <v>0.701663341477197</v>
      </c>
      <c r="I5272">
        <v>0.44540533720678099</v>
      </c>
      <c r="J5272">
        <v>0.33433644015717801</v>
      </c>
      <c r="K5272">
        <v>0.252607662232053</v>
      </c>
      <c r="L5272">
        <v>536.12470240652203</v>
      </c>
      <c r="M5272">
        <v>8.9262223727268104</v>
      </c>
      <c r="N5272">
        <v>60.0617525785838</v>
      </c>
      <c r="O5272">
        <v>57.276756880970403</v>
      </c>
      <c r="P5272">
        <v>-3.8990117371221301E-2</v>
      </c>
      <c r="Q5272">
        <v>0</v>
      </c>
      <c r="R5272">
        <v>0.964469596403975</v>
      </c>
      <c r="S5272" t="s">
        <v>10823</v>
      </c>
      <c r="T5272" t="s">
        <v>11100</v>
      </c>
      <c r="U5272" t="s">
        <v>11100</v>
      </c>
      <c r="V5272" t="s">
        <v>11100</v>
      </c>
      <c r="W5272" t="s">
        <v>16318</v>
      </c>
      <c r="X5272">
        <v>14</v>
      </c>
      <c r="Y5272" t="s">
        <v>21737</v>
      </c>
      <c r="Z5272" t="s">
        <v>27277</v>
      </c>
      <c r="AA5272">
        <v>0.7332107538993351</v>
      </c>
      <c r="AB5272" t="str">
        <f>HYPERLINK("Melting_Curves/meltCurve_Q9UKX7_NUP50.pdf", "Melting_Curves/meltCurve_Q9UKX7_NUP50.pdf")</f>
        <v>Melting_Curves/meltCurve_Q9UKX7_NUP50.pdf</v>
      </c>
    </row>
    <row r="5273" spans="1:28" x14ac:dyDescent="0.25">
      <c r="A5273" t="s">
        <v>5277</v>
      </c>
      <c r="B5273">
        <v>0.99299721793515405</v>
      </c>
      <c r="C5273">
        <v>1.02925639565918</v>
      </c>
      <c r="D5273">
        <v>0.93743137864333004</v>
      </c>
      <c r="E5273">
        <v>0.92152956967740496</v>
      </c>
      <c r="F5273">
        <v>0.80893846225003896</v>
      </c>
      <c r="G5273">
        <v>0.68256385493206095</v>
      </c>
      <c r="H5273">
        <v>0.83842114078922003</v>
      </c>
      <c r="I5273">
        <v>1.1816296914914799</v>
      </c>
      <c r="J5273">
        <v>1.61977978142016</v>
      </c>
      <c r="K5273">
        <v>1.7759513455548499</v>
      </c>
      <c r="L5273">
        <v>15000</v>
      </c>
      <c r="M5273">
        <v>245.34044711946001</v>
      </c>
      <c r="O5273">
        <v>61.135470279641801</v>
      </c>
      <c r="P5273">
        <v>0.50163279086483803</v>
      </c>
      <c r="Q5273">
        <v>1.5</v>
      </c>
      <c r="R5273">
        <v>0.76590652191305297</v>
      </c>
      <c r="S5273" t="s">
        <v>10824</v>
      </c>
      <c r="T5273" t="s">
        <v>11100</v>
      </c>
      <c r="U5273" t="s">
        <v>11100</v>
      </c>
      <c r="V5273" t="s">
        <v>11100</v>
      </c>
      <c r="W5273" t="s">
        <v>16319</v>
      </c>
      <c r="X5273">
        <v>13</v>
      </c>
      <c r="Y5273" t="s">
        <v>21738</v>
      </c>
      <c r="Z5273" t="s">
        <v>27278</v>
      </c>
      <c r="AA5273">
        <v>1.097618767525776</v>
      </c>
      <c r="AB5273" t="str">
        <f>HYPERLINK("Melting_Curves/meltCurve_Q9UKY7_CDV3.pdf", "Melting_Curves/meltCurve_Q9UKY7_CDV3.pdf")</f>
        <v>Melting_Curves/meltCurve_Q9UKY7_CDV3.pdf</v>
      </c>
    </row>
    <row r="5274" spans="1:28" x14ac:dyDescent="0.25">
      <c r="A5274" t="s">
        <v>5278</v>
      </c>
      <c r="B5274">
        <v>0.99299721793515405</v>
      </c>
      <c r="C5274">
        <v>0.86117119651972895</v>
      </c>
      <c r="D5274">
        <v>0.84979127194203496</v>
      </c>
      <c r="E5274">
        <v>0.52659633590238297</v>
      </c>
      <c r="F5274">
        <v>0.41786955179660001</v>
      </c>
      <c r="G5274">
        <v>0.216387015943483</v>
      </c>
      <c r="H5274">
        <v>0.117646358009465</v>
      </c>
      <c r="I5274">
        <v>4.9987800047896103E-2</v>
      </c>
      <c r="J5274">
        <v>4.8391805706642199E-2</v>
      </c>
      <c r="K5274">
        <v>0</v>
      </c>
      <c r="L5274">
        <v>572.02987298043104</v>
      </c>
      <c r="M5274">
        <v>11.9353018113173</v>
      </c>
      <c r="N5274">
        <v>47.927535961758799</v>
      </c>
      <c r="O5274">
        <v>46.6415348836614</v>
      </c>
      <c r="P5274">
        <v>-6.3989315566400196E-2</v>
      </c>
      <c r="Q5274">
        <v>0</v>
      </c>
      <c r="R5274">
        <v>0.98946598725696899</v>
      </c>
      <c r="S5274" t="s">
        <v>10825</v>
      </c>
      <c r="T5274" t="s">
        <v>11100</v>
      </c>
      <c r="U5274" t="s">
        <v>11100</v>
      </c>
      <c r="V5274" t="s">
        <v>11100</v>
      </c>
      <c r="W5274" t="s">
        <v>16320</v>
      </c>
      <c r="X5274">
        <v>1</v>
      </c>
      <c r="Y5274" t="s">
        <v>21739</v>
      </c>
      <c r="Z5274" t="s">
        <v>27279</v>
      </c>
      <c r="AA5274">
        <v>0.39592236786030638</v>
      </c>
      <c r="AB5274" t="str">
        <f>HYPERLINK("Melting_Curves/meltCurve_Q9UKZ1_CNOT11.pdf", "Melting_Curves/meltCurve_Q9UKZ1_CNOT11.pdf")</f>
        <v>Melting_Curves/meltCurve_Q9UKZ1_CNOT11.pdf</v>
      </c>
    </row>
    <row r="5275" spans="1:28" x14ac:dyDescent="0.25">
      <c r="A5275" t="s">
        <v>5279</v>
      </c>
      <c r="B5275">
        <v>0.99299721793515405</v>
      </c>
      <c r="C5275">
        <v>0.98185958893137104</v>
      </c>
      <c r="D5275">
        <v>0.86096832339210305</v>
      </c>
      <c r="E5275">
        <v>0.92188318207981201</v>
      </c>
      <c r="F5275">
        <v>0.679907857043763</v>
      </c>
      <c r="G5275">
        <v>0.37379134891980598</v>
      </c>
      <c r="H5275">
        <v>0.23970414873225099</v>
      </c>
      <c r="I5275">
        <v>0.181990088320863</v>
      </c>
      <c r="J5275">
        <v>0.17013237941603401</v>
      </c>
      <c r="K5275">
        <v>0.129297415185743</v>
      </c>
      <c r="L5275">
        <v>963.05880053177304</v>
      </c>
      <c r="M5275">
        <v>18.7263960373107</v>
      </c>
      <c r="N5275">
        <v>52.284197818822697</v>
      </c>
      <c r="O5275">
        <v>50.852180026895297</v>
      </c>
      <c r="P5275">
        <v>-7.9907899562976198E-2</v>
      </c>
      <c r="Q5275">
        <v>0.13206591481684599</v>
      </c>
      <c r="R5275">
        <v>0.98662311732568098</v>
      </c>
      <c r="S5275" t="s">
        <v>10826</v>
      </c>
      <c r="T5275" t="s">
        <v>11100</v>
      </c>
      <c r="U5275" t="s">
        <v>11100</v>
      </c>
      <c r="V5275" t="s">
        <v>11100</v>
      </c>
      <c r="W5275" t="s">
        <v>16321</v>
      </c>
      <c r="X5275">
        <v>6</v>
      </c>
      <c r="Y5275" t="s">
        <v>21740</v>
      </c>
      <c r="Z5275" t="s">
        <v>27280</v>
      </c>
      <c r="AA5275">
        <v>0.56203536270763654</v>
      </c>
      <c r="AB5275" t="str">
        <f>HYPERLINK("Melting_Curves/meltCurve_Q9UL15_BAG5.pdf", "Melting_Curves/meltCurve_Q9UL15_BAG5.pdf")</f>
        <v>Melting_Curves/meltCurve_Q9UL15_BAG5.pdf</v>
      </c>
    </row>
    <row r="5276" spans="1:28" x14ac:dyDescent="0.25">
      <c r="A5276" t="s">
        <v>5280</v>
      </c>
      <c r="B5276">
        <v>0.99299721793515405</v>
      </c>
      <c r="C5276">
        <v>0.957187187463717</v>
      </c>
      <c r="D5276">
        <v>0.94003973219539305</v>
      </c>
      <c r="E5276">
        <v>0.96268343741441798</v>
      </c>
      <c r="F5276">
        <v>0.79946474823032398</v>
      </c>
      <c r="G5276">
        <v>0.60296146047548305</v>
      </c>
      <c r="H5276">
        <v>0.61682167061147497</v>
      </c>
      <c r="I5276">
        <v>0.64997457278076898</v>
      </c>
      <c r="J5276">
        <v>0.67896620463049395</v>
      </c>
      <c r="K5276">
        <v>0.373731913469661</v>
      </c>
      <c r="S5276" t="s">
        <v>10827</v>
      </c>
      <c r="T5276" t="s">
        <v>11100</v>
      </c>
      <c r="U5276" t="s">
        <v>11101</v>
      </c>
      <c r="V5276" t="s">
        <v>11100</v>
      </c>
      <c r="W5276" t="s">
        <v>16322</v>
      </c>
      <c r="X5276">
        <v>13</v>
      </c>
      <c r="Y5276" t="s">
        <v>21741</v>
      </c>
      <c r="Z5276" t="s">
        <v>27281</v>
      </c>
      <c r="AB5276" t="str">
        <f>HYPERLINK("Melting_Curves/meltCurve_Q9UL25_RAB21.pdf", "Melting_Curves/meltCurve_Q9UL25_RAB21.pdf")</f>
        <v>Melting_Curves/meltCurve_Q9UL25_RAB21.pdf</v>
      </c>
    </row>
    <row r="5277" spans="1:28" x14ac:dyDescent="0.25">
      <c r="A5277" t="s">
        <v>5281</v>
      </c>
      <c r="B5277">
        <v>0.99299721793515405</v>
      </c>
      <c r="C5277">
        <v>1.0749372209424799</v>
      </c>
      <c r="D5277">
        <v>1.0904272635701699</v>
      </c>
      <c r="E5277">
        <v>0.88233013105120695</v>
      </c>
      <c r="F5277">
        <v>0.72986910465876798</v>
      </c>
      <c r="G5277">
        <v>0.54174342835807698</v>
      </c>
      <c r="H5277">
        <v>0.40235597246208499</v>
      </c>
      <c r="I5277">
        <v>0.35582685608384501</v>
      </c>
      <c r="J5277">
        <v>0.31621849752787401</v>
      </c>
      <c r="K5277">
        <v>0.19027778720531599</v>
      </c>
      <c r="L5277">
        <v>808.72502166955803</v>
      </c>
      <c r="M5277">
        <v>15.387280755719599</v>
      </c>
      <c r="N5277">
        <v>54.792048567596296</v>
      </c>
      <c r="O5277">
        <v>51.694315294822701</v>
      </c>
      <c r="P5277">
        <v>-5.70808933643593E-2</v>
      </c>
      <c r="Q5277">
        <v>0.23300601195658999</v>
      </c>
      <c r="R5277">
        <v>0.97223827496038795</v>
      </c>
      <c r="S5277" t="s">
        <v>10828</v>
      </c>
      <c r="T5277" t="s">
        <v>11100</v>
      </c>
      <c r="U5277" t="s">
        <v>11100</v>
      </c>
      <c r="V5277" t="s">
        <v>11100</v>
      </c>
      <c r="W5277" t="s">
        <v>16323</v>
      </c>
      <c r="X5277">
        <v>3</v>
      </c>
      <c r="Y5277" t="s">
        <v>21742</v>
      </c>
      <c r="Z5277" t="s">
        <v>27282</v>
      </c>
      <c r="AA5277">
        <v>0.64454474977656839</v>
      </c>
      <c r="AB5277" t="str">
        <f>HYPERLINK("Melting_Curves/meltCurve_Q9UL26_RAB22A.pdf", "Melting_Curves/meltCurve_Q9UL26_RAB22A.pdf")</f>
        <v>Melting_Curves/meltCurve_Q9UL26_RAB22A.pdf</v>
      </c>
    </row>
    <row r="5278" spans="1:28" x14ac:dyDescent="0.25">
      <c r="A5278" t="s">
        <v>5282</v>
      </c>
      <c r="B5278">
        <v>0.99299721793515405</v>
      </c>
      <c r="C5278">
        <v>0.99540429119487694</v>
      </c>
      <c r="D5278">
        <v>0.77444201313481598</v>
      </c>
      <c r="E5278">
        <v>0.74435729730799605</v>
      </c>
      <c r="F5278">
        <v>0.332449372436456</v>
      </c>
      <c r="G5278">
        <v>0.22581733119953101</v>
      </c>
      <c r="H5278">
        <v>0.15740887234963599</v>
      </c>
      <c r="I5278">
        <v>0.15554699047953699</v>
      </c>
      <c r="J5278">
        <v>0.11135451307008799</v>
      </c>
      <c r="K5278">
        <v>9.11855278695448E-2</v>
      </c>
      <c r="L5278">
        <v>761.51987801661005</v>
      </c>
      <c r="M5278">
        <v>15.895013283795601</v>
      </c>
      <c r="N5278">
        <v>48.555751597697899</v>
      </c>
      <c r="O5278">
        <v>47.170295459093403</v>
      </c>
      <c r="P5278">
        <v>-7.6215816048323601E-2</v>
      </c>
      <c r="Q5278">
        <v>9.53560543724042E-2</v>
      </c>
      <c r="R5278">
        <v>0.98039109115015699</v>
      </c>
      <c r="S5278" t="s">
        <v>10829</v>
      </c>
      <c r="T5278" t="s">
        <v>11100</v>
      </c>
      <c r="U5278" t="s">
        <v>11100</v>
      </c>
      <c r="V5278" t="s">
        <v>11100</v>
      </c>
      <c r="W5278" t="s">
        <v>16324</v>
      </c>
      <c r="X5278">
        <v>1</v>
      </c>
      <c r="Y5278" t="s">
        <v>21743</v>
      </c>
      <c r="Z5278" t="s">
        <v>27283</v>
      </c>
      <c r="AA5278">
        <v>0.44239798061354418</v>
      </c>
      <c r="AB5278" t="str">
        <f>HYPERLINK("Melting_Curves/meltCurve_Q9UL42_PNMA2.pdf", "Melting_Curves/meltCurve_Q9UL42_PNMA2.pdf")</f>
        <v>Melting_Curves/meltCurve_Q9UL42_PNMA2.pdf</v>
      </c>
    </row>
    <row r="5279" spans="1:28" x14ac:dyDescent="0.25">
      <c r="A5279" t="s">
        <v>5283</v>
      </c>
      <c r="B5279">
        <v>0.99299721793515405</v>
      </c>
      <c r="C5279">
        <v>0.95091947645300101</v>
      </c>
      <c r="D5279">
        <v>0.94010573568040101</v>
      </c>
      <c r="E5279">
        <v>0.83763428357052305</v>
      </c>
      <c r="F5279">
        <v>0.85136856730907096</v>
      </c>
      <c r="G5279">
        <v>0.72121475908783805</v>
      </c>
      <c r="H5279">
        <v>0.61055907816559196</v>
      </c>
      <c r="I5279">
        <v>0.44816321137376403</v>
      </c>
      <c r="J5279">
        <v>0.39828576980020702</v>
      </c>
      <c r="K5279">
        <v>0.332656819709787</v>
      </c>
      <c r="L5279">
        <v>431.16366074302499</v>
      </c>
      <c r="M5279">
        <v>7.1399244621889197</v>
      </c>
      <c r="N5279">
        <v>60.387705521207501</v>
      </c>
      <c r="O5279">
        <v>56.188611452888303</v>
      </c>
      <c r="P5279">
        <v>-3.1822442359712197E-2</v>
      </c>
      <c r="Q5279">
        <v>0</v>
      </c>
      <c r="R5279">
        <v>0.98700580590438602</v>
      </c>
      <c r="S5279" t="s">
        <v>10830</v>
      </c>
      <c r="T5279" t="s">
        <v>11100</v>
      </c>
      <c r="U5279" t="s">
        <v>11100</v>
      </c>
      <c r="V5279" t="s">
        <v>11100</v>
      </c>
      <c r="W5279" t="s">
        <v>16325</v>
      </c>
      <c r="X5279">
        <v>9</v>
      </c>
      <c r="Y5279" t="s">
        <v>21744</v>
      </c>
      <c r="Z5279" t="s">
        <v>27284</v>
      </c>
      <c r="AA5279">
        <v>0.72129093984971193</v>
      </c>
      <c r="AB5279" t="str">
        <f>HYPERLINK("Melting_Curves/meltCurve_Q9UL46_PSME2.pdf", "Melting_Curves/meltCurve_Q9UL46_PSME2.pdf")</f>
        <v>Melting_Curves/meltCurve_Q9UL46_PSME2.pdf</v>
      </c>
    </row>
    <row r="5280" spans="1:28" x14ac:dyDescent="0.25">
      <c r="A5280" t="s">
        <v>5284</v>
      </c>
      <c r="B5280">
        <v>0.99299721793515405</v>
      </c>
      <c r="C5280">
        <v>0.92666710023779597</v>
      </c>
      <c r="D5280">
        <v>0.76290598926798903</v>
      </c>
      <c r="E5280">
        <v>0.76867936077459997</v>
      </c>
      <c r="F5280">
        <v>0.41182696495947602</v>
      </c>
      <c r="G5280">
        <v>0.24011902280873601</v>
      </c>
      <c r="H5280">
        <v>0.26900963056389199</v>
      </c>
      <c r="I5280">
        <v>0.22274562435954501</v>
      </c>
      <c r="J5280">
        <v>0.136990425899992</v>
      </c>
      <c r="K5280">
        <v>0.17863487111101201</v>
      </c>
      <c r="L5280">
        <v>632.19218513546002</v>
      </c>
      <c r="M5280">
        <v>13.1780238439393</v>
      </c>
      <c r="N5280">
        <v>49.2201725344718</v>
      </c>
      <c r="O5280">
        <v>46.9088544953674</v>
      </c>
      <c r="P5280">
        <v>-6.0274767927518298E-2</v>
      </c>
      <c r="Q5280">
        <v>0.141920918797378</v>
      </c>
      <c r="R5280">
        <v>0.969424683092311</v>
      </c>
      <c r="S5280" t="s">
        <v>10831</v>
      </c>
      <c r="T5280" t="s">
        <v>11100</v>
      </c>
      <c r="U5280" t="s">
        <v>11100</v>
      </c>
      <c r="V5280" t="s">
        <v>11100</v>
      </c>
      <c r="W5280" t="s">
        <v>16326</v>
      </c>
      <c r="X5280">
        <v>3</v>
      </c>
      <c r="Y5280" t="s">
        <v>21745</v>
      </c>
      <c r="Z5280" t="s">
        <v>27285</v>
      </c>
      <c r="AA5280">
        <v>0.47912490813958969</v>
      </c>
      <c r="AB5280" t="str">
        <f>HYPERLINK("Melting_Curves/meltCurve_Q9UL54_2_TAOK2.pdf", "Melting_Curves/meltCurve_Q9UL54_2_TAOK2.pdf")</f>
        <v>Melting_Curves/meltCurve_Q9UL54_2_TAOK2.pdf</v>
      </c>
    </row>
    <row r="5281" spans="1:28" x14ac:dyDescent="0.25">
      <c r="A5281" t="s">
        <v>5285</v>
      </c>
      <c r="B5281">
        <v>0.99299721793515405</v>
      </c>
      <c r="C5281">
        <v>0.99857453502249205</v>
      </c>
      <c r="D5281">
        <v>0.94431337371179302</v>
      </c>
      <c r="E5281">
        <v>0.88463251422134803</v>
      </c>
      <c r="F5281">
        <v>0.69916383845726304</v>
      </c>
      <c r="G5281">
        <v>0.48227447794372902</v>
      </c>
      <c r="H5281">
        <v>0.28208049305291899</v>
      </c>
      <c r="I5281">
        <v>0.17028245399477701</v>
      </c>
      <c r="J5281">
        <v>0.124503482330031</v>
      </c>
      <c r="K5281">
        <v>0.113468475222033</v>
      </c>
      <c r="L5281">
        <v>757.90471328556703</v>
      </c>
      <c r="M5281">
        <v>14.331305606439299</v>
      </c>
      <c r="N5281">
        <v>53.340485604016202</v>
      </c>
      <c r="O5281">
        <v>51.886831042134503</v>
      </c>
      <c r="P5281">
        <v>-6.5078120300140402E-2</v>
      </c>
      <c r="Q5281">
        <v>5.7646312126087999E-2</v>
      </c>
      <c r="R5281">
        <v>0.99923470245963297</v>
      </c>
      <c r="S5281" t="s">
        <v>10832</v>
      </c>
      <c r="T5281" t="s">
        <v>11100</v>
      </c>
      <c r="U5281" t="s">
        <v>11100</v>
      </c>
      <c r="V5281" t="s">
        <v>11100</v>
      </c>
      <c r="W5281" t="s">
        <v>16327</v>
      </c>
      <c r="X5281">
        <v>7</v>
      </c>
      <c r="Y5281" t="s">
        <v>21746</v>
      </c>
      <c r="Z5281" t="s">
        <v>27286</v>
      </c>
      <c r="AA5281">
        <v>0.57433010374227167</v>
      </c>
      <c r="AB5281" t="str">
        <f>HYPERLINK("Melting_Curves/meltCurve_Q9ULC3_RAB23.pdf", "Melting_Curves/meltCurve_Q9ULC3_RAB23.pdf")</f>
        <v>Melting_Curves/meltCurve_Q9ULC3_RAB23.pdf</v>
      </c>
    </row>
    <row r="5282" spans="1:28" x14ac:dyDescent="0.25">
      <c r="A5282" t="s">
        <v>5286</v>
      </c>
      <c r="B5282">
        <v>0.99299721793515405</v>
      </c>
      <c r="C5282">
        <v>1.01336591192589</v>
      </c>
      <c r="D5282">
        <v>0.91961700129961299</v>
      </c>
      <c r="E5282">
        <v>0.77275281737104795</v>
      </c>
      <c r="F5282">
        <v>0.62785094973399502</v>
      </c>
      <c r="G5282">
        <v>0.48599850876788703</v>
      </c>
      <c r="H5282">
        <v>0.41328842248377601</v>
      </c>
      <c r="I5282">
        <v>0.36831727549044901</v>
      </c>
      <c r="J5282">
        <v>0.18075212154488501</v>
      </c>
      <c r="K5282">
        <v>0.15437736346629199</v>
      </c>
      <c r="L5282">
        <v>454.821137625684</v>
      </c>
      <c r="M5282">
        <v>8.4310228981244109</v>
      </c>
      <c r="N5282">
        <v>54.179377016188603</v>
      </c>
      <c r="O5282">
        <v>51.167557854608603</v>
      </c>
      <c r="P5282">
        <v>-4.0496598674235003E-2</v>
      </c>
      <c r="Q5282">
        <v>1.7823253191710801E-2</v>
      </c>
      <c r="R5282">
        <v>0.98259523596107201</v>
      </c>
      <c r="S5282" t="s">
        <v>10833</v>
      </c>
      <c r="T5282" t="s">
        <v>11100</v>
      </c>
      <c r="U5282" t="s">
        <v>11100</v>
      </c>
      <c r="V5282" t="s">
        <v>11100</v>
      </c>
      <c r="W5282" t="s">
        <v>16328</v>
      </c>
      <c r="X5282">
        <v>8</v>
      </c>
      <c r="Y5282" t="s">
        <v>21747</v>
      </c>
      <c r="Z5282" t="s">
        <v>27287</v>
      </c>
      <c r="AA5282">
        <v>0.58827961887062774</v>
      </c>
      <c r="AB5282" t="str">
        <f>HYPERLINK("Melting_Curves/meltCurve_Q9ULC4_MCTS1.pdf", "Melting_Curves/meltCurve_Q9ULC4_MCTS1.pdf")</f>
        <v>Melting_Curves/meltCurve_Q9ULC4_MCTS1.pdf</v>
      </c>
    </row>
    <row r="5283" spans="1:28" x14ac:dyDescent="0.25">
      <c r="A5283" t="s">
        <v>5287</v>
      </c>
      <c r="B5283">
        <v>0.99299721793515405</v>
      </c>
      <c r="C5283">
        <v>0.97264603206552003</v>
      </c>
      <c r="D5283">
        <v>0.92513526633013499</v>
      </c>
      <c r="E5283">
        <v>0.88428806305676899</v>
      </c>
      <c r="F5283">
        <v>0.69779478579876297</v>
      </c>
      <c r="G5283">
        <v>0.59093682763492295</v>
      </c>
      <c r="H5283">
        <v>0.49753072128332598</v>
      </c>
      <c r="I5283">
        <v>0.235285336438917</v>
      </c>
      <c r="J5283">
        <v>0.167905105421395</v>
      </c>
      <c r="K5283">
        <v>0.12791229382828201</v>
      </c>
      <c r="L5283">
        <v>571.93770600171899</v>
      </c>
      <c r="M5283">
        <v>10.3247271634482</v>
      </c>
      <c r="N5283">
        <v>55.394935479933402</v>
      </c>
      <c r="O5283">
        <v>53.437633336833599</v>
      </c>
      <c r="P5283">
        <v>-4.8323485014072701E-2</v>
      </c>
      <c r="Q5283">
        <v>0</v>
      </c>
      <c r="R5283">
        <v>0.98674123657058199</v>
      </c>
      <c r="S5283" t="s">
        <v>10834</v>
      </c>
      <c r="T5283" t="s">
        <v>11100</v>
      </c>
      <c r="U5283" t="s">
        <v>11100</v>
      </c>
      <c r="V5283" t="s">
        <v>11100</v>
      </c>
      <c r="W5283" t="s">
        <v>16329</v>
      </c>
      <c r="X5283">
        <v>12</v>
      </c>
      <c r="Y5283" t="s">
        <v>21748</v>
      </c>
      <c r="Z5283" t="s">
        <v>27288</v>
      </c>
      <c r="AA5283">
        <v>0.62363829181746611</v>
      </c>
      <c r="AB5283" t="str">
        <f>HYPERLINK("Melting_Curves/meltCurve_Q9ULE6_PALD1.pdf", "Melting_Curves/meltCurve_Q9ULE6_PALD1.pdf")</f>
        <v>Melting_Curves/meltCurve_Q9ULE6_PALD1.pdf</v>
      </c>
    </row>
    <row r="5284" spans="1:28" x14ac:dyDescent="0.25">
      <c r="A5284" t="s">
        <v>5288</v>
      </c>
      <c r="B5284">
        <v>0.99299721793515405</v>
      </c>
      <c r="C5284">
        <v>0.84806300550774005</v>
      </c>
      <c r="D5284">
        <v>0.90532252863099405</v>
      </c>
      <c r="E5284">
        <v>0.80692219249095298</v>
      </c>
      <c r="F5284">
        <v>0.69020018678567796</v>
      </c>
      <c r="G5284">
        <v>0.52449671547999899</v>
      </c>
      <c r="H5284">
        <v>0.61109940241747096</v>
      </c>
      <c r="I5284">
        <v>0.74729637713507302</v>
      </c>
      <c r="J5284">
        <v>0.82658016838348602</v>
      </c>
      <c r="K5284">
        <v>0.70611879901710894</v>
      </c>
      <c r="L5284">
        <v>688.85989732587996</v>
      </c>
      <c r="M5284">
        <v>15.934154165869099</v>
      </c>
      <c r="O5284">
        <v>42.567928488500797</v>
      </c>
      <c r="P5284">
        <v>-2.95610371457448E-2</v>
      </c>
      <c r="Q5284">
        <v>0.684137157347114</v>
      </c>
      <c r="R5284">
        <v>0.57968224960339598</v>
      </c>
      <c r="S5284" t="s">
        <v>10835</v>
      </c>
      <c r="T5284" t="s">
        <v>11100</v>
      </c>
      <c r="U5284" t="s">
        <v>11100</v>
      </c>
      <c r="V5284" t="s">
        <v>11100</v>
      </c>
      <c r="W5284" t="s">
        <v>16330</v>
      </c>
      <c r="X5284">
        <v>5</v>
      </c>
      <c r="Y5284" t="s">
        <v>21749</v>
      </c>
      <c r="Z5284" t="s">
        <v>27289</v>
      </c>
      <c r="AA5284">
        <v>0.75696131130956845</v>
      </c>
      <c r="AB5284" t="str">
        <f>HYPERLINK("Melting_Curves/meltCurve_Q9ULF5_SLC39A10.pdf", "Melting_Curves/meltCurve_Q9ULF5_SLC39A10.pdf")</f>
        <v>Melting_Curves/meltCurve_Q9ULF5_SLC39A10.pdf</v>
      </c>
    </row>
    <row r="5285" spans="1:28" x14ac:dyDescent="0.25">
      <c r="A5285" t="s">
        <v>5289</v>
      </c>
      <c r="B5285">
        <v>0.99299721793515405</v>
      </c>
      <c r="C5285">
        <v>0.86492620095612605</v>
      </c>
      <c r="D5285">
        <v>0.85367349824127803</v>
      </c>
      <c r="E5285">
        <v>0.84579376855227395</v>
      </c>
      <c r="F5285">
        <v>0.61815431756607297</v>
      </c>
      <c r="G5285">
        <v>0.272013532721403</v>
      </c>
      <c r="H5285">
        <v>0.20893976394900099</v>
      </c>
      <c r="I5285">
        <v>0.21270224794523801</v>
      </c>
      <c r="J5285">
        <v>0.24080248080431199</v>
      </c>
      <c r="K5285">
        <v>0</v>
      </c>
      <c r="L5285">
        <v>654.96836064376703</v>
      </c>
      <c r="M5285">
        <v>12.905800492416599</v>
      </c>
      <c r="N5285">
        <v>51.305091460528502</v>
      </c>
      <c r="O5285">
        <v>49.577756517180497</v>
      </c>
      <c r="P5285">
        <v>-6.0848595713427399E-2</v>
      </c>
      <c r="Q5285">
        <v>6.5167598716794298E-2</v>
      </c>
      <c r="R5285">
        <v>0.94824865516725498</v>
      </c>
      <c r="S5285" t="s">
        <v>10836</v>
      </c>
      <c r="T5285" t="s">
        <v>11100</v>
      </c>
      <c r="U5285" t="s">
        <v>11100</v>
      </c>
      <c r="V5285" t="s">
        <v>11100</v>
      </c>
      <c r="W5285" t="s">
        <v>16331</v>
      </c>
      <c r="X5285">
        <v>2</v>
      </c>
      <c r="Y5285" t="s">
        <v>21750</v>
      </c>
      <c r="Z5285" t="s">
        <v>27290</v>
      </c>
      <c r="AA5285">
        <v>0.51655716299355825</v>
      </c>
      <c r="AB5285" t="str">
        <f>HYPERLINK("Melting_Curves/meltCurve_Q9ULH1_ASAP1.pdf", "Melting_Curves/meltCurve_Q9ULH1_ASAP1.pdf")</f>
        <v>Melting_Curves/meltCurve_Q9ULH1_ASAP1.pdf</v>
      </c>
    </row>
    <row r="5286" spans="1:28" x14ac:dyDescent="0.25">
      <c r="A5286" t="s">
        <v>5290</v>
      </c>
      <c r="B5286">
        <v>0.99299721793515405</v>
      </c>
      <c r="C5286">
        <v>0.94105850025151905</v>
      </c>
      <c r="D5286">
        <v>0.95570623542614697</v>
      </c>
      <c r="E5286">
        <v>0.83819733792400497</v>
      </c>
      <c r="F5286">
        <v>0.74505576414479702</v>
      </c>
      <c r="G5286">
        <v>0.61870747478096999</v>
      </c>
      <c r="H5286">
        <v>0.52871421075476699</v>
      </c>
      <c r="I5286">
        <v>0.39008396308486398</v>
      </c>
      <c r="J5286">
        <v>0.30363241989950401</v>
      </c>
      <c r="K5286">
        <v>0.24826628284649099</v>
      </c>
      <c r="L5286">
        <v>435.995060796666</v>
      </c>
      <c r="M5286">
        <v>7.5883161808498798</v>
      </c>
      <c r="N5286">
        <v>57.456100764821201</v>
      </c>
      <c r="O5286">
        <v>53.872998338525903</v>
      </c>
      <c r="P5286">
        <v>-3.5262393939654302E-2</v>
      </c>
      <c r="Q5286">
        <v>0</v>
      </c>
      <c r="R5286">
        <v>0.99627344621250902</v>
      </c>
      <c r="S5286" t="s">
        <v>10837</v>
      </c>
      <c r="T5286" t="s">
        <v>11100</v>
      </c>
      <c r="U5286" t="s">
        <v>11100</v>
      </c>
      <c r="V5286" t="s">
        <v>11100</v>
      </c>
      <c r="W5286" t="s">
        <v>16332</v>
      </c>
      <c r="X5286">
        <v>2</v>
      </c>
      <c r="Y5286" t="s">
        <v>21751</v>
      </c>
      <c r="Z5286" t="s">
        <v>27291</v>
      </c>
      <c r="AA5286">
        <v>0.66333598847664033</v>
      </c>
      <c r="AB5286" t="str">
        <f>HYPERLINK("Melting_Curves/meltCurve_Q9ULH7_4_MKL2.pdf", "Melting_Curves/meltCurve_Q9ULH7_4_MKL2.pdf")</f>
        <v>Melting_Curves/meltCurve_Q9ULH7_4_MKL2.pdf</v>
      </c>
    </row>
    <row r="5287" spans="1:28" x14ac:dyDescent="0.25">
      <c r="A5287" t="s">
        <v>5291</v>
      </c>
      <c r="B5287">
        <v>0.99299721793515405</v>
      </c>
      <c r="C5287">
        <v>1.0108979226152901</v>
      </c>
      <c r="D5287">
        <v>0.99727040120888899</v>
      </c>
      <c r="E5287">
        <v>0.90672488835997</v>
      </c>
      <c r="F5287">
        <v>0.73699049387163895</v>
      </c>
      <c r="G5287">
        <v>0.50977078946086096</v>
      </c>
      <c r="H5287">
        <v>0.402213580860112</v>
      </c>
      <c r="I5287">
        <v>0.26904961884330097</v>
      </c>
      <c r="J5287">
        <v>0.26739140407302597</v>
      </c>
      <c r="K5287">
        <v>0.21461754757078899</v>
      </c>
      <c r="L5287">
        <v>822.96343092311497</v>
      </c>
      <c r="M5287">
        <v>15.6744392329918</v>
      </c>
      <c r="N5287">
        <v>54.336530512970498</v>
      </c>
      <c r="O5287">
        <v>51.671225732142403</v>
      </c>
      <c r="P5287">
        <v>-6.0270534015087002E-2</v>
      </c>
      <c r="Q5287">
        <v>0.20533358711720301</v>
      </c>
      <c r="R5287">
        <v>0.99699308361883299</v>
      </c>
      <c r="S5287" t="s">
        <v>10838</v>
      </c>
      <c r="T5287" t="s">
        <v>11100</v>
      </c>
      <c r="U5287" t="s">
        <v>11100</v>
      </c>
      <c r="V5287" t="s">
        <v>11100</v>
      </c>
      <c r="W5287" t="s">
        <v>16333</v>
      </c>
      <c r="X5287">
        <v>8</v>
      </c>
      <c r="Y5287" t="s">
        <v>21752</v>
      </c>
      <c r="Z5287" t="s">
        <v>27292</v>
      </c>
      <c r="AA5287">
        <v>0.63003426750990221</v>
      </c>
      <c r="AB5287" t="str">
        <f>HYPERLINK("Melting_Curves/meltCurve_Q9ULJ3_2_ZBTB21.pdf", "Melting_Curves/meltCurve_Q9ULJ3_2_ZBTB21.pdf")</f>
        <v>Melting_Curves/meltCurve_Q9ULJ3_2_ZBTB21.pdf</v>
      </c>
    </row>
    <row r="5288" spans="1:28" x14ac:dyDescent="0.25">
      <c r="A5288" t="s">
        <v>5292</v>
      </c>
      <c r="B5288">
        <v>0.99299721793515405</v>
      </c>
      <c r="C5288">
        <v>0.96091153733407897</v>
      </c>
      <c r="D5288">
        <v>0.98388573205692398</v>
      </c>
      <c r="E5288">
        <v>0.81964928279398996</v>
      </c>
      <c r="F5288">
        <v>0.71367872440936497</v>
      </c>
      <c r="G5288">
        <v>0.58461197478623494</v>
      </c>
      <c r="H5288">
        <v>0.66222250082279199</v>
      </c>
      <c r="I5288">
        <v>0.59276143085019495</v>
      </c>
      <c r="J5288">
        <v>0.38280744613083301</v>
      </c>
      <c r="K5288">
        <v>0.24675253773376399</v>
      </c>
      <c r="L5288">
        <v>370.067386682522</v>
      </c>
      <c r="M5288">
        <v>6.1756738033531304</v>
      </c>
      <c r="N5288">
        <v>59.923402437215501</v>
      </c>
      <c r="O5288">
        <v>54.554945239710499</v>
      </c>
      <c r="P5288">
        <v>-2.8382897976653301E-2</v>
      </c>
      <c r="Q5288">
        <v>0</v>
      </c>
      <c r="R5288">
        <v>0.91655461860835197</v>
      </c>
      <c r="S5288" t="s">
        <v>10839</v>
      </c>
      <c r="T5288" t="s">
        <v>11100</v>
      </c>
      <c r="U5288" t="s">
        <v>11100</v>
      </c>
      <c r="V5288" t="s">
        <v>11100</v>
      </c>
      <c r="W5288" t="s">
        <v>16334</v>
      </c>
      <c r="X5288">
        <v>3</v>
      </c>
      <c r="Y5288" t="s">
        <v>21753</v>
      </c>
      <c r="Z5288" t="s">
        <v>27293</v>
      </c>
      <c r="AA5288">
        <v>0.69844649060773711</v>
      </c>
      <c r="AB5288" t="str">
        <f>HYPERLINK("Melting_Curves/meltCurve_Q9ULJ6_ZMIZ1.pdf", "Melting_Curves/meltCurve_Q9ULJ6_ZMIZ1.pdf")</f>
        <v>Melting_Curves/meltCurve_Q9ULJ6_ZMIZ1.pdf</v>
      </c>
    </row>
    <row r="5289" spans="1:28" x14ac:dyDescent="0.25">
      <c r="A5289" t="s">
        <v>5293</v>
      </c>
      <c r="B5289">
        <v>0.99299721793515405</v>
      </c>
      <c r="C5289">
        <v>0.84194195474523903</v>
      </c>
      <c r="D5289">
        <v>0.930974197275938</v>
      </c>
      <c r="E5289">
        <v>0.69442523998436101</v>
      </c>
      <c r="F5289">
        <v>0.53993009333714503</v>
      </c>
      <c r="G5289">
        <v>0.28819914745514902</v>
      </c>
      <c r="H5289">
        <v>0.24775972212246</v>
      </c>
      <c r="I5289">
        <v>0.19037437314698899</v>
      </c>
      <c r="J5289">
        <v>0.15704283907456901</v>
      </c>
      <c r="K5289">
        <v>0.14894991312339101</v>
      </c>
      <c r="L5289">
        <v>611.08649127788203</v>
      </c>
      <c r="M5289">
        <v>12.409184037049499</v>
      </c>
      <c r="N5289">
        <v>50.247485620161498</v>
      </c>
      <c r="O5289">
        <v>48.018269509783799</v>
      </c>
      <c r="P5289">
        <v>-5.7532485130736201E-2</v>
      </c>
      <c r="Q5289">
        <v>0.10968337096606599</v>
      </c>
      <c r="R5289">
        <v>0.98037372031380998</v>
      </c>
      <c r="S5289" t="s">
        <v>10840</v>
      </c>
      <c r="T5289" t="s">
        <v>11100</v>
      </c>
      <c r="U5289" t="s">
        <v>11100</v>
      </c>
      <c r="V5289" t="s">
        <v>11100</v>
      </c>
      <c r="W5289" t="s">
        <v>16335</v>
      </c>
      <c r="X5289">
        <v>1</v>
      </c>
      <c r="Y5289" t="s">
        <v>21754</v>
      </c>
      <c r="Z5289" t="s">
        <v>27294</v>
      </c>
      <c r="AA5289">
        <v>0.49805108479930071</v>
      </c>
      <c r="AB5289" t="str">
        <f>HYPERLINK("Melting_Curves/meltCurve_Q9ULJ7_2_ANKRD50.pdf", "Melting_Curves/meltCurve_Q9ULJ7_2_ANKRD50.pdf")</f>
        <v>Melting_Curves/meltCurve_Q9ULJ7_2_ANKRD50.pdf</v>
      </c>
    </row>
    <row r="5290" spans="1:28" x14ac:dyDescent="0.25">
      <c r="A5290" t="s">
        <v>5294</v>
      </c>
      <c r="B5290">
        <v>0.99299721793515405</v>
      </c>
      <c r="C5290">
        <v>1.02053012499039</v>
      </c>
      <c r="D5290">
        <v>1.0138174531811199</v>
      </c>
      <c r="E5290">
        <v>0.96451248350974095</v>
      </c>
      <c r="F5290">
        <v>0.73232002240397298</v>
      </c>
      <c r="G5290">
        <v>0.63353932877451902</v>
      </c>
      <c r="H5290">
        <v>0.26299365324955198</v>
      </c>
      <c r="I5290">
        <v>0.18741111386393999</v>
      </c>
      <c r="J5290">
        <v>0.141860011763389</v>
      </c>
      <c r="K5290">
        <v>0.12861974299193599</v>
      </c>
      <c r="L5290">
        <v>943.90207908356297</v>
      </c>
      <c r="M5290">
        <v>17.5120274888674</v>
      </c>
      <c r="N5290">
        <v>54.481741041072198</v>
      </c>
      <c r="O5290">
        <v>53.212084971166099</v>
      </c>
      <c r="P5290">
        <v>-7.5265338623913797E-2</v>
      </c>
      <c r="Q5290">
        <v>8.5244502628498003E-2</v>
      </c>
      <c r="R5290">
        <v>0.98768867430185503</v>
      </c>
      <c r="S5290" t="s">
        <v>10841</v>
      </c>
      <c r="T5290" t="s">
        <v>11100</v>
      </c>
      <c r="U5290" t="s">
        <v>11100</v>
      </c>
      <c r="V5290" t="s">
        <v>11100</v>
      </c>
      <c r="W5290" t="s">
        <v>16336</v>
      </c>
      <c r="X5290">
        <v>8</v>
      </c>
      <c r="Y5290" t="s">
        <v>21755</v>
      </c>
      <c r="Z5290" t="s">
        <v>27295</v>
      </c>
      <c r="AA5290">
        <v>0.61358009516991052</v>
      </c>
      <c r="AB5290" t="str">
        <f>HYPERLINK("Melting_Curves/meltCurve_Q9ULP9_2_TBC1D24.pdf", "Melting_Curves/meltCurve_Q9ULP9_2_TBC1D24.pdf")</f>
        <v>Melting_Curves/meltCurve_Q9ULP9_2_TBC1D24.pdf</v>
      </c>
    </row>
    <row r="5291" spans="1:28" x14ac:dyDescent="0.25">
      <c r="A5291" t="s">
        <v>5295</v>
      </c>
      <c r="B5291">
        <v>0.99299721793515405</v>
      </c>
      <c r="C5291">
        <v>0.86028698000174997</v>
      </c>
      <c r="D5291">
        <v>0.94556907667271495</v>
      </c>
      <c r="E5291">
        <v>0.78713304727755395</v>
      </c>
      <c r="F5291">
        <v>0.68374623557523895</v>
      </c>
      <c r="G5291">
        <v>0.65050772981259697</v>
      </c>
      <c r="H5291">
        <v>1.1913308723821701</v>
      </c>
      <c r="I5291">
        <v>1.9971860138751301</v>
      </c>
      <c r="J5291">
        <v>2.0233424141884901</v>
      </c>
      <c r="K5291">
        <v>1.92748354123974</v>
      </c>
      <c r="L5291">
        <v>14377.4518842619</v>
      </c>
      <c r="M5291">
        <v>250</v>
      </c>
      <c r="O5291">
        <v>57.506107266332798</v>
      </c>
      <c r="P5291">
        <v>0.54342035274455203</v>
      </c>
      <c r="Q5291">
        <v>1.5</v>
      </c>
      <c r="R5291">
        <v>0.64560029004875896</v>
      </c>
      <c r="S5291" t="s">
        <v>10842</v>
      </c>
      <c r="T5291" t="s">
        <v>11100</v>
      </c>
      <c r="U5291" t="s">
        <v>11100</v>
      </c>
      <c r="V5291" t="s">
        <v>11100</v>
      </c>
      <c r="W5291" t="s">
        <v>16337</v>
      </c>
      <c r="X5291">
        <v>13</v>
      </c>
      <c r="Y5291" t="s">
        <v>21756</v>
      </c>
      <c r="Z5291" t="s">
        <v>27296</v>
      </c>
      <c r="AA5291">
        <v>1.1581194099739509</v>
      </c>
      <c r="AB5291" t="str">
        <f>HYPERLINK("Melting_Curves/meltCurve_Q9ULR0_ISY1.pdf", "Melting_Curves/meltCurve_Q9ULR0_ISY1.pdf")</f>
        <v>Melting_Curves/meltCurve_Q9ULR0_ISY1.pdf</v>
      </c>
    </row>
    <row r="5292" spans="1:28" x14ac:dyDescent="0.25">
      <c r="A5292" t="s">
        <v>5296</v>
      </c>
      <c r="B5292">
        <v>0.99299721793515405</v>
      </c>
      <c r="C5292">
        <v>1.02591398282403</v>
      </c>
      <c r="D5292">
        <v>1.12520137528369</v>
      </c>
      <c r="E5292">
        <v>0.75277357089006702</v>
      </c>
      <c r="F5292">
        <v>1.16189058996646</v>
      </c>
      <c r="G5292">
        <v>0.58925213698902401</v>
      </c>
      <c r="H5292">
        <v>0.83543455437976499</v>
      </c>
      <c r="I5292">
        <v>0.57504088932705599</v>
      </c>
      <c r="J5292">
        <v>0.67167788499101899</v>
      </c>
      <c r="K5292">
        <v>0.59174280281038205</v>
      </c>
      <c r="L5292">
        <v>13010.368971411101</v>
      </c>
      <c r="M5292">
        <v>250</v>
      </c>
      <c r="O5292">
        <v>52.038138768729198</v>
      </c>
      <c r="P5292">
        <v>-0.41722160549188497</v>
      </c>
      <c r="Q5292">
        <v>0.652616982006897</v>
      </c>
      <c r="R5292">
        <v>0.680173105247869</v>
      </c>
      <c r="S5292" t="s">
        <v>10843</v>
      </c>
      <c r="T5292" t="s">
        <v>11100</v>
      </c>
      <c r="U5292" t="s">
        <v>11100</v>
      </c>
      <c r="V5292" t="s">
        <v>11100</v>
      </c>
      <c r="W5292" t="s">
        <v>16338</v>
      </c>
      <c r="X5292">
        <v>1</v>
      </c>
      <c r="Y5292" t="s">
        <v>21757</v>
      </c>
      <c r="Z5292" t="s">
        <v>27297</v>
      </c>
      <c r="AA5292">
        <v>0.82682048546001818</v>
      </c>
      <c r="AB5292" t="str">
        <f>HYPERLINK("Melting_Curves/meltCurve_Q9ULR3_PPM1H.pdf", "Melting_Curves/meltCurve_Q9ULR3_PPM1H.pdf")</f>
        <v>Melting_Curves/meltCurve_Q9ULR3_PPM1H.pdf</v>
      </c>
    </row>
    <row r="5293" spans="1:28" x14ac:dyDescent="0.25">
      <c r="A5293" t="s">
        <v>5297</v>
      </c>
      <c r="B5293">
        <v>0.99299721793515405</v>
      </c>
      <c r="C5293">
        <v>0.97610759885341303</v>
      </c>
      <c r="D5293">
        <v>0.96309316614741303</v>
      </c>
      <c r="E5293">
        <v>0.88843367806071305</v>
      </c>
      <c r="F5293">
        <v>0.72546023770131596</v>
      </c>
      <c r="G5293">
        <v>0.29275559404499701</v>
      </c>
      <c r="H5293">
        <v>0.17384991215015799</v>
      </c>
      <c r="I5293">
        <v>0.122291297979289</v>
      </c>
      <c r="J5293">
        <v>0.12012625190814</v>
      </c>
      <c r="K5293">
        <v>0.16596131556149599</v>
      </c>
      <c r="L5293">
        <v>1422.7916048806101</v>
      </c>
      <c r="M5293">
        <v>27.736558183284298</v>
      </c>
      <c r="N5293">
        <v>51.850992155529497</v>
      </c>
      <c r="O5293">
        <v>51.032213562004003</v>
      </c>
      <c r="P5293">
        <v>-0.118444166302429</v>
      </c>
      <c r="Q5293">
        <v>0.128311204856523</v>
      </c>
      <c r="R5293">
        <v>0.99375967966459</v>
      </c>
      <c r="S5293" t="s">
        <v>10844</v>
      </c>
      <c r="T5293" t="s">
        <v>11100</v>
      </c>
      <c r="U5293" t="s">
        <v>11100</v>
      </c>
      <c r="V5293" t="s">
        <v>11100</v>
      </c>
      <c r="W5293" t="s">
        <v>16339</v>
      </c>
      <c r="X5293">
        <v>1</v>
      </c>
      <c r="Y5293" t="s">
        <v>21758</v>
      </c>
      <c r="Z5293" t="s">
        <v>27298</v>
      </c>
      <c r="AA5293">
        <v>0.55005900113937711</v>
      </c>
      <c r="AB5293" t="str">
        <f>HYPERLINK("Melting_Curves/meltCurve_Q9ULR5_PAIP2B.pdf", "Melting_Curves/meltCurve_Q9ULR5_PAIP2B.pdf")</f>
        <v>Melting_Curves/meltCurve_Q9ULR5_PAIP2B.pdf</v>
      </c>
    </row>
    <row r="5294" spans="1:28" x14ac:dyDescent="0.25">
      <c r="A5294" t="s">
        <v>5298</v>
      </c>
      <c r="B5294">
        <v>0.99299721793515405</v>
      </c>
      <c r="C5294">
        <v>1.04096443837232</v>
      </c>
      <c r="D5294">
        <v>1.01146153188938</v>
      </c>
      <c r="E5294">
        <v>0.87446612026622605</v>
      </c>
      <c r="F5294">
        <v>0.73894518978263701</v>
      </c>
      <c r="G5294">
        <v>0.89154519157595402</v>
      </c>
      <c r="H5294">
        <v>0.35157865291725199</v>
      </c>
      <c r="I5294">
        <v>0.25004024858653601</v>
      </c>
      <c r="J5294">
        <v>0.18163162906710301</v>
      </c>
      <c r="K5294">
        <v>0.17064698928191399</v>
      </c>
      <c r="L5294">
        <v>895.83780092074596</v>
      </c>
      <c r="M5294">
        <v>15.9679211672421</v>
      </c>
      <c r="N5294">
        <v>56.650159632848798</v>
      </c>
      <c r="O5294">
        <v>55.244559483278799</v>
      </c>
      <c r="P5294">
        <v>-6.7095945698434203E-2</v>
      </c>
      <c r="Q5294">
        <v>7.1540266067699296E-2</v>
      </c>
      <c r="R5294">
        <v>0.93196474379260097</v>
      </c>
      <c r="S5294" t="s">
        <v>10845</v>
      </c>
      <c r="T5294" t="s">
        <v>11100</v>
      </c>
      <c r="U5294" t="s">
        <v>11100</v>
      </c>
      <c r="V5294" t="s">
        <v>11100</v>
      </c>
      <c r="W5294" t="s">
        <v>16340</v>
      </c>
      <c r="X5294">
        <v>5</v>
      </c>
      <c r="Y5294" t="s">
        <v>21759</v>
      </c>
      <c r="Z5294" t="s">
        <v>27299</v>
      </c>
      <c r="AA5294">
        <v>0.67313660641739692</v>
      </c>
      <c r="AB5294" t="str">
        <f>HYPERLINK("Melting_Curves/meltCurve_Q9ULT8_HECTD1.pdf", "Melting_Curves/meltCurve_Q9ULT8_HECTD1.pdf")</f>
        <v>Melting_Curves/meltCurve_Q9ULT8_HECTD1.pdf</v>
      </c>
    </row>
    <row r="5295" spans="1:28" x14ac:dyDescent="0.25">
      <c r="A5295" t="s">
        <v>5299</v>
      </c>
      <c r="B5295">
        <v>0.99299721793515405</v>
      </c>
      <c r="C5295">
        <v>0.95645924087512502</v>
      </c>
      <c r="D5295">
        <v>0.99230181570468101</v>
      </c>
      <c r="E5295">
        <v>0.85157611047522996</v>
      </c>
      <c r="F5295">
        <v>0.73197871396375203</v>
      </c>
      <c r="G5295">
        <v>0.53745591794152903</v>
      </c>
      <c r="H5295">
        <v>0.24338255416856999</v>
      </c>
      <c r="I5295">
        <v>0.15462189588485301</v>
      </c>
      <c r="J5295">
        <v>0.13051244684324401</v>
      </c>
      <c r="K5295">
        <v>0.123892194886405</v>
      </c>
      <c r="L5295">
        <v>802.23827405489305</v>
      </c>
      <c r="M5295">
        <v>15.094398150448001</v>
      </c>
      <c r="N5295">
        <v>53.590281539955903</v>
      </c>
      <c r="O5295">
        <v>52.241419533900803</v>
      </c>
      <c r="P5295">
        <v>-6.8011201808129904E-2</v>
      </c>
      <c r="Q5295">
        <v>5.8550998827161499E-2</v>
      </c>
      <c r="R5295">
        <v>0.99216256414631898</v>
      </c>
      <c r="S5295" t="s">
        <v>10846</v>
      </c>
      <c r="T5295" t="s">
        <v>11100</v>
      </c>
      <c r="U5295" t="s">
        <v>11100</v>
      </c>
      <c r="V5295" t="s">
        <v>11100</v>
      </c>
      <c r="W5295" t="s">
        <v>16341</v>
      </c>
      <c r="X5295">
        <v>18</v>
      </c>
      <c r="Y5295" t="s">
        <v>21760</v>
      </c>
      <c r="Z5295" t="s">
        <v>27300</v>
      </c>
      <c r="AA5295">
        <v>0.58180334581513549</v>
      </c>
      <c r="AB5295" t="str">
        <f>HYPERLINK("Melting_Curves/meltCurve_Q9ULV4_CORO1C.pdf", "Melting_Curves/meltCurve_Q9ULV4_CORO1C.pdf")</f>
        <v>Melting_Curves/meltCurve_Q9ULV4_CORO1C.pdf</v>
      </c>
    </row>
    <row r="5296" spans="1:28" x14ac:dyDescent="0.25">
      <c r="A5296" t="s">
        <v>5300</v>
      </c>
      <c r="B5296">
        <v>0.99299721793515405</v>
      </c>
      <c r="C5296">
        <v>0.99681820991146797</v>
      </c>
      <c r="D5296">
        <v>0.97680200673043005</v>
      </c>
      <c r="E5296">
        <v>0.828017738897182</v>
      </c>
      <c r="F5296">
        <v>0.67011546106413</v>
      </c>
      <c r="G5296">
        <v>0.512414669922725</v>
      </c>
      <c r="H5296">
        <v>0.457014777738946</v>
      </c>
      <c r="I5296">
        <v>0.44844670301510098</v>
      </c>
      <c r="J5296">
        <v>0.425277133498485</v>
      </c>
      <c r="K5296">
        <v>0.29788341461613599</v>
      </c>
      <c r="L5296">
        <v>729.33841633990005</v>
      </c>
      <c r="M5296">
        <v>14.565280820338799</v>
      </c>
      <c r="N5296">
        <v>54.853221777807903</v>
      </c>
      <c r="O5296">
        <v>49.158279735164001</v>
      </c>
      <c r="P5296">
        <v>-4.7452539284773797E-2</v>
      </c>
      <c r="Q5296">
        <v>0.35945755191318901</v>
      </c>
      <c r="R5296">
        <v>0.98254066389234895</v>
      </c>
      <c r="S5296" t="s">
        <v>10847</v>
      </c>
      <c r="T5296" t="s">
        <v>11100</v>
      </c>
      <c r="U5296" t="s">
        <v>11100</v>
      </c>
      <c r="V5296" t="s">
        <v>11100</v>
      </c>
      <c r="W5296" t="s">
        <v>16342</v>
      </c>
      <c r="X5296">
        <v>17</v>
      </c>
      <c r="Y5296" t="s">
        <v>21761</v>
      </c>
      <c r="Z5296" t="s">
        <v>27301</v>
      </c>
      <c r="AA5296">
        <v>0.65252680581596212</v>
      </c>
      <c r="AB5296" t="str">
        <f>HYPERLINK("Melting_Curves/meltCurve_Q9ULW0_TPX2.pdf", "Melting_Curves/meltCurve_Q9ULW0_TPX2.pdf")</f>
        <v>Melting_Curves/meltCurve_Q9ULW0_TPX2.pdf</v>
      </c>
    </row>
    <row r="5297" spans="1:28" x14ac:dyDescent="0.25">
      <c r="A5297" t="s">
        <v>5301</v>
      </c>
      <c r="B5297">
        <v>0.99299721793515405</v>
      </c>
      <c r="C5297">
        <v>1.0109197120409501</v>
      </c>
      <c r="D5297">
        <v>0.99078487788217795</v>
      </c>
      <c r="E5297">
        <v>0.79506546027080505</v>
      </c>
      <c r="F5297">
        <v>0.57568344541621996</v>
      </c>
      <c r="G5297">
        <v>0.36556639171878502</v>
      </c>
      <c r="H5297">
        <v>0.272975445259456</v>
      </c>
      <c r="I5297">
        <v>0.244288263502484</v>
      </c>
      <c r="J5297">
        <v>0.19846659493435501</v>
      </c>
      <c r="K5297">
        <v>0.16516901825817101</v>
      </c>
      <c r="L5297">
        <v>852.45455252639101</v>
      </c>
      <c r="M5297">
        <v>17.060211887400602</v>
      </c>
      <c r="N5297">
        <v>51.331205927543898</v>
      </c>
      <c r="O5297">
        <v>49.296016012278102</v>
      </c>
      <c r="P5297">
        <v>-7.0757525077388E-2</v>
      </c>
      <c r="Q5297">
        <v>0.182225513809849</v>
      </c>
      <c r="R5297">
        <v>0.99646059460852998</v>
      </c>
      <c r="S5297" t="s">
        <v>10848</v>
      </c>
      <c r="T5297" t="s">
        <v>11100</v>
      </c>
      <c r="U5297" t="s">
        <v>11100</v>
      </c>
      <c r="V5297" t="s">
        <v>11100</v>
      </c>
      <c r="W5297" t="s">
        <v>16343</v>
      </c>
      <c r="X5297">
        <v>6</v>
      </c>
      <c r="Y5297" t="s">
        <v>21762</v>
      </c>
      <c r="Z5297" t="s">
        <v>27302</v>
      </c>
      <c r="AA5297">
        <v>0.5497684863972826</v>
      </c>
      <c r="AB5297" t="str">
        <f>HYPERLINK("Melting_Curves/meltCurve_Q9ULX3_NOB1.pdf", "Melting_Curves/meltCurve_Q9ULX3_NOB1.pdf")</f>
        <v>Melting_Curves/meltCurve_Q9ULX3_NOB1.pdf</v>
      </c>
    </row>
    <row r="5298" spans="1:28" x14ac:dyDescent="0.25">
      <c r="A5298" t="s">
        <v>5302</v>
      </c>
      <c r="B5298">
        <v>0.99299721793515405</v>
      </c>
      <c r="C5298">
        <v>0.89669928548484301</v>
      </c>
      <c r="D5298">
        <v>0.85903740995103195</v>
      </c>
      <c r="E5298">
        <v>0.67354070943144595</v>
      </c>
      <c r="F5298">
        <v>0.59044146317933299</v>
      </c>
      <c r="G5298">
        <v>0.53423175169450798</v>
      </c>
      <c r="H5298">
        <v>0.294636375963091</v>
      </c>
      <c r="I5298">
        <v>0.230440438072262</v>
      </c>
      <c r="J5298">
        <v>0.118452190313195</v>
      </c>
      <c r="K5298">
        <v>0.19058869071854001</v>
      </c>
      <c r="L5298">
        <v>417.53843359737698</v>
      </c>
      <c r="M5298">
        <v>7.9871894315028804</v>
      </c>
      <c r="N5298">
        <v>52.276014860608903</v>
      </c>
      <c r="O5298">
        <v>49.304228949572298</v>
      </c>
      <c r="P5298">
        <v>-4.0545576718527501E-2</v>
      </c>
      <c r="Q5298">
        <v>0</v>
      </c>
      <c r="R5298">
        <v>0.97760416791078797</v>
      </c>
      <c r="S5298" t="s">
        <v>10849</v>
      </c>
      <c r="T5298" t="s">
        <v>11100</v>
      </c>
      <c r="U5298" t="s">
        <v>11100</v>
      </c>
      <c r="V5298" t="s">
        <v>11100</v>
      </c>
      <c r="W5298" t="s">
        <v>16344</v>
      </c>
      <c r="X5298">
        <v>1</v>
      </c>
      <c r="Y5298" t="s">
        <v>21763</v>
      </c>
      <c r="Z5298" t="s">
        <v>27303</v>
      </c>
      <c r="AA5298">
        <v>0.53594933681924295</v>
      </c>
      <c r="AB5298" t="str">
        <f>HYPERLINK("Melting_Curves/meltCurve_Q9UM13_ANAPC10.pdf", "Melting_Curves/meltCurve_Q9UM13_ANAPC10.pdf")</f>
        <v>Melting_Curves/meltCurve_Q9UM13_ANAPC10.pdf</v>
      </c>
    </row>
    <row r="5299" spans="1:28" x14ac:dyDescent="0.25">
      <c r="A5299" t="s">
        <v>5303</v>
      </c>
      <c r="B5299">
        <v>0.99299721793515405</v>
      </c>
      <c r="C5299">
        <v>1.0163350971854199</v>
      </c>
      <c r="D5299">
        <v>0.92860285141310805</v>
      </c>
      <c r="E5299">
        <v>0.868027195402299</v>
      </c>
      <c r="F5299">
        <v>0.60584783346804505</v>
      </c>
      <c r="G5299">
        <v>0.26605612500513398</v>
      </c>
      <c r="H5299">
        <v>0.13261529440887199</v>
      </c>
      <c r="I5299">
        <v>0.112467237105039</v>
      </c>
      <c r="J5299">
        <v>0.12819253790600299</v>
      </c>
      <c r="K5299">
        <v>0.15108544288331599</v>
      </c>
      <c r="L5299">
        <v>1186.38851517427</v>
      </c>
      <c r="M5299">
        <v>23.528992477891599</v>
      </c>
      <c r="N5299">
        <v>50.980072437840498</v>
      </c>
      <c r="O5299">
        <v>50.062426363280402</v>
      </c>
      <c r="P5299">
        <v>-0.104168111492433</v>
      </c>
      <c r="Q5299">
        <v>0.113465001599642</v>
      </c>
      <c r="R5299">
        <v>0.99502021443317301</v>
      </c>
      <c r="S5299" t="s">
        <v>10850</v>
      </c>
      <c r="T5299" t="s">
        <v>11100</v>
      </c>
      <c r="U5299" t="s">
        <v>11100</v>
      </c>
      <c r="V5299" t="s">
        <v>11100</v>
      </c>
      <c r="W5299" t="s">
        <v>16345</v>
      </c>
      <c r="X5299">
        <v>1</v>
      </c>
      <c r="Y5299" t="s">
        <v>21764</v>
      </c>
      <c r="Z5299" t="s">
        <v>27304</v>
      </c>
      <c r="AA5299">
        <v>0.51883227290096157</v>
      </c>
      <c r="AB5299" t="str">
        <f>HYPERLINK("Melting_Curves/meltCurve_Q9UMN6_WBP7.pdf", "Melting_Curves/meltCurve_Q9UMN6_WBP7.pdf")</f>
        <v>Melting_Curves/meltCurve_Q9UMN6_WBP7.pdf</v>
      </c>
    </row>
    <row r="5300" spans="1:28" x14ac:dyDescent="0.25">
      <c r="A5300" t="s">
        <v>5304</v>
      </c>
      <c r="B5300">
        <v>0.99299721793515405</v>
      </c>
      <c r="C5300">
        <v>1.4699907547532101</v>
      </c>
      <c r="D5300">
        <v>3.2616209119722002</v>
      </c>
      <c r="E5300">
        <v>1.87008825941295</v>
      </c>
      <c r="F5300">
        <v>1.70023771641838</v>
      </c>
      <c r="G5300">
        <v>0.48985420266135699</v>
      </c>
      <c r="H5300">
        <v>3.92179294955394E-2</v>
      </c>
      <c r="I5300">
        <v>4.29782869315729E-2</v>
      </c>
      <c r="J5300">
        <v>0</v>
      </c>
      <c r="K5300">
        <v>0</v>
      </c>
      <c r="L5300">
        <v>13445.510767965199</v>
      </c>
      <c r="M5300">
        <v>250</v>
      </c>
      <c r="N5300">
        <v>53.791078728291403</v>
      </c>
      <c r="O5300">
        <v>53.778601391475398</v>
      </c>
      <c r="P5300">
        <v>-1.1382907919146701</v>
      </c>
      <c r="Q5300">
        <v>2.05490131410625E-2</v>
      </c>
      <c r="R5300">
        <v>0.38347348579869001</v>
      </c>
      <c r="S5300" t="s">
        <v>10851</v>
      </c>
      <c r="T5300" t="s">
        <v>11100</v>
      </c>
      <c r="U5300" t="s">
        <v>11100</v>
      </c>
      <c r="V5300" t="s">
        <v>11100</v>
      </c>
      <c r="W5300" t="s">
        <v>16346</v>
      </c>
      <c r="X5300">
        <v>24</v>
      </c>
      <c r="Y5300" t="s">
        <v>21765</v>
      </c>
      <c r="Z5300" t="s">
        <v>27305</v>
      </c>
      <c r="AA5300">
        <v>0.56854774851191336</v>
      </c>
      <c r="AB5300" t="str">
        <f>HYPERLINK("Melting_Curves/meltCurve_Q9UMR2_DDX19B.pdf", "Melting_Curves/meltCurve_Q9UMR2_DDX19B.pdf")</f>
        <v>Melting_Curves/meltCurve_Q9UMR2_DDX19B.pdf</v>
      </c>
    </row>
    <row r="5301" spans="1:28" x14ac:dyDescent="0.25">
      <c r="A5301" t="s">
        <v>5305</v>
      </c>
      <c r="B5301">
        <v>0.99299721793515405</v>
      </c>
      <c r="C5301">
        <v>1.0920651720149299</v>
      </c>
      <c r="D5301">
        <v>0.97840078048730506</v>
      </c>
      <c r="E5301">
        <v>0.92877443453267805</v>
      </c>
      <c r="F5301">
        <v>0.86002858506968904</v>
      </c>
      <c r="G5301">
        <v>0.45997271030588499</v>
      </c>
      <c r="H5301">
        <v>0.55624102404817799</v>
      </c>
      <c r="I5301">
        <v>0.62336564761161595</v>
      </c>
      <c r="J5301">
        <v>0.56179573519267501</v>
      </c>
      <c r="K5301">
        <v>0.28255110611731699</v>
      </c>
      <c r="L5301">
        <v>12597.8724542856</v>
      </c>
      <c r="M5301">
        <v>250</v>
      </c>
      <c r="N5301">
        <v>51.429714333322501</v>
      </c>
      <c r="O5301">
        <v>50.388279113784897</v>
      </c>
      <c r="P5301">
        <v>-0.624171577454393</v>
      </c>
      <c r="Q5301">
        <v>0.49678523341918901</v>
      </c>
      <c r="R5301">
        <v>0.87130048779220404</v>
      </c>
      <c r="S5301" t="s">
        <v>10852</v>
      </c>
      <c r="T5301" t="s">
        <v>11100</v>
      </c>
      <c r="U5301" t="s">
        <v>11100</v>
      </c>
      <c r="V5301" t="s">
        <v>11100</v>
      </c>
      <c r="W5301" t="s">
        <v>16347</v>
      </c>
      <c r="X5301">
        <v>4</v>
      </c>
      <c r="Y5301" t="s">
        <v>21766</v>
      </c>
      <c r="Z5301" t="s">
        <v>27306</v>
      </c>
      <c r="AA5301">
        <v>0.7214562499447903</v>
      </c>
      <c r="AB5301" t="str">
        <f>HYPERLINK("Melting_Curves/meltCurve_Q9UMS0_3_NFU1.pdf", "Melting_Curves/meltCurve_Q9UMS0_3_NFU1.pdf")</f>
        <v>Melting_Curves/meltCurve_Q9UMS0_3_NFU1.pdf</v>
      </c>
    </row>
    <row r="5302" spans="1:28" x14ac:dyDescent="0.25">
      <c r="A5302" t="s">
        <v>5306</v>
      </c>
      <c r="B5302">
        <v>0.99299721793515405</v>
      </c>
      <c r="C5302">
        <v>0.93282662186799403</v>
      </c>
      <c r="D5302">
        <v>0.91352504022919301</v>
      </c>
      <c r="E5302">
        <v>0.818575457812732</v>
      </c>
      <c r="F5302">
        <v>0.790008268069748</v>
      </c>
      <c r="G5302">
        <v>1.00693315368216</v>
      </c>
      <c r="H5302">
        <v>1.1470844626977399</v>
      </c>
      <c r="I5302">
        <v>1.02772733923795</v>
      </c>
      <c r="J5302">
        <v>0.54718350011059502</v>
      </c>
      <c r="K5302">
        <v>0.34781997796705</v>
      </c>
      <c r="L5302">
        <v>15000</v>
      </c>
      <c r="M5302">
        <v>234.829640362069</v>
      </c>
      <c r="N5302">
        <v>64.2013085361897</v>
      </c>
      <c r="O5302">
        <v>63.871460460321998</v>
      </c>
      <c r="P5302">
        <v>-0.59946226677936998</v>
      </c>
      <c r="Q5302">
        <v>0.34780753663036401</v>
      </c>
      <c r="R5302">
        <v>0.78730199018620795</v>
      </c>
      <c r="S5302" t="s">
        <v>10853</v>
      </c>
      <c r="T5302" t="s">
        <v>11100</v>
      </c>
      <c r="U5302" t="s">
        <v>11100</v>
      </c>
      <c r="V5302" t="s">
        <v>11100</v>
      </c>
      <c r="W5302" t="s">
        <v>16348</v>
      </c>
      <c r="X5302">
        <v>13</v>
      </c>
      <c r="Y5302" t="s">
        <v>21767</v>
      </c>
      <c r="Z5302" t="s">
        <v>27307</v>
      </c>
      <c r="AA5302">
        <v>0.93216980177172826</v>
      </c>
      <c r="AB5302" t="str">
        <f>HYPERLINK("Melting_Curves/meltCurve_Q9UMS4_PRPF19.pdf", "Melting_Curves/meltCurve_Q9UMS4_PRPF19.pdf")</f>
        <v>Melting_Curves/meltCurve_Q9UMS4_PRPF19.pdf</v>
      </c>
    </row>
    <row r="5303" spans="1:28" x14ac:dyDescent="0.25">
      <c r="A5303" t="s">
        <v>5307</v>
      </c>
      <c r="B5303">
        <v>0.99299721793515405</v>
      </c>
      <c r="C5303">
        <v>0.93436319501887199</v>
      </c>
      <c r="D5303">
        <v>0.917042971459062</v>
      </c>
      <c r="E5303">
        <v>0.77973650995973798</v>
      </c>
      <c r="F5303">
        <v>0.73636524249635305</v>
      </c>
      <c r="G5303">
        <v>0.54625512347579297</v>
      </c>
      <c r="H5303">
        <v>0.50973341927293203</v>
      </c>
      <c r="I5303">
        <v>0.57265801809629602</v>
      </c>
      <c r="J5303">
        <v>0.57892476291956796</v>
      </c>
      <c r="K5303">
        <v>0.597898962750811</v>
      </c>
      <c r="L5303">
        <v>729.527788698986</v>
      </c>
      <c r="M5303">
        <v>15.5339688207176</v>
      </c>
      <c r="O5303">
        <v>46.205740136169197</v>
      </c>
      <c r="P5303">
        <v>-3.7765589863282399E-2</v>
      </c>
      <c r="Q5303">
        <v>0.55070507402172597</v>
      </c>
      <c r="R5303">
        <v>0.94528010986181099</v>
      </c>
      <c r="S5303" t="s">
        <v>10854</v>
      </c>
      <c r="T5303" t="s">
        <v>11100</v>
      </c>
      <c r="U5303" t="s">
        <v>11100</v>
      </c>
      <c r="V5303" t="s">
        <v>11100</v>
      </c>
      <c r="W5303" t="s">
        <v>16349</v>
      </c>
      <c r="X5303">
        <v>11</v>
      </c>
      <c r="Y5303" t="s">
        <v>21768</v>
      </c>
      <c r="Z5303" t="s">
        <v>27308</v>
      </c>
      <c r="AA5303">
        <v>0.7094241197608796</v>
      </c>
      <c r="AB5303" t="str">
        <f>HYPERLINK("Melting_Curves/meltCurve_Q9UMX0_UBQLN1.pdf", "Melting_Curves/meltCurve_Q9UMX0_UBQLN1.pdf")</f>
        <v>Melting_Curves/meltCurve_Q9UMX0_UBQLN1.pdf</v>
      </c>
    </row>
    <row r="5304" spans="1:28" x14ac:dyDescent="0.25">
      <c r="A5304" t="s">
        <v>5308</v>
      </c>
      <c r="B5304">
        <v>0.99299721793515405</v>
      </c>
      <c r="C5304">
        <v>1.0636152196503099</v>
      </c>
      <c r="D5304">
        <v>0.95269051329254495</v>
      </c>
      <c r="E5304">
        <v>0.83126287464149196</v>
      </c>
      <c r="F5304">
        <v>0.70937071546763697</v>
      </c>
      <c r="G5304">
        <v>0.67989495569331104</v>
      </c>
      <c r="H5304">
        <v>0.240337033455438</v>
      </c>
      <c r="I5304">
        <v>0.13351518853591501</v>
      </c>
      <c r="J5304">
        <v>0.107589954861234</v>
      </c>
      <c r="K5304">
        <v>5.5611508302292202E-2</v>
      </c>
      <c r="L5304">
        <v>771.15329777852003</v>
      </c>
      <c r="M5304">
        <v>14.211959691340301</v>
      </c>
      <c r="N5304">
        <v>54.2608701001177</v>
      </c>
      <c r="O5304">
        <v>53.220461835127999</v>
      </c>
      <c r="P5304">
        <v>-6.67681779236E-2</v>
      </c>
      <c r="Q5304">
        <v>0</v>
      </c>
      <c r="R5304">
        <v>0.96961516725336405</v>
      </c>
      <c r="S5304" t="s">
        <v>10855</v>
      </c>
      <c r="T5304" t="s">
        <v>11100</v>
      </c>
      <c r="U5304" t="s">
        <v>11100</v>
      </c>
      <c r="V5304" t="s">
        <v>11100</v>
      </c>
      <c r="W5304" t="s">
        <v>16350</v>
      </c>
      <c r="X5304">
        <v>5</v>
      </c>
      <c r="Y5304" t="s">
        <v>21769</v>
      </c>
      <c r="Z5304" t="s">
        <v>27309</v>
      </c>
      <c r="AA5304">
        <v>0.59155666960940978</v>
      </c>
      <c r="AB5304" t="str">
        <f>HYPERLINK("Melting_Curves/meltCurve_Q9UMX1_SUFU.pdf", "Melting_Curves/meltCurve_Q9UMX1_SUFU.pdf")</f>
        <v>Melting_Curves/meltCurve_Q9UMX1_SUFU.pdf</v>
      </c>
    </row>
    <row r="5305" spans="1:28" x14ac:dyDescent="0.25">
      <c r="A5305" t="s">
        <v>5309</v>
      </c>
      <c r="B5305">
        <v>0.99299721793515405</v>
      </c>
      <c r="C5305">
        <v>1.05829722154915</v>
      </c>
      <c r="D5305">
        <v>0.90497100084134496</v>
      </c>
      <c r="E5305">
        <v>0.91643295351417697</v>
      </c>
      <c r="F5305">
        <v>0.75593866338165605</v>
      </c>
      <c r="G5305">
        <v>0.50977668070793003</v>
      </c>
      <c r="H5305">
        <v>0.53607229335529805</v>
      </c>
      <c r="I5305">
        <v>0.60978020849431602</v>
      </c>
      <c r="J5305">
        <v>0.69009961093116901</v>
      </c>
      <c r="K5305">
        <v>0.623850723340175</v>
      </c>
      <c r="L5305">
        <v>1647.60489743428</v>
      </c>
      <c r="M5305">
        <v>33.675654677389097</v>
      </c>
      <c r="O5305">
        <v>48.754129453981697</v>
      </c>
      <c r="P5305">
        <v>-6.9872857064145005E-2</v>
      </c>
      <c r="Q5305">
        <v>0.59536623605362404</v>
      </c>
      <c r="R5305">
        <v>0.88961473826104298</v>
      </c>
      <c r="S5305" t="s">
        <v>10856</v>
      </c>
      <c r="T5305" t="s">
        <v>11100</v>
      </c>
      <c r="U5305" t="s">
        <v>11100</v>
      </c>
      <c r="V5305" t="s">
        <v>11100</v>
      </c>
      <c r="W5305" t="s">
        <v>16351</v>
      </c>
      <c r="X5305">
        <v>14</v>
      </c>
      <c r="Y5305" t="s">
        <v>21770</v>
      </c>
      <c r="Z5305" t="s">
        <v>27310</v>
      </c>
      <c r="AA5305">
        <v>0.75815158270358218</v>
      </c>
      <c r="AB5305" t="str">
        <f>HYPERLINK("Melting_Curves/meltCurve_Q9UMX5_NENF.pdf", "Melting_Curves/meltCurve_Q9UMX5_NENF.pdf")</f>
        <v>Melting_Curves/meltCurve_Q9UMX5_NENF.pdf</v>
      </c>
    </row>
    <row r="5306" spans="1:28" x14ac:dyDescent="0.25">
      <c r="A5306" t="s">
        <v>5310</v>
      </c>
      <c r="B5306">
        <v>0.99299721793515405</v>
      </c>
      <c r="C5306">
        <v>1.02135054792692</v>
      </c>
      <c r="D5306">
        <v>0.98093036909928</v>
      </c>
      <c r="E5306">
        <v>0.94916032768245795</v>
      </c>
      <c r="F5306">
        <v>0.72587847928914395</v>
      </c>
      <c r="G5306">
        <v>0.43574382847198601</v>
      </c>
      <c r="H5306">
        <v>0.20598812337535199</v>
      </c>
      <c r="I5306">
        <v>0.18131374802315101</v>
      </c>
      <c r="J5306">
        <v>0.145911090754173</v>
      </c>
      <c r="K5306">
        <v>0.130569662197666</v>
      </c>
      <c r="L5306">
        <v>1146.42802079634</v>
      </c>
      <c r="M5306">
        <v>22.003244979190299</v>
      </c>
      <c r="N5306">
        <v>52.823784231342501</v>
      </c>
      <c r="O5306">
        <v>51.678034238675103</v>
      </c>
      <c r="P5306">
        <v>-9.2637097137202598E-2</v>
      </c>
      <c r="Q5306">
        <v>0.12972892811905101</v>
      </c>
      <c r="R5306">
        <v>0.99849801142696504</v>
      </c>
      <c r="S5306" t="s">
        <v>10857</v>
      </c>
      <c r="T5306" t="s">
        <v>11100</v>
      </c>
      <c r="U5306" t="s">
        <v>11100</v>
      </c>
      <c r="V5306" t="s">
        <v>11100</v>
      </c>
      <c r="W5306" t="s">
        <v>16352</v>
      </c>
      <c r="X5306">
        <v>12</v>
      </c>
      <c r="Y5306" t="s">
        <v>21771</v>
      </c>
      <c r="Z5306" t="s">
        <v>27311</v>
      </c>
      <c r="AA5306">
        <v>0.57746061631086687</v>
      </c>
      <c r="AB5306" t="str">
        <f>HYPERLINK("Melting_Curves/meltCurve_Q9UMY4_2_SNX12.pdf", "Melting_Curves/meltCurve_Q9UMY4_2_SNX12.pdf")</f>
        <v>Melting_Curves/meltCurve_Q9UMY4_2_SNX12.pdf</v>
      </c>
    </row>
    <row r="5307" spans="1:28" x14ac:dyDescent="0.25">
      <c r="A5307" t="s">
        <v>5311</v>
      </c>
      <c r="B5307">
        <v>0.99299721793515405</v>
      </c>
      <c r="C5307">
        <v>0.84181234902711799</v>
      </c>
      <c r="D5307">
        <v>0.92878974258175195</v>
      </c>
      <c r="E5307">
        <v>0.68547430445105695</v>
      </c>
      <c r="F5307">
        <v>0.52534099016007596</v>
      </c>
      <c r="G5307">
        <v>0.40379231797158099</v>
      </c>
      <c r="H5307">
        <v>0.300081084996901</v>
      </c>
      <c r="I5307">
        <v>0.33361623199467899</v>
      </c>
      <c r="J5307">
        <v>0.39436737841327602</v>
      </c>
      <c r="K5307">
        <v>0.34701816931386797</v>
      </c>
      <c r="L5307">
        <v>731.139023333772</v>
      </c>
      <c r="M5307">
        <v>15.5372771060298</v>
      </c>
      <c r="N5307">
        <v>50.510970477596103</v>
      </c>
      <c r="O5307">
        <v>46.298244591004902</v>
      </c>
      <c r="P5307">
        <v>-5.6452159450481799E-2</v>
      </c>
      <c r="Q5307">
        <v>0.327190763688325</v>
      </c>
      <c r="R5307">
        <v>0.96003372409499299</v>
      </c>
      <c r="S5307" t="s">
        <v>10858</v>
      </c>
      <c r="T5307" t="s">
        <v>11100</v>
      </c>
      <c r="U5307" t="s">
        <v>11100</v>
      </c>
      <c r="V5307" t="s">
        <v>11100</v>
      </c>
      <c r="W5307" t="s">
        <v>16353</v>
      </c>
      <c r="X5307">
        <v>7</v>
      </c>
      <c r="Y5307" t="s">
        <v>21772</v>
      </c>
      <c r="Z5307" t="s">
        <v>27312</v>
      </c>
      <c r="AA5307">
        <v>0.56694015701944234</v>
      </c>
      <c r="AB5307" t="str">
        <f>HYPERLINK("Melting_Curves/meltCurve_Q9UMZ2_6_SYNRG.pdf", "Melting_Curves/meltCurve_Q9UMZ2_6_SYNRG.pdf")</f>
        <v>Melting_Curves/meltCurve_Q9UMZ2_6_SYNRG.pdf</v>
      </c>
    </row>
    <row r="5308" spans="1:28" x14ac:dyDescent="0.25">
      <c r="A5308" t="s">
        <v>5312</v>
      </c>
      <c r="B5308">
        <v>0.99299721793515405</v>
      </c>
      <c r="C5308">
        <v>1.0010208873981301</v>
      </c>
      <c r="D5308">
        <v>0.91150164336738804</v>
      </c>
      <c r="E5308">
        <v>0.91306841623667001</v>
      </c>
      <c r="F5308">
        <v>0.63990745144136496</v>
      </c>
      <c r="G5308">
        <v>0.22651154399835399</v>
      </c>
      <c r="H5308">
        <v>0.159224489716076</v>
      </c>
      <c r="I5308">
        <v>0.14839798630709999</v>
      </c>
      <c r="J5308">
        <v>0.12956677409130801</v>
      </c>
      <c r="K5308">
        <v>0.10987579941183299</v>
      </c>
      <c r="L5308">
        <v>1489.4746522718399</v>
      </c>
      <c r="M5308">
        <v>29.4127722118969</v>
      </c>
      <c r="N5308">
        <v>51.133811896560502</v>
      </c>
      <c r="O5308">
        <v>50.4080468375303</v>
      </c>
      <c r="P5308">
        <v>-0.12785210779285999</v>
      </c>
      <c r="Q5308">
        <v>0.123546796225547</v>
      </c>
      <c r="R5308">
        <v>0.99336871307265795</v>
      </c>
      <c r="S5308" t="s">
        <v>10859</v>
      </c>
      <c r="T5308" t="s">
        <v>11100</v>
      </c>
      <c r="U5308" t="s">
        <v>11100</v>
      </c>
      <c r="V5308" t="s">
        <v>11100</v>
      </c>
      <c r="W5308" t="s">
        <v>16354</v>
      </c>
      <c r="X5308">
        <v>14</v>
      </c>
      <c r="Y5308" t="s">
        <v>21773</v>
      </c>
      <c r="Z5308" t="s">
        <v>27313</v>
      </c>
      <c r="AA5308">
        <v>0.52769868722662261</v>
      </c>
      <c r="AB5308" t="str">
        <f>HYPERLINK("Melting_Curves/meltCurve_Q9UN37_VPS4A.pdf", "Melting_Curves/meltCurve_Q9UN37_VPS4A.pdf")</f>
        <v>Melting_Curves/meltCurve_Q9UN37_VPS4A.pdf</v>
      </c>
    </row>
    <row r="5309" spans="1:28" x14ac:dyDescent="0.25">
      <c r="A5309" t="s">
        <v>5313</v>
      </c>
      <c r="B5309">
        <v>0.99299721793515405</v>
      </c>
      <c r="C5309">
        <v>0.69406762673159905</v>
      </c>
      <c r="D5309">
        <v>1.01662694609652</v>
      </c>
      <c r="E5309">
        <v>0.69456540236840003</v>
      </c>
      <c r="F5309">
        <v>0.43229151016964801</v>
      </c>
      <c r="G5309">
        <v>0.45553723215080599</v>
      </c>
      <c r="H5309">
        <v>0.26002194421432601</v>
      </c>
      <c r="I5309">
        <v>0.20925319808352699</v>
      </c>
      <c r="J5309">
        <v>0.21309296852828999</v>
      </c>
      <c r="K5309">
        <v>0.101234000977254</v>
      </c>
      <c r="L5309">
        <v>429.76438704521098</v>
      </c>
      <c r="M5309">
        <v>8.4754287860204602</v>
      </c>
      <c r="N5309">
        <v>50.9859474911879</v>
      </c>
      <c r="O5309">
        <v>48.120381921345199</v>
      </c>
      <c r="P5309">
        <v>-4.3074386702050403E-2</v>
      </c>
      <c r="Q5309">
        <v>2.2647893658801699E-2</v>
      </c>
      <c r="R5309">
        <v>0.89453491101631899</v>
      </c>
      <c r="S5309" t="s">
        <v>10860</v>
      </c>
      <c r="T5309" t="s">
        <v>11100</v>
      </c>
      <c r="U5309" t="s">
        <v>11100</v>
      </c>
      <c r="V5309" t="s">
        <v>11100</v>
      </c>
      <c r="W5309" t="s">
        <v>16355</v>
      </c>
      <c r="X5309">
        <v>3</v>
      </c>
      <c r="Y5309" t="s">
        <v>21774</v>
      </c>
      <c r="Z5309" t="s">
        <v>27314</v>
      </c>
      <c r="AA5309">
        <v>0.50380691115601117</v>
      </c>
      <c r="AB5309" t="str">
        <f>HYPERLINK("Melting_Curves/meltCurve_Q9UN86_2_G3BP2.pdf", "Melting_Curves/meltCurve_Q9UN86_2_G3BP2.pdf")</f>
        <v>Melting_Curves/meltCurve_Q9UN86_2_G3BP2.pdf</v>
      </c>
    </row>
    <row r="5310" spans="1:28" x14ac:dyDescent="0.25">
      <c r="A5310" t="s">
        <v>5314</v>
      </c>
      <c r="B5310">
        <v>0.99299721793515405</v>
      </c>
      <c r="C5310">
        <v>0.98610660196994404</v>
      </c>
      <c r="D5310">
        <v>0.92791351873814698</v>
      </c>
      <c r="E5310">
        <v>0.89988430280891596</v>
      </c>
      <c r="F5310">
        <v>0.55483504363990099</v>
      </c>
      <c r="G5310">
        <v>0.28265345953024501</v>
      </c>
      <c r="H5310">
        <v>0.20876510858810701</v>
      </c>
      <c r="I5310">
        <v>0.194305526027788</v>
      </c>
      <c r="J5310">
        <v>0.17498410313162999</v>
      </c>
      <c r="K5310">
        <v>0.13563966906393701</v>
      </c>
      <c r="L5310">
        <v>1220.1471121465099</v>
      </c>
      <c r="M5310">
        <v>24.411231073861501</v>
      </c>
      <c r="N5310">
        <v>50.811137508961103</v>
      </c>
      <c r="O5310">
        <v>49.651220038471301</v>
      </c>
      <c r="P5310">
        <v>-0.102742590362582</v>
      </c>
      <c r="Q5310">
        <v>0.16411924526090699</v>
      </c>
      <c r="R5310">
        <v>0.99577370907860596</v>
      </c>
      <c r="S5310" t="s">
        <v>10861</v>
      </c>
      <c r="T5310" t="s">
        <v>11100</v>
      </c>
      <c r="U5310" t="s">
        <v>11100</v>
      </c>
      <c r="V5310" t="s">
        <v>11100</v>
      </c>
      <c r="W5310" t="s">
        <v>16356</v>
      </c>
      <c r="X5310">
        <v>19</v>
      </c>
      <c r="Y5310" t="s">
        <v>21775</v>
      </c>
      <c r="Z5310" t="s">
        <v>27315</v>
      </c>
      <c r="AA5310">
        <v>0.53350847482871799</v>
      </c>
      <c r="AB5310" t="str">
        <f>HYPERLINK("Melting_Curves/meltCurve_Q9UNE7_STUB1.pdf", "Melting_Curves/meltCurve_Q9UNE7_STUB1.pdf")</f>
        <v>Melting_Curves/meltCurve_Q9UNE7_STUB1.pdf</v>
      </c>
    </row>
    <row r="5311" spans="1:28" x14ac:dyDescent="0.25">
      <c r="A5311" t="s">
        <v>5315</v>
      </c>
      <c r="B5311">
        <v>0.99299721793515405</v>
      </c>
      <c r="C5311">
        <v>1.0142354108726199</v>
      </c>
      <c r="D5311">
        <v>0.95225751158592697</v>
      </c>
      <c r="E5311">
        <v>0.86455718374561397</v>
      </c>
      <c r="F5311">
        <v>0.75633489851686697</v>
      </c>
      <c r="G5311">
        <v>0.28413754120124002</v>
      </c>
      <c r="H5311">
        <v>0.246956777878414</v>
      </c>
      <c r="I5311">
        <v>0.21709237012584601</v>
      </c>
      <c r="J5311">
        <v>0.201369948197165</v>
      </c>
      <c r="K5311">
        <v>0.16402128723252499</v>
      </c>
      <c r="L5311">
        <v>1581.4231772194801</v>
      </c>
      <c r="M5311">
        <v>30.925186170636799</v>
      </c>
      <c r="N5311">
        <v>51.946135486235498</v>
      </c>
      <c r="O5311">
        <v>50.924663079088297</v>
      </c>
      <c r="P5311">
        <v>-0.122802966053229</v>
      </c>
      <c r="Q5311">
        <v>0.19112359927946801</v>
      </c>
      <c r="R5311">
        <v>0.98506935387753103</v>
      </c>
      <c r="S5311" t="s">
        <v>10862</v>
      </c>
      <c r="T5311" t="s">
        <v>11100</v>
      </c>
      <c r="U5311" t="s">
        <v>11100</v>
      </c>
      <c r="V5311" t="s">
        <v>11100</v>
      </c>
      <c r="W5311" t="s">
        <v>16357</v>
      </c>
      <c r="X5311">
        <v>23</v>
      </c>
      <c r="Y5311" t="s">
        <v>21776</v>
      </c>
      <c r="Z5311" t="s">
        <v>27316</v>
      </c>
      <c r="AA5311">
        <v>0.57705333494429412</v>
      </c>
      <c r="AB5311" t="str">
        <f>HYPERLINK("Melting_Curves/meltCurve_Q9UNF0_2_PACSIN2.pdf", "Melting_Curves/meltCurve_Q9UNF0_2_PACSIN2.pdf")</f>
        <v>Melting_Curves/meltCurve_Q9UNF0_2_PACSIN2.pdf</v>
      </c>
    </row>
    <row r="5312" spans="1:28" x14ac:dyDescent="0.25">
      <c r="A5312" t="s">
        <v>5316</v>
      </c>
      <c r="B5312">
        <v>0.99299721793515405</v>
      </c>
      <c r="C5312">
        <v>0.99234818546123105</v>
      </c>
      <c r="D5312">
        <v>0.92570235520969002</v>
      </c>
      <c r="E5312">
        <v>0.79205732183604105</v>
      </c>
      <c r="F5312">
        <v>0.37924547052048801</v>
      </c>
      <c r="G5312">
        <v>0.23239661614351401</v>
      </c>
      <c r="H5312">
        <v>0.21009622868324601</v>
      </c>
      <c r="I5312">
        <v>0.19281862762212801</v>
      </c>
      <c r="J5312">
        <v>0.20298892799028101</v>
      </c>
      <c r="K5312">
        <v>0.17141960277096999</v>
      </c>
      <c r="L5312">
        <v>1337.4429456145101</v>
      </c>
      <c r="M5312">
        <v>27.749739323447901</v>
      </c>
      <c r="N5312">
        <v>49.039800937266399</v>
      </c>
      <c r="O5312">
        <v>47.948384814655299</v>
      </c>
      <c r="P5312">
        <v>-0.11723647645367399</v>
      </c>
      <c r="Q5312">
        <v>0.189722156105153</v>
      </c>
      <c r="R5312">
        <v>0.99723014616098604</v>
      </c>
      <c r="S5312" t="s">
        <v>10863</v>
      </c>
      <c r="T5312" t="s">
        <v>11100</v>
      </c>
      <c r="U5312" t="s">
        <v>11100</v>
      </c>
      <c r="V5312" t="s">
        <v>11100</v>
      </c>
      <c r="W5312" t="s">
        <v>16358</v>
      </c>
      <c r="X5312">
        <v>13</v>
      </c>
      <c r="Y5312" t="s">
        <v>21777</v>
      </c>
      <c r="Z5312" t="s">
        <v>27317</v>
      </c>
      <c r="AA5312">
        <v>0.49776340404090891</v>
      </c>
      <c r="AB5312" t="str">
        <f>HYPERLINK("Melting_Curves/meltCurve_Q9UNF1_MAGED2.pdf", "Melting_Curves/meltCurve_Q9UNF1_MAGED2.pdf")</f>
        <v>Melting_Curves/meltCurve_Q9UNF1_MAGED2.pdf</v>
      </c>
    </row>
    <row r="5313" spans="1:28" x14ac:dyDescent="0.25">
      <c r="A5313" t="s">
        <v>5317</v>
      </c>
      <c r="B5313">
        <v>0.99299721793515405</v>
      </c>
      <c r="C5313">
        <v>0.90541599765981895</v>
      </c>
      <c r="D5313">
        <v>0.86386283269196096</v>
      </c>
      <c r="E5313">
        <v>0.86366192216119297</v>
      </c>
      <c r="F5313">
        <v>0.52890556509006603</v>
      </c>
      <c r="G5313">
        <v>0.24551799316942799</v>
      </c>
      <c r="H5313">
        <v>0.18722735428634901</v>
      </c>
      <c r="I5313">
        <v>0.14955328052036701</v>
      </c>
      <c r="J5313">
        <v>0.130041186921769</v>
      </c>
      <c r="K5313">
        <v>0.14974828469215701</v>
      </c>
      <c r="L5313">
        <v>1011.1559271679801</v>
      </c>
      <c r="M5313">
        <v>20.342762508139099</v>
      </c>
      <c r="N5313">
        <v>50.434730096000898</v>
      </c>
      <c r="O5313">
        <v>49.2330840052905</v>
      </c>
      <c r="P5313">
        <v>-9.0146566977019393E-2</v>
      </c>
      <c r="Q5313">
        <v>0.12734409397525201</v>
      </c>
      <c r="R5313">
        <v>0.98224363753669797</v>
      </c>
      <c r="S5313" t="s">
        <v>10864</v>
      </c>
      <c r="T5313" t="s">
        <v>11100</v>
      </c>
      <c r="U5313" t="s">
        <v>11100</v>
      </c>
      <c r="V5313" t="s">
        <v>11100</v>
      </c>
      <c r="W5313" t="s">
        <v>16359</v>
      </c>
      <c r="X5313">
        <v>5</v>
      </c>
      <c r="Y5313" t="s">
        <v>21778</v>
      </c>
      <c r="Z5313" t="s">
        <v>27318</v>
      </c>
      <c r="AA5313">
        <v>0.50809712895282044</v>
      </c>
      <c r="AB5313" t="str">
        <f>HYPERLINK("Melting_Curves/meltCurve_Q9UNH6_SNX7.pdf", "Melting_Curves/meltCurve_Q9UNH6_SNX7.pdf")</f>
        <v>Melting_Curves/meltCurve_Q9UNH6_SNX7.pdf</v>
      </c>
    </row>
    <row r="5314" spans="1:28" x14ac:dyDescent="0.25">
      <c r="A5314" t="s">
        <v>5318</v>
      </c>
      <c r="B5314">
        <v>0.99299721793515405</v>
      </c>
      <c r="C5314">
        <v>1.0095433867079899</v>
      </c>
      <c r="D5314">
        <v>0.936950652035206</v>
      </c>
      <c r="E5314">
        <v>0.89215182762591205</v>
      </c>
      <c r="F5314">
        <v>0.74541814447232102</v>
      </c>
      <c r="G5314">
        <v>0.41128785871319901</v>
      </c>
      <c r="H5314">
        <v>0.15160721083713599</v>
      </c>
      <c r="I5314">
        <v>0.12767291367126801</v>
      </c>
      <c r="J5314">
        <v>0.11229966731341701</v>
      </c>
      <c r="K5314">
        <v>9.5939593497104597E-2</v>
      </c>
      <c r="L5314">
        <v>1110.4530716608999</v>
      </c>
      <c r="M5314">
        <v>21.279338947176399</v>
      </c>
      <c r="N5314">
        <v>52.618784106799303</v>
      </c>
      <c r="O5314">
        <v>51.7302552384837</v>
      </c>
      <c r="P5314">
        <v>-9.4559540437703302E-2</v>
      </c>
      <c r="Q5314">
        <v>8.0523192348537304E-2</v>
      </c>
      <c r="R5314">
        <v>0.99472733751859099</v>
      </c>
      <c r="S5314" t="s">
        <v>10865</v>
      </c>
      <c r="T5314" t="s">
        <v>11100</v>
      </c>
      <c r="U5314" t="s">
        <v>11100</v>
      </c>
      <c r="V5314" t="s">
        <v>11100</v>
      </c>
      <c r="W5314" t="s">
        <v>16360</v>
      </c>
      <c r="X5314">
        <v>27</v>
      </c>
      <c r="Y5314" t="s">
        <v>21779</v>
      </c>
      <c r="Z5314" t="s">
        <v>27319</v>
      </c>
      <c r="AA5314">
        <v>0.55664351918212762</v>
      </c>
      <c r="AB5314" t="str">
        <f>HYPERLINK("Melting_Curves/meltCurve_Q9UNH7_SNX6.pdf", "Melting_Curves/meltCurve_Q9UNH7_SNX6.pdf")</f>
        <v>Melting_Curves/meltCurve_Q9UNH7_SNX6.pdf</v>
      </c>
    </row>
    <row r="5315" spans="1:28" x14ac:dyDescent="0.25">
      <c r="A5315" t="s">
        <v>5319</v>
      </c>
      <c r="B5315">
        <v>0.99299721793515405</v>
      </c>
      <c r="C5315">
        <v>1.0641823340546399</v>
      </c>
      <c r="D5315">
        <v>0.86476281449339099</v>
      </c>
      <c r="E5315">
        <v>0.86757580324289696</v>
      </c>
      <c r="F5315">
        <v>0.74566527259940796</v>
      </c>
      <c r="G5315">
        <v>0.38655634291804603</v>
      </c>
      <c r="H5315">
        <v>0.30209944728954702</v>
      </c>
      <c r="I5315">
        <v>0.224448319807309</v>
      </c>
      <c r="J5315">
        <v>0.21576459767443401</v>
      </c>
      <c r="K5315">
        <v>0.16361183041485899</v>
      </c>
      <c r="L5315">
        <v>861.39569676021699</v>
      </c>
      <c r="M5315">
        <v>16.681581983023001</v>
      </c>
      <c r="N5315">
        <v>52.868394034575601</v>
      </c>
      <c r="O5315">
        <v>50.912583124331597</v>
      </c>
      <c r="P5315">
        <v>-6.8735943945362601E-2</v>
      </c>
      <c r="Q5315">
        <v>0.16092092318050499</v>
      </c>
      <c r="R5315">
        <v>0.97785835222974005</v>
      </c>
      <c r="S5315" t="s">
        <v>10866</v>
      </c>
      <c r="T5315" t="s">
        <v>11100</v>
      </c>
      <c r="U5315" t="s">
        <v>11100</v>
      </c>
      <c r="V5315" t="s">
        <v>11100</v>
      </c>
      <c r="W5315" t="s">
        <v>16361</v>
      </c>
      <c r="X5315">
        <v>5</v>
      </c>
      <c r="Y5315" t="s">
        <v>21780</v>
      </c>
      <c r="Z5315" t="s">
        <v>27320</v>
      </c>
      <c r="AA5315">
        <v>0.58460731716670478</v>
      </c>
      <c r="AB5315" t="str">
        <f>HYPERLINK("Melting_Curves/meltCurve_Q9UNI6_DUSP12.pdf", "Melting_Curves/meltCurve_Q9UNI6_DUSP12.pdf")</f>
        <v>Melting_Curves/meltCurve_Q9UNI6_DUSP12.pdf</v>
      </c>
    </row>
    <row r="5316" spans="1:28" x14ac:dyDescent="0.25">
      <c r="A5316" t="s">
        <v>5320</v>
      </c>
      <c r="B5316">
        <v>0.99299721793515405</v>
      </c>
      <c r="C5316">
        <v>0.92920818455478404</v>
      </c>
      <c r="D5316">
        <v>0.90267974421865904</v>
      </c>
      <c r="E5316">
        <v>0.82974535090548296</v>
      </c>
      <c r="F5316">
        <v>0.74386772537637003</v>
      </c>
      <c r="G5316">
        <v>0.49428729972396301</v>
      </c>
      <c r="H5316">
        <v>0.44428876740070999</v>
      </c>
      <c r="I5316">
        <v>0.45964207689411102</v>
      </c>
      <c r="J5316">
        <v>0.47475802729149202</v>
      </c>
      <c r="K5316">
        <v>0.42407293730872198</v>
      </c>
      <c r="L5316">
        <v>691.24296088440803</v>
      </c>
      <c r="M5316">
        <v>13.9813258826316</v>
      </c>
      <c r="N5316">
        <v>56.404676836028202</v>
      </c>
      <c r="O5316">
        <v>48.461959732750898</v>
      </c>
      <c r="P5316">
        <v>-4.2485575683331701E-2</v>
      </c>
      <c r="Q5316">
        <v>0.41102569112053</v>
      </c>
      <c r="R5316">
        <v>0.96772863524882602</v>
      </c>
      <c r="S5316" t="s">
        <v>10867</v>
      </c>
      <c r="T5316" t="s">
        <v>11100</v>
      </c>
      <c r="U5316" t="s">
        <v>11100</v>
      </c>
      <c r="V5316" t="s">
        <v>11100</v>
      </c>
      <c r="W5316" t="s">
        <v>16362</v>
      </c>
      <c r="X5316">
        <v>8</v>
      </c>
      <c r="Y5316" t="s">
        <v>21781</v>
      </c>
      <c r="Z5316" t="s">
        <v>27321</v>
      </c>
      <c r="AA5316">
        <v>0.66915438116247616</v>
      </c>
      <c r="AB5316" t="str">
        <f>HYPERLINK("Melting_Curves/meltCurve_Q9UNK0_STX8.pdf", "Melting_Curves/meltCurve_Q9UNK0_STX8.pdf")</f>
        <v>Melting_Curves/meltCurve_Q9UNK0_STX8.pdf</v>
      </c>
    </row>
    <row r="5317" spans="1:28" x14ac:dyDescent="0.25">
      <c r="A5317" t="s">
        <v>5321</v>
      </c>
      <c r="B5317">
        <v>0.99299721793515405</v>
      </c>
      <c r="C5317">
        <v>1.03811053348147</v>
      </c>
      <c r="D5317">
        <v>0.79949111380966698</v>
      </c>
      <c r="E5317">
        <v>0.81965861517954397</v>
      </c>
      <c r="F5317">
        <v>0.77688583577063697</v>
      </c>
      <c r="G5317">
        <v>0.65630323733702001</v>
      </c>
      <c r="H5317">
        <v>0.66372256628078197</v>
      </c>
      <c r="I5317">
        <v>0.30319376921702501</v>
      </c>
      <c r="J5317">
        <v>0.26568974854335398</v>
      </c>
      <c r="K5317">
        <v>0.16830513911828501</v>
      </c>
      <c r="L5317">
        <v>491.48181024607402</v>
      </c>
      <c r="M5317">
        <v>8.5604138564018406</v>
      </c>
      <c r="N5317">
        <v>57.413318994074203</v>
      </c>
      <c r="O5317">
        <v>54.537663458550597</v>
      </c>
      <c r="P5317">
        <v>-3.9275265166333798E-2</v>
      </c>
      <c r="Q5317">
        <v>0</v>
      </c>
      <c r="R5317">
        <v>0.92193673807694898</v>
      </c>
      <c r="S5317" t="s">
        <v>10868</v>
      </c>
      <c r="T5317" t="s">
        <v>11100</v>
      </c>
      <c r="U5317" t="s">
        <v>11100</v>
      </c>
      <c r="V5317" t="s">
        <v>11100</v>
      </c>
      <c r="W5317" t="s">
        <v>16363</v>
      </c>
      <c r="X5317">
        <v>10</v>
      </c>
      <c r="Y5317" t="s">
        <v>21782</v>
      </c>
      <c r="Z5317" t="s">
        <v>27322</v>
      </c>
      <c r="AA5317">
        <v>0.66922437890563069</v>
      </c>
      <c r="AB5317" t="str">
        <f>HYPERLINK("Melting_Curves/meltCurve_Q9UNM6_PSMD13.pdf", "Melting_Curves/meltCurve_Q9UNM6_PSMD13.pdf")</f>
        <v>Melting_Curves/meltCurve_Q9UNM6_PSMD13.pdf</v>
      </c>
    </row>
    <row r="5318" spans="1:28" x14ac:dyDescent="0.25">
      <c r="A5318" t="s">
        <v>5322</v>
      </c>
      <c r="B5318">
        <v>0.99299721793515405</v>
      </c>
      <c r="C5318">
        <v>1.0718739281762399</v>
      </c>
      <c r="D5318">
        <v>0.918367637491178</v>
      </c>
      <c r="E5318">
        <v>0.89230694757684403</v>
      </c>
      <c r="F5318">
        <v>0.787698562439057</v>
      </c>
      <c r="G5318">
        <v>0.64034570849813</v>
      </c>
      <c r="H5318">
        <v>0.60535797750238796</v>
      </c>
      <c r="I5318">
        <v>0.50515495353803297</v>
      </c>
      <c r="J5318">
        <v>0.28558351727197701</v>
      </c>
      <c r="K5318">
        <v>0.26096880736265599</v>
      </c>
      <c r="L5318">
        <v>476.57057254831199</v>
      </c>
      <c r="M5318">
        <v>8.0747423304058792</v>
      </c>
      <c r="N5318">
        <v>59.019906602252199</v>
      </c>
      <c r="O5318">
        <v>55.730606872973503</v>
      </c>
      <c r="P5318">
        <v>-3.6261776728444599E-2</v>
      </c>
      <c r="Q5318">
        <v>0</v>
      </c>
      <c r="R5318">
        <v>0.96817854301541595</v>
      </c>
      <c r="S5318" t="s">
        <v>10869</v>
      </c>
      <c r="T5318" t="s">
        <v>11100</v>
      </c>
      <c r="U5318" t="s">
        <v>11100</v>
      </c>
      <c r="V5318" t="s">
        <v>11100</v>
      </c>
      <c r="W5318" t="s">
        <v>16364</v>
      </c>
      <c r="X5318">
        <v>19</v>
      </c>
      <c r="Y5318" t="s">
        <v>21783</v>
      </c>
      <c r="Z5318" t="s">
        <v>27323</v>
      </c>
      <c r="AA5318">
        <v>0.70274093701537221</v>
      </c>
      <c r="AB5318" t="str">
        <f>HYPERLINK("Melting_Curves/meltCurve_Q9UNN5_FAF1.pdf", "Melting_Curves/meltCurve_Q9UNN5_FAF1.pdf")</f>
        <v>Melting_Curves/meltCurve_Q9UNN5_FAF1.pdf</v>
      </c>
    </row>
    <row r="5319" spans="1:28" x14ac:dyDescent="0.25">
      <c r="A5319" t="s">
        <v>5323</v>
      </c>
      <c r="B5319">
        <v>0.99299721793515405</v>
      </c>
      <c r="C5319">
        <v>1.0442105733286</v>
      </c>
      <c r="D5319">
        <v>0.888559780815805</v>
      </c>
      <c r="E5319">
        <v>0.82612057664164595</v>
      </c>
      <c r="F5319">
        <v>0.71120314150657404</v>
      </c>
      <c r="G5319">
        <v>0.52967811997257197</v>
      </c>
      <c r="H5319">
        <v>0.50043719367932704</v>
      </c>
      <c r="I5319">
        <v>0.61826434169889599</v>
      </c>
      <c r="J5319">
        <v>0.64959653646106597</v>
      </c>
      <c r="K5319">
        <v>0.71331701266348901</v>
      </c>
      <c r="L5319">
        <v>1052.68384396939</v>
      </c>
      <c r="M5319">
        <v>22.581614318657401</v>
      </c>
      <c r="O5319">
        <v>46.2558923803808</v>
      </c>
      <c r="P5319">
        <v>-4.8142462292502498E-2</v>
      </c>
      <c r="Q5319">
        <v>0.60555030789903397</v>
      </c>
      <c r="R5319">
        <v>0.86135397104206501</v>
      </c>
      <c r="S5319" t="s">
        <v>10870</v>
      </c>
      <c r="T5319" t="s">
        <v>11100</v>
      </c>
      <c r="U5319" t="s">
        <v>11100</v>
      </c>
      <c r="V5319" t="s">
        <v>11100</v>
      </c>
      <c r="W5319" t="s">
        <v>16365</v>
      </c>
      <c r="X5319">
        <v>5</v>
      </c>
      <c r="Y5319" t="s">
        <v>21784</v>
      </c>
      <c r="Z5319" t="s">
        <v>27324</v>
      </c>
      <c r="AA5319">
        <v>0.73604242907000261</v>
      </c>
      <c r="AB5319" t="str">
        <f>HYPERLINK("Melting_Curves/meltCurve_Q9UNN8_PROCR.pdf", "Melting_Curves/meltCurve_Q9UNN8_PROCR.pdf")</f>
        <v>Melting_Curves/meltCurve_Q9UNN8_PROCR.pdf</v>
      </c>
    </row>
    <row r="5320" spans="1:28" x14ac:dyDescent="0.25">
      <c r="A5320" t="s">
        <v>5324</v>
      </c>
      <c r="B5320">
        <v>0.99299721793515405</v>
      </c>
      <c r="C5320">
        <v>0.90476079562724299</v>
      </c>
      <c r="D5320">
        <v>0.86977225981752404</v>
      </c>
      <c r="E5320">
        <v>0.81062837542618604</v>
      </c>
      <c r="F5320">
        <v>0.59250706371441597</v>
      </c>
      <c r="G5320">
        <v>0.36557800482727099</v>
      </c>
      <c r="H5320">
        <v>0.38933415728834803</v>
      </c>
      <c r="I5320">
        <v>0.45366123167789402</v>
      </c>
      <c r="J5320">
        <v>0.38111132572803202</v>
      </c>
      <c r="K5320">
        <v>0.24781678748835501</v>
      </c>
      <c r="L5320">
        <v>653.25376916362995</v>
      </c>
      <c r="M5320">
        <v>13.4634232183619</v>
      </c>
      <c r="N5320">
        <v>52.370878583501799</v>
      </c>
      <c r="O5320">
        <v>47.487694258881298</v>
      </c>
      <c r="P5320">
        <v>-4.8617486012200999E-2</v>
      </c>
      <c r="Q5320">
        <v>0.31417843171968601</v>
      </c>
      <c r="R5320">
        <v>0.94664419867729299</v>
      </c>
      <c r="S5320" t="s">
        <v>10871</v>
      </c>
      <c r="T5320" t="s">
        <v>11100</v>
      </c>
      <c r="U5320" t="s">
        <v>11100</v>
      </c>
      <c r="V5320" t="s">
        <v>11100</v>
      </c>
      <c r="W5320" t="s">
        <v>16366</v>
      </c>
      <c r="X5320">
        <v>5</v>
      </c>
      <c r="Y5320" t="s">
        <v>21785</v>
      </c>
      <c r="Z5320" t="s">
        <v>27325</v>
      </c>
      <c r="AA5320">
        <v>0.5952376225383007</v>
      </c>
      <c r="AB5320" t="str">
        <f>HYPERLINK("Melting_Curves/meltCurve_Q9UNP9_PPIE.pdf", "Melting_Curves/meltCurve_Q9UNP9_PPIE.pdf")</f>
        <v>Melting_Curves/meltCurve_Q9UNP9_PPIE.pdf</v>
      </c>
    </row>
    <row r="5321" spans="1:28" x14ac:dyDescent="0.25">
      <c r="A5321" t="s">
        <v>5325</v>
      </c>
      <c r="B5321">
        <v>0.99299721793515405</v>
      </c>
      <c r="C5321">
        <v>0.91877654183199498</v>
      </c>
      <c r="D5321">
        <v>0.95614754028240201</v>
      </c>
      <c r="E5321">
        <v>0.61497542975669295</v>
      </c>
      <c r="F5321">
        <v>0.168364442914682</v>
      </c>
      <c r="G5321">
        <v>0.1540747797814</v>
      </c>
      <c r="H5321">
        <v>9.5575297732414605E-2</v>
      </c>
      <c r="I5321">
        <v>7.7428269107815306E-2</v>
      </c>
      <c r="J5321">
        <v>5.7031676014344501E-2</v>
      </c>
      <c r="K5321">
        <v>5.7209275114903903E-2</v>
      </c>
      <c r="L5321">
        <v>1473.05410224565</v>
      </c>
      <c r="M5321">
        <v>31.3125406187294</v>
      </c>
      <c r="N5321">
        <v>47.306819142744402</v>
      </c>
      <c r="O5321">
        <v>46.852959137733002</v>
      </c>
      <c r="P5321">
        <v>-0.15372228943567801</v>
      </c>
      <c r="Q5321">
        <v>7.9946374924172794E-2</v>
      </c>
      <c r="R5321">
        <v>0.99266650402829903</v>
      </c>
      <c r="S5321" t="s">
        <v>10872</v>
      </c>
      <c r="T5321" t="s">
        <v>11100</v>
      </c>
      <c r="U5321" t="s">
        <v>11100</v>
      </c>
      <c r="V5321" t="s">
        <v>11100</v>
      </c>
      <c r="W5321" t="s">
        <v>16367</v>
      </c>
      <c r="X5321">
        <v>6</v>
      </c>
      <c r="Y5321" t="s">
        <v>21786</v>
      </c>
      <c r="Z5321" t="s">
        <v>27326</v>
      </c>
      <c r="AA5321">
        <v>0.39287538623284962</v>
      </c>
      <c r="AB5321" t="str">
        <f>HYPERLINK("Melting_Curves/meltCurve_Q9UNS1_2_TIMELESS.pdf", "Melting_Curves/meltCurve_Q9UNS1_2_TIMELESS.pdf")</f>
        <v>Melting_Curves/meltCurve_Q9UNS1_2_TIMELESS.pdf</v>
      </c>
    </row>
    <row r="5322" spans="1:28" x14ac:dyDescent="0.25">
      <c r="A5322" t="s">
        <v>5326</v>
      </c>
      <c r="B5322">
        <v>0.99299721793515405</v>
      </c>
      <c r="C5322">
        <v>0.92911245508344498</v>
      </c>
      <c r="D5322">
        <v>0.86599274577085095</v>
      </c>
      <c r="E5322">
        <v>0.893749697859203</v>
      </c>
      <c r="F5322">
        <v>0.76355640280830706</v>
      </c>
      <c r="G5322">
        <v>0.838444453402581</v>
      </c>
      <c r="H5322">
        <v>1.35048765909324</v>
      </c>
      <c r="I5322">
        <v>1.0024382469745301</v>
      </c>
      <c r="J5322">
        <v>1.88316550056404</v>
      </c>
      <c r="K5322">
        <v>1.19230062426168</v>
      </c>
      <c r="L5322">
        <v>1711.9584422130999</v>
      </c>
      <c r="M5322">
        <v>28.913677531805799</v>
      </c>
      <c r="O5322">
        <v>58.928235143246397</v>
      </c>
      <c r="P5322">
        <v>5.67576980632159E-2</v>
      </c>
      <c r="Q5322">
        <v>1.4627022263878</v>
      </c>
      <c r="R5322">
        <v>0.44375485589291402</v>
      </c>
      <c r="S5322" t="s">
        <v>10873</v>
      </c>
      <c r="T5322" t="s">
        <v>11100</v>
      </c>
      <c r="U5322" t="s">
        <v>11100</v>
      </c>
      <c r="V5322" t="s">
        <v>11100</v>
      </c>
      <c r="W5322" t="s">
        <v>16368</v>
      </c>
      <c r="X5322">
        <v>13</v>
      </c>
      <c r="Y5322" t="s">
        <v>21787</v>
      </c>
      <c r="Z5322" t="s">
        <v>27327</v>
      </c>
      <c r="AA5322">
        <v>1.1180060380730259</v>
      </c>
      <c r="AB5322" t="str">
        <f>HYPERLINK("Melting_Curves/meltCurve_Q9UNS2_COPS3.pdf", "Melting_Curves/meltCurve_Q9UNS2_COPS3.pdf")</f>
        <v>Melting_Curves/meltCurve_Q9UNS2_COPS3.pdf</v>
      </c>
    </row>
    <row r="5323" spans="1:28" x14ac:dyDescent="0.25">
      <c r="A5323" t="s">
        <v>5327</v>
      </c>
      <c r="B5323">
        <v>0.99299721793515405</v>
      </c>
      <c r="C5323">
        <v>1.1089590489382599</v>
      </c>
      <c r="D5323">
        <v>0.88224523225651397</v>
      </c>
      <c r="E5323">
        <v>0.91934016751555703</v>
      </c>
      <c r="F5323">
        <v>0.73681892153809003</v>
      </c>
      <c r="G5323">
        <v>0.19026629523017</v>
      </c>
      <c r="H5323">
        <v>0.13856587377618601</v>
      </c>
      <c r="I5323">
        <v>0.13119576416713</v>
      </c>
      <c r="J5323">
        <v>0.13979090150933501</v>
      </c>
      <c r="K5323">
        <v>6.2434026687067698E-2</v>
      </c>
      <c r="L5323">
        <v>2199.4440774538102</v>
      </c>
      <c r="M5323">
        <v>43.0106105600577</v>
      </c>
      <c r="N5323">
        <v>51.4423346449734</v>
      </c>
      <c r="O5323">
        <v>51.027068406267198</v>
      </c>
      <c r="P5323">
        <v>-0.18700257313962099</v>
      </c>
      <c r="Q5323">
        <v>0.112574486371775</v>
      </c>
      <c r="R5323">
        <v>0.97926039055595204</v>
      </c>
      <c r="S5323" t="s">
        <v>10874</v>
      </c>
      <c r="T5323" t="s">
        <v>11100</v>
      </c>
      <c r="U5323" t="s">
        <v>11100</v>
      </c>
      <c r="V5323" t="s">
        <v>11100</v>
      </c>
      <c r="W5323" t="s">
        <v>16369</v>
      </c>
      <c r="X5323">
        <v>1</v>
      </c>
      <c r="Y5323" t="s">
        <v>21788</v>
      </c>
      <c r="Z5323" t="s">
        <v>27328</v>
      </c>
      <c r="AA5323">
        <v>0.5334743315232523</v>
      </c>
      <c r="AB5323" t="str">
        <f>HYPERLINK("Melting_Curves/meltCurve_Q9UNT1_2_RABL2B.pdf", "Melting_Curves/meltCurve_Q9UNT1_2_RABL2B.pdf")</f>
        <v>Melting_Curves/meltCurve_Q9UNT1_2_RABL2B.pdf</v>
      </c>
    </row>
    <row r="5324" spans="1:28" x14ac:dyDescent="0.25">
      <c r="A5324" t="s">
        <v>5328</v>
      </c>
      <c r="B5324">
        <v>0.99299721793515405</v>
      </c>
      <c r="C5324">
        <v>1.1582900470350299</v>
      </c>
      <c r="D5324">
        <v>0.98633238624006803</v>
      </c>
      <c r="E5324">
        <v>0.96631655176551601</v>
      </c>
      <c r="F5324">
        <v>0.73521822423835703</v>
      </c>
      <c r="G5324">
        <v>0.61404234916948996</v>
      </c>
      <c r="H5324">
        <v>0.60112670021636105</v>
      </c>
      <c r="I5324">
        <v>0.49395287327138598</v>
      </c>
      <c r="J5324">
        <v>0.41393028035402002</v>
      </c>
      <c r="K5324">
        <v>0.27666085044882699</v>
      </c>
      <c r="L5324">
        <v>585.26920452726495</v>
      </c>
      <c r="M5324">
        <v>10.570621384478301</v>
      </c>
      <c r="N5324">
        <v>58.958543131782903</v>
      </c>
      <c r="O5324">
        <v>53.496165598549197</v>
      </c>
      <c r="P5324">
        <v>-3.7688372529055401E-2</v>
      </c>
      <c r="Q5324">
        <v>0.23736141462919899</v>
      </c>
      <c r="R5324">
        <v>0.93129441882802799</v>
      </c>
      <c r="S5324" t="s">
        <v>10875</v>
      </c>
      <c r="T5324" t="s">
        <v>11100</v>
      </c>
      <c r="U5324" t="s">
        <v>11100</v>
      </c>
      <c r="V5324" t="s">
        <v>11100</v>
      </c>
      <c r="W5324" t="s">
        <v>16370</v>
      </c>
      <c r="X5324">
        <v>6</v>
      </c>
      <c r="Y5324" t="s">
        <v>21789</v>
      </c>
      <c r="Z5324" t="s">
        <v>27329</v>
      </c>
      <c r="AA5324">
        <v>0.71271049406487541</v>
      </c>
      <c r="AB5324" t="str">
        <f>HYPERLINK("Melting_Curves/meltCurve_Q9UNW1_MINPP1.pdf", "Melting_Curves/meltCurve_Q9UNW1_MINPP1.pdf")</f>
        <v>Melting_Curves/meltCurve_Q9UNW1_MINPP1.pdf</v>
      </c>
    </row>
    <row r="5325" spans="1:28" x14ac:dyDescent="0.25">
      <c r="A5325" t="s">
        <v>5329</v>
      </c>
      <c r="B5325">
        <v>0.99299721793515405</v>
      </c>
      <c r="C5325">
        <v>0.98490585039710199</v>
      </c>
      <c r="D5325">
        <v>0.91758662257391599</v>
      </c>
      <c r="E5325">
        <v>0.88465079075553699</v>
      </c>
      <c r="F5325">
        <v>0.69072408114003303</v>
      </c>
      <c r="G5325">
        <v>0.28557812531802901</v>
      </c>
      <c r="H5325">
        <v>0.26296501059746702</v>
      </c>
      <c r="I5325">
        <v>0.28469664367101799</v>
      </c>
      <c r="J5325">
        <v>0.23594071303977801</v>
      </c>
      <c r="K5325">
        <v>0.222102022281645</v>
      </c>
      <c r="L5325">
        <v>1484.2845627566901</v>
      </c>
      <c r="M5325">
        <v>29.413896107678799</v>
      </c>
      <c r="N5325">
        <v>51.581943639608397</v>
      </c>
      <c r="O5325">
        <v>50.230506061967603</v>
      </c>
      <c r="P5325">
        <v>-0.111847729264938</v>
      </c>
      <c r="Q5325">
        <v>0.235990024700062</v>
      </c>
      <c r="R5325">
        <v>0.984648932436477</v>
      </c>
      <c r="S5325" t="s">
        <v>10876</v>
      </c>
      <c r="T5325" t="s">
        <v>11100</v>
      </c>
      <c r="U5325" t="s">
        <v>11100</v>
      </c>
      <c r="V5325" t="s">
        <v>11100</v>
      </c>
      <c r="W5325" t="s">
        <v>16371</v>
      </c>
      <c r="X5325">
        <v>3</v>
      </c>
      <c r="Y5325" t="s">
        <v>21790</v>
      </c>
      <c r="Z5325" t="s">
        <v>27330</v>
      </c>
      <c r="AA5325">
        <v>0.58373568596336256</v>
      </c>
      <c r="AB5325" t="str">
        <f>HYPERLINK("Melting_Curves/meltCurve_Q9UNW9_NOVA2.pdf", "Melting_Curves/meltCurve_Q9UNW9_NOVA2.pdf")</f>
        <v>Melting_Curves/meltCurve_Q9UNW9_NOVA2.pdf</v>
      </c>
    </row>
    <row r="5326" spans="1:28" x14ac:dyDescent="0.25">
      <c r="A5326" t="s">
        <v>5330</v>
      </c>
      <c r="B5326">
        <v>0.99299721793515405</v>
      </c>
      <c r="C5326">
        <v>0.73408411705246002</v>
      </c>
      <c r="D5326">
        <v>0.90766447397413097</v>
      </c>
      <c r="E5326">
        <v>0.65323377843337904</v>
      </c>
      <c r="F5326">
        <v>0.44656882452847602</v>
      </c>
      <c r="G5326">
        <v>0.29604882274646599</v>
      </c>
      <c r="H5326">
        <v>0.21648225990966</v>
      </c>
      <c r="I5326">
        <v>0.159188971925525</v>
      </c>
      <c r="J5326">
        <v>0.13965109301120299</v>
      </c>
      <c r="K5326">
        <v>0.101439875928962</v>
      </c>
      <c r="L5326">
        <v>470.89200899608102</v>
      </c>
      <c r="M5326">
        <v>9.6056980710401092</v>
      </c>
      <c r="N5326">
        <v>49.356214098644301</v>
      </c>
      <c r="O5326">
        <v>47.038788873041298</v>
      </c>
      <c r="P5326">
        <v>-4.9473386575323401E-2</v>
      </c>
      <c r="Q5326">
        <v>3.1471027868011897E-2</v>
      </c>
      <c r="R5326">
        <v>0.95736526792629495</v>
      </c>
      <c r="S5326" t="s">
        <v>10877</v>
      </c>
      <c r="T5326" t="s">
        <v>11100</v>
      </c>
      <c r="U5326" t="s">
        <v>11100</v>
      </c>
      <c r="V5326" t="s">
        <v>11100</v>
      </c>
      <c r="W5326" t="s">
        <v>16372</v>
      </c>
      <c r="X5326">
        <v>2</v>
      </c>
      <c r="Y5326" t="s">
        <v>21791</v>
      </c>
      <c r="Z5326" t="s">
        <v>27331</v>
      </c>
      <c r="AA5326">
        <v>0.45710495619827651</v>
      </c>
      <c r="AB5326" t="str">
        <f>HYPERLINK("Melting_Curves/meltCurve_Q9UNY4_TTF2.pdf", "Melting_Curves/meltCurve_Q9UNY4_TTF2.pdf")</f>
        <v>Melting_Curves/meltCurve_Q9UNY4_TTF2.pdf</v>
      </c>
    </row>
    <row r="5327" spans="1:28" x14ac:dyDescent="0.25">
      <c r="A5327" t="s">
        <v>5331</v>
      </c>
      <c r="B5327">
        <v>0.99299721793515405</v>
      </c>
      <c r="C5327">
        <v>0.912215335599868</v>
      </c>
      <c r="D5327">
        <v>0.96210599399075603</v>
      </c>
      <c r="E5327">
        <v>0.81849834648188302</v>
      </c>
      <c r="F5327">
        <v>0.72333645534631996</v>
      </c>
      <c r="G5327">
        <v>0.48506751980430801</v>
      </c>
      <c r="H5327">
        <v>0.31909148548022598</v>
      </c>
      <c r="I5327">
        <v>0.26147541140952202</v>
      </c>
      <c r="J5327">
        <v>0.23891202624744301</v>
      </c>
      <c r="K5327">
        <v>0.185069621769896</v>
      </c>
      <c r="L5327">
        <v>654.43539349915295</v>
      </c>
      <c r="M5327">
        <v>12.5192911233709</v>
      </c>
      <c r="N5327">
        <v>53.658456451106801</v>
      </c>
      <c r="O5327">
        <v>50.994183311111598</v>
      </c>
      <c r="P5327">
        <v>-5.2916762571792397E-2</v>
      </c>
      <c r="Q5327">
        <v>0.138004156815768</v>
      </c>
      <c r="R5327">
        <v>0.98991179468859403</v>
      </c>
      <c r="S5327" t="s">
        <v>10878</v>
      </c>
      <c r="T5327" t="s">
        <v>11100</v>
      </c>
      <c r="U5327" t="s">
        <v>11100</v>
      </c>
      <c r="V5327" t="s">
        <v>11100</v>
      </c>
      <c r="W5327" t="s">
        <v>16373</v>
      </c>
      <c r="X5327">
        <v>22</v>
      </c>
      <c r="Y5327" t="s">
        <v>21792</v>
      </c>
      <c r="Z5327" t="s">
        <v>27332</v>
      </c>
      <c r="AA5327">
        <v>0.59613483203305551</v>
      </c>
      <c r="AB5327" t="str">
        <f>HYPERLINK("Melting_Curves/meltCurve_Q9UNZ2_5_NSFL1C.pdf", "Melting_Curves/meltCurve_Q9UNZ2_5_NSFL1C.pdf")</f>
        <v>Melting_Curves/meltCurve_Q9UNZ2_5_NSFL1C.pdf</v>
      </c>
    </row>
    <row r="5328" spans="1:28" x14ac:dyDescent="0.25">
      <c r="A5328" t="s">
        <v>5332</v>
      </c>
      <c r="B5328">
        <v>0.99299721793515405</v>
      </c>
      <c r="C5328">
        <v>0.90995437894300302</v>
      </c>
      <c r="D5328">
        <v>0.98132866456948997</v>
      </c>
      <c r="E5328">
        <v>1.0064466699938901</v>
      </c>
      <c r="F5328">
        <v>0.94582576666020002</v>
      </c>
      <c r="G5328">
        <v>0.64963819912850596</v>
      </c>
      <c r="H5328">
        <v>0.59625442663476702</v>
      </c>
      <c r="I5328">
        <v>0.65751713777427301</v>
      </c>
      <c r="J5328">
        <v>0.46325890192470798</v>
      </c>
      <c r="K5328">
        <v>0.30582527951710098</v>
      </c>
      <c r="L5328">
        <v>492.147162324482</v>
      </c>
      <c r="M5328">
        <v>7.9183027643445403</v>
      </c>
      <c r="N5328">
        <v>62.153110638116402</v>
      </c>
      <c r="O5328">
        <v>58.563908123409703</v>
      </c>
      <c r="P5328">
        <v>-3.38417084339439E-2</v>
      </c>
      <c r="Q5328">
        <v>0</v>
      </c>
      <c r="R5328">
        <v>0.902924763771352</v>
      </c>
      <c r="S5328" t="s">
        <v>10879</v>
      </c>
      <c r="T5328" t="s">
        <v>11100</v>
      </c>
      <c r="U5328" t="s">
        <v>11100</v>
      </c>
      <c r="V5328" t="s">
        <v>11100</v>
      </c>
      <c r="W5328" t="s">
        <v>16374</v>
      </c>
      <c r="X5328">
        <v>4</v>
      </c>
      <c r="Y5328" t="s">
        <v>21793</v>
      </c>
      <c r="Z5328" t="s">
        <v>27333</v>
      </c>
      <c r="AA5328">
        <v>0.76578054967906384</v>
      </c>
      <c r="AB5328" t="str">
        <f>HYPERLINK("Melting_Curves/meltCurve_Q9UNZ5_C19orf53.pdf", "Melting_Curves/meltCurve_Q9UNZ5_C19orf53.pdf")</f>
        <v>Melting_Curves/meltCurve_Q9UNZ5_C19orf53.pdf</v>
      </c>
    </row>
    <row r="5329" spans="1:28" x14ac:dyDescent="0.25">
      <c r="A5329" t="s">
        <v>5333</v>
      </c>
      <c r="B5329">
        <v>0.99299721793515405</v>
      </c>
      <c r="C5329">
        <v>0.97799066998697104</v>
      </c>
      <c r="D5329">
        <v>0.98743024200140295</v>
      </c>
      <c r="E5329">
        <v>0.91049375478269401</v>
      </c>
      <c r="F5329">
        <v>0.68993919482867705</v>
      </c>
      <c r="G5329">
        <v>0.490595428785433</v>
      </c>
      <c r="H5329">
        <v>0.37906882979644402</v>
      </c>
      <c r="I5329">
        <v>0.23467450347898899</v>
      </c>
      <c r="J5329">
        <v>0.124404820767961</v>
      </c>
      <c r="K5329">
        <v>9.1939353234943899E-2</v>
      </c>
      <c r="L5329">
        <v>647.36843220798301</v>
      </c>
      <c r="M5329">
        <v>11.9632833106426</v>
      </c>
      <c r="N5329">
        <v>54.2041994613245</v>
      </c>
      <c r="O5329">
        <v>52.667434395849902</v>
      </c>
      <c r="P5329">
        <v>-5.6234422587763302E-2</v>
      </c>
      <c r="Q5329">
        <v>9.9706397100419401E-3</v>
      </c>
      <c r="R5329">
        <v>0.99473030747931501</v>
      </c>
      <c r="S5329" t="s">
        <v>10880</v>
      </c>
      <c r="T5329" t="s">
        <v>11100</v>
      </c>
      <c r="U5329" t="s">
        <v>11100</v>
      </c>
      <c r="V5329" t="s">
        <v>11100</v>
      </c>
      <c r="W5329" t="s">
        <v>16375</v>
      </c>
      <c r="X5329">
        <v>6</v>
      </c>
      <c r="Y5329" t="s">
        <v>21794</v>
      </c>
      <c r="Z5329" t="s">
        <v>27334</v>
      </c>
      <c r="AA5329">
        <v>0.59207050808535178</v>
      </c>
      <c r="AB5329" t="str">
        <f>HYPERLINK("Melting_Curves/meltCurve_Q9UP83_COG5.pdf", "Melting_Curves/meltCurve_Q9UP83_COG5.pdf")</f>
        <v>Melting_Curves/meltCurve_Q9UP83_COG5.pdf</v>
      </c>
    </row>
    <row r="5330" spans="1:28" x14ac:dyDescent="0.25">
      <c r="A5330" t="s">
        <v>5334</v>
      </c>
      <c r="B5330">
        <v>0.99299721793515405</v>
      </c>
      <c r="C5330">
        <v>0.95077260832458699</v>
      </c>
      <c r="D5330">
        <v>1.2935610242158</v>
      </c>
      <c r="E5330">
        <v>0.88530377281462902</v>
      </c>
      <c r="F5330">
        <v>0.87367512760525101</v>
      </c>
      <c r="G5330">
        <v>1.0033980868099499</v>
      </c>
      <c r="H5330">
        <v>0.58655314327024299</v>
      </c>
      <c r="I5330">
        <v>0.40059731750435301</v>
      </c>
      <c r="J5330">
        <v>0.19831461839485101</v>
      </c>
      <c r="K5330">
        <v>0.13464614574632999</v>
      </c>
      <c r="L5330">
        <v>1324.8588625484999</v>
      </c>
      <c r="M5330">
        <v>22.590553813354401</v>
      </c>
      <c r="N5330">
        <v>59.1685342839532</v>
      </c>
      <c r="O5330">
        <v>58.192834151404398</v>
      </c>
      <c r="P5330">
        <v>-8.8284672033821607E-2</v>
      </c>
      <c r="Q5330">
        <v>9.0339860985110099E-2</v>
      </c>
      <c r="R5330">
        <v>0.90087896134787804</v>
      </c>
      <c r="S5330" t="s">
        <v>10881</v>
      </c>
      <c r="T5330" t="s">
        <v>11100</v>
      </c>
      <c r="U5330" t="s">
        <v>11100</v>
      </c>
      <c r="V5330" t="s">
        <v>11100</v>
      </c>
      <c r="W5330" t="s">
        <v>16376</v>
      </c>
      <c r="X5330">
        <v>3</v>
      </c>
      <c r="Y5330" t="s">
        <v>21795</v>
      </c>
      <c r="Z5330" t="s">
        <v>27335</v>
      </c>
      <c r="AA5330">
        <v>0.7518028733603932</v>
      </c>
      <c r="AB5330" t="str">
        <f>HYPERLINK("Melting_Curves/meltCurve_Q9UP95_5_SLC12A4.pdf", "Melting_Curves/meltCurve_Q9UP95_5_SLC12A4.pdf")</f>
        <v>Melting_Curves/meltCurve_Q9UP95_5_SLC12A4.pdf</v>
      </c>
    </row>
    <row r="5331" spans="1:28" x14ac:dyDescent="0.25">
      <c r="A5331" t="s">
        <v>5335</v>
      </c>
      <c r="B5331">
        <v>0.99299721793515405</v>
      </c>
      <c r="C5331">
        <v>0.966729930844065</v>
      </c>
      <c r="D5331">
        <v>0.92316095241970897</v>
      </c>
      <c r="E5331">
        <v>0.73806885841013803</v>
      </c>
      <c r="F5331">
        <v>0.60195546680904999</v>
      </c>
      <c r="G5331">
        <v>0.468070997596364</v>
      </c>
      <c r="H5331">
        <v>0.39468351697996501</v>
      </c>
      <c r="I5331">
        <v>0.34995568161922203</v>
      </c>
      <c r="J5331">
        <v>0.25240785968396301</v>
      </c>
      <c r="K5331">
        <v>0.18885259842866001</v>
      </c>
      <c r="L5331">
        <v>493.05604897428498</v>
      </c>
      <c r="M5331">
        <v>9.6018326350144196</v>
      </c>
      <c r="N5331">
        <v>53.270564353475002</v>
      </c>
      <c r="O5331">
        <v>49.271085433523403</v>
      </c>
      <c r="P5331">
        <v>-4.1615698708371202E-2</v>
      </c>
      <c r="Q5331">
        <v>0.14629349980852399</v>
      </c>
      <c r="R5331">
        <v>0.99056408124613504</v>
      </c>
      <c r="S5331" t="s">
        <v>10882</v>
      </c>
      <c r="T5331" t="s">
        <v>11100</v>
      </c>
      <c r="U5331" t="s">
        <v>11100</v>
      </c>
      <c r="V5331" t="s">
        <v>11100</v>
      </c>
      <c r="W5331" t="s">
        <v>16377</v>
      </c>
      <c r="X5331">
        <v>1</v>
      </c>
      <c r="Y5331" t="s">
        <v>21796</v>
      </c>
      <c r="Z5331" t="s">
        <v>27336</v>
      </c>
      <c r="AA5331">
        <v>0.58021738235874964</v>
      </c>
      <c r="AB5331" t="str">
        <f>HYPERLINK("Melting_Curves/meltCurve_Q9UPM9_B9D1.pdf", "Melting_Curves/meltCurve_Q9UPM9_B9D1.pdf")</f>
        <v>Melting_Curves/meltCurve_Q9UPM9_B9D1.pdf</v>
      </c>
    </row>
    <row r="5332" spans="1:28" x14ac:dyDescent="0.25">
      <c r="A5332" t="s">
        <v>5336</v>
      </c>
      <c r="B5332">
        <v>0.99299721793515405</v>
      </c>
      <c r="C5332">
        <v>0.99873980381440997</v>
      </c>
      <c r="D5332">
        <v>1.00157861035686</v>
      </c>
      <c r="E5332">
        <v>0.746537859257556</v>
      </c>
      <c r="F5332">
        <v>0.550884643524582</v>
      </c>
      <c r="G5332">
        <v>0.26402095531165098</v>
      </c>
      <c r="H5332">
        <v>0.18612902276978099</v>
      </c>
      <c r="I5332">
        <v>0.185174534019827</v>
      </c>
      <c r="J5332">
        <v>0.149192438261079</v>
      </c>
      <c r="K5332">
        <v>0.11902049760629101</v>
      </c>
      <c r="L5332">
        <v>925.33088665994603</v>
      </c>
      <c r="M5332">
        <v>18.685714147920098</v>
      </c>
      <c r="N5332">
        <v>50.340875688579402</v>
      </c>
      <c r="O5332">
        <v>48.964046169631601</v>
      </c>
      <c r="P5332">
        <v>-8.2889294053665893E-2</v>
      </c>
      <c r="Q5332">
        <v>0.13122455123787999</v>
      </c>
      <c r="R5332">
        <v>0.99358996838853897</v>
      </c>
      <c r="S5332" t="s">
        <v>10883</v>
      </c>
      <c r="T5332" t="s">
        <v>11100</v>
      </c>
      <c r="U5332" t="s">
        <v>11100</v>
      </c>
      <c r="V5332" t="s">
        <v>11100</v>
      </c>
      <c r="W5332" t="s">
        <v>16378</v>
      </c>
      <c r="X5332">
        <v>17</v>
      </c>
      <c r="Y5332" t="s">
        <v>21797</v>
      </c>
      <c r="Z5332" t="s">
        <v>27337</v>
      </c>
      <c r="AA5332">
        <v>0.50671871865342188</v>
      </c>
      <c r="AB5332" t="str">
        <f>HYPERLINK("Melting_Curves/meltCurve_Q9UPN6_SCAF8.pdf", "Melting_Curves/meltCurve_Q9UPN6_SCAF8.pdf")</f>
        <v>Melting_Curves/meltCurve_Q9UPN6_SCAF8.pdf</v>
      </c>
    </row>
    <row r="5333" spans="1:28" x14ac:dyDescent="0.25">
      <c r="A5333" t="s">
        <v>5337</v>
      </c>
      <c r="B5333">
        <v>0.99299721793515405</v>
      </c>
      <c r="C5333">
        <v>0.94657007367356305</v>
      </c>
      <c r="D5333">
        <v>0.77342867771996104</v>
      </c>
      <c r="E5333">
        <v>0.69747620432672897</v>
      </c>
      <c r="F5333">
        <v>0.63940026501231795</v>
      </c>
      <c r="G5333">
        <v>0.70296091499116498</v>
      </c>
      <c r="H5333">
        <v>1.05831217627253</v>
      </c>
      <c r="I5333">
        <v>0.68122275742799498</v>
      </c>
      <c r="J5333">
        <v>0.37463837823346902</v>
      </c>
      <c r="K5333">
        <v>0.33684426701546699</v>
      </c>
      <c r="L5333">
        <v>234.347553792388</v>
      </c>
      <c r="M5333">
        <v>3.5240213410752399</v>
      </c>
      <c r="N5333">
        <v>66.500038524535597</v>
      </c>
      <c r="O5333">
        <v>52.2678069897119</v>
      </c>
      <c r="P5333">
        <v>-1.71781009170381E-2</v>
      </c>
      <c r="Q5333">
        <v>0</v>
      </c>
      <c r="R5333">
        <v>0.45836054660426401</v>
      </c>
      <c r="S5333" t="s">
        <v>10884</v>
      </c>
      <c r="T5333" t="s">
        <v>11100</v>
      </c>
      <c r="U5333" t="s">
        <v>11100</v>
      </c>
      <c r="V5333" t="s">
        <v>11100</v>
      </c>
      <c r="W5333" t="s">
        <v>16379</v>
      </c>
      <c r="X5333">
        <v>4</v>
      </c>
      <c r="Y5333" t="s">
        <v>21798</v>
      </c>
      <c r="Z5333" t="s">
        <v>27338</v>
      </c>
      <c r="AA5333">
        <v>0.72538156034357371</v>
      </c>
      <c r="AB5333" t="str">
        <f>HYPERLINK("Melting_Curves/meltCurve_Q9UPN7_PPP6R1.pdf", "Melting_Curves/meltCurve_Q9UPN7_PPP6R1.pdf")</f>
        <v>Melting_Curves/meltCurve_Q9UPN7_PPP6R1.pdf</v>
      </c>
    </row>
    <row r="5334" spans="1:28" x14ac:dyDescent="0.25">
      <c r="A5334" t="s">
        <v>5338</v>
      </c>
      <c r="B5334">
        <v>0.99299721793515405</v>
      </c>
      <c r="C5334">
        <v>0.89985464595430098</v>
      </c>
      <c r="D5334">
        <v>0.909172437058962</v>
      </c>
      <c r="E5334">
        <v>0.79816790665728798</v>
      </c>
      <c r="F5334">
        <v>0.526499071191457</v>
      </c>
      <c r="G5334">
        <v>0.233388297480872</v>
      </c>
      <c r="H5334">
        <v>0.20810282579146</v>
      </c>
      <c r="I5334">
        <v>0.16978283886332701</v>
      </c>
      <c r="J5334">
        <v>0.17840643878881199</v>
      </c>
      <c r="K5334">
        <v>0.146831096073536</v>
      </c>
      <c r="L5334">
        <v>926.08507111569202</v>
      </c>
      <c r="M5334">
        <v>18.805232883447399</v>
      </c>
      <c r="N5334">
        <v>50.159179084362101</v>
      </c>
      <c r="O5334">
        <v>48.699389513998703</v>
      </c>
      <c r="P5334">
        <v>-8.2549020161420197E-2</v>
      </c>
      <c r="Q5334">
        <v>0.14493587313584599</v>
      </c>
      <c r="R5334">
        <v>0.98742586942941601</v>
      </c>
      <c r="S5334" t="s">
        <v>10885</v>
      </c>
      <c r="T5334" t="s">
        <v>11100</v>
      </c>
      <c r="U5334" t="s">
        <v>11100</v>
      </c>
      <c r="V5334" t="s">
        <v>11100</v>
      </c>
      <c r="W5334" t="s">
        <v>16380</v>
      </c>
      <c r="X5334">
        <v>17</v>
      </c>
      <c r="Y5334" t="s">
        <v>17400</v>
      </c>
      <c r="Z5334" t="s">
        <v>27339</v>
      </c>
      <c r="AA5334">
        <v>0.50655289251120428</v>
      </c>
      <c r="AB5334" t="str">
        <f>HYPERLINK("Melting_Curves/meltCurve_Q9UPN9_2_TRIM33.pdf", "Melting_Curves/meltCurve_Q9UPN9_2_TRIM33.pdf")</f>
        <v>Melting_Curves/meltCurve_Q9UPN9_2_TRIM33.pdf</v>
      </c>
    </row>
    <row r="5335" spans="1:28" x14ac:dyDescent="0.25">
      <c r="A5335" t="s">
        <v>5339</v>
      </c>
      <c r="B5335">
        <v>0.99299721793515405</v>
      </c>
      <c r="C5335">
        <v>0.92255751494196303</v>
      </c>
      <c r="D5335">
        <v>0.81928269070335902</v>
      </c>
      <c r="E5335">
        <v>0.74647930207147495</v>
      </c>
      <c r="F5335">
        <v>0.67548278538275397</v>
      </c>
      <c r="G5335">
        <v>0.43648222317255098</v>
      </c>
      <c r="H5335">
        <v>0.36637559028966898</v>
      </c>
      <c r="I5335">
        <v>0.31425954244580601</v>
      </c>
      <c r="J5335">
        <v>0.32752252007124</v>
      </c>
      <c r="K5335">
        <v>0.25284620987595902</v>
      </c>
      <c r="L5335">
        <v>453.649076071666</v>
      </c>
      <c r="M5335">
        <v>8.9635056251090894</v>
      </c>
      <c r="N5335">
        <v>53.244304133293902</v>
      </c>
      <c r="O5335">
        <v>48.281949060641601</v>
      </c>
      <c r="P5335">
        <v>-3.81297052114066E-2</v>
      </c>
      <c r="Q5335">
        <v>0.17906275500586299</v>
      </c>
      <c r="R5335">
        <v>0.98270982838282295</v>
      </c>
      <c r="S5335" t="s">
        <v>10886</v>
      </c>
      <c r="T5335" t="s">
        <v>11100</v>
      </c>
      <c r="U5335" t="s">
        <v>11100</v>
      </c>
      <c r="V5335" t="s">
        <v>11100</v>
      </c>
      <c r="W5335" t="s">
        <v>16381</v>
      </c>
      <c r="X5335">
        <v>2</v>
      </c>
      <c r="Y5335" t="s">
        <v>21799</v>
      </c>
      <c r="Z5335" t="s">
        <v>27340</v>
      </c>
      <c r="AA5335">
        <v>0.57992863217645463</v>
      </c>
      <c r="AB5335" t="str">
        <f>HYPERLINK("Melting_Curves/meltCurve_Q9UPQ9_1_TNRC6B.pdf", "Melting_Curves/meltCurve_Q9UPQ9_1_TNRC6B.pdf")</f>
        <v>Melting_Curves/meltCurve_Q9UPQ9_1_TNRC6B.pdf</v>
      </c>
    </row>
    <row r="5336" spans="1:28" x14ac:dyDescent="0.25">
      <c r="A5336" t="s">
        <v>5340</v>
      </c>
      <c r="B5336">
        <v>0.99299721793515405</v>
      </c>
      <c r="C5336">
        <v>1.2200359461057899</v>
      </c>
      <c r="D5336">
        <v>0.99872915744852497</v>
      </c>
      <c r="E5336">
        <v>0.97882588672792903</v>
      </c>
      <c r="F5336">
        <v>0.78103990247485799</v>
      </c>
      <c r="G5336">
        <v>0.24352380135216001</v>
      </c>
      <c r="H5336">
        <v>0.17439409180971699</v>
      </c>
      <c r="I5336">
        <v>0.20678766558123701</v>
      </c>
      <c r="J5336">
        <v>0.20534524435347301</v>
      </c>
      <c r="K5336">
        <v>0.17967643775268299</v>
      </c>
      <c r="L5336">
        <v>2737.0835429541498</v>
      </c>
      <c r="M5336">
        <v>53.537043894614001</v>
      </c>
      <c r="N5336">
        <v>51.588573591377397</v>
      </c>
      <c r="O5336">
        <v>51.053857655130301</v>
      </c>
      <c r="P5336">
        <v>-0.21210632544737401</v>
      </c>
      <c r="Q5336">
        <v>0.19092737717496999</v>
      </c>
      <c r="R5336">
        <v>0.97023834899471195</v>
      </c>
      <c r="S5336" t="s">
        <v>10887</v>
      </c>
      <c r="T5336" t="s">
        <v>11100</v>
      </c>
      <c r="U5336" t="s">
        <v>11100</v>
      </c>
      <c r="V5336" t="s">
        <v>11100</v>
      </c>
      <c r="W5336" t="s">
        <v>16382</v>
      </c>
      <c r="X5336">
        <v>5</v>
      </c>
      <c r="Y5336" t="s">
        <v>21800</v>
      </c>
      <c r="Z5336" t="s">
        <v>27341</v>
      </c>
      <c r="AA5336">
        <v>0.57345699652679905</v>
      </c>
      <c r="AB5336" t="str">
        <f>HYPERLINK("Melting_Curves/meltCurve_Q9UPR0_PLCL2.pdf", "Melting_Curves/meltCurve_Q9UPR0_PLCL2.pdf")</f>
        <v>Melting_Curves/meltCurve_Q9UPR0_PLCL2.pdf</v>
      </c>
    </row>
    <row r="5337" spans="1:28" x14ac:dyDescent="0.25">
      <c r="A5337" t="s">
        <v>5341</v>
      </c>
      <c r="B5337">
        <v>0.99299721793515405</v>
      </c>
      <c r="C5337">
        <v>1.02730014674203</v>
      </c>
      <c r="D5337">
        <v>0.93295236828623995</v>
      </c>
      <c r="E5337">
        <v>0.83997179325776505</v>
      </c>
      <c r="F5337">
        <v>0.59376312074728899</v>
      </c>
      <c r="G5337">
        <v>0.34120663416135399</v>
      </c>
      <c r="H5337">
        <v>0.176213266755192</v>
      </c>
      <c r="I5337">
        <v>0.142373198613542</v>
      </c>
      <c r="J5337">
        <v>0.14713960031013501</v>
      </c>
      <c r="K5337">
        <v>8.849504253703E-2</v>
      </c>
      <c r="L5337">
        <v>883.10167483850501</v>
      </c>
      <c r="M5337">
        <v>17.4141951939622</v>
      </c>
      <c r="N5337">
        <v>51.321942254402799</v>
      </c>
      <c r="O5337">
        <v>50.0570400133332</v>
      </c>
      <c r="P5337">
        <v>-7.88417708400765E-2</v>
      </c>
      <c r="Q5337">
        <v>9.3529398815725098E-2</v>
      </c>
      <c r="R5337">
        <v>0.99713855446136401</v>
      </c>
      <c r="S5337" t="s">
        <v>10888</v>
      </c>
      <c r="T5337" t="s">
        <v>11100</v>
      </c>
      <c r="U5337" t="s">
        <v>11100</v>
      </c>
      <c r="V5337" t="s">
        <v>11100</v>
      </c>
      <c r="W5337" t="s">
        <v>16383</v>
      </c>
      <c r="X5337">
        <v>2</v>
      </c>
      <c r="Y5337" t="s">
        <v>21801</v>
      </c>
      <c r="Z5337" t="s">
        <v>27342</v>
      </c>
      <c r="AA5337">
        <v>0.52271717302437881</v>
      </c>
      <c r="AB5337" t="str">
        <f>HYPERLINK("Melting_Curves/meltCurve_Q9UPR3_SMG5.pdf", "Melting_Curves/meltCurve_Q9UPR3_SMG5.pdf")</f>
        <v>Melting_Curves/meltCurve_Q9UPR3_SMG5.pdf</v>
      </c>
    </row>
    <row r="5338" spans="1:28" x14ac:dyDescent="0.25">
      <c r="A5338" t="s">
        <v>5342</v>
      </c>
      <c r="B5338">
        <v>0.99299721793515405</v>
      </c>
      <c r="C5338">
        <v>0.99848788021692703</v>
      </c>
      <c r="D5338">
        <v>0.90231968348285996</v>
      </c>
      <c r="E5338">
        <v>0.83934083769397605</v>
      </c>
      <c r="F5338">
        <v>0.68462659276553295</v>
      </c>
      <c r="G5338">
        <v>0.283364578287638</v>
      </c>
      <c r="H5338">
        <v>0.17458604424214799</v>
      </c>
      <c r="I5338">
        <v>0.15401151643623401</v>
      </c>
      <c r="J5338">
        <v>0.129614862241585</v>
      </c>
      <c r="K5338">
        <v>9.7485616577201201E-2</v>
      </c>
      <c r="L5338">
        <v>997.02914009424501</v>
      </c>
      <c r="M5338">
        <v>19.557083635609398</v>
      </c>
      <c r="N5338">
        <v>51.550396808083001</v>
      </c>
      <c r="O5338">
        <v>50.456413839558202</v>
      </c>
      <c r="P5338">
        <v>-8.7483152080029797E-2</v>
      </c>
      <c r="Q5338">
        <v>9.7221399545556905E-2</v>
      </c>
      <c r="R5338">
        <v>0.98884099403330195</v>
      </c>
      <c r="S5338" t="s">
        <v>10889</v>
      </c>
      <c r="T5338" t="s">
        <v>11100</v>
      </c>
      <c r="U5338" t="s">
        <v>11100</v>
      </c>
      <c r="V5338" t="s">
        <v>11100</v>
      </c>
      <c r="W5338" t="s">
        <v>16384</v>
      </c>
      <c r="X5338">
        <v>8</v>
      </c>
      <c r="Y5338" t="s">
        <v>21802</v>
      </c>
      <c r="Z5338" t="s">
        <v>27343</v>
      </c>
      <c r="AA5338">
        <v>0.53019858177841528</v>
      </c>
      <c r="AB5338" t="str">
        <f>HYPERLINK("Melting_Curves/meltCurve_Q9UPT5_2_EXOC7.pdf", "Melting_Curves/meltCurve_Q9UPT5_2_EXOC7.pdf")</f>
        <v>Melting_Curves/meltCurve_Q9UPT5_2_EXOC7.pdf</v>
      </c>
    </row>
    <row r="5339" spans="1:28" x14ac:dyDescent="0.25">
      <c r="A5339" t="s">
        <v>5343</v>
      </c>
      <c r="B5339">
        <v>0.99299721793515405</v>
      </c>
      <c r="C5339">
        <v>0.94149363435773803</v>
      </c>
      <c r="D5339">
        <v>0.97208693089943599</v>
      </c>
      <c r="E5339">
        <v>0.84211392968641097</v>
      </c>
      <c r="F5339">
        <v>0.76108971198625597</v>
      </c>
      <c r="G5339">
        <v>0.61040092051971295</v>
      </c>
      <c r="H5339">
        <v>0.628734545613714</v>
      </c>
      <c r="I5339">
        <v>0.65360731890866797</v>
      </c>
      <c r="J5339">
        <v>0.74103668400113798</v>
      </c>
      <c r="K5339">
        <v>0.57784005656859005</v>
      </c>
      <c r="L5339">
        <v>978.65035639847997</v>
      </c>
      <c r="M5339">
        <v>20.645831468943499</v>
      </c>
      <c r="O5339">
        <v>46.963846248838003</v>
      </c>
      <c r="P5339">
        <v>-3.9672434104861098E-2</v>
      </c>
      <c r="Q5339">
        <v>0.63903287724191804</v>
      </c>
      <c r="R5339">
        <v>0.90171563282766598</v>
      </c>
      <c r="S5339" t="s">
        <v>10890</v>
      </c>
      <c r="T5339" t="s">
        <v>11100</v>
      </c>
      <c r="U5339" t="s">
        <v>11100</v>
      </c>
      <c r="V5339" t="s">
        <v>11100</v>
      </c>
      <c r="W5339" t="s">
        <v>16385</v>
      </c>
      <c r="X5339">
        <v>15</v>
      </c>
      <c r="Y5339" t="s">
        <v>21803</v>
      </c>
      <c r="Z5339" t="s">
        <v>27344</v>
      </c>
      <c r="AA5339">
        <v>0.76863975192404765</v>
      </c>
      <c r="AB5339" t="str">
        <f>HYPERLINK("Melting_Curves/meltCurve_Q9UPT8_ZC3H4.pdf", "Melting_Curves/meltCurve_Q9UPT8_ZC3H4.pdf")</f>
        <v>Melting_Curves/meltCurve_Q9UPT8_ZC3H4.pdf</v>
      </c>
    </row>
    <row r="5340" spans="1:28" x14ac:dyDescent="0.25">
      <c r="A5340" t="s">
        <v>5344</v>
      </c>
      <c r="B5340">
        <v>0.99299721793515405</v>
      </c>
      <c r="C5340">
        <v>1.3282996872956701</v>
      </c>
      <c r="D5340">
        <v>1.19485148348737</v>
      </c>
      <c r="E5340">
        <v>1.1000100187464601</v>
      </c>
      <c r="F5340">
        <v>0.80692514253952696</v>
      </c>
      <c r="G5340">
        <v>0.31470045241357603</v>
      </c>
      <c r="H5340">
        <v>0.148571074557382</v>
      </c>
      <c r="I5340">
        <v>0.122174445627155</v>
      </c>
      <c r="J5340">
        <v>9.8693892843935704E-2</v>
      </c>
      <c r="K5340">
        <v>7.9081728255360195E-2</v>
      </c>
      <c r="L5340">
        <v>1955.56682242129</v>
      </c>
      <c r="M5340">
        <v>37.552842156604697</v>
      </c>
      <c r="N5340">
        <v>52.401879923433498</v>
      </c>
      <c r="O5340">
        <v>51.928054816531997</v>
      </c>
      <c r="P5340">
        <v>-0.161918012821684</v>
      </c>
      <c r="Q5340">
        <v>0.104401737728976</v>
      </c>
      <c r="R5340">
        <v>0.93246412381515198</v>
      </c>
      <c r="S5340" t="s">
        <v>10891</v>
      </c>
      <c r="T5340" t="s">
        <v>11100</v>
      </c>
      <c r="U5340" t="s">
        <v>11100</v>
      </c>
      <c r="V5340" t="s">
        <v>11100</v>
      </c>
      <c r="W5340" t="s">
        <v>16386</v>
      </c>
      <c r="X5340">
        <v>6</v>
      </c>
      <c r="Y5340" t="s">
        <v>21804</v>
      </c>
      <c r="Z5340" t="s">
        <v>27345</v>
      </c>
      <c r="AA5340">
        <v>0.55808781444030509</v>
      </c>
      <c r="AB5340" t="str">
        <f>HYPERLINK("Melting_Curves/meltCurve_Q9UPT9_USP22.pdf", "Melting_Curves/meltCurve_Q9UPT9_USP22.pdf")</f>
        <v>Melting_Curves/meltCurve_Q9UPT9_USP22.pdf</v>
      </c>
    </row>
    <row r="5341" spans="1:28" x14ac:dyDescent="0.25">
      <c r="A5341" t="s">
        <v>5345</v>
      </c>
      <c r="B5341">
        <v>0.99299721793515405</v>
      </c>
      <c r="C5341">
        <v>0.92169909503301295</v>
      </c>
      <c r="D5341">
        <v>0.89402140645019501</v>
      </c>
      <c r="E5341">
        <v>0.64778711843630699</v>
      </c>
      <c r="F5341">
        <v>0.70750339990760902</v>
      </c>
      <c r="G5341">
        <v>0.48555443309047103</v>
      </c>
      <c r="H5341">
        <v>0.42908443546917302</v>
      </c>
      <c r="I5341">
        <v>0.272756419292496</v>
      </c>
      <c r="J5341">
        <v>0.26242367385055498</v>
      </c>
      <c r="K5341">
        <v>0.20117450672529899</v>
      </c>
      <c r="L5341">
        <v>379.10742606643697</v>
      </c>
      <c r="M5341">
        <v>7.0180806182609103</v>
      </c>
      <c r="N5341">
        <v>54.018676427784797</v>
      </c>
      <c r="O5341">
        <v>50.146065913287302</v>
      </c>
      <c r="P5341">
        <v>-3.5052457436545198E-2</v>
      </c>
      <c r="Q5341">
        <v>0</v>
      </c>
      <c r="R5341">
        <v>0.97125195736964098</v>
      </c>
      <c r="S5341" t="s">
        <v>10892</v>
      </c>
      <c r="T5341" t="s">
        <v>11100</v>
      </c>
      <c r="U5341" t="s">
        <v>11100</v>
      </c>
      <c r="V5341" t="s">
        <v>11100</v>
      </c>
      <c r="W5341" t="s">
        <v>16387</v>
      </c>
      <c r="X5341">
        <v>6</v>
      </c>
      <c r="Y5341" t="s">
        <v>21805</v>
      </c>
      <c r="Z5341" t="s">
        <v>27346</v>
      </c>
      <c r="AA5341">
        <v>0.57865681124482438</v>
      </c>
      <c r="AB5341" t="str">
        <f>HYPERLINK("Melting_Curves/meltCurve_Q9UPU5_USP24.pdf", "Melting_Curves/meltCurve_Q9UPU5_USP24.pdf")</f>
        <v>Melting_Curves/meltCurve_Q9UPU5_USP24.pdf</v>
      </c>
    </row>
    <row r="5342" spans="1:28" x14ac:dyDescent="0.25">
      <c r="A5342" t="s">
        <v>5346</v>
      </c>
      <c r="B5342">
        <v>0.99299721793515405</v>
      </c>
      <c r="C5342">
        <v>0.98405386867771305</v>
      </c>
      <c r="D5342">
        <v>0.86971151758701404</v>
      </c>
      <c r="E5342">
        <v>0.81672965821173904</v>
      </c>
      <c r="F5342">
        <v>0.80865547608810595</v>
      </c>
      <c r="G5342">
        <v>0.47577647313724702</v>
      </c>
      <c r="H5342">
        <v>0.27932107118037097</v>
      </c>
      <c r="I5342">
        <v>0.249060388448822</v>
      </c>
      <c r="J5342">
        <v>0.18876530503219699</v>
      </c>
      <c r="K5342">
        <v>0.26528038683109101</v>
      </c>
      <c r="L5342">
        <v>795.87942313233395</v>
      </c>
      <c r="M5342">
        <v>15.270509221582801</v>
      </c>
      <c r="N5342">
        <v>53.614002537962797</v>
      </c>
      <c r="O5342">
        <v>51.249449214806901</v>
      </c>
      <c r="P5342">
        <v>-6.1579681865307899E-2</v>
      </c>
      <c r="Q5342">
        <v>0.17340607814387901</v>
      </c>
      <c r="R5342">
        <v>0.96565649961162403</v>
      </c>
      <c r="S5342" t="s">
        <v>10893</v>
      </c>
      <c r="T5342" t="s">
        <v>11100</v>
      </c>
      <c r="U5342" t="s">
        <v>11100</v>
      </c>
      <c r="V5342" t="s">
        <v>11100</v>
      </c>
      <c r="W5342" t="s">
        <v>16388</v>
      </c>
      <c r="X5342">
        <v>3</v>
      </c>
      <c r="Y5342" t="s">
        <v>21806</v>
      </c>
      <c r="Z5342" t="s">
        <v>27347</v>
      </c>
      <c r="AA5342">
        <v>0.60536064775146914</v>
      </c>
      <c r="AB5342" t="str">
        <f>HYPERLINK("Melting_Curves/meltCurve_Q9UPW5_AGTPBP1.pdf", "Melting_Curves/meltCurve_Q9UPW5_AGTPBP1.pdf")</f>
        <v>Melting_Curves/meltCurve_Q9UPW5_AGTPBP1.pdf</v>
      </c>
    </row>
    <row r="5343" spans="1:28" x14ac:dyDescent="0.25">
      <c r="A5343" t="s">
        <v>5347</v>
      </c>
      <c r="B5343">
        <v>0.99299721793515405</v>
      </c>
      <c r="C5343">
        <v>0.79990043153878998</v>
      </c>
      <c r="D5343">
        <v>0.79331506805697005</v>
      </c>
      <c r="E5343">
        <v>0.81602302593718801</v>
      </c>
      <c r="F5343">
        <v>0.753136212523565</v>
      </c>
      <c r="G5343">
        <v>0.43767080197362401</v>
      </c>
      <c r="H5343">
        <v>0.24646724150579499</v>
      </c>
      <c r="I5343">
        <v>0.20570841269271101</v>
      </c>
      <c r="J5343">
        <v>0.21631701457691799</v>
      </c>
      <c r="K5343">
        <v>4.69418825738636E-2</v>
      </c>
      <c r="L5343">
        <v>501.521900144867</v>
      </c>
      <c r="M5343">
        <v>9.5000365581333597</v>
      </c>
      <c r="N5343">
        <v>52.791575806995098</v>
      </c>
      <c r="O5343">
        <v>50.611157442758198</v>
      </c>
      <c r="P5343">
        <v>-4.6954354055630199E-2</v>
      </c>
      <c r="Q5343">
        <v>0</v>
      </c>
      <c r="R5343">
        <v>0.93280961712282995</v>
      </c>
      <c r="S5343" t="s">
        <v>10894</v>
      </c>
      <c r="T5343" t="s">
        <v>11100</v>
      </c>
      <c r="U5343" t="s">
        <v>11100</v>
      </c>
      <c r="V5343" t="s">
        <v>11100</v>
      </c>
      <c r="W5343" t="s">
        <v>16389</v>
      </c>
      <c r="X5343">
        <v>4</v>
      </c>
      <c r="Y5343" t="s">
        <v>21807</v>
      </c>
      <c r="Z5343" t="s">
        <v>27348</v>
      </c>
      <c r="AA5343">
        <v>0.5499110513609673</v>
      </c>
      <c r="AB5343" t="str">
        <f>HYPERLINK("Melting_Curves/meltCurve_Q9UPY8_MAPRE3.pdf", "Melting_Curves/meltCurve_Q9UPY8_MAPRE3.pdf")</f>
        <v>Melting_Curves/meltCurve_Q9UPY8_MAPRE3.pdf</v>
      </c>
    </row>
    <row r="5344" spans="1:28" x14ac:dyDescent="0.25">
      <c r="A5344" t="s">
        <v>5348</v>
      </c>
      <c r="B5344">
        <v>0.99299721793515405</v>
      </c>
      <c r="C5344">
        <v>0.90058150914604096</v>
      </c>
      <c r="D5344">
        <v>1.12345892114658</v>
      </c>
      <c r="E5344">
        <v>0.86948190186985397</v>
      </c>
      <c r="F5344">
        <v>0.64811824925081596</v>
      </c>
      <c r="G5344">
        <v>0.44988894999256202</v>
      </c>
      <c r="H5344">
        <v>0.32495355108031998</v>
      </c>
      <c r="I5344">
        <v>0.30207452001123702</v>
      </c>
      <c r="J5344">
        <v>4.0393632534633801E-2</v>
      </c>
      <c r="K5344">
        <v>0.14209917940188399</v>
      </c>
      <c r="L5344">
        <v>747.36777099858102</v>
      </c>
      <c r="M5344">
        <v>14.224260175699101</v>
      </c>
      <c r="N5344">
        <v>53.263554031522197</v>
      </c>
      <c r="O5344">
        <v>51.536008792289202</v>
      </c>
      <c r="P5344">
        <v>-6.2960818636618898E-2</v>
      </c>
      <c r="Q5344">
        <v>8.7658473917419502E-2</v>
      </c>
      <c r="R5344">
        <v>0.95373237695021296</v>
      </c>
      <c r="S5344" t="s">
        <v>10895</v>
      </c>
      <c r="T5344" t="s">
        <v>11100</v>
      </c>
      <c r="U5344" t="s">
        <v>11100</v>
      </c>
      <c r="V5344" t="s">
        <v>11100</v>
      </c>
      <c r="W5344" t="s">
        <v>16390</v>
      </c>
      <c r="X5344">
        <v>4</v>
      </c>
      <c r="Y5344" t="s">
        <v>21807</v>
      </c>
      <c r="Z5344" t="s">
        <v>27349</v>
      </c>
      <c r="AA5344">
        <v>0.5780899399557019</v>
      </c>
      <c r="AB5344" t="str">
        <f>HYPERLINK("Melting_Curves/meltCurve_Q9UPY8_2_MAPRE3.pdf", "Melting_Curves/meltCurve_Q9UPY8_2_MAPRE3.pdf")</f>
        <v>Melting_Curves/meltCurve_Q9UPY8_2_MAPRE3.pdf</v>
      </c>
    </row>
    <row r="5345" spans="1:28" x14ac:dyDescent="0.25">
      <c r="A5345" t="s">
        <v>5349</v>
      </c>
      <c r="B5345">
        <v>0.99299721793515405</v>
      </c>
      <c r="C5345">
        <v>0.97688836337180496</v>
      </c>
      <c r="D5345">
        <v>0.96663250908245701</v>
      </c>
      <c r="E5345">
        <v>0.78949004805471901</v>
      </c>
      <c r="F5345">
        <v>0.65590011739238396</v>
      </c>
      <c r="G5345">
        <v>0.49487741635917998</v>
      </c>
      <c r="H5345">
        <v>0.328263065548421</v>
      </c>
      <c r="I5345">
        <v>0.133817493412938</v>
      </c>
      <c r="J5345">
        <v>6.14979651562573E-2</v>
      </c>
      <c r="K5345">
        <v>7.8106568686009598E-2</v>
      </c>
      <c r="L5345">
        <v>637.09929295860195</v>
      </c>
      <c r="M5345">
        <v>12.0114051567639</v>
      </c>
      <c r="N5345">
        <v>53.041196112102703</v>
      </c>
      <c r="O5345">
        <v>51.635155790286603</v>
      </c>
      <c r="P5345">
        <v>-5.81691384335132E-2</v>
      </c>
      <c r="Q5345">
        <v>0</v>
      </c>
      <c r="R5345">
        <v>0.99205733899925996</v>
      </c>
      <c r="S5345" t="s">
        <v>10896</v>
      </c>
      <c r="T5345" t="s">
        <v>11100</v>
      </c>
      <c r="U5345" t="s">
        <v>11100</v>
      </c>
      <c r="V5345" t="s">
        <v>11100</v>
      </c>
      <c r="W5345" t="s">
        <v>16391</v>
      </c>
      <c r="X5345">
        <v>4</v>
      </c>
      <c r="Y5345" t="s">
        <v>21808</v>
      </c>
      <c r="Z5345" t="s">
        <v>27350</v>
      </c>
      <c r="AA5345">
        <v>0.55565449566816028</v>
      </c>
      <c r="AB5345" t="str">
        <f>HYPERLINK("Melting_Curves/meltCurve_Q9UQ13_2_SHOC2.pdf", "Melting_Curves/meltCurve_Q9UQ13_2_SHOC2.pdf")</f>
        <v>Melting_Curves/meltCurve_Q9UQ13_2_SHOC2.pdf</v>
      </c>
    </row>
    <row r="5346" spans="1:28" x14ac:dyDescent="0.25">
      <c r="A5346" t="s">
        <v>5350</v>
      </c>
      <c r="B5346">
        <v>0.99299721793515405</v>
      </c>
      <c r="C5346">
        <v>0.94347551843962396</v>
      </c>
      <c r="D5346">
        <v>0.96613182113987695</v>
      </c>
      <c r="E5346">
        <v>0.88550005454216896</v>
      </c>
      <c r="F5346">
        <v>0.68399848124950202</v>
      </c>
      <c r="G5346">
        <v>0.477765232040465</v>
      </c>
      <c r="H5346">
        <v>0.39388990378614203</v>
      </c>
      <c r="I5346">
        <v>0.379648449617629</v>
      </c>
      <c r="J5346">
        <v>0.34087169217412799</v>
      </c>
      <c r="K5346">
        <v>0.30742889681385699</v>
      </c>
      <c r="L5346">
        <v>895.72470195452604</v>
      </c>
      <c r="M5346">
        <v>17.729586051782299</v>
      </c>
      <c r="N5346">
        <v>53.633136278888102</v>
      </c>
      <c r="O5346">
        <v>49.891863864954999</v>
      </c>
      <c r="P5346">
        <v>-6.0303190560502498E-2</v>
      </c>
      <c r="Q5346">
        <v>0.32125155381689002</v>
      </c>
      <c r="R5346">
        <v>0.99425887543073799</v>
      </c>
      <c r="S5346" t="s">
        <v>10897</v>
      </c>
      <c r="T5346" t="s">
        <v>11100</v>
      </c>
      <c r="U5346" t="s">
        <v>11100</v>
      </c>
      <c r="V5346" t="s">
        <v>11100</v>
      </c>
      <c r="W5346" t="s">
        <v>16392</v>
      </c>
      <c r="X5346">
        <v>20</v>
      </c>
      <c r="Y5346" t="s">
        <v>21809</v>
      </c>
      <c r="Z5346" t="s">
        <v>27351</v>
      </c>
      <c r="AA5346">
        <v>0.63804941099445367</v>
      </c>
      <c r="AB5346" t="str">
        <f>HYPERLINK("Melting_Curves/meltCurve_Q9UQ35_SRRM2.pdf", "Melting_Curves/meltCurve_Q9UQ35_SRRM2.pdf")</f>
        <v>Melting_Curves/meltCurve_Q9UQ35_SRRM2.pdf</v>
      </c>
    </row>
    <row r="5347" spans="1:28" x14ac:dyDescent="0.25">
      <c r="A5347" t="s">
        <v>5351</v>
      </c>
      <c r="B5347">
        <v>0.99299721793515405</v>
      </c>
      <c r="C5347">
        <v>0.92787381984837503</v>
      </c>
      <c r="D5347">
        <v>0.92496959799725798</v>
      </c>
      <c r="E5347">
        <v>0.96589257818590302</v>
      </c>
      <c r="F5347">
        <v>0.82766998102250899</v>
      </c>
      <c r="G5347">
        <v>0.40071202200559403</v>
      </c>
      <c r="H5347">
        <v>0.28484835579012902</v>
      </c>
      <c r="I5347">
        <v>0.20444404828241</v>
      </c>
      <c r="J5347">
        <v>7.8648037681831401E-2</v>
      </c>
      <c r="K5347">
        <v>6.90336203575177E-2</v>
      </c>
      <c r="L5347">
        <v>1110.2549447101201</v>
      </c>
      <c r="M5347">
        <v>20.9667494540255</v>
      </c>
      <c r="N5347">
        <v>53.459301149482798</v>
      </c>
      <c r="O5347">
        <v>52.478483475485199</v>
      </c>
      <c r="P5347">
        <v>-9.0892649115718094E-2</v>
      </c>
      <c r="Q5347">
        <v>9.0029749026090997E-2</v>
      </c>
      <c r="R5347">
        <v>0.98209002405162105</v>
      </c>
      <c r="S5347" t="s">
        <v>10898</v>
      </c>
      <c r="T5347" t="s">
        <v>11100</v>
      </c>
      <c r="U5347" t="s">
        <v>11100</v>
      </c>
      <c r="V5347" t="s">
        <v>11100</v>
      </c>
      <c r="W5347" t="s">
        <v>16393</v>
      </c>
      <c r="X5347">
        <v>1</v>
      </c>
      <c r="Y5347" t="s">
        <v>21810</v>
      </c>
      <c r="Z5347" t="s">
        <v>27352</v>
      </c>
      <c r="AA5347">
        <v>0.58462926536102655</v>
      </c>
      <c r="AB5347" t="str">
        <f>HYPERLINK("Melting_Curves/meltCurve_Q9UQ53_2_MGAT4B.pdf", "Melting_Curves/meltCurve_Q9UQ53_2_MGAT4B.pdf")</f>
        <v>Melting_Curves/meltCurve_Q9UQ53_2_MGAT4B.pdf</v>
      </c>
    </row>
    <row r="5348" spans="1:28" x14ac:dyDescent="0.25">
      <c r="A5348" t="s">
        <v>5352</v>
      </c>
      <c r="B5348">
        <v>0.99299721793515405</v>
      </c>
      <c r="C5348">
        <v>1.15263222448248</v>
      </c>
      <c r="D5348">
        <v>1.2060955909028801</v>
      </c>
      <c r="E5348">
        <v>0.97170111951168403</v>
      </c>
      <c r="F5348">
        <v>0.74257729345212697</v>
      </c>
      <c r="G5348">
        <v>0.32118927791023999</v>
      </c>
      <c r="H5348">
        <v>0.16206859536698401</v>
      </c>
      <c r="I5348">
        <v>0.13202672947850899</v>
      </c>
      <c r="J5348">
        <v>0.114601116246447</v>
      </c>
      <c r="K5348">
        <v>0.10202393127823101</v>
      </c>
      <c r="L5348">
        <v>1595.97472822291</v>
      </c>
      <c r="M5348">
        <v>30.8693227709506</v>
      </c>
      <c r="N5348">
        <v>52.142736793243301</v>
      </c>
      <c r="O5348">
        <v>51.4854792309701</v>
      </c>
      <c r="P5348">
        <v>-0.13264741370389299</v>
      </c>
      <c r="Q5348">
        <v>0.115059822382811</v>
      </c>
      <c r="R5348">
        <v>0.96579373964929505</v>
      </c>
      <c r="S5348" t="s">
        <v>10899</v>
      </c>
      <c r="T5348" t="s">
        <v>11100</v>
      </c>
      <c r="U5348" t="s">
        <v>11100</v>
      </c>
      <c r="V5348" t="s">
        <v>11100</v>
      </c>
      <c r="W5348" t="s">
        <v>16394</v>
      </c>
      <c r="X5348">
        <v>30</v>
      </c>
      <c r="Y5348" t="s">
        <v>21811</v>
      </c>
      <c r="Z5348" t="s">
        <v>27353</v>
      </c>
      <c r="AA5348">
        <v>0.55397522585193926</v>
      </c>
      <c r="AB5348" t="str">
        <f>HYPERLINK("Melting_Curves/meltCurve_Q9UQ80_PA2G4.pdf", "Melting_Curves/meltCurve_Q9UQ80_PA2G4.pdf")</f>
        <v>Melting_Curves/meltCurve_Q9UQ80_PA2G4.pdf</v>
      </c>
    </row>
    <row r="5349" spans="1:28" x14ac:dyDescent="0.25">
      <c r="A5349" t="s">
        <v>5353</v>
      </c>
      <c r="B5349">
        <v>0.99299721793515405</v>
      </c>
      <c r="C5349">
        <v>0.73581118416486802</v>
      </c>
      <c r="D5349">
        <v>0.65670180088605301</v>
      </c>
      <c r="E5349">
        <v>0.75123316219580405</v>
      </c>
      <c r="F5349">
        <v>0.60944464555585698</v>
      </c>
      <c r="G5349">
        <v>0.56844533176269696</v>
      </c>
      <c r="H5349">
        <v>0.28728451432592</v>
      </c>
      <c r="I5349">
        <v>0.26520193978221202</v>
      </c>
      <c r="J5349">
        <v>0.173423718424459</v>
      </c>
      <c r="K5349">
        <v>0.18951858737590899</v>
      </c>
      <c r="L5349">
        <v>314.093349104342</v>
      </c>
      <c r="M5349">
        <v>6.0588353862912099</v>
      </c>
      <c r="N5349">
        <v>51.840548359131802</v>
      </c>
      <c r="O5349">
        <v>47.042028622532897</v>
      </c>
      <c r="P5349">
        <v>-3.2299759521451497E-2</v>
      </c>
      <c r="Q5349">
        <v>0</v>
      </c>
      <c r="R5349">
        <v>0.89807062913463598</v>
      </c>
      <c r="S5349" t="s">
        <v>10900</v>
      </c>
      <c r="T5349" t="s">
        <v>11100</v>
      </c>
      <c r="U5349" t="s">
        <v>11100</v>
      </c>
      <c r="V5349" t="s">
        <v>11100</v>
      </c>
      <c r="W5349" t="s">
        <v>16395</v>
      </c>
      <c r="X5349">
        <v>2</v>
      </c>
      <c r="Y5349" t="s">
        <v>21812</v>
      </c>
      <c r="Z5349" t="s">
        <v>27354</v>
      </c>
      <c r="AA5349">
        <v>0.52445474271391834</v>
      </c>
      <c r="AB5349" t="str">
        <f>HYPERLINK("Melting_Curves/meltCurve_Q9UQ90_SPG7.pdf", "Melting_Curves/meltCurve_Q9UQ90_SPG7.pdf")</f>
        <v>Melting_Curves/meltCurve_Q9UQ90_SPG7.pdf</v>
      </c>
    </row>
    <row r="5350" spans="1:28" x14ac:dyDescent="0.25">
      <c r="A5350" t="s">
        <v>5354</v>
      </c>
      <c r="B5350">
        <v>0.99299721793515405</v>
      </c>
      <c r="C5350">
        <v>0.93102869134025201</v>
      </c>
      <c r="D5350">
        <v>0.93806231347501201</v>
      </c>
      <c r="E5350">
        <v>0.78302490790355195</v>
      </c>
      <c r="F5350">
        <v>0.65899082302082401</v>
      </c>
      <c r="G5350">
        <v>0.46547657171020002</v>
      </c>
      <c r="H5350">
        <v>0.35576718405930002</v>
      </c>
      <c r="I5350">
        <v>0.21865374885011901</v>
      </c>
      <c r="J5350">
        <v>0.186335157264434</v>
      </c>
      <c r="K5350">
        <v>0.15018012630685601</v>
      </c>
      <c r="L5350">
        <v>528.37172847811098</v>
      </c>
      <c r="M5350">
        <v>10.0017260631053</v>
      </c>
      <c r="N5350">
        <v>53.286976928776703</v>
      </c>
      <c r="O5350">
        <v>50.846448561777201</v>
      </c>
      <c r="P5350">
        <v>-4.7169740387385403E-2</v>
      </c>
      <c r="Q5350">
        <v>4.1266055887418301E-2</v>
      </c>
      <c r="R5350">
        <v>0.99669799027787498</v>
      </c>
      <c r="S5350" t="s">
        <v>10901</v>
      </c>
      <c r="T5350" t="s">
        <v>11100</v>
      </c>
      <c r="U5350" t="s">
        <v>11100</v>
      </c>
      <c r="V5350" t="s">
        <v>11100</v>
      </c>
      <c r="W5350" t="s">
        <v>16396</v>
      </c>
      <c r="X5350">
        <v>18</v>
      </c>
      <c r="Y5350" t="s">
        <v>21813</v>
      </c>
      <c r="Z5350" t="s">
        <v>27355</v>
      </c>
      <c r="AA5350">
        <v>0.56930170699443716</v>
      </c>
      <c r="AB5350" t="str">
        <f>HYPERLINK("Melting_Curves/meltCurve_Q9UQE7_SMC3.pdf", "Melting_Curves/meltCurve_Q9UQE7_SMC3.pdf")</f>
        <v>Melting_Curves/meltCurve_Q9UQE7_SMC3.pdf</v>
      </c>
    </row>
    <row r="5351" spans="1:28" x14ac:dyDescent="0.25">
      <c r="A5351" t="s">
        <v>5355</v>
      </c>
      <c r="B5351">
        <v>0.99299721793515405</v>
      </c>
      <c r="C5351">
        <v>0.98334227081986203</v>
      </c>
      <c r="D5351">
        <v>1.1205576124973899</v>
      </c>
      <c r="E5351">
        <v>0.88452146825515399</v>
      </c>
      <c r="F5351">
        <v>0.77861157039689999</v>
      </c>
      <c r="G5351">
        <v>0.58852973601771896</v>
      </c>
      <c r="H5351">
        <v>0.46633638354998802</v>
      </c>
      <c r="I5351">
        <v>0.53061584622058799</v>
      </c>
      <c r="J5351">
        <v>0.50374217100201002</v>
      </c>
      <c r="K5351">
        <v>0.37889620354115</v>
      </c>
      <c r="L5351">
        <v>1072.9848210089599</v>
      </c>
      <c r="M5351">
        <v>21.074869853429199</v>
      </c>
      <c r="N5351">
        <v>57.326741695808501</v>
      </c>
      <c r="O5351">
        <v>50.461244102570703</v>
      </c>
      <c r="P5351">
        <v>-5.7146902692704102E-2</v>
      </c>
      <c r="Q5351">
        <v>0.45268891581947102</v>
      </c>
      <c r="R5351">
        <v>0.94677570039928405</v>
      </c>
      <c r="S5351" t="s">
        <v>10902</v>
      </c>
      <c r="T5351" t="s">
        <v>11100</v>
      </c>
      <c r="U5351" t="s">
        <v>11100</v>
      </c>
      <c r="V5351" t="s">
        <v>11100</v>
      </c>
      <c r="W5351" t="s">
        <v>16397</v>
      </c>
      <c r="X5351">
        <v>14</v>
      </c>
      <c r="Y5351" t="s">
        <v>21814</v>
      </c>
      <c r="Z5351" t="s">
        <v>27356</v>
      </c>
      <c r="AA5351">
        <v>0.7130742585664881</v>
      </c>
      <c r="AB5351" t="str">
        <f>HYPERLINK("Melting_Curves/meltCurve_Q9UQN3_CHMP2B.pdf", "Melting_Curves/meltCurve_Q9UQN3_CHMP2B.pdf")</f>
        <v>Melting_Curves/meltCurve_Q9UQN3_CHMP2B.pdf</v>
      </c>
    </row>
    <row r="5352" spans="1:28" x14ac:dyDescent="0.25">
      <c r="A5352" t="s">
        <v>5356</v>
      </c>
      <c r="B5352">
        <v>0.99299721793515405</v>
      </c>
      <c r="C5352">
        <v>0.94873299325022897</v>
      </c>
      <c r="D5352">
        <v>1.09353212993666</v>
      </c>
      <c r="E5352">
        <v>0.68973780223346903</v>
      </c>
      <c r="F5352">
        <v>0.449052275002289</v>
      </c>
      <c r="G5352">
        <v>0.40259598555741499</v>
      </c>
      <c r="H5352">
        <v>0.237103731227536</v>
      </c>
      <c r="I5352">
        <v>0.136156456780306</v>
      </c>
      <c r="J5352">
        <v>8.7868380715963798E-2</v>
      </c>
      <c r="K5352">
        <v>0.13487430130377401</v>
      </c>
      <c r="L5352">
        <v>768.81964259057804</v>
      </c>
      <c r="M5352">
        <v>15.5117622274817</v>
      </c>
      <c r="N5352">
        <v>50.375284019743802</v>
      </c>
      <c r="O5352">
        <v>48.761830751887203</v>
      </c>
      <c r="P5352">
        <v>-7.0741188168927396E-2</v>
      </c>
      <c r="Q5352">
        <v>0.11056804424698401</v>
      </c>
      <c r="R5352">
        <v>0.96270004378803697</v>
      </c>
      <c r="S5352" t="s">
        <v>10903</v>
      </c>
      <c r="T5352" t="s">
        <v>11100</v>
      </c>
      <c r="U5352" t="s">
        <v>11100</v>
      </c>
      <c r="V5352" t="s">
        <v>11100</v>
      </c>
      <c r="W5352" t="s">
        <v>16398</v>
      </c>
      <c r="X5352">
        <v>4</v>
      </c>
      <c r="Y5352" t="s">
        <v>21815</v>
      </c>
      <c r="Z5352" t="s">
        <v>27357</v>
      </c>
      <c r="AA5352">
        <v>0.5009578562106477</v>
      </c>
      <c r="AB5352" t="str">
        <f>HYPERLINK("Melting_Curves/meltCurve_Q9UQR0_SCML2.pdf", "Melting_Curves/meltCurve_Q9UQR0_SCML2.pdf")</f>
        <v>Melting_Curves/meltCurve_Q9UQR0_SCML2.pdf</v>
      </c>
    </row>
    <row r="5353" spans="1:28" x14ac:dyDescent="0.25">
      <c r="A5353" t="s">
        <v>5357</v>
      </c>
      <c r="B5353">
        <v>0.99299721793515405</v>
      </c>
      <c r="C5353">
        <v>0.992418650183716</v>
      </c>
      <c r="D5353">
        <v>0.87013429580789003</v>
      </c>
      <c r="E5353">
        <v>0.92231241722085999</v>
      </c>
      <c r="F5353">
        <v>0.78375126364647996</v>
      </c>
      <c r="G5353">
        <v>0.39168338781831402</v>
      </c>
      <c r="H5353">
        <v>0.231161805273076</v>
      </c>
      <c r="I5353">
        <v>0.200373356957145</v>
      </c>
      <c r="J5353">
        <v>0.20175812875954299</v>
      </c>
      <c r="K5353">
        <v>0.136886293697357</v>
      </c>
      <c r="L5353">
        <v>1300.0643535373499</v>
      </c>
      <c r="M5353">
        <v>25.033633531874599</v>
      </c>
      <c r="N5353">
        <v>52.780567582252601</v>
      </c>
      <c r="O5353">
        <v>51.604713807435203</v>
      </c>
      <c r="P5353">
        <v>-0.10119936058843899</v>
      </c>
      <c r="Q5353">
        <v>0.165555543470008</v>
      </c>
      <c r="R5353">
        <v>0.98336780441369398</v>
      </c>
      <c r="S5353" t="s">
        <v>10904</v>
      </c>
      <c r="T5353" t="s">
        <v>11100</v>
      </c>
      <c r="U5353" t="s">
        <v>11100</v>
      </c>
      <c r="V5353" t="s">
        <v>11100</v>
      </c>
      <c r="W5353" t="s">
        <v>16399</v>
      </c>
      <c r="X5353">
        <v>6</v>
      </c>
      <c r="Y5353" t="s">
        <v>21816</v>
      </c>
      <c r="Z5353" t="s">
        <v>27358</v>
      </c>
      <c r="AA5353">
        <v>0.58827998978801943</v>
      </c>
      <c r="AB5353" t="str">
        <f>HYPERLINK("Melting_Curves/meltCurve_Q9Y217_MTMR6.pdf", "Melting_Curves/meltCurve_Q9Y217_MTMR6.pdf")</f>
        <v>Melting_Curves/meltCurve_Q9Y217_MTMR6.pdf</v>
      </c>
    </row>
    <row r="5354" spans="1:28" x14ac:dyDescent="0.25">
      <c r="A5354" t="s">
        <v>5358</v>
      </c>
      <c r="B5354">
        <v>0.99299721793515405</v>
      </c>
      <c r="C5354">
        <v>1.31288029751446</v>
      </c>
      <c r="D5354">
        <v>1.1253461872736801</v>
      </c>
      <c r="E5354">
        <v>1.1558020757654199</v>
      </c>
      <c r="F5354">
        <v>0.94979813450788597</v>
      </c>
      <c r="G5354">
        <v>0.69357439041240498</v>
      </c>
      <c r="H5354">
        <v>0.77311528055744705</v>
      </c>
      <c r="I5354">
        <v>0.73026854189870005</v>
      </c>
      <c r="J5354">
        <v>0.7094576151209</v>
      </c>
      <c r="K5354">
        <v>0.29770101888074102</v>
      </c>
      <c r="L5354">
        <v>644.45680870183298</v>
      </c>
      <c r="M5354">
        <v>9.8606991921366998</v>
      </c>
      <c r="N5354">
        <v>65.356096709747703</v>
      </c>
      <c r="O5354">
        <v>62.838361002189103</v>
      </c>
      <c r="P5354">
        <v>-3.9250531233193102E-2</v>
      </c>
      <c r="Q5354">
        <v>0</v>
      </c>
      <c r="R5354">
        <v>0.69542262617602801</v>
      </c>
      <c r="S5354" t="s">
        <v>10905</v>
      </c>
      <c r="T5354" t="s">
        <v>11100</v>
      </c>
      <c r="U5354" t="s">
        <v>11100</v>
      </c>
      <c r="V5354" t="s">
        <v>11100</v>
      </c>
      <c r="W5354" t="s">
        <v>16400</v>
      </c>
      <c r="X5354">
        <v>7</v>
      </c>
      <c r="Y5354" t="s">
        <v>21817</v>
      </c>
      <c r="Z5354" t="s">
        <v>27359</v>
      </c>
      <c r="AA5354">
        <v>0.84590907024302298</v>
      </c>
      <c r="AB5354" t="str">
        <f>HYPERLINK("Melting_Curves/meltCurve_Q9Y224_C14orf166.pdf", "Melting_Curves/meltCurve_Q9Y224_C14orf166.pdf")</f>
        <v>Melting_Curves/meltCurve_Q9Y224_C14orf166.pdf</v>
      </c>
    </row>
    <row r="5355" spans="1:28" x14ac:dyDescent="0.25">
      <c r="A5355" t="s">
        <v>5359</v>
      </c>
      <c r="B5355">
        <v>0.99299721793515405</v>
      </c>
      <c r="C5355">
        <v>0.918252842155309</v>
      </c>
      <c r="D5355">
        <v>0.91590081977825699</v>
      </c>
      <c r="E5355">
        <v>0.81069360639508703</v>
      </c>
      <c r="F5355">
        <v>0.73758429523521396</v>
      </c>
      <c r="G5355">
        <v>0.94069268824704499</v>
      </c>
      <c r="H5355">
        <v>1.5775108732263801</v>
      </c>
      <c r="I5355">
        <v>1.64154737598347</v>
      </c>
      <c r="J5355">
        <v>1.3176156729981701</v>
      </c>
      <c r="K5355">
        <v>0.65109379209658103</v>
      </c>
      <c r="L5355">
        <v>4982.3461475396798</v>
      </c>
      <c r="M5355">
        <v>90.366078213520893</v>
      </c>
      <c r="O5355">
        <v>55.108164117155098</v>
      </c>
      <c r="P5355">
        <v>0.121406310623094</v>
      </c>
      <c r="Q5355">
        <v>1.2961499302637001</v>
      </c>
      <c r="R5355">
        <v>0.29916881956749403</v>
      </c>
      <c r="S5355" t="s">
        <v>10906</v>
      </c>
      <c r="T5355" t="s">
        <v>11100</v>
      </c>
      <c r="U5355" t="s">
        <v>11100</v>
      </c>
      <c r="V5355" t="s">
        <v>11100</v>
      </c>
      <c r="W5355" t="s">
        <v>16401</v>
      </c>
      <c r="X5355">
        <v>35</v>
      </c>
      <c r="Y5355" t="s">
        <v>21818</v>
      </c>
      <c r="Z5355" t="s">
        <v>27360</v>
      </c>
      <c r="AA5355">
        <v>1.1169062949901301</v>
      </c>
      <c r="AB5355" t="str">
        <f>HYPERLINK("Melting_Curves/meltCurve_Q9Y230_RUVBL2.pdf", "Melting_Curves/meltCurve_Q9Y230_RUVBL2.pdf")</f>
        <v>Melting_Curves/meltCurve_Q9Y230_RUVBL2.pdf</v>
      </c>
    </row>
    <row r="5356" spans="1:28" x14ac:dyDescent="0.25">
      <c r="A5356" t="s">
        <v>5360</v>
      </c>
      <c r="B5356">
        <v>0.99299721793515405</v>
      </c>
      <c r="C5356">
        <v>0.96164780037891795</v>
      </c>
      <c r="D5356">
        <v>0.995202365850682</v>
      </c>
      <c r="E5356">
        <v>0.89458320287648596</v>
      </c>
      <c r="F5356">
        <v>0.77877603116060101</v>
      </c>
      <c r="G5356">
        <v>0.55657416135168603</v>
      </c>
      <c r="H5356">
        <v>0.41861980318084102</v>
      </c>
      <c r="I5356">
        <v>0.40037288096936502</v>
      </c>
      <c r="J5356">
        <v>0.364624652381005</v>
      </c>
      <c r="K5356">
        <v>0.32136624256517499</v>
      </c>
      <c r="L5356">
        <v>881.17029911576606</v>
      </c>
      <c r="M5356">
        <v>16.976555648681401</v>
      </c>
      <c r="N5356">
        <v>55.352616117521897</v>
      </c>
      <c r="O5356">
        <v>51.200965337126298</v>
      </c>
      <c r="P5356">
        <v>-5.5846795342028403E-2</v>
      </c>
      <c r="Q5356">
        <v>0.32631042324101001</v>
      </c>
      <c r="R5356">
        <v>0.99468064065513995</v>
      </c>
      <c r="S5356" t="s">
        <v>10907</v>
      </c>
      <c r="T5356" t="s">
        <v>11100</v>
      </c>
      <c r="U5356" t="s">
        <v>11100</v>
      </c>
      <c r="V5356" t="s">
        <v>11100</v>
      </c>
      <c r="W5356" t="s">
        <v>16402</v>
      </c>
      <c r="X5356">
        <v>13</v>
      </c>
      <c r="Y5356" t="s">
        <v>21819</v>
      </c>
      <c r="Z5356" t="s">
        <v>27361</v>
      </c>
      <c r="AA5356">
        <v>0.67211184323033613</v>
      </c>
      <c r="AB5356" t="str">
        <f>HYPERLINK("Melting_Curves/meltCurve_Q9Y237_PIN4.pdf", "Melting_Curves/meltCurve_Q9Y237_PIN4.pdf")</f>
        <v>Melting_Curves/meltCurve_Q9Y237_PIN4.pdf</v>
      </c>
    </row>
    <row r="5357" spans="1:28" x14ac:dyDescent="0.25">
      <c r="A5357" t="s">
        <v>5361</v>
      </c>
      <c r="B5357">
        <v>0.99299721793515405</v>
      </c>
      <c r="C5357">
        <v>1.0186573272092501</v>
      </c>
      <c r="D5357">
        <v>0.839749337113183</v>
      </c>
      <c r="E5357">
        <v>0.88133041532471301</v>
      </c>
      <c r="F5357">
        <v>0.56012353022317796</v>
      </c>
      <c r="G5357">
        <v>0.53631127875065598</v>
      </c>
      <c r="H5357">
        <v>0.31418864459012802</v>
      </c>
      <c r="I5357">
        <v>0.15283586654245099</v>
      </c>
      <c r="J5357">
        <v>9.1803986861856507E-2</v>
      </c>
      <c r="K5357">
        <v>0.13705206179672</v>
      </c>
      <c r="L5357">
        <v>568.04653428279698</v>
      </c>
      <c r="M5357">
        <v>10.7240618314142</v>
      </c>
      <c r="N5357">
        <v>52.9693633134859</v>
      </c>
      <c r="O5357">
        <v>51.227161679550598</v>
      </c>
      <c r="P5357">
        <v>-5.23552913574701E-2</v>
      </c>
      <c r="Q5357">
        <v>0</v>
      </c>
      <c r="R5357">
        <v>0.973011663854225</v>
      </c>
      <c r="S5357" t="s">
        <v>10908</v>
      </c>
      <c r="T5357" t="s">
        <v>11100</v>
      </c>
      <c r="U5357" t="s">
        <v>11100</v>
      </c>
      <c r="V5357" t="s">
        <v>11100</v>
      </c>
      <c r="W5357" t="s">
        <v>16403</v>
      </c>
      <c r="X5357">
        <v>1</v>
      </c>
      <c r="Y5357" t="s">
        <v>21820</v>
      </c>
      <c r="Z5357" t="s">
        <v>27362</v>
      </c>
      <c r="AA5357">
        <v>0.55449196717997074</v>
      </c>
      <c r="AB5357" t="str">
        <f>HYPERLINK("Melting_Curves/meltCurve_Q9Y242_TCF19.pdf", "Melting_Curves/meltCurve_Q9Y242_TCF19.pdf")</f>
        <v>Melting_Curves/meltCurve_Q9Y242_TCF19.pdf</v>
      </c>
    </row>
    <row r="5358" spans="1:28" x14ac:dyDescent="0.25">
      <c r="A5358" t="s">
        <v>5362</v>
      </c>
      <c r="B5358">
        <v>0.99299721793515405</v>
      </c>
      <c r="C5358">
        <v>0.96798572651422299</v>
      </c>
      <c r="D5358">
        <v>0.84086513988885803</v>
      </c>
      <c r="E5358">
        <v>0.79228396140841995</v>
      </c>
      <c r="F5358">
        <v>0.70241673226026502</v>
      </c>
      <c r="G5358">
        <v>0.51161816549062</v>
      </c>
      <c r="H5358">
        <v>0.41276277253966298</v>
      </c>
      <c r="I5358">
        <v>0.197341454940623</v>
      </c>
      <c r="J5358">
        <v>9.8835167651904504E-2</v>
      </c>
      <c r="K5358">
        <v>8.0833974060694994E-2</v>
      </c>
      <c r="L5358">
        <v>546.40997353540104</v>
      </c>
      <c r="M5358">
        <v>10.179411287202599</v>
      </c>
      <c r="N5358">
        <v>53.6779547661245</v>
      </c>
      <c r="O5358">
        <v>51.730011117299298</v>
      </c>
      <c r="P5358">
        <v>-4.9217255993617301E-2</v>
      </c>
      <c r="Q5358">
        <v>0</v>
      </c>
      <c r="R5358">
        <v>0.98109436331748701</v>
      </c>
      <c r="S5358" t="s">
        <v>10909</v>
      </c>
      <c r="T5358" t="s">
        <v>11100</v>
      </c>
      <c r="U5358" t="s">
        <v>11100</v>
      </c>
      <c r="V5358" t="s">
        <v>11100</v>
      </c>
      <c r="W5358" t="s">
        <v>16404</v>
      </c>
      <c r="X5358">
        <v>5</v>
      </c>
      <c r="Y5358" t="s">
        <v>21821</v>
      </c>
      <c r="Z5358" t="s">
        <v>27363</v>
      </c>
      <c r="AA5358">
        <v>0.57518802824961213</v>
      </c>
      <c r="AB5358" t="str">
        <f>HYPERLINK("Melting_Curves/meltCurve_Q9Y243_2_AKT3.pdf", "Melting_Curves/meltCurve_Q9Y243_2_AKT3.pdf")</f>
        <v>Melting_Curves/meltCurve_Q9Y243_2_AKT3.pdf</v>
      </c>
    </row>
    <row r="5359" spans="1:28" x14ac:dyDescent="0.25">
      <c r="A5359" t="s">
        <v>5363</v>
      </c>
      <c r="B5359">
        <v>0.99299721793515405</v>
      </c>
      <c r="C5359">
        <v>0.96937290343247495</v>
      </c>
      <c r="D5359">
        <v>0.89606993680218305</v>
      </c>
      <c r="E5359">
        <v>0.86879953792526299</v>
      </c>
      <c r="F5359">
        <v>0.75555879303011897</v>
      </c>
      <c r="G5359">
        <v>0.42819353902513901</v>
      </c>
      <c r="H5359">
        <v>0.241421175968389</v>
      </c>
      <c r="I5359">
        <v>0.19310016082544301</v>
      </c>
      <c r="J5359">
        <v>0.17151606339047701</v>
      </c>
      <c r="K5359">
        <v>0.11040263991804</v>
      </c>
      <c r="L5359">
        <v>847.480600365437</v>
      </c>
      <c r="M5359">
        <v>16.200576920786801</v>
      </c>
      <c r="N5359">
        <v>53.037963302401103</v>
      </c>
      <c r="O5359">
        <v>51.534173849026899</v>
      </c>
      <c r="P5359">
        <v>-7.0779144369408006E-2</v>
      </c>
      <c r="Q5359">
        <v>9.9471002752270596E-2</v>
      </c>
      <c r="R5359">
        <v>0.98907598778280403</v>
      </c>
      <c r="S5359" t="s">
        <v>10910</v>
      </c>
      <c r="T5359" t="s">
        <v>11100</v>
      </c>
      <c r="U5359" t="s">
        <v>11100</v>
      </c>
      <c r="V5359" t="s">
        <v>11100</v>
      </c>
      <c r="W5359" t="s">
        <v>16405</v>
      </c>
      <c r="X5359">
        <v>6</v>
      </c>
      <c r="Y5359" t="s">
        <v>21822</v>
      </c>
      <c r="Z5359" t="s">
        <v>27364</v>
      </c>
      <c r="AA5359">
        <v>0.57455169349870439</v>
      </c>
      <c r="AB5359" t="str">
        <f>HYPERLINK("Melting_Curves/meltCurve_Q9Y248_GINS2.pdf", "Melting_Curves/meltCurve_Q9Y248_GINS2.pdf")</f>
        <v>Melting_Curves/meltCurve_Q9Y248_GINS2.pdf</v>
      </c>
    </row>
    <row r="5360" spans="1:28" x14ac:dyDescent="0.25">
      <c r="A5360" t="s">
        <v>5364</v>
      </c>
      <c r="B5360">
        <v>0.99299721793515405</v>
      </c>
      <c r="C5360">
        <v>0.85139471526421096</v>
      </c>
      <c r="D5360">
        <v>1.4625352941433101</v>
      </c>
      <c r="E5360">
        <v>1.03270012658949</v>
      </c>
      <c r="F5360">
        <v>0.68644845005995303</v>
      </c>
      <c r="G5360">
        <v>0.95416409715630501</v>
      </c>
      <c r="H5360">
        <v>0.38868670683418699</v>
      </c>
      <c r="I5360">
        <v>0.25977851045999001</v>
      </c>
      <c r="J5360">
        <v>0.14214764786723499</v>
      </c>
      <c r="K5360">
        <v>0.13989077288422999</v>
      </c>
      <c r="L5360">
        <v>2603.0264096546198</v>
      </c>
      <c r="M5360">
        <v>46.2342758516861</v>
      </c>
      <c r="N5360">
        <v>56.800562761213598</v>
      </c>
      <c r="O5360">
        <v>56.1957693979735</v>
      </c>
      <c r="P5360">
        <v>-0.17131204355959401</v>
      </c>
      <c r="Q5360">
        <v>0.16711137209792901</v>
      </c>
      <c r="R5360">
        <v>0.80784043743695699</v>
      </c>
      <c r="S5360" t="s">
        <v>10911</v>
      </c>
      <c r="T5360" t="s">
        <v>11100</v>
      </c>
      <c r="U5360" t="s">
        <v>11100</v>
      </c>
      <c r="V5360" t="s">
        <v>11100</v>
      </c>
      <c r="W5360" t="s">
        <v>16406</v>
      </c>
      <c r="X5360">
        <v>2</v>
      </c>
      <c r="Y5360" t="s">
        <v>21823</v>
      </c>
      <c r="Z5360" t="s">
        <v>27365</v>
      </c>
      <c r="AA5360">
        <v>0.7053484192697701</v>
      </c>
      <c r="AB5360" t="str">
        <f>HYPERLINK("Melting_Curves/meltCurve_Q9Y255_PRELID1.pdf", "Melting_Curves/meltCurve_Q9Y255_PRELID1.pdf")</f>
        <v>Melting_Curves/meltCurve_Q9Y255_PRELID1.pdf</v>
      </c>
    </row>
    <row r="5361" spans="1:28" x14ac:dyDescent="0.25">
      <c r="A5361" t="s">
        <v>5365</v>
      </c>
      <c r="B5361">
        <v>0.99299721793515405</v>
      </c>
      <c r="C5361">
        <v>1.0537901885737</v>
      </c>
      <c r="D5361">
        <v>0.91219308239081698</v>
      </c>
      <c r="E5361">
        <v>0.88078426464458304</v>
      </c>
      <c r="F5361">
        <v>0.72050856174826905</v>
      </c>
      <c r="G5361">
        <v>0.30553443329220498</v>
      </c>
      <c r="H5361">
        <v>0.19866030566870199</v>
      </c>
      <c r="I5361">
        <v>0.178350796206666</v>
      </c>
      <c r="J5361">
        <v>0.169885732176112</v>
      </c>
      <c r="K5361">
        <v>0.143232206984239</v>
      </c>
      <c r="L5361">
        <v>1286.4801914421801</v>
      </c>
      <c r="M5361">
        <v>25.145983049199501</v>
      </c>
      <c r="N5361">
        <v>51.897474725198997</v>
      </c>
      <c r="O5361">
        <v>50.840216687659797</v>
      </c>
      <c r="P5361">
        <v>-0.105087074529785</v>
      </c>
      <c r="Q5361">
        <v>0.15015011421039801</v>
      </c>
      <c r="R5361">
        <v>0.98806769580397902</v>
      </c>
      <c r="S5361" t="s">
        <v>10912</v>
      </c>
      <c r="T5361" t="s">
        <v>11100</v>
      </c>
      <c r="U5361" t="s">
        <v>11100</v>
      </c>
      <c r="V5361" t="s">
        <v>11100</v>
      </c>
      <c r="W5361" t="s">
        <v>16407</v>
      </c>
      <c r="X5361">
        <v>17</v>
      </c>
      <c r="Y5361" t="s">
        <v>21824</v>
      </c>
      <c r="Z5361" t="s">
        <v>27366</v>
      </c>
      <c r="AA5361">
        <v>0.55871756022825947</v>
      </c>
      <c r="AB5361" t="str">
        <f>HYPERLINK("Melting_Curves/meltCurve_Q9Y263_PLAA.pdf", "Melting_Curves/meltCurve_Q9Y263_PLAA.pdf")</f>
        <v>Melting_Curves/meltCurve_Q9Y263_PLAA.pdf</v>
      </c>
    </row>
    <row r="5362" spans="1:28" x14ac:dyDescent="0.25">
      <c r="A5362" t="s">
        <v>5366</v>
      </c>
      <c r="B5362">
        <v>0.99299721793515405</v>
      </c>
      <c r="C5362">
        <v>0.95680983510089002</v>
      </c>
      <c r="D5362">
        <v>0.87197916167572598</v>
      </c>
      <c r="E5362">
        <v>0.86845463933934597</v>
      </c>
      <c r="F5362">
        <v>0.77522880928267401</v>
      </c>
      <c r="G5362">
        <v>1.17902056642798</v>
      </c>
      <c r="H5362">
        <v>2.1339753242631301</v>
      </c>
      <c r="I5362">
        <v>2.2640494480128099</v>
      </c>
      <c r="J5362">
        <v>1.7661603850387999</v>
      </c>
      <c r="K5362">
        <v>0.87673324615869996</v>
      </c>
      <c r="L5362">
        <v>13481.4122279028</v>
      </c>
      <c r="M5362">
        <v>250</v>
      </c>
      <c r="O5362">
        <v>53.922198010098697</v>
      </c>
      <c r="P5362">
        <v>0.579538690550786</v>
      </c>
      <c r="Q5362">
        <v>1.5</v>
      </c>
      <c r="R5362">
        <v>0.46890261910469599</v>
      </c>
      <c r="S5362" t="s">
        <v>10913</v>
      </c>
      <c r="T5362" t="s">
        <v>11100</v>
      </c>
      <c r="U5362" t="s">
        <v>11100</v>
      </c>
      <c r="V5362" t="s">
        <v>11100</v>
      </c>
      <c r="W5362" t="s">
        <v>16408</v>
      </c>
      <c r="X5362">
        <v>28</v>
      </c>
      <c r="Y5362" t="s">
        <v>21825</v>
      </c>
      <c r="Z5362" t="s">
        <v>27367</v>
      </c>
      <c r="AA5362">
        <v>1.217858532135861</v>
      </c>
      <c r="AB5362" t="str">
        <f>HYPERLINK("Melting_Curves/meltCurve_Q9Y265_RUVBL1.pdf", "Melting_Curves/meltCurve_Q9Y265_RUVBL1.pdf")</f>
        <v>Melting_Curves/meltCurve_Q9Y265_RUVBL1.pdf</v>
      </c>
    </row>
    <row r="5363" spans="1:28" x14ac:dyDescent="0.25">
      <c r="A5363" t="s">
        <v>5367</v>
      </c>
      <c r="B5363">
        <v>0.99299721793515405</v>
      </c>
      <c r="C5363">
        <v>0.93543161112099504</v>
      </c>
      <c r="D5363">
        <v>0.94012891344224703</v>
      </c>
      <c r="E5363">
        <v>0.82481553658172901</v>
      </c>
      <c r="F5363">
        <v>0.715789060773519</v>
      </c>
      <c r="G5363">
        <v>0.51286814882982201</v>
      </c>
      <c r="H5363">
        <v>0.26658949269492299</v>
      </c>
      <c r="I5363">
        <v>0.139916359221429</v>
      </c>
      <c r="J5363">
        <v>0.12775353756512001</v>
      </c>
      <c r="K5363">
        <v>0.10437441041263799</v>
      </c>
      <c r="L5363">
        <v>656.22725837063399</v>
      </c>
      <c r="M5363">
        <v>12.2908119248508</v>
      </c>
      <c r="N5363">
        <v>53.413727003462903</v>
      </c>
      <c r="O5363">
        <v>52.037318581045703</v>
      </c>
      <c r="P5363">
        <v>-5.89116848984238E-2</v>
      </c>
      <c r="Q5363">
        <v>2.5286599424298398E-3</v>
      </c>
      <c r="R5363">
        <v>0.99254528612271498</v>
      </c>
      <c r="S5363" t="s">
        <v>10914</v>
      </c>
      <c r="T5363" t="s">
        <v>11100</v>
      </c>
      <c r="U5363" t="s">
        <v>11100</v>
      </c>
      <c r="V5363" t="s">
        <v>11100</v>
      </c>
      <c r="W5363" t="s">
        <v>16409</v>
      </c>
      <c r="X5363">
        <v>34</v>
      </c>
      <c r="Y5363" t="s">
        <v>21826</v>
      </c>
      <c r="Z5363" t="s">
        <v>27368</v>
      </c>
      <c r="AA5363">
        <v>0.5671874105761352</v>
      </c>
      <c r="AB5363" t="str">
        <f>HYPERLINK("Melting_Curves/meltCurve_Q9Y266_NUDC.pdf", "Melting_Curves/meltCurve_Q9Y266_NUDC.pdf")</f>
        <v>Melting_Curves/meltCurve_Q9Y266_NUDC.pdf</v>
      </c>
    </row>
    <row r="5364" spans="1:28" x14ac:dyDescent="0.25">
      <c r="A5364" t="s">
        <v>5368</v>
      </c>
      <c r="B5364">
        <v>0.99299721793515405</v>
      </c>
      <c r="C5364">
        <v>0.92650593836787498</v>
      </c>
      <c r="D5364">
        <v>0.97903838035486601</v>
      </c>
      <c r="E5364">
        <v>0.93529204448655701</v>
      </c>
      <c r="F5364">
        <v>0.69814326271347205</v>
      </c>
      <c r="G5364">
        <v>0.68764201108428902</v>
      </c>
      <c r="H5364">
        <v>0.94989761682973095</v>
      </c>
      <c r="I5364">
        <v>0.44727139944609901</v>
      </c>
      <c r="J5364">
        <v>0.208903679149927</v>
      </c>
      <c r="K5364">
        <v>0.15858794909882901</v>
      </c>
      <c r="L5364">
        <v>746.84102753230695</v>
      </c>
      <c r="M5364">
        <v>12.428374459849801</v>
      </c>
      <c r="N5364">
        <v>60.091609738435302</v>
      </c>
      <c r="O5364">
        <v>58.599455768457901</v>
      </c>
      <c r="P5364">
        <v>-5.3033708244607999E-2</v>
      </c>
      <c r="Q5364">
        <v>0</v>
      </c>
      <c r="R5364">
        <v>0.80554525225561802</v>
      </c>
      <c r="S5364" t="s">
        <v>10915</v>
      </c>
      <c r="T5364" t="s">
        <v>11100</v>
      </c>
      <c r="U5364" t="s">
        <v>11100</v>
      </c>
      <c r="V5364" t="s">
        <v>11100</v>
      </c>
      <c r="W5364" t="s">
        <v>16410</v>
      </c>
      <c r="X5364">
        <v>6</v>
      </c>
      <c r="Y5364" t="s">
        <v>21827</v>
      </c>
      <c r="Z5364" t="s">
        <v>27369</v>
      </c>
      <c r="AA5364">
        <v>0.75442979594055048</v>
      </c>
      <c r="AB5364" t="str">
        <f>HYPERLINK("Melting_Curves/meltCurve_Q9Y276_BCS1L.pdf", "Melting_Curves/meltCurve_Q9Y276_BCS1L.pdf")</f>
        <v>Melting_Curves/meltCurve_Q9Y276_BCS1L.pdf</v>
      </c>
    </row>
    <row r="5365" spans="1:28" x14ac:dyDescent="0.25">
      <c r="A5365" t="s">
        <v>5369</v>
      </c>
      <c r="B5365">
        <v>0.99299721793515405</v>
      </c>
      <c r="C5365">
        <v>1.12404326008815</v>
      </c>
      <c r="D5365">
        <v>0.93060037851073196</v>
      </c>
      <c r="E5365">
        <v>0.88583021124600902</v>
      </c>
      <c r="F5365">
        <v>0.74141430319059298</v>
      </c>
      <c r="G5365">
        <v>0.58791746481860396</v>
      </c>
      <c r="H5365">
        <v>0.74105409622291296</v>
      </c>
      <c r="I5365">
        <v>0.904535432500717</v>
      </c>
      <c r="J5365">
        <v>1.0160305803929399</v>
      </c>
      <c r="K5365">
        <v>1.06358737352313</v>
      </c>
      <c r="L5365">
        <v>10757.1615314671</v>
      </c>
      <c r="M5365">
        <v>250</v>
      </c>
      <c r="O5365">
        <v>43.025892040084699</v>
      </c>
      <c r="P5365">
        <v>-0.21989054514954101</v>
      </c>
      <c r="Q5365">
        <v>0.848624208584985</v>
      </c>
      <c r="R5365">
        <v>0.25323133864356601</v>
      </c>
      <c r="S5365" t="s">
        <v>10916</v>
      </c>
      <c r="T5365" t="s">
        <v>11100</v>
      </c>
      <c r="U5365" t="s">
        <v>11100</v>
      </c>
      <c r="V5365" t="s">
        <v>11100</v>
      </c>
      <c r="W5365" t="s">
        <v>16411</v>
      </c>
      <c r="X5365">
        <v>8</v>
      </c>
      <c r="Y5365" t="s">
        <v>21828</v>
      </c>
      <c r="Z5365" t="s">
        <v>27370</v>
      </c>
      <c r="AA5365">
        <v>0.87905534228345072</v>
      </c>
      <c r="AB5365" t="str">
        <f>HYPERLINK("Melting_Curves/meltCurve_Q9Y277_VDAC3.pdf", "Melting_Curves/meltCurve_Q9Y277_VDAC3.pdf")</f>
        <v>Melting_Curves/meltCurve_Q9Y277_VDAC3.pdf</v>
      </c>
    </row>
    <row r="5366" spans="1:28" x14ac:dyDescent="0.25">
      <c r="A5366" t="s">
        <v>5370</v>
      </c>
      <c r="B5366">
        <v>0.99299721793515405</v>
      </c>
      <c r="C5366">
        <v>0.98577540209733305</v>
      </c>
      <c r="D5366">
        <v>0.86904939078257404</v>
      </c>
      <c r="E5366">
        <v>0.816470067967901</v>
      </c>
      <c r="F5366">
        <v>0.70960217053941299</v>
      </c>
      <c r="G5366">
        <v>0.56947584547382202</v>
      </c>
      <c r="H5366">
        <v>0.426859944368424</v>
      </c>
      <c r="I5366">
        <v>0.33130458356658399</v>
      </c>
      <c r="J5366">
        <v>0.179185243333296</v>
      </c>
      <c r="K5366">
        <v>0.12399200157896099</v>
      </c>
      <c r="L5366">
        <v>494.09032140149998</v>
      </c>
      <c r="M5366">
        <v>8.9807791305252902</v>
      </c>
      <c r="N5366">
        <v>55.016420525212197</v>
      </c>
      <c r="O5366">
        <v>52.493953291618801</v>
      </c>
      <c r="P5366">
        <v>-4.2801856315032798E-2</v>
      </c>
      <c r="Q5366">
        <v>0</v>
      </c>
      <c r="R5366">
        <v>0.98994092497226105</v>
      </c>
      <c r="S5366" t="s">
        <v>10917</v>
      </c>
      <c r="T5366" t="s">
        <v>11100</v>
      </c>
      <c r="U5366" t="s">
        <v>11100</v>
      </c>
      <c r="V5366" t="s">
        <v>11100</v>
      </c>
      <c r="W5366" t="s">
        <v>16412</v>
      </c>
      <c r="X5366">
        <v>13</v>
      </c>
      <c r="Y5366" t="s">
        <v>21829</v>
      </c>
      <c r="Z5366" t="s">
        <v>27371</v>
      </c>
      <c r="AA5366">
        <v>0.61040922759948224</v>
      </c>
      <c r="AB5366" t="str">
        <f>HYPERLINK("Melting_Curves/meltCurve_Q9Y281_CFL2.pdf", "Melting_Curves/meltCurve_Q9Y281_CFL2.pdf")</f>
        <v>Melting_Curves/meltCurve_Q9Y281_CFL2.pdf</v>
      </c>
    </row>
    <row r="5367" spans="1:28" x14ac:dyDescent="0.25">
      <c r="A5367" t="s">
        <v>5371</v>
      </c>
      <c r="B5367">
        <v>0.99299721793515405</v>
      </c>
      <c r="C5367">
        <v>1.0455214021079</v>
      </c>
      <c r="D5367">
        <v>0.91591966704721095</v>
      </c>
      <c r="E5367">
        <v>0.84519287205829197</v>
      </c>
      <c r="F5367">
        <v>0.79063954170912099</v>
      </c>
      <c r="G5367">
        <v>0.58673811439669499</v>
      </c>
      <c r="H5367">
        <v>0.65784043898368805</v>
      </c>
      <c r="I5367">
        <v>0.71160123349736903</v>
      </c>
      <c r="J5367">
        <v>0.69545670863579701</v>
      </c>
      <c r="K5367">
        <v>0.52755164006956401</v>
      </c>
      <c r="L5367">
        <v>813.34336046853196</v>
      </c>
      <c r="M5367">
        <v>17.0462403109136</v>
      </c>
      <c r="O5367">
        <v>47.0718038267702</v>
      </c>
      <c r="P5367">
        <v>-3.3764423320398397E-2</v>
      </c>
      <c r="Q5367">
        <v>0.62707198501010397</v>
      </c>
      <c r="R5367">
        <v>0.86748756950971295</v>
      </c>
      <c r="S5367" t="s">
        <v>10918</v>
      </c>
      <c r="T5367" t="s">
        <v>11100</v>
      </c>
      <c r="U5367" t="s">
        <v>11100</v>
      </c>
      <c r="V5367" t="s">
        <v>11100</v>
      </c>
      <c r="W5367" t="s">
        <v>16413</v>
      </c>
      <c r="X5367">
        <v>2</v>
      </c>
      <c r="Y5367" t="s">
        <v>21830</v>
      </c>
      <c r="Z5367" t="s">
        <v>27372</v>
      </c>
      <c r="AA5367">
        <v>0.7668506896703069</v>
      </c>
      <c r="AB5367" t="str">
        <f>HYPERLINK("Melting_Curves/meltCurve_Q9Y289_SLC5A6.pdf", "Melting_Curves/meltCurve_Q9Y289_SLC5A6.pdf")</f>
        <v>Melting_Curves/meltCurve_Q9Y289_SLC5A6.pdf</v>
      </c>
    </row>
    <row r="5368" spans="1:28" x14ac:dyDescent="0.25">
      <c r="A5368" t="s">
        <v>5372</v>
      </c>
      <c r="B5368">
        <v>0.99299721793515405</v>
      </c>
      <c r="C5368">
        <v>0.92248452903876399</v>
      </c>
      <c r="D5368">
        <v>0.83107677107426303</v>
      </c>
      <c r="E5368">
        <v>0.74565215706023802</v>
      </c>
      <c r="F5368">
        <v>0.56259449438759801</v>
      </c>
      <c r="G5368">
        <v>0.44536391134875702</v>
      </c>
      <c r="H5368">
        <v>0.28296278069548803</v>
      </c>
      <c r="I5368">
        <v>0.14827703276450499</v>
      </c>
      <c r="J5368">
        <v>9.1455993752739898E-2</v>
      </c>
      <c r="K5368">
        <v>9.5925645464207995E-2</v>
      </c>
      <c r="L5368">
        <v>499.39757371122801</v>
      </c>
      <c r="M5368">
        <v>9.6903818321476507</v>
      </c>
      <c r="N5368">
        <v>51.535386462976597</v>
      </c>
      <c r="O5368">
        <v>49.484264696117698</v>
      </c>
      <c r="P5368">
        <v>-4.8983734863488601E-2</v>
      </c>
      <c r="Q5368">
        <v>0</v>
      </c>
      <c r="R5368">
        <v>0.99327989986719101</v>
      </c>
      <c r="S5368" t="s">
        <v>10919</v>
      </c>
      <c r="T5368" t="s">
        <v>11100</v>
      </c>
      <c r="U5368" t="s">
        <v>11100</v>
      </c>
      <c r="V5368" t="s">
        <v>11100</v>
      </c>
      <c r="W5368" t="s">
        <v>16414</v>
      </c>
      <c r="X5368">
        <v>2</v>
      </c>
      <c r="Y5368" t="s">
        <v>21831</v>
      </c>
      <c r="Z5368" t="s">
        <v>27373</v>
      </c>
      <c r="AA5368">
        <v>0.51352939984823065</v>
      </c>
      <c r="AB5368" t="str">
        <f>HYPERLINK("Melting_Curves/meltCurve_Q9Y294_ASF1A.pdf", "Melting_Curves/meltCurve_Q9Y294_ASF1A.pdf")</f>
        <v>Melting_Curves/meltCurve_Q9Y294_ASF1A.pdf</v>
      </c>
    </row>
    <row r="5369" spans="1:28" x14ac:dyDescent="0.25">
      <c r="A5369" t="s">
        <v>5373</v>
      </c>
      <c r="B5369">
        <v>0.99299721793515405</v>
      </c>
      <c r="C5369">
        <v>1.0190398274527499</v>
      </c>
      <c r="D5369">
        <v>1.06893373927166</v>
      </c>
      <c r="E5369">
        <v>0.88436459090993302</v>
      </c>
      <c r="F5369">
        <v>0.71797769417852497</v>
      </c>
      <c r="G5369">
        <v>0.54258885398260503</v>
      </c>
      <c r="H5369">
        <v>0.35651365637019</v>
      </c>
      <c r="I5369">
        <v>0.202928609130928</v>
      </c>
      <c r="J5369">
        <v>0.14083167010488001</v>
      </c>
      <c r="K5369">
        <v>0.13873735297877099</v>
      </c>
      <c r="L5369">
        <v>768.03624947377602</v>
      </c>
      <c r="M5369">
        <v>14.3146802302963</v>
      </c>
      <c r="N5369">
        <v>54.275596214254399</v>
      </c>
      <c r="O5369">
        <v>52.639228608883997</v>
      </c>
      <c r="P5369">
        <v>-6.2850667445831496E-2</v>
      </c>
      <c r="Q5369">
        <v>7.5631561658123597E-2</v>
      </c>
      <c r="R5369">
        <v>0.99050198348141805</v>
      </c>
      <c r="S5369" t="s">
        <v>10920</v>
      </c>
      <c r="T5369" t="s">
        <v>11100</v>
      </c>
      <c r="U5369" t="s">
        <v>11100</v>
      </c>
      <c r="V5369" t="s">
        <v>11100</v>
      </c>
      <c r="W5369" t="s">
        <v>16415</v>
      </c>
      <c r="X5369">
        <v>20</v>
      </c>
      <c r="Y5369" t="s">
        <v>21832</v>
      </c>
      <c r="Z5369" t="s">
        <v>27374</v>
      </c>
      <c r="AA5369">
        <v>0.60487766546447852</v>
      </c>
      <c r="AB5369" t="str">
        <f>HYPERLINK("Melting_Curves/meltCurve_Q9Y295_DRG1.pdf", "Melting_Curves/meltCurve_Q9Y295_DRG1.pdf")</f>
        <v>Melting_Curves/meltCurve_Q9Y295_DRG1.pdf</v>
      </c>
    </row>
    <row r="5370" spans="1:28" x14ac:dyDescent="0.25">
      <c r="A5370" t="s">
        <v>5374</v>
      </c>
      <c r="B5370">
        <v>0.99299721793515405</v>
      </c>
      <c r="C5370">
        <v>0.975567725983714</v>
      </c>
      <c r="D5370">
        <v>1.09503500513968</v>
      </c>
      <c r="E5370">
        <v>0.78020433362849895</v>
      </c>
      <c r="F5370">
        <v>0.88880433417196802</v>
      </c>
      <c r="G5370">
        <v>1.34949377895012</v>
      </c>
      <c r="H5370">
        <v>0.78128822189765501</v>
      </c>
      <c r="I5370">
        <v>0.29922381235648199</v>
      </c>
      <c r="J5370">
        <v>0.14394999145267301</v>
      </c>
      <c r="K5370">
        <v>0.160615350669085</v>
      </c>
      <c r="L5370">
        <v>3080.6827601772902</v>
      </c>
      <c r="M5370">
        <v>52.394543899576199</v>
      </c>
      <c r="N5370">
        <v>59.225311193488601</v>
      </c>
      <c r="O5370">
        <v>58.712315434084701</v>
      </c>
      <c r="P5370">
        <v>-0.18796944301458299</v>
      </c>
      <c r="Q5370">
        <v>0.157460919365082</v>
      </c>
      <c r="R5370">
        <v>0.86917587111648997</v>
      </c>
      <c r="S5370" t="s">
        <v>10921</v>
      </c>
      <c r="T5370" t="s">
        <v>11100</v>
      </c>
      <c r="U5370" t="s">
        <v>11100</v>
      </c>
      <c r="V5370" t="s">
        <v>11100</v>
      </c>
      <c r="W5370" t="s">
        <v>16416</v>
      </c>
      <c r="X5370">
        <v>2</v>
      </c>
      <c r="Y5370" t="s">
        <v>21833</v>
      </c>
      <c r="Z5370" t="s">
        <v>27375</v>
      </c>
      <c r="AA5370">
        <v>0.77156250624859302</v>
      </c>
      <c r="AB5370" t="str">
        <f>HYPERLINK("Melting_Curves/meltCurve_Q9Y2A7_NCKAP1.pdf", "Melting_Curves/meltCurve_Q9Y2A7_NCKAP1.pdf")</f>
        <v>Melting_Curves/meltCurve_Q9Y2A7_NCKAP1.pdf</v>
      </c>
    </row>
    <row r="5371" spans="1:28" x14ac:dyDescent="0.25">
      <c r="A5371" t="s">
        <v>5375</v>
      </c>
      <c r="B5371">
        <v>0.99299721793515405</v>
      </c>
      <c r="C5371">
        <v>0.98353244539746398</v>
      </c>
      <c r="D5371">
        <v>1.08416044766335</v>
      </c>
      <c r="E5371">
        <v>1.02181906939246</v>
      </c>
      <c r="F5371">
        <v>0.79911146957934898</v>
      </c>
      <c r="G5371">
        <v>0.66224044664058002</v>
      </c>
      <c r="H5371">
        <v>0.55708378736292197</v>
      </c>
      <c r="I5371">
        <v>0.62375028695495904</v>
      </c>
      <c r="J5371">
        <v>0.68890839300621698</v>
      </c>
      <c r="K5371">
        <v>0.608937259274835</v>
      </c>
      <c r="L5371">
        <v>2810.0519019364801</v>
      </c>
      <c r="M5371">
        <v>56.087226228485797</v>
      </c>
      <c r="O5371">
        <v>50.037899245510197</v>
      </c>
      <c r="P5371">
        <v>-0.10475974147158</v>
      </c>
      <c r="Q5371">
        <v>0.62615705932431998</v>
      </c>
      <c r="R5371">
        <v>0.94976283552315099</v>
      </c>
      <c r="S5371" t="s">
        <v>10922</v>
      </c>
      <c r="T5371" t="s">
        <v>11100</v>
      </c>
      <c r="U5371" t="s">
        <v>11100</v>
      </c>
      <c r="V5371" t="s">
        <v>11100</v>
      </c>
      <c r="W5371" t="s">
        <v>16417</v>
      </c>
      <c r="X5371">
        <v>17</v>
      </c>
      <c r="Y5371" t="s">
        <v>21834</v>
      </c>
      <c r="Z5371" t="s">
        <v>27376</v>
      </c>
      <c r="AA5371">
        <v>0.79007581473187805</v>
      </c>
      <c r="AB5371" t="str">
        <f>HYPERLINK("Melting_Curves/meltCurve_Q9Y2B0_CNPY2.pdf", "Melting_Curves/meltCurve_Q9Y2B0_CNPY2.pdf")</f>
        <v>Melting_Curves/meltCurve_Q9Y2B0_CNPY2.pdf</v>
      </c>
    </row>
    <row r="5372" spans="1:28" x14ac:dyDescent="0.25">
      <c r="A5372" t="s">
        <v>5376</v>
      </c>
      <c r="B5372">
        <v>0.99299721793515405</v>
      </c>
      <c r="C5372">
        <v>0.96552851121105299</v>
      </c>
      <c r="D5372">
        <v>0.96707451902654196</v>
      </c>
      <c r="E5372">
        <v>0.89325672826916702</v>
      </c>
      <c r="F5372">
        <v>0.62678013133072596</v>
      </c>
      <c r="G5372">
        <v>0.82138292440460703</v>
      </c>
      <c r="H5372">
        <v>0.53488110114450005</v>
      </c>
      <c r="I5372">
        <v>0.52312028806374999</v>
      </c>
      <c r="J5372">
        <v>0.509942893045499</v>
      </c>
      <c r="K5372">
        <v>0.35574364969278699</v>
      </c>
      <c r="L5372">
        <v>375.17098882269602</v>
      </c>
      <c r="M5372">
        <v>6.3686033116838603</v>
      </c>
      <c r="N5372">
        <v>61.630226577600901</v>
      </c>
      <c r="O5372">
        <v>53.904105986796303</v>
      </c>
      <c r="P5372">
        <v>-2.5984964280629401E-2</v>
      </c>
      <c r="Q5372">
        <v>0.12254329686233301</v>
      </c>
      <c r="R5372">
        <v>0.89119280361253606</v>
      </c>
      <c r="S5372" t="s">
        <v>10923</v>
      </c>
      <c r="T5372" t="s">
        <v>11100</v>
      </c>
      <c r="U5372" t="s">
        <v>11100</v>
      </c>
      <c r="V5372" t="s">
        <v>11100</v>
      </c>
      <c r="W5372" t="s">
        <v>16418</v>
      </c>
      <c r="X5372">
        <v>2</v>
      </c>
      <c r="Y5372" t="s">
        <v>21835</v>
      </c>
      <c r="Z5372" t="s">
        <v>27377</v>
      </c>
      <c r="AA5372">
        <v>0.72049843866472363</v>
      </c>
      <c r="AB5372" t="str">
        <f>HYPERLINK("Melting_Curves/meltCurve_Q9Y2C2_UST.pdf", "Melting_Curves/meltCurve_Q9Y2C2_UST.pdf")</f>
        <v>Melting_Curves/meltCurve_Q9Y2C2_UST.pdf</v>
      </c>
    </row>
    <row r="5373" spans="1:28" x14ac:dyDescent="0.25">
      <c r="A5373" t="s">
        <v>5377</v>
      </c>
      <c r="B5373">
        <v>0.99299721793515405</v>
      </c>
      <c r="C5373">
        <v>0.96541694633112995</v>
      </c>
      <c r="D5373">
        <v>0.99015517419028798</v>
      </c>
      <c r="E5373">
        <v>0.88401114137282299</v>
      </c>
      <c r="F5373">
        <v>0.757286973461196</v>
      </c>
      <c r="G5373">
        <v>0.56615060287139596</v>
      </c>
      <c r="H5373">
        <v>0.51824871699955999</v>
      </c>
      <c r="I5373">
        <v>0.59752200470816297</v>
      </c>
      <c r="J5373">
        <v>0.73190407948008596</v>
      </c>
      <c r="K5373">
        <v>0.86180215839683905</v>
      </c>
      <c r="L5373">
        <v>1585.12622346645</v>
      </c>
      <c r="M5373">
        <v>33.185693923979699</v>
      </c>
      <c r="O5373">
        <v>47.592909302602003</v>
      </c>
      <c r="P5373">
        <v>-5.9305085809558601E-2</v>
      </c>
      <c r="Q5373">
        <v>0.65979450502182502</v>
      </c>
      <c r="R5373">
        <v>0.71282114109000005</v>
      </c>
      <c r="S5373" t="s">
        <v>10924</v>
      </c>
      <c r="T5373" t="s">
        <v>11100</v>
      </c>
      <c r="U5373" t="s">
        <v>11100</v>
      </c>
      <c r="V5373" t="s">
        <v>11100</v>
      </c>
      <c r="W5373" t="s">
        <v>16419</v>
      </c>
      <c r="X5373">
        <v>35</v>
      </c>
      <c r="Y5373" t="s">
        <v>21836</v>
      </c>
      <c r="Z5373" t="s">
        <v>27378</v>
      </c>
      <c r="AA5373">
        <v>0.78351258288748038</v>
      </c>
      <c r="AB5373" t="str">
        <f>HYPERLINK("Melting_Curves/meltCurve_Q9Y2D5_6_AKAP2.pdf", "Melting_Curves/meltCurve_Q9Y2D5_6_AKAP2.pdf")</f>
        <v>Melting_Curves/meltCurve_Q9Y2D5_6_AKAP2.pdf</v>
      </c>
    </row>
    <row r="5374" spans="1:28" x14ac:dyDescent="0.25">
      <c r="A5374" t="s">
        <v>5378</v>
      </c>
      <c r="B5374">
        <v>0.99299721793515405</v>
      </c>
      <c r="C5374">
        <v>0.85946164395168201</v>
      </c>
      <c r="D5374">
        <v>0.853004246726491</v>
      </c>
      <c r="E5374">
        <v>0.798164349817168</v>
      </c>
      <c r="F5374">
        <v>0.65348712896776695</v>
      </c>
      <c r="G5374">
        <v>0.60220179250961503</v>
      </c>
      <c r="H5374">
        <v>0.488095880882636</v>
      </c>
      <c r="I5374">
        <v>0.52262167251195002</v>
      </c>
      <c r="J5374">
        <v>0.47178059005364298</v>
      </c>
      <c r="K5374">
        <v>0.30076265862566598</v>
      </c>
      <c r="L5374">
        <v>278.93177657976997</v>
      </c>
      <c r="M5374">
        <v>4.8292043083795004</v>
      </c>
      <c r="N5374">
        <v>58.9028190686968</v>
      </c>
      <c r="O5374">
        <v>49.992821355176503</v>
      </c>
      <c r="P5374">
        <v>-2.32281154043938E-2</v>
      </c>
      <c r="Q5374">
        <v>4.4743109438454699E-2</v>
      </c>
      <c r="R5374">
        <v>0.95172569292223896</v>
      </c>
      <c r="S5374" t="s">
        <v>10925</v>
      </c>
      <c r="T5374" t="s">
        <v>11100</v>
      </c>
      <c r="U5374" t="s">
        <v>11100</v>
      </c>
      <c r="V5374" t="s">
        <v>11100</v>
      </c>
      <c r="W5374" t="s">
        <v>16420</v>
      </c>
      <c r="X5374">
        <v>2</v>
      </c>
      <c r="Y5374" t="s">
        <v>21837</v>
      </c>
      <c r="Z5374" t="s">
        <v>27379</v>
      </c>
      <c r="AA5374">
        <v>0.65214046592928487</v>
      </c>
      <c r="AB5374" t="str">
        <f>HYPERLINK("Melting_Curves/meltCurve_Q9Y2G2_4_CARD8.pdf", "Melting_Curves/meltCurve_Q9Y2G2_4_CARD8.pdf")</f>
        <v>Melting_Curves/meltCurve_Q9Y2G2_4_CARD8.pdf</v>
      </c>
    </row>
    <row r="5375" spans="1:28" x14ac:dyDescent="0.25">
      <c r="A5375" t="s">
        <v>5379</v>
      </c>
      <c r="B5375">
        <v>0.99299721793515405</v>
      </c>
      <c r="C5375">
        <v>0.93232535878811496</v>
      </c>
      <c r="D5375">
        <v>1.06499940798223</v>
      </c>
      <c r="E5375">
        <v>0.87424709505628795</v>
      </c>
      <c r="F5375">
        <v>0.77858582986719105</v>
      </c>
      <c r="G5375">
        <v>0.42155849900667203</v>
      </c>
      <c r="H5375">
        <v>0.26363842661497999</v>
      </c>
      <c r="I5375">
        <v>0.17010588888658101</v>
      </c>
      <c r="J5375">
        <v>0.16226254089039499</v>
      </c>
      <c r="K5375">
        <v>0.162513565774172</v>
      </c>
      <c r="L5375">
        <v>1113.0559673074099</v>
      </c>
      <c r="M5375">
        <v>21.326415413917299</v>
      </c>
      <c r="N5375">
        <v>53.047979298724997</v>
      </c>
      <c r="O5375">
        <v>51.739026482844402</v>
      </c>
      <c r="P5375">
        <v>-8.8040162769734004E-2</v>
      </c>
      <c r="Q5375">
        <v>0.145660934129515</v>
      </c>
      <c r="R5375">
        <v>0.98763946958707005</v>
      </c>
      <c r="S5375" t="s">
        <v>10926</v>
      </c>
      <c r="T5375" t="s">
        <v>11100</v>
      </c>
      <c r="U5375" t="s">
        <v>11100</v>
      </c>
      <c r="V5375" t="s">
        <v>11100</v>
      </c>
      <c r="W5375" t="s">
        <v>16421</v>
      </c>
      <c r="X5375">
        <v>4</v>
      </c>
      <c r="Y5375" t="s">
        <v>21838</v>
      </c>
      <c r="Z5375" t="s">
        <v>27380</v>
      </c>
      <c r="AA5375">
        <v>0.58821053408677737</v>
      </c>
      <c r="AB5375" t="str">
        <f>HYPERLINK("Melting_Curves/meltCurve_Q9Y2G5_POFUT2.pdf", "Melting_Curves/meltCurve_Q9Y2G5_POFUT2.pdf")</f>
        <v>Melting_Curves/meltCurve_Q9Y2G5_POFUT2.pdf</v>
      </c>
    </row>
    <row r="5376" spans="1:28" x14ac:dyDescent="0.25">
      <c r="A5376" t="s">
        <v>5380</v>
      </c>
      <c r="B5376">
        <v>0.99299721793515405</v>
      </c>
      <c r="C5376">
        <v>1.13384135548077</v>
      </c>
      <c r="D5376">
        <v>1.00084604636942</v>
      </c>
      <c r="E5376">
        <v>0.98076143261911297</v>
      </c>
      <c r="F5376">
        <v>0.78782915994267799</v>
      </c>
      <c r="G5376">
        <v>0.72509055103764197</v>
      </c>
      <c r="H5376">
        <v>0.59454395694885898</v>
      </c>
      <c r="I5376">
        <v>0.66036026386750701</v>
      </c>
      <c r="J5376">
        <v>0.490737905455365</v>
      </c>
      <c r="K5376">
        <v>0.31793345647196503</v>
      </c>
      <c r="L5376">
        <v>463.24372313554801</v>
      </c>
      <c r="M5376">
        <v>7.4451864423271301</v>
      </c>
      <c r="N5376">
        <v>62.500187953551603</v>
      </c>
      <c r="O5376">
        <v>58.205403406185397</v>
      </c>
      <c r="P5376">
        <v>-3.15007328755013E-2</v>
      </c>
      <c r="Q5376">
        <v>1.6380294392061401E-2</v>
      </c>
      <c r="R5376">
        <v>0.90835307240211305</v>
      </c>
      <c r="S5376" t="s">
        <v>10927</v>
      </c>
      <c r="T5376" t="s">
        <v>11100</v>
      </c>
      <c r="U5376" t="s">
        <v>11100</v>
      </c>
      <c r="V5376" t="s">
        <v>11100</v>
      </c>
      <c r="W5376" t="s">
        <v>16422</v>
      </c>
      <c r="X5376">
        <v>1</v>
      </c>
      <c r="Y5376" t="s">
        <v>21839</v>
      </c>
      <c r="Z5376" t="s">
        <v>27381</v>
      </c>
      <c r="AA5376">
        <v>0.76470070590540862</v>
      </c>
      <c r="AB5376" t="str">
        <f>HYPERLINK("Melting_Curves/meltCurve_Q9Y2H0_1_DLGAP4.pdf", "Melting_Curves/meltCurve_Q9Y2H0_1_DLGAP4.pdf")</f>
        <v>Melting_Curves/meltCurve_Q9Y2H0_1_DLGAP4.pdf</v>
      </c>
    </row>
    <row r="5377" spans="1:28" x14ac:dyDescent="0.25">
      <c r="A5377" t="s">
        <v>5381</v>
      </c>
      <c r="B5377">
        <v>0.99299721793515405</v>
      </c>
      <c r="C5377">
        <v>0.95232393341285004</v>
      </c>
      <c r="D5377">
        <v>0.90759672545036296</v>
      </c>
      <c r="E5377">
        <v>0.84873874361586099</v>
      </c>
      <c r="F5377">
        <v>0.64723294435068601</v>
      </c>
      <c r="G5377">
        <v>0.31250838661021801</v>
      </c>
      <c r="H5377">
        <v>0.21583497645871499</v>
      </c>
      <c r="I5377">
        <v>0.19114420926654799</v>
      </c>
      <c r="J5377">
        <v>0.17792436019740099</v>
      </c>
      <c r="K5377">
        <v>0.17899499749782299</v>
      </c>
      <c r="L5377">
        <v>982.67063245272698</v>
      </c>
      <c r="M5377">
        <v>19.472450813953099</v>
      </c>
      <c r="N5377">
        <v>51.466965623045901</v>
      </c>
      <c r="O5377">
        <v>49.941499364441398</v>
      </c>
      <c r="P5377">
        <v>-8.2097482282497705E-2</v>
      </c>
      <c r="Q5377">
        <v>0.15780072128724601</v>
      </c>
      <c r="R5377">
        <v>0.99099448475684404</v>
      </c>
      <c r="S5377" t="s">
        <v>10928</v>
      </c>
      <c r="T5377" t="s">
        <v>11100</v>
      </c>
      <c r="U5377" t="s">
        <v>11100</v>
      </c>
      <c r="V5377" t="s">
        <v>11100</v>
      </c>
      <c r="W5377" t="s">
        <v>16423</v>
      </c>
      <c r="X5377">
        <v>8</v>
      </c>
      <c r="Y5377" t="s">
        <v>21840</v>
      </c>
      <c r="Z5377" t="s">
        <v>27382</v>
      </c>
      <c r="AA5377">
        <v>0.54738286161155125</v>
      </c>
      <c r="AB5377" t="str">
        <f>HYPERLINK("Melting_Curves/meltCurve_Q9Y2H1_STK38L.pdf", "Melting_Curves/meltCurve_Q9Y2H1_STK38L.pdf")</f>
        <v>Melting_Curves/meltCurve_Q9Y2H1_STK38L.pdf</v>
      </c>
    </row>
    <row r="5378" spans="1:28" x14ac:dyDescent="0.25">
      <c r="A5378" t="s">
        <v>5382</v>
      </c>
      <c r="B5378">
        <v>0.99299721793515405</v>
      </c>
      <c r="C5378">
        <v>1.1624223546435699</v>
      </c>
      <c r="D5378">
        <v>1.71674282664359</v>
      </c>
      <c r="E5378">
        <v>0.93741499094633196</v>
      </c>
      <c r="F5378">
        <v>0.39262827315638898</v>
      </c>
      <c r="G5378">
        <v>0.38941769390901299</v>
      </c>
      <c r="H5378">
        <v>0.20036571143957699</v>
      </c>
      <c r="I5378">
        <v>0.14380870698117701</v>
      </c>
      <c r="J5378">
        <v>0.12672230899502801</v>
      </c>
      <c r="K5378">
        <v>0.145267345210842</v>
      </c>
      <c r="L5378">
        <v>2174.9878263609198</v>
      </c>
      <c r="M5378">
        <v>44.271514440109797</v>
      </c>
      <c r="N5378">
        <v>49.676458740305399</v>
      </c>
      <c r="O5378">
        <v>49.028457109675898</v>
      </c>
      <c r="P5378">
        <v>-0.18212820664160201</v>
      </c>
      <c r="Q5378">
        <v>0.193210106606198</v>
      </c>
      <c r="R5378">
        <v>0.78464352546220295</v>
      </c>
      <c r="S5378" t="s">
        <v>10929</v>
      </c>
      <c r="T5378" t="s">
        <v>11100</v>
      </c>
      <c r="U5378" t="s">
        <v>11100</v>
      </c>
      <c r="V5378" t="s">
        <v>11100</v>
      </c>
      <c r="W5378" t="s">
        <v>16424</v>
      </c>
      <c r="X5378">
        <v>3</v>
      </c>
      <c r="Y5378" t="s">
        <v>21841</v>
      </c>
      <c r="Z5378" t="s">
        <v>27383</v>
      </c>
      <c r="AA5378">
        <v>0.52161176317830593</v>
      </c>
      <c r="AB5378" t="str">
        <f>HYPERLINK("Melting_Curves/meltCurve_Q9Y2H6_2_FNDC3A.pdf", "Melting_Curves/meltCurve_Q9Y2H6_2_FNDC3A.pdf")</f>
        <v>Melting_Curves/meltCurve_Q9Y2H6_2_FNDC3A.pdf</v>
      </c>
    </row>
    <row r="5379" spans="1:28" x14ac:dyDescent="0.25">
      <c r="A5379" t="s">
        <v>5383</v>
      </c>
      <c r="B5379">
        <v>0.99299721793515405</v>
      </c>
      <c r="C5379">
        <v>1.0544978197914801</v>
      </c>
      <c r="D5379">
        <v>1.0247320554174499</v>
      </c>
      <c r="E5379">
        <v>1.10941657226912</v>
      </c>
      <c r="F5379">
        <v>0.75207355624144701</v>
      </c>
      <c r="G5379">
        <v>0.64391236021695897</v>
      </c>
      <c r="H5379">
        <v>0.47723215093071603</v>
      </c>
      <c r="I5379">
        <v>0.182051505360215</v>
      </c>
      <c r="J5379">
        <v>0.10953036973107</v>
      </c>
      <c r="K5379">
        <v>0.13660788221808701</v>
      </c>
      <c r="L5379">
        <v>894.08691432537603</v>
      </c>
      <c r="M5379">
        <v>16.062330481439901</v>
      </c>
      <c r="N5379">
        <v>55.953780895310601</v>
      </c>
      <c r="O5379">
        <v>54.8222363126579</v>
      </c>
      <c r="P5379">
        <v>-7.0325489466365396E-2</v>
      </c>
      <c r="Q5379">
        <v>3.9964265325844003E-2</v>
      </c>
      <c r="R5379">
        <v>0.966971963457252</v>
      </c>
      <c r="S5379" t="s">
        <v>10930</v>
      </c>
      <c r="T5379" t="s">
        <v>11100</v>
      </c>
      <c r="U5379" t="s">
        <v>11100</v>
      </c>
      <c r="V5379" t="s">
        <v>11100</v>
      </c>
      <c r="W5379" t="s">
        <v>11742</v>
      </c>
      <c r="X5379">
        <v>37</v>
      </c>
      <c r="Y5379" t="s">
        <v>17238</v>
      </c>
      <c r="Z5379" t="s">
        <v>27384</v>
      </c>
      <c r="AA5379">
        <v>0.64898436049778707</v>
      </c>
      <c r="AB5379" t="str">
        <f>HYPERLINK("Melting_Curves/meltCurve_Q9Y2J2_EPB41L3.pdf", "Melting_Curves/meltCurve_Q9Y2J2_EPB41L3.pdf")</f>
        <v>Melting_Curves/meltCurve_Q9Y2J2_EPB41L3.pdf</v>
      </c>
    </row>
    <row r="5380" spans="1:28" x14ac:dyDescent="0.25">
      <c r="A5380" t="s">
        <v>5384</v>
      </c>
      <c r="B5380">
        <v>0.99299721793515405</v>
      </c>
      <c r="C5380">
        <v>0.92611155304251702</v>
      </c>
      <c r="D5380">
        <v>0.91703583357899598</v>
      </c>
      <c r="E5380">
        <v>0.87808206673053502</v>
      </c>
      <c r="F5380">
        <v>0.72886022237643</v>
      </c>
      <c r="G5380">
        <v>0.53050230411504595</v>
      </c>
      <c r="H5380">
        <v>0.424805729537101</v>
      </c>
      <c r="I5380">
        <v>0.20310641876008301</v>
      </c>
      <c r="J5380">
        <v>0.15920224453374501</v>
      </c>
      <c r="K5380">
        <v>0.11555930806334901</v>
      </c>
      <c r="L5380">
        <v>591.22673029265002</v>
      </c>
      <c r="M5380">
        <v>10.820302416772799</v>
      </c>
      <c r="N5380">
        <v>54.6404950728177</v>
      </c>
      <c r="O5380">
        <v>52.873510015217299</v>
      </c>
      <c r="P5380">
        <v>-5.1179675031060197E-2</v>
      </c>
      <c r="Q5380">
        <v>0</v>
      </c>
      <c r="R5380">
        <v>0.99163360831320002</v>
      </c>
      <c r="S5380" t="s">
        <v>10931</v>
      </c>
      <c r="T5380" t="s">
        <v>11100</v>
      </c>
      <c r="U5380" t="s">
        <v>11100</v>
      </c>
      <c r="V5380" t="s">
        <v>11100</v>
      </c>
      <c r="W5380" t="s">
        <v>16425</v>
      </c>
      <c r="X5380">
        <v>40</v>
      </c>
      <c r="Y5380" t="s">
        <v>17238</v>
      </c>
      <c r="Z5380" t="s">
        <v>27385</v>
      </c>
      <c r="AA5380">
        <v>0.6030628615060728</v>
      </c>
      <c r="AB5380" t="str">
        <f>HYPERLINK("Melting_Curves/meltCurve_Q9Y2J2_2_EPB41L3.pdf", "Melting_Curves/meltCurve_Q9Y2J2_2_EPB41L3.pdf")</f>
        <v>Melting_Curves/meltCurve_Q9Y2J2_2_EPB41L3.pdf</v>
      </c>
    </row>
    <row r="5381" spans="1:28" x14ac:dyDescent="0.25">
      <c r="A5381" t="s">
        <v>5385</v>
      </c>
      <c r="B5381">
        <v>0.99299721793515405</v>
      </c>
      <c r="C5381">
        <v>0.90388081569918599</v>
      </c>
      <c r="D5381">
        <v>0.91555473510119301</v>
      </c>
      <c r="E5381">
        <v>0.93529678494968205</v>
      </c>
      <c r="F5381">
        <v>0.56788335504496001</v>
      </c>
      <c r="G5381">
        <v>0.142820884664527</v>
      </c>
      <c r="H5381">
        <v>0.116863021737421</v>
      </c>
      <c r="I5381">
        <v>8.9680117900808806E-2</v>
      </c>
      <c r="J5381">
        <v>0.12407695429863</v>
      </c>
      <c r="K5381">
        <v>8.6576777324278001E-2</v>
      </c>
      <c r="L5381">
        <v>1900.6018083167401</v>
      </c>
      <c r="M5381">
        <v>37.822778294787199</v>
      </c>
      <c r="N5381">
        <v>50.540034486510201</v>
      </c>
      <c r="O5381">
        <v>50.110336963784903</v>
      </c>
      <c r="P5381">
        <v>-0.17029986622847201</v>
      </c>
      <c r="Q5381">
        <v>9.7500292979578698E-2</v>
      </c>
      <c r="R5381">
        <v>0.98804315923446795</v>
      </c>
      <c r="S5381" t="s">
        <v>10932</v>
      </c>
      <c r="T5381" t="s">
        <v>11100</v>
      </c>
      <c r="U5381" t="s">
        <v>11100</v>
      </c>
      <c r="V5381" t="s">
        <v>11100</v>
      </c>
      <c r="W5381" t="s">
        <v>16426</v>
      </c>
      <c r="X5381">
        <v>2</v>
      </c>
      <c r="Y5381" t="s">
        <v>21842</v>
      </c>
      <c r="Z5381" t="s">
        <v>27386</v>
      </c>
      <c r="AA5381">
        <v>0.49961486842657937</v>
      </c>
      <c r="AB5381" t="str">
        <f>HYPERLINK("Melting_Curves/meltCurve_Q9Y2K6_USP20.pdf", "Melting_Curves/meltCurve_Q9Y2K6_USP20.pdf")</f>
        <v>Melting_Curves/meltCurve_Q9Y2K6_USP20.pdf</v>
      </c>
    </row>
    <row r="5382" spans="1:28" x14ac:dyDescent="0.25">
      <c r="A5382" t="s">
        <v>5386</v>
      </c>
      <c r="B5382">
        <v>0.99299721793515405</v>
      </c>
      <c r="C5382">
        <v>0.96146445015028104</v>
      </c>
      <c r="D5382">
        <v>1.0869595378930701</v>
      </c>
      <c r="E5382">
        <v>0.89457173286712199</v>
      </c>
      <c r="F5382">
        <v>0.850557911278495</v>
      </c>
      <c r="G5382">
        <v>0.521377628582258</v>
      </c>
      <c r="H5382">
        <v>0.33126070916004702</v>
      </c>
      <c r="I5382">
        <v>0.26094798657665502</v>
      </c>
      <c r="J5382">
        <v>0.241770394758346</v>
      </c>
      <c r="K5382">
        <v>0.13707086222074999</v>
      </c>
      <c r="L5382">
        <v>1056.7876574119</v>
      </c>
      <c r="M5382">
        <v>19.8393897777521</v>
      </c>
      <c r="N5382">
        <v>54.4468398753054</v>
      </c>
      <c r="O5382">
        <v>52.734808063380399</v>
      </c>
      <c r="P5382">
        <v>-7.7624423000628606E-2</v>
      </c>
      <c r="Q5382">
        <v>0.17469810698208799</v>
      </c>
      <c r="R5382">
        <v>0.98256124625963004</v>
      </c>
      <c r="S5382" t="s">
        <v>10933</v>
      </c>
      <c r="T5382" t="s">
        <v>11100</v>
      </c>
      <c r="U5382" t="s">
        <v>11100</v>
      </c>
      <c r="V5382" t="s">
        <v>11100</v>
      </c>
      <c r="W5382" t="s">
        <v>16427</v>
      </c>
      <c r="X5382">
        <v>3</v>
      </c>
      <c r="Y5382" t="s">
        <v>21843</v>
      </c>
      <c r="Z5382" t="s">
        <v>27387</v>
      </c>
      <c r="AA5382">
        <v>0.6326268299917942</v>
      </c>
      <c r="AB5382" t="str">
        <f>HYPERLINK("Melting_Curves/meltCurve_Q9Y2K7_4_KDM2A.pdf", "Melting_Curves/meltCurve_Q9Y2K7_4_KDM2A.pdf")</f>
        <v>Melting_Curves/meltCurve_Q9Y2K7_4_KDM2A.pdf</v>
      </c>
    </row>
    <row r="5383" spans="1:28" x14ac:dyDescent="0.25">
      <c r="A5383" t="s">
        <v>5387</v>
      </c>
      <c r="B5383">
        <v>0.99299721793515405</v>
      </c>
      <c r="C5383">
        <v>0.982207397234373</v>
      </c>
      <c r="D5383">
        <v>0.91658715498927501</v>
      </c>
      <c r="E5383">
        <v>0.83192390969293195</v>
      </c>
      <c r="F5383">
        <v>0.49358866337190399</v>
      </c>
      <c r="G5383">
        <v>0.270615868506622</v>
      </c>
      <c r="H5383">
        <v>0.152217453200965</v>
      </c>
      <c r="I5383">
        <v>0.140180908483445</v>
      </c>
      <c r="J5383">
        <v>0.104688585389867</v>
      </c>
      <c r="K5383">
        <v>7.0850843578566497E-2</v>
      </c>
      <c r="L5383">
        <v>927.59771149011397</v>
      </c>
      <c r="M5383">
        <v>18.625055348802999</v>
      </c>
      <c r="N5383">
        <v>50.311693312146097</v>
      </c>
      <c r="O5383">
        <v>49.240269694067401</v>
      </c>
      <c r="P5383">
        <v>-8.6461193956709398E-2</v>
      </c>
      <c r="Q5383">
        <v>8.5707111045889503E-2</v>
      </c>
      <c r="R5383">
        <v>0.99719195163510899</v>
      </c>
      <c r="S5383" t="s">
        <v>10934</v>
      </c>
      <c r="T5383" t="s">
        <v>11100</v>
      </c>
      <c r="U5383" t="s">
        <v>11100</v>
      </c>
      <c r="V5383" t="s">
        <v>11100</v>
      </c>
      <c r="W5383" t="s">
        <v>16428</v>
      </c>
      <c r="X5383">
        <v>13</v>
      </c>
      <c r="Y5383" t="s">
        <v>21844</v>
      </c>
      <c r="Z5383" t="s">
        <v>27388</v>
      </c>
      <c r="AA5383">
        <v>0.48954905486572708</v>
      </c>
      <c r="AB5383" t="str">
        <f>HYPERLINK("Melting_Curves/meltCurve_Q9Y2L1_DIS3.pdf", "Melting_Curves/meltCurve_Q9Y2L1_DIS3.pdf")</f>
        <v>Melting_Curves/meltCurve_Q9Y2L1_DIS3.pdf</v>
      </c>
    </row>
    <row r="5384" spans="1:28" x14ac:dyDescent="0.25">
      <c r="A5384" t="s">
        <v>5388</v>
      </c>
      <c r="B5384">
        <v>0.99299721793515405</v>
      </c>
      <c r="C5384">
        <v>1.07879324470857</v>
      </c>
      <c r="D5384">
        <v>1.0411482385866599</v>
      </c>
      <c r="E5384">
        <v>0.84617608546776901</v>
      </c>
      <c r="F5384">
        <v>0.75654026596843005</v>
      </c>
      <c r="G5384">
        <v>0.81716160292369699</v>
      </c>
      <c r="H5384">
        <v>0.70257008558152301</v>
      </c>
      <c r="I5384">
        <v>0.77145145292491202</v>
      </c>
      <c r="J5384">
        <v>0.43077428131494999</v>
      </c>
      <c r="K5384">
        <v>9.9890431022892703E-2</v>
      </c>
      <c r="L5384">
        <v>679.43317113010903</v>
      </c>
      <c r="M5384">
        <v>10.962731771619399</v>
      </c>
      <c r="N5384">
        <v>61.9766549308249</v>
      </c>
      <c r="O5384">
        <v>60.021441420688099</v>
      </c>
      <c r="P5384">
        <v>-4.5677339594366699E-2</v>
      </c>
      <c r="Q5384">
        <v>0</v>
      </c>
      <c r="R5384">
        <v>0.81064140893857395</v>
      </c>
      <c r="S5384" t="s">
        <v>10935</v>
      </c>
      <c r="T5384" t="s">
        <v>11100</v>
      </c>
      <c r="U5384" t="s">
        <v>11100</v>
      </c>
      <c r="V5384" t="s">
        <v>11100</v>
      </c>
      <c r="W5384" t="s">
        <v>16429</v>
      </c>
      <c r="X5384">
        <v>4</v>
      </c>
      <c r="Y5384" t="s">
        <v>21845</v>
      </c>
      <c r="Z5384" t="s">
        <v>27389</v>
      </c>
      <c r="AA5384">
        <v>0.79057543856063139</v>
      </c>
      <c r="AB5384" t="str">
        <f>HYPERLINK("Melting_Curves/meltCurve_Q9Y2Q0_3_ATP8A1.pdf", "Melting_Curves/meltCurve_Q9Y2Q0_3_ATP8A1.pdf")</f>
        <v>Melting_Curves/meltCurve_Q9Y2Q0_3_ATP8A1.pdf</v>
      </c>
    </row>
    <row r="5385" spans="1:28" x14ac:dyDescent="0.25">
      <c r="A5385" t="s">
        <v>5389</v>
      </c>
      <c r="B5385">
        <v>0.99299721793515405</v>
      </c>
      <c r="C5385">
        <v>1.03614707049279</v>
      </c>
      <c r="D5385">
        <v>0.96359250227855398</v>
      </c>
      <c r="E5385">
        <v>0.89830500667590796</v>
      </c>
      <c r="F5385">
        <v>0.80950947278785101</v>
      </c>
      <c r="G5385">
        <v>0.698412051502179</v>
      </c>
      <c r="H5385">
        <v>0.609333013321399</v>
      </c>
      <c r="I5385">
        <v>0.65507933340727997</v>
      </c>
      <c r="J5385">
        <v>0.81857132602171701</v>
      </c>
      <c r="K5385">
        <v>0.87353199955832295</v>
      </c>
      <c r="L5385">
        <v>1359.6316706416601</v>
      </c>
      <c r="M5385">
        <v>28.629325157329902</v>
      </c>
      <c r="O5385">
        <v>47.260980180779796</v>
      </c>
      <c r="P5385">
        <v>-4.0362736873921098E-2</v>
      </c>
      <c r="Q5385">
        <v>0.73348063518926399</v>
      </c>
      <c r="R5385">
        <v>0.71774163670379199</v>
      </c>
      <c r="S5385" t="s">
        <v>10936</v>
      </c>
      <c r="T5385" t="s">
        <v>11100</v>
      </c>
      <c r="U5385" t="s">
        <v>11100</v>
      </c>
      <c r="V5385" t="s">
        <v>11100</v>
      </c>
      <c r="W5385" t="s">
        <v>16430</v>
      </c>
      <c r="X5385">
        <v>6</v>
      </c>
      <c r="Y5385" t="s">
        <v>21846</v>
      </c>
      <c r="Z5385" t="s">
        <v>27390</v>
      </c>
      <c r="AA5385">
        <v>0.828399195623294</v>
      </c>
      <c r="AB5385" t="str">
        <f>HYPERLINK("Melting_Curves/meltCurve_Q9Y2Q5_LAMTOR2.pdf", "Melting_Curves/meltCurve_Q9Y2Q5_LAMTOR2.pdf")</f>
        <v>Melting_Curves/meltCurve_Q9Y2Q5_LAMTOR2.pdf</v>
      </c>
    </row>
    <row r="5386" spans="1:28" x14ac:dyDescent="0.25">
      <c r="A5386" t="s">
        <v>5390</v>
      </c>
      <c r="B5386">
        <v>0.99299721793515405</v>
      </c>
      <c r="C5386">
        <v>1.01665362203774</v>
      </c>
      <c r="D5386">
        <v>0.92416847851717998</v>
      </c>
      <c r="E5386">
        <v>0.85596113666312101</v>
      </c>
      <c r="F5386">
        <v>0.74705297064251996</v>
      </c>
      <c r="G5386">
        <v>0.55361568141241102</v>
      </c>
      <c r="H5386">
        <v>0.52295148644956102</v>
      </c>
      <c r="I5386">
        <v>0.53245983150012</v>
      </c>
      <c r="J5386">
        <v>0.55282751389200002</v>
      </c>
      <c r="K5386">
        <v>0.41244077455936101</v>
      </c>
      <c r="L5386">
        <v>750.09506859657404</v>
      </c>
      <c r="M5386">
        <v>15.1048486747833</v>
      </c>
      <c r="N5386">
        <v>61.168881710714402</v>
      </c>
      <c r="O5386">
        <v>48.813220648807203</v>
      </c>
      <c r="P5386">
        <v>-4.0939301041106498E-2</v>
      </c>
      <c r="Q5386">
        <v>0.47085000141460798</v>
      </c>
      <c r="R5386">
        <v>0.96701701577980304</v>
      </c>
      <c r="S5386" t="s">
        <v>10937</v>
      </c>
      <c r="T5386" t="s">
        <v>11100</v>
      </c>
      <c r="U5386" t="s">
        <v>11100</v>
      </c>
      <c r="V5386" t="s">
        <v>11100</v>
      </c>
      <c r="W5386" t="s">
        <v>16431</v>
      </c>
      <c r="X5386">
        <v>6</v>
      </c>
      <c r="Y5386" t="s">
        <v>21847</v>
      </c>
      <c r="Z5386" t="s">
        <v>27391</v>
      </c>
      <c r="AA5386">
        <v>0.70520055515012814</v>
      </c>
      <c r="AB5386" t="str">
        <f>HYPERLINK("Melting_Curves/meltCurve_Q9Y2R0_COA3.pdf", "Melting_Curves/meltCurve_Q9Y2R0_COA3.pdf")</f>
        <v>Melting_Curves/meltCurve_Q9Y2R0_COA3.pdf</v>
      </c>
    </row>
    <row r="5387" spans="1:28" x14ac:dyDescent="0.25">
      <c r="A5387" t="s">
        <v>5391</v>
      </c>
      <c r="B5387">
        <v>0.99299721793515405</v>
      </c>
      <c r="C5387">
        <v>1.0296368053346301</v>
      </c>
      <c r="D5387">
        <v>0.96494723590199805</v>
      </c>
      <c r="E5387">
        <v>0.91809012395449696</v>
      </c>
      <c r="F5387">
        <v>0.63704569118438703</v>
      </c>
      <c r="G5387">
        <v>0.24710842667124999</v>
      </c>
      <c r="H5387">
        <v>0.24004209865387799</v>
      </c>
      <c r="I5387">
        <v>0.29486417371407198</v>
      </c>
      <c r="J5387">
        <v>0.366108607273398</v>
      </c>
      <c r="K5387">
        <v>0.44806762957428797</v>
      </c>
      <c r="L5387">
        <v>12543.3318756053</v>
      </c>
      <c r="M5387">
        <v>250</v>
      </c>
      <c r="N5387">
        <v>50.378351721902703</v>
      </c>
      <c r="O5387">
        <v>50.170099501771801</v>
      </c>
      <c r="P5387">
        <v>-0.84806686290844202</v>
      </c>
      <c r="Q5387">
        <v>0.31923818326262399</v>
      </c>
      <c r="R5387">
        <v>0.96018617330191902</v>
      </c>
      <c r="S5387" t="s">
        <v>10938</v>
      </c>
      <c r="T5387" t="s">
        <v>11100</v>
      </c>
      <c r="U5387" t="s">
        <v>11100</v>
      </c>
      <c r="V5387" t="s">
        <v>11100</v>
      </c>
      <c r="W5387" t="s">
        <v>16432</v>
      </c>
      <c r="X5387">
        <v>2</v>
      </c>
      <c r="Y5387" t="s">
        <v>21848</v>
      </c>
      <c r="Z5387" t="s">
        <v>27392</v>
      </c>
      <c r="AA5387">
        <v>0.61822807209539143</v>
      </c>
      <c r="AB5387" t="str">
        <f>HYPERLINK("Melting_Curves/meltCurve_Q9Y2S0_POLR1D.pdf", "Melting_Curves/meltCurve_Q9Y2S0_POLR1D.pdf")</f>
        <v>Melting_Curves/meltCurve_Q9Y2S0_POLR1D.pdf</v>
      </c>
    </row>
    <row r="5388" spans="1:28" x14ac:dyDescent="0.25">
      <c r="A5388" t="s">
        <v>5392</v>
      </c>
      <c r="B5388">
        <v>0.99299721793515405</v>
      </c>
      <c r="C5388">
        <v>0.90665767737922498</v>
      </c>
      <c r="D5388">
        <v>0.948719327309959</v>
      </c>
      <c r="E5388">
        <v>0.81588833416408102</v>
      </c>
      <c r="F5388">
        <v>0.72926794778667103</v>
      </c>
      <c r="G5388">
        <v>0.467586539098228</v>
      </c>
      <c r="H5388">
        <v>0.57414626457599405</v>
      </c>
      <c r="I5388">
        <v>0.69617842155078902</v>
      </c>
      <c r="J5388">
        <v>0.840894776549445</v>
      </c>
      <c r="K5388">
        <v>0.69182728496432699</v>
      </c>
      <c r="L5388">
        <v>1278.73446665853</v>
      </c>
      <c r="M5388">
        <v>27.758903270419001</v>
      </c>
      <c r="O5388">
        <v>45.828659204990402</v>
      </c>
      <c r="P5388">
        <v>-5.1346011210304097E-2</v>
      </c>
      <c r="Q5388">
        <v>0.66092348595605099</v>
      </c>
      <c r="R5388">
        <v>0.63404892068040797</v>
      </c>
      <c r="S5388" t="s">
        <v>10939</v>
      </c>
      <c r="T5388" t="s">
        <v>11100</v>
      </c>
      <c r="U5388" t="s">
        <v>11100</v>
      </c>
      <c r="V5388" t="s">
        <v>11100</v>
      </c>
      <c r="W5388" t="s">
        <v>16433</v>
      </c>
      <c r="X5388">
        <v>4</v>
      </c>
      <c r="Y5388" t="s">
        <v>21849</v>
      </c>
      <c r="Z5388" t="s">
        <v>27393</v>
      </c>
      <c r="AA5388">
        <v>0.7656591319763415</v>
      </c>
      <c r="AB5388" t="str">
        <f>HYPERLINK("Melting_Curves/meltCurve_Q9Y2S6_TMA7.pdf", "Melting_Curves/meltCurve_Q9Y2S6_TMA7.pdf")</f>
        <v>Melting_Curves/meltCurve_Q9Y2S6_TMA7.pdf</v>
      </c>
    </row>
    <row r="5389" spans="1:28" x14ac:dyDescent="0.25">
      <c r="A5389" t="s">
        <v>5393</v>
      </c>
      <c r="B5389">
        <v>0.99299721793515405</v>
      </c>
      <c r="C5389">
        <v>0.964152630613475</v>
      </c>
      <c r="D5389">
        <v>0.96930589942765999</v>
      </c>
      <c r="E5389">
        <v>0.86696943657609404</v>
      </c>
      <c r="F5389">
        <v>0.787088281280239</v>
      </c>
      <c r="G5389">
        <v>0.57198470363676102</v>
      </c>
      <c r="H5389">
        <v>0.31926933806154201</v>
      </c>
      <c r="I5389">
        <v>0.25040955973094697</v>
      </c>
      <c r="J5389">
        <v>0.21681947760391501</v>
      </c>
      <c r="K5389">
        <v>0.159643191451731</v>
      </c>
      <c r="L5389">
        <v>768.77307209645699</v>
      </c>
      <c r="M5389">
        <v>14.3360120279883</v>
      </c>
      <c r="N5389">
        <v>54.638067249280098</v>
      </c>
      <c r="O5389">
        <v>52.614253737253797</v>
      </c>
      <c r="P5389">
        <v>-6.0177895719608097E-2</v>
      </c>
      <c r="Q5389">
        <v>0.116676740609114</v>
      </c>
      <c r="R5389">
        <v>0.99380626333454802</v>
      </c>
      <c r="S5389" t="s">
        <v>10940</v>
      </c>
      <c r="T5389" t="s">
        <v>11100</v>
      </c>
      <c r="U5389" t="s">
        <v>11100</v>
      </c>
      <c r="V5389" t="s">
        <v>11100</v>
      </c>
      <c r="W5389" t="s">
        <v>16434</v>
      </c>
      <c r="X5389">
        <v>17</v>
      </c>
      <c r="Y5389" t="s">
        <v>21850</v>
      </c>
      <c r="Z5389" t="s">
        <v>27394</v>
      </c>
      <c r="AA5389">
        <v>0.62161825185212194</v>
      </c>
      <c r="AB5389" t="str">
        <f>HYPERLINK("Melting_Curves/meltCurve_Q9Y2S7_POLDIP2.pdf", "Melting_Curves/meltCurve_Q9Y2S7_POLDIP2.pdf")</f>
        <v>Melting_Curves/meltCurve_Q9Y2S7_POLDIP2.pdf</v>
      </c>
    </row>
    <row r="5390" spans="1:28" x14ac:dyDescent="0.25">
      <c r="A5390" t="s">
        <v>5394</v>
      </c>
      <c r="B5390">
        <v>0.99299721793515405</v>
      </c>
      <c r="C5390">
        <v>0.97826213105803705</v>
      </c>
      <c r="D5390">
        <v>0.89793472072434499</v>
      </c>
      <c r="E5390">
        <v>0.90015550623823104</v>
      </c>
      <c r="F5390">
        <v>0.77818546440537895</v>
      </c>
      <c r="G5390">
        <v>0.57361942984648695</v>
      </c>
      <c r="H5390">
        <v>0.36249108723821899</v>
      </c>
      <c r="I5390">
        <v>0.25094988044959698</v>
      </c>
      <c r="J5390">
        <v>0.24508647281946699</v>
      </c>
      <c r="K5390">
        <v>0.19386268755477401</v>
      </c>
      <c r="L5390">
        <v>726.38542200390805</v>
      </c>
      <c r="M5390">
        <v>13.5435862356565</v>
      </c>
      <c r="N5390">
        <v>54.908519351151298</v>
      </c>
      <c r="O5390">
        <v>52.504401412546898</v>
      </c>
      <c r="P5390">
        <v>-5.5793598158922E-2</v>
      </c>
      <c r="Q5390">
        <v>0.134950433258375</v>
      </c>
      <c r="R5390">
        <v>0.99164206479130101</v>
      </c>
      <c r="S5390" t="s">
        <v>10941</v>
      </c>
      <c r="T5390" t="s">
        <v>11100</v>
      </c>
      <c r="U5390" t="s">
        <v>11100</v>
      </c>
      <c r="V5390" t="s">
        <v>11100</v>
      </c>
      <c r="W5390" t="s">
        <v>16435</v>
      </c>
      <c r="X5390">
        <v>6</v>
      </c>
      <c r="Y5390" t="s">
        <v>21851</v>
      </c>
      <c r="Z5390" t="s">
        <v>27395</v>
      </c>
      <c r="AA5390">
        <v>0.63023428763291656</v>
      </c>
      <c r="AB5390" t="str">
        <f>HYPERLINK("Melting_Curves/meltCurve_Q9Y2U5_MAP3K2.pdf", "Melting_Curves/meltCurve_Q9Y2U5_MAP3K2.pdf")</f>
        <v>Melting_Curves/meltCurve_Q9Y2U5_MAP3K2.pdf</v>
      </c>
    </row>
    <row r="5391" spans="1:28" x14ac:dyDescent="0.25">
      <c r="A5391" t="s">
        <v>5395</v>
      </c>
      <c r="B5391">
        <v>0.99299721793515405</v>
      </c>
      <c r="C5391">
        <v>0.97443530643475595</v>
      </c>
      <c r="D5391">
        <v>0.94794634916458997</v>
      </c>
      <c r="E5391">
        <v>0.88231915696788099</v>
      </c>
      <c r="F5391">
        <v>0.69573978014173798</v>
      </c>
      <c r="G5391">
        <v>0.31308063328663299</v>
      </c>
      <c r="H5391">
        <v>0.26811680486574702</v>
      </c>
      <c r="I5391">
        <v>0.25338267397714298</v>
      </c>
      <c r="J5391">
        <v>0.242733251581706</v>
      </c>
      <c r="K5391">
        <v>0.18146591567315401</v>
      </c>
      <c r="L5391">
        <v>1272.04300939018</v>
      </c>
      <c r="M5391">
        <v>25.108901069112601</v>
      </c>
      <c r="N5391">
        <v>51.826517564970899</v>
      </c>
      <c r="O5391">
        <v>50.342986310514704</v>
      </c>
      <c r="P5391">
        <v>-9.7792431587310893E-2</v>
      </c>
      <c r="Q5391">
        <v>0.21572089399418501</v>
      </c>
      <c r="R5391">
        <v>0.99008091661202702</v>
      </c>
      <c r="S5391" t="s">
        <v>10942</v>
      </c>
      <c r="T5391" t="s">
        <v>11100</v>
      </c>
      <c r="U5391" t="s">
        <v>11100</v>
      </c>
      <c r="V5391" t="s">
        <v>11100</v>
      </c>
      <c r="W5391" t="s">
        <v>16436</v>
      </c>
      <c r="X5391">
        <v>11</v>
      </c>
      <c r="Y5391" t="s">
        <v>21852</v>
      </c>
      <c r="Z5391" t="s">
        <v>27396</v>
      </c>
      <c r="AA5391">
        <v>0.57970223122082276</v>
      </c>
      <c r="AB5391" t="str">
        <f>HYPERLINK("Melting_Curves/meltCurve_Q9Y2U8_LEMD3.pdf", "Melting_Curves/meltCurve_Q9Y2U8_LEMD3.pdf")</f>
        <v>Melting_Curves/meltCurve_Q9Y2U8_LEMD3.pdf</v>
      </c>
    </row>
    <row r="5392" spans="1:28" x14ac:dyDescent="0.25">
      <c r="A5392" t="s">
        <v>5396</v>
      </c>
      <c r="B5392">
        <v>0.99299721793515405</v>
      </c>
      <c r="C5392">
        <v>1.18601055592892</v>
      </c>
      <c r="D5392">
        <v>1.81087312974117</v>
      </c>
      <c r="E5392">
        <v>1.1549041059445799</v>
      </c>
      <c r="F5392">
        <v>0.845131766488327</v>
      </c>
      <c r="G5392">
        <v>1.3582051773456101</v>
      </c>
      <c r="H5392">
        <v>0.66272801992166896</v>
      </c>
      <c r="I5392">
        <v>0.57062722038251701</v>
      </c>
      <c r="J5392">
        <v>0.48584881169064498</v>
      </c>
      <c r="K5392">
        <v>0.60626642311074097</v>
      </c>
      <c r="L5392">
        <v>14284.8904183706</v>
      </c>
      <c r="M5392">
        <v>250</v>
      </c>
      <c r="O5392">
        <v>57.135890967711497</v>
      </c>
      <c r="P5392">
        <v>-0.487601242256956</v>
      </c>
      <c r="Q5392">
        <v>0.55424738706645005</v>
      </c>
      <c r="R5392">
        <v>0.44384427894997103</v>
      </c>
      <c r="S5392" t="s">
        <v>10943</v>
      </c>
      <c r="T5392" t="s">
        <v>11100</v>
      </c>
      <c r="U5392" t="s">
        <v>11100</v>
      </c>
      <c r="V5392" t="s">
        <v>11100</v>
      </c>
      <c r="W5392" t="s">
        <v>16437</v>
      </c>
      <c r="X5392">
        <v>9</v>
      </c>
      <c r="Y5392" t="s">
        <v>21853</v>
      </c>
      <c r="Z5392" t="s">
        <v>27397</v>
      </c>
      <c r="AA5392">
        <v>0.85353416135423688</v>
      </c>
      <c r="AB5392" t="str">
        <f>HYPERLINK("Melting_Curves/meltCurve_Q9Y2V2_CARHSP1.pdf", "Melting_Curves/meltCurve_Q9Y2V2_CARHSP1.pdf")</f>
        <v>Melting_Curves/meltCurve_Q9Y2V2_CARHSP1.pdf</v>
      </c>
    </row>
    <row r="5393" spans="1:28" x14ac:dyDescent="0.25">
      <c r="A5393" t="s">
        <v>5397</v>
      </c>
      <c r="B5393">
        <v>0.99299721793515405</v>
      </c>
      <c r="C5393">
        <v>1.0554357613757701</v>
      </c>
      <c r="D5393">
        <v>0.91737196523259201</v>
      </c>
      <c r="E5393">
        <v>0.75349949379412495</v>
      </c>
      <c r="F5393">
        <v>0.48534380482884898</v>
      </c>
      <c r="G5393">
        <v>0.28160690351092099</v>
      </c>
      <c r="H5393">
        <v>0.19293267787757201</v>
      </c>
      <c r="I5393">
        <v>0.12685132820890299</v>
      </c>
      <c r="J5393">
        <v>0.11039459053822701</v>
      </c>
      <c r="K5393">
        <v>7.3805075099922096E-2</v>
      </c>
      <c r="L5393">
        <v>800.825573969483</v>
      </c>
      <c r="M5393">
        <v>16.1661119979094</v>
      </c>
      <c r="N5393">
        <v>50.094856998043902</v>
      </c>
      <c r="O5393">
        <v>48.797901196987198</v>
      </c>
      <c r="P5393">
        <v>-7.6008363682707594E-2</v>
      </c>
      <c r="Q5393">
        <v>8.2334961610875307E-2</v>
      </c>
      <c r="R5393">
        <v>0.995366140331435</v>
      </c>
      <c r="S5393" t="s">
        <v>10944</v>
      </c>
      <c r="T5393" t="s">
        <v>11100</v>
      </c>
      <c r="U5393" t="s">
        <v>11100</v>
      </c>
      <c r="V5393" t="s">
        <v>11100</v>
      </c>
      <c r="W5393" t="s">
        <v>16438</v>
      </c>
      <c r="X5393">
        <v>4</v>
      </c>
      <c r="Y5393" t="s">
        <v>21854</v>
      </c>
      <c r="Z5393" t="s">
        <v>27398</v>
      </c>
      <c r="AA5393">
        <v>0.48316600673699128</v>
      </c>
      <c r="AB5393" t="str">
        <f>HYPERLINK("Melting_Curves/meltCurve_Q9Y2V7_2_COG6.pdf", "Melting_Curves/meltCurve_Q9Y2V7_2_COG6.pdf")</f>
        <v>Melting_Curves/meltCurve_Q9Y2V7_2_COG6.pdf</v>
      </c>
    </row>
    <row r="5394" spans="1:28" x14ac:dyDescent="0.25">
      <c r="A5394" t="s">
        <v>5398</v>
      </c>
      <c r="B5394">
        <v>0.99299721793515405</v>
      </c>
      <c r="C5394">
        <v>1.0071558429563501</v>
      </c>
      <c r="D5394">
        <v>0.90277682885368504</v>
      </c>
      <c r="E5394">
        <v>0.74711470214203102</v>
      </c>
      <c r="F5394">
        <v>0.62989477198527499</v>
      </c>
      <c r="G5394">
        <v>0.489786441086768</v>
      </c>
      <c r="H5394">
        <v>0.31430472581267599</v>
      </c>
      <c r="I5394">
        <v>0.26205658476273203</v>
      </c>
      <c r="J5394">
        <v>0.239128420146416</v>
      </c>
      <c r="K5394">
        <v>0.180131620209456</v>
      </c>
      <c r="L5394">
        <v>548.51131918042199</v>
      </c>
      <c r="M5394">
        <v>10.659220192760801</v>
      </c>
      <c r="N5394">
        <v>52.868046782402502</v>
      </c>
      <c r="O5394">
        <v>49.746825641768702</v>
      </c>
      <c r="P5394">
        <v>-4.6960952955715597E-2</v>
      </c>
      <c r="Q5394">
        <v>0.12366230102369</v>
      </c>
      <c r="R5394">
        <v>0.99410156093530699</v>
      </c>
      <c r="S5394" t="s">
        <v>10945</v>
      </c>
      <c r="T5394" t="s">
        <v>11100</v>
      </c>
      <c r="U5394" t="s">
        <v>11100</v>
      </c>
      <c r="V5394" t="s">
        <v>11100</v>
      </c>
      <c r="W5394" t="s">
        <v>16439</v>
      </c>
      <c r="X5394">
        <v>7</v>
      </c>
      <c r="Y5394" t="s">
        <v>21855</v>
      </c>
      <c r="Z5394" t="s">
        <v>27399</v>
      </c>
      <c r="AA5394">
        <v>0.57017692569129219</v>
      </c>
      <c r="AB5394" t="str">
        <f>HYPERLINK("Melting_Curves/meltCurve_Q9Y2W1_THRAP3.pdf", "Melting_Curves/meltCurve_Q9Y2W1_THRAP3.pdf")</f>
        <v>Melting_Curves/meltCurve_Q9Y2W1_THRAP3.pdf</v>
      </c>
    </row>
    <row r="5395" spans="1:28" x14ac:dyDescent="0.25">
      <c r="A5395" t="s">
        <v>5399</v>
      </c>
      <c r="B5395">
        <v>0.99299721793515405</v>
      </c>
      <c r="C5395">
        <v>1.1025497476208601</v>
      </c>
      <c r="D5395">
        <v>1.0154533412801201</v>
      </c>
      <c r="E5395">
        <v>0.91389865984565899</v>
      </c>
      <c r="F5395">
        <v>0.65438073374051098</v>
      </c>
      <c r="G5395">
        <v>0.66326143449485098</v>
      </c>
      <c r="H5395">
        <v>0.47227289915845699</v>
      </c>
      <c r="I5395">
        <v>0.25877469549345</v>
      </c>
      <c r="J5395">
        <v>0.17213303644564801</v>
      </c>
      <c r="K5395">
        <v>0.14796616865494899</v>
      </c>
      <c r="L5395">
        <v>612.94929981910002</v>
      </c>
      <c r="M5395">
        <v>10.9682857207399</v>
      </c>
      <c r="N5395">
        <v>55.8837830806619</v>
      </c>
      <c r="O5395">
        <v>54.1225069290346</v>
      </c>
      <c r="P5395">
        <v>-5.0681452831464399E-2</v>
      </c>
      <c r="Q5395">
        <v>0</v>
      </c>
      <c r="R5395">
        <v>0.96841247977243505</v>
      </c>
      <c r="S5395" t="s">
        <v>10946</v>
      </c>
      <c r="T5395" t="s">
        <v>11100</v>
      </c>
      <c r="U5395" t="s">
        <v>11100</v>
      </c>
      <c r="V5395" t="s">
        <v>11100</v>
      </c>
      <c r="W5395" t="s">
        <v>16440</v>
      </c>
      <c r="X5395">
        <v>7</v>
      </c>
      <c r="Y5395" t="s">
        <v>21856</v>
      </c>
      <c r="Z5395" t="s">
        <v>27400</v>
      </c>
      <c r="AA5395">
        <v>0.63834157573668304</v>
      </c>
      <c r="AB5395" t="str">
        <f>HYPERLINK("Melting_Curves/meltCurve_Q9Y2X3_NOP58.pdf", "Melting_Curves/meltCurve_Q9Y2X3_NOP58.pdf")</f>
        <v>Melting_Curves/meltCurve_Q9Y2X3_NOP58.pdf</v>
      </c>
    </row>
    <row r="5396" spans="1:28" x14ac:dyDescent="0.25">
      <c r="A5396" t="s">
        <v>5400</v>
      </c>
      <c r="B5396">
        <v>0.99299721793515405</v>
      </c>
      <c r="C5396">
        <v>0.98943351931677603</v>
      </c>
      <c r="D5396">
        <v>0.93725472691127698</v>
      </c>
      <c r="E5396">
        <v>0.78538800559199695</v>
      </c>
      <c r="F5396">
        <v>0.42213859934831099</v>
      </c>
      <c r="G5396">
        <v>0.22677758731265801</v>
      </c>
      <c r="H5396">
        <v>0.16217855996279501</v>
      </c>
      <c r="I5396">
        <v>0.11612547784586499</v>
      </c>
      <c r="J5396">
        <v>9.62231928703315E-2</v>
      </c>
      <c r="K5396">
        <v>7.4271421743812696E-2</v>
      </c>
      <c r="L5396">
        <v>989.90020660774098</v>
      </c>
      <c r="M5396">
        <v>20.185432096045702</v>
      </c>
      <c r="N5396">
        <v>49.540491441877101</v>
      </c>
      <c r="O5396">
        <v>48.566624872584903</v>
      </c>
      <c r="P5396">
        <v>-9.4330525380928301E-2</v>
      </c>
      <c r="Q5396">
        <v>9.2182631883711896E-2</v>
      </c>
      <c r="R5396">
        <v>0.99852025232814301</v>
      </c>
      <c r="S5396" t="s">
        <v>10947</v>
      </c>
      <c r="T5396" t="s">
        <v>11100</v>
      </c>
      <c r="U5396" t="s">
        <v>11100</v>
      </c>
      <c r="V5396" t="s">
        <v>11100</v>
      </c>
      <c r="W5396" t="s">
        <v>16441</v>
      </c>
      <c r="X5396">
        <v>7</v>
      </c>
      <c r="Y5396" t="s">
        <v>21857</v>
      </c>
      <c r="Z5396" t="s">
        <v>27401</v>
      </c>
      <c r="AA5396">
        <v>0.4682911137259626</v>
      </c>
      <c r="AB5396" t="str">
        <f>HYPERLINK("Melting_Curves/meltCurve_Q9Y2X7_GIT1.pdf", "Melting_Curves/meltCurve_Q9Y2X7_GIT1.pdf")</f>
        <v>Melting_Curves/meltCurve_Q9Y2X7_GIT1.pdf</v>
      </c>
    </row>
    <row r="5397" spans="1:28" x14ac:dyDescent="0.25">
      <c r="A5397" t="s">
        <v>5401</v>
      </c>
      <c r="B5397">
        <v>0.99299721793515405</v>
      </c>
      <c r="C5397">
        <v>0.87212507037170395</v>
      </c>
      <c r="D5397">
        <v>0.91693647038413595</v>
      </c>
      <c r="E5397">
        <v>1.0083893814602101</v>
      </c>
      <c r="F5397">
        <v>0.72218004239601796</v>
      </c>
      <c r="G5397">
        <v>0.45213837712516602</v>
      </c>
      <c r="H5397">
        <v>0.61455862912187897</v>
      </c>
      <c r="I5397">
        <v>0.808783330820663</v>
      </c>
      <c r="J5397">
        <v>0.75769265995477997</v>
      </c>
      <c r="K5397">
        <v>0.50647496201081899</v>
      </c>
      <c r="L5397">
        <v>12495.7329005588</v>
      </c>
      <c r="M5397">
        <v>250</v>
      </c>
      <c r="O5397">
        <v>49.979752489425501</v>
      </c>
      <c r="P5397">
        <v>-0.46527660236698098</v>
      </c>
      <c r="Q5397">
        <v>0.62792959364144796</v>
      </c>
      <c r="R5397">
        <v>0.64755816212995798</v>
      </c>
      <c r="S5397" t="s">
        <v>10948</v>
      </c>
      <c r="T5397" t="s">
        <v>11100</v>
      </c>
      <c r="U5397" t="s">
        <v>11100</v>
      </c>
      <c r="V5397" t="s">
        <v>11100</v>
      </c>
      <c r="W5397" t="s">
        <v>16442</v>
      </c>
      <c r="X5397">
        <v>2</v>
      </c>
      <c r="Y5397" t="s">
        <v>21858</v>
      </c>
      <c r="Z5397" t="s">
        <v>27402</v>
      </c>
      <c r="AA5397">
        <v>0.78898105261708451</v>
      </c>
      <c r="AB5397" t="str">
        <f>HYPERLINK("Melting_Curves/meltCurve_Q9Y2Y1_POLR3K.pdf", "Melting_Curves/meltCurve_Q9Y2Y1_POLR3K.pdf")</f>
        <v>Melting_Curves/meltCurve_Q9Y2Y1_POLR3K.pdf</v>
      </c>
    </row>
    <row r="5398" spans="1:28" x14ac:dyDescent="0.25">
      <c r="A5398" t="s">
        <v>5402</v>
      </c>
      <c r="B5398">
        <v>0.99299721793515405</v>
      </c>
      <c r="C5398">
        <v>0.98224737727448697</v>
      </c>
      <c r="D5398">
        <v>0.94767683198758501</v>
      </c>
      <c r="E5398">
        <v>0.86521294250626501</v>
      </c>
      <c r="F5398">
        <v>0.71916946055928199</v>
      </c>
      <c r="G5398">
        <v>0.51752961060380798</v>
      </c>
      <c r="H5398">
        <v>0.39783184260826399</v>
      </c>
      <c r="I5398">
        <v>0.328076874495768</v>
      </c>
      <c r="J5398">
        <v>0.23148346446367701</v>
      </c>
      <c r="K5398">
        <v>0.17206973703464801</v>
      </c>
      <c r="L5398">
        <v>584.87689367421297</v>
      </c>
      <c r="M5398">
        <v>10.890045951939101</v>
      </c>
      <c r="N5398">
        <v>54.822583150876099</v>
      </c>
      <c r="O5398">
        <v>51.991655684389499</v>
      </c>
      <c r="P5398">
        <v>-4.7178813549402301E-2</v>
      </c>
      <c r="Q5398">
        <v>9.9344625240208304E-2</v>
      </c>
      <c r="R5398">
        <v>0.99720612395920305</v>
      </c>
      <c r="S5398" t="s">
        <v>10949</v>
      </c>
      <c r="T5398" t="s">
        <v>11100</v>
      </c>
      <c r="U5398" t="s">
        <v>11100</v>
      </c>
      <c r="V5398" t="s">
        <v>11100</v>
      </c>
      <c r="W5398" t="s">
        <v>16443</v>
      </c>
      <c r="X5398">
        <v>13</v>
      </c>
      <c r="Y5398" t="s">
        <v>21859</v>
      </c>
      <c r="Z5398" t="s">
        <v>27403</v>
      </c>
      <c r="AA5398">
        <v>0.61822072273319972</v>
      </c>
      <c r="AB5398" t="str">
        <f>HYPERLINK("Melting_Curves/meltCurve_Q9Y2Z0_2_SUGT1.pdf", "Melting_Curves/meltCurve_Q9Y2Z0_2_SUGT1.pdf")</f>
        <v>Melting_Curves/meltCurve_Q9Y2Z0_2_SUGT1.pdf</v>
      </c>
    </row>
    <row r="5399" spans="1:28" x14ac:dyDescent="0.25">
      <c r="A5399" t="s">
        <v>5403</v>
      </c>
      <c r="B5399">
        <v>0.99299721793515405</v>
      </c>
      <c r="C5399">
        <v>1.01495319081275</v>
      </c>
      <c r="D5399">
        <v>0.87953372653071704</v>
      </c>
      <c r="E5399">
        <v>0.88245894034168004</v>
      </c>
      <c r="F5399">
        <v>0.55383590122043602</v>
      </c>
      <c r="G5399">
        <v>0.268438000002792</v>
      </c>
      <c r="H5399">
        <v>0.21209143323869001</v>
      </c>
      <c r="I5399">
        <v>0.164309175427089</v>
      </c>
      <c r="J5399">
        <v>0.139461208719245</v>
      </c>
      <c r="K5399">
        <v>0.14761370546035699</v>
      </c>
      <c r="L5399">
        <v>1085.1665870054601</v>
      </c>
      <c r="M5399">
        <v>21.713963560583899</v>
      </c>
      <c r="N5399">
        <v>50.759697440895899</v>
      </c>
      <c r="O5399">
        <v>49.557443144118402</v>
      </c>
      <c r="P5399">
        <v>-9.3932631650608805E-2</v>
      </c>
      <c r="Q5399">
        <v>0.142496188691837</v>
      </c>
      <c r="R5399">
        <v>0.99101306146258605</v>
      </c>
      <c r="S5399" t="s">
        <v>10950</v>
      </c>
      <c r="T5399" t="s">
        <v>11100</v>
      </c>
      <c r="U5399" t="s">
        <v>11100</v>
      </c>
      <c r="V5399" t="s">
        <v>11100</v>
      </c>
      <c r="W5399" t="s">
        <v>16444</v>
      </c>
      <c r="X5399">
        <v>5</v>
      </c>
      <c r="Y5399" t="s">
        <v>21860</v>
      </c>
      <c r="Z5399" t="s">
        <v>27404</v>
      </c>
      <c r="AA5399">
        <v>0.52313221460726533</v>
      </c>
      <c r="AB5399" t="str">
        <f>HYPERLINK("Melting_Curves/meltCurve_Q9Y2Z2_5_MTO1.pdf", "Melting_Curves/meltCurve_Q9Y2Z2_5_MTO1.pdf")</f>
        <v>Melting_Curves/meltCurve_Q9Y2Z2_5_MTO1.pdf</v>
      </c>
    </row>
    <row r="5400" spans="1:28" x14ac:dyDescent="0.25">
      <c r="A5400" t="s">
        <v>5404</v>
      </c>
      <c r="B5400">
        <v>0.99299721793515405</v>
      </c>
      <c r="C5400">
        <v>0.95573142029861002</v>
      </c>
      <c r="D5400">
        <v>1.24878465739487</v>
      </c>
      <c r="E5400">
        <v>0.90064791692568802</v>
      </c>
      <c r="F5400">
        <v>0.40603530442242602</v>
      </c>
      <c r="G5400">
        <v>0.25068828964484702</v>
      </c>
      <c r="H5400">
        <v>0.15159304762067699</v>
      </c>
      <c r="I5400">
        <v>0.130818500810926</v>
      </c>
      <c r="J5400">
        <v>0.109206873720155</v>
      </c>
      <c r="K5400">
        <v>9.3253754918436793E-2</v>
      </c>
      <c r="L5400">
        <v>1758.7424342183499</v>
      </c>
      <c r="M5400">
        <v>35.702939591933301</v>
      </c>
      <c r="N5400">
        <v>49.696100285383302</v>
      </c>
      <c r="O5400">
        <v>49.1066549530589</v>
      </c>
      <c r="P5400">
        <v>-0.15733948551177501</v>
      </c>
      <c r="Q5400">
        <v>0.13436911107305899</v>
      </c>
      <c r="R5400">
        <v>0.95864158961468704</v>
      </c>
      <c r="S5400" t="s">
        <v>10951</v>
      </c>
      <c r="T5400" t="s">
        <v>11100</v>
      </c>
      <c r="U5400" t="s">
        <v>11100</v>
      </c>
      <c r="V5400" t="s">
        <v>11100</v>
      </c>
      <c r="W5400" t="s">
        <v>16445</v>
      </c>
      <c r="X5400">
        <v>14</v>
      </c>
      <c r="Y5400" t="s">
        <v>21861</v>
      </c>
      <c r="Z5400" t="s">
        <v>27405</v>
      </c>
      <c r="AA5400">
        <v>0.49183932832897481</v>
      </c>
      <c r="AB5400" t="str">
        <f>HYPERLINK("Melting_Curves/meltCurve_Q9Y2Z4_YARS2.pdf", "Melting_Curves/meltCurve_Q9Y2Z4_YARS2.pdf")</f>
        <v>Melting_Curves/meltCurve_Q9Y2Z4_YARS2.pdf</v>
      </c>
    </row>
    <row r="5401" spans="1:28" x14ac:dyDescent="0.25">
      <c r="A5401" t="s">
        <v>5405</v>
      </c>
      <c r="B5401">
        <v>0.99299721793515405</v>
      </c>
      <c r="C5401">
        <v>1.04182858356032</v>
      </c>
      <c r="D5401">
        <v>0.98533990455107701</v>
      </c>
      <c r="E5401">
        <v>0.91635543259668195</v>
      </c>
      <c r="F5401">
        <v>0.703983079877464</v>
      </c>
      <c r="G5401">
        <v>0.51007984464459399</v>
      </c>
      <c r="H5401">
        <v>0.47570449238065099</v>
      </c>
      <c r="I5401">
        <v>0.42600328741557902</v>
      </c>
      <c r="J5401">
        <v>0.141646271239073</v>
      </c>
      <c r="K5401">
        <v>9.1266898975567695E-2</v>
      </c>
      <c r="L5401">
        <v>565.34907812838799</v>
      </c>
      <c r="M5401">
        <v>10.1532576228221</v>
      </c>
      <c r="N5401">
        <v>55.6815327824579</v>
      </c>
      <c r="O5401">
        <v>53.651091579166099</v>
      </c>
      <c r="P5401">
        <v>-4.7333225477420499E-2</v>
      </c>
      <c r="Q5401">
        <v>0</v>
      </c>
      <c r="R5401">
        <v>0.96156784701562004</v>
      </c>
      <c r="S5401" t="s">
        <v>10952</v>
      </c>
      <c r="T5401" t="s">
        <v>11100</v>
      </c>
      <c r="U5401" t="s">
        <v>11100</v>
      </c>
      <c r="V5401" t="s">
        <v>11100</v>
      </c>
      <c r="W5401" t="s">
        <v>16446</v>
      </c>
      <c r="X5401">
        <v>4</v>
      </c>
      <c r="Y5401" t="s">
        <v>21862</v>
      </c>
      <c r="Z5401" t="s">
        <v>27406</v>
      </c>
      <c r="AA5401">
        <v>0.63115295873295818</v>
      </c>
      <c r="AB5401" t="str">
        <f>HYPERLINK("Melting_Curves/meltCurve_Q9Y2Z9_3_COQ6.pdf", "Melting_Curves/meltCurve_Q9Y2Z9_3_COQ6.pdf")</f>
        <v>Melting_Curves/meltCurve_Q9Y2Z9_3_COQ6.pdf</v>
      </c>
    </row>
    <row r="5402" spans="1:28" x14ac:dyDescent="0.25">
      <c r="A5402" t="s">
        <v>5406</v>
      </c>
      <c r="B5402">
        <v>0.99299721793515405</v>
      </c>
      <c r="C5402">
        <v>0.91976724427918399</v>
      </c>
      <c r="D5402">
        <v>0.81233805907450496</v>
      </c>
      <c r="E5402">
        <v>0.80834590690251096</v>
      </c>
      <c r="F5402">
        <v>0.66058632501549497</v>
      </c>
      <c r="G5402">
        <v>0.71289410228066896</v>
      </c>
      <c r="H5402">
        <v>0.692484928798905</v>
      </c>
      <c r="I5402">
        <v>0.48458180294065001</v>
      </c>
      <c r="J5402">
        <v>0.176541196906286</v>
      </c>
      <c r="K5402">
        <v>0.124231956899392</v>
      </c>
      <c r="L5402">
        <v>431.919902244882</v>
      </c>
      <c r="M5402">
        <v>7.5035146074474497</v>
      </c>
      <c r="N5402">
        <v>57.562345572844897</v>
      </c>
      <c r="O5402">
        <v>53.899401323785497</v>
      </c>
      <c r="P5402">
        <v>-3.48532841366955E-2</v>
      </c>
      <c r="Q5402">
        <v>0</v>
      </c>
      <c r="R5402">
        <v>0.85380238965230404</v>
      </c>
      <c r="S5402" t="s">
        <v>10953</v>
      </c>
      <c r="T5402" t="s">
        <v>11100</v>
      </c>
      <c r="U5402" t="s">
        <v>11100</v>
      </c>
      <c r="V5402" t="s">
        <v>11100</v>
      </c>
      <c r="W5402" t="s">
        <v>16447</v>
      </c>
      <c r="X5402">
        <v>9</v>
      </c>
      <c r="Y5402" t="s">
        <v>21863</v>
      </c>
      <c r="Z5402" t="s">
        <v>27407</v>
      </c>
      <c r="AA5402">
        <v>0.66505115801307546</v>
      </c>
      <c r="AB5402" t="str">
        <f>HYPERLINK("Melting_Curves/meltCurve_Q9Y303_2_AMDHD2.pdf", "Melting_Curves/meltCurve_Q9Y303_2_AMDHD2.pdf")</f>
        <v>Melting_Curves/meltCurve_Q9Y303_2_AMDHD2.pdf</v>
      </c>
    </row>
    <row r="5403" spans="1:28" x14ac:dyDescent="0.25">
      <c r="A5403" t="s">
        <v>5407</v>
      </c>
      <c r="B5403">
        <v>0.99299721793515405</v>
      </c>
      <c r="C5403">
        <v>1.0016751214083699</v>
      </c>
      <c r="D5403">
        <v>0.979341407223009</v>
      </c>
      <c r="E5403">
        <v>0.85678850689759201</v>
      </c>
      <c r="F5403">
        <v>0.76414813445547702</v>
      </c>
      <c r="G5403">
        <v>0.78793250914018598</v>
      </c>
      <c r="H5403">
        <v>0.45618607337656197</v>
      </c>
      <c r="I5403">
        <v>0.25967467197529598</v>
      </c>
      <c r="J5403">
        <v>0.26139541426662199</v>
      </c>
      <c r="K5403">
        <v>0.21112612995823901</v>
      </c>
      <c r="L5403">
        <v>629.69912224486495</v>
      </c>
      <c r="M5403">
        <v>11.1040193051067</v>
      </c>
      <c r="N5403">
        <v>57.0739204969395</v>
      </c>
      <c r="O5403">
        <v>54.963055224654397</v>
      </c>
      <c r="P5403">
        <v>-4.8792393706454801E-2</v>
      </c>
      <c r="Q5403">
        <v>3.4257172414551298E-2</v>
      </c>
      <c r="R5403">
        <v>0.96689787729691501</v>
      </c>
      <c r="S5403" t="s">
        <v>10954</v>
      </c>
      <c r="T5403" t="s">
        <v>11100</v>
      </c>
      <c r="U5403" t="s">
        <v>11100</v>
      </c>
      <c r="V5403" t="s">
        <v>11100</v>
      </c>
      <c r="W5403" t="s">
        <v>16448</v>
      </c>
      <c r="X5403">
        <v>9</v>
      </c>
      <c r="Y5403" t="s">
        <v>21864</v>
      </c>
      <c r="Z5403" t="s">
        <v>27408</v>
      </c>
      <c r="AA5403">
        <v>0.67297823466529283</v>
      </c>
      <c r="AB5403" t="str">
        <f>HYPERLINK("Melting_Curves/meltCurve_Q9Y305_ACOT9.pdf", "Melting_Curves/meltCurve_Q9Y305_ACOT9.pdf")</f>
        <v>Melting_Curves/meltCurve_Q9Y305_ACOT9.pdf</v>
      </c>
    </row>
    <row r="5404" spans="1:28" x14ac:dyDescent="0.25">
      <c r="A5404" t="s">
        <v>5408</v>
      </c>
      <c r="B5404">
        <v>0.99299721793515405</v>
      </c>
      <c r="C5404">
        <v>0.95827981599627299</v>
      </c>
      <c r="D5404">
        <v>1.19358551989669</v>
      </c>
      <c r="E5404">
        <v>0.89064501919462302</v>
      </c>
      <c r="F5404">
        <v>0.52906300207610601</v>
      </c>
      <c r="G5404">
        <v>0.24485234375002399</v>
      </c>
      <c r="H5404">
        <v>0.16407269890915499</v>
      </c>
      <c r="I5404">
        <v>0.162744284485175</v>
      </c>
      <c r="J5404">
        <v>0.176222860505752</v>
      </c>
      <c r="K5404">
        <v>0.12561827281960899</v>
      </c>
      <c r="L5404">
        <v>1555.7119025145901</v>
      </c>
      <c r="M5404">
        <v>31.2162355064936</v>
      </c>
      <c r="N5404">
        <v>50.437484365865501</v>
      </c>
      <c r="O5404">
        <v>49.6334435477848</v>
      </c>
      <c r="P5404">
        <v>-0.13281930209005</v>
      </c>
      <c r="Q5404">
        <v>0.15528024973323901</v>
      </c>
      <c r="R5404">
        <v>0.97286138090980301</v>
      </c>
      <c r="S5404" t="s">
        <v>10955</v>
      </c>
      <c r="T5404" t="s">
        <v>11100</v>
      </c>
      <c r="U5404" t="s">
        <v>11100</v>
      </c>
      <c r="V5404" t="s">
        <v>11100</v>
      </c>
      <c r="W5404" t="s">
        <v>16449</v>
      </c>
      <c r="X5404">
        <v>12</v>
      </c>
      <c r="Y5404" t="s">
        <v>21865</v>
      </c>
      <c r="Z5404" t="s">
        <v>27409</v>
      </c>
      <c r="AA5404">
        <v>0.52150280083382194</v>
      </c>
      <c r="AB5404" t="str">
        <f>HYPERLINK("Melting_Curves/meltCurve_Q9Y314_NOSIP.pdf", "Melting_Curves/meltCurve_Q9Y314_NOSIP.pdf")</f>
        <v>Melting_Curves/meltCurve_Q9Y314_NOSIP.pdf</v>
      </c>
    </row>
    <row r="5405" spans="1:28" x14ac:dyDescent="0.25">
      <c r="A5405" t="s">
        <v>5409</v>
      </c>
      <c r="B5405">
        <v>0.99299721793515405</v>
      </c>
      <c r="C5405">
        <v>0.96832708532071798</v>
      </c>
      <c r="D5405">
        <v>1.06110706782901</v>
      </c>
      <c r="E5405">
        <v>0.87947274097629502</v>
      </c>
      <c r="F5405">
        <v>0.75950932640956603</v>
      </c>
      <c r="G5405">
        <v>0.64681461139427598</v>
      </c>
      <c r="H5405">
        <v>0.41871680902559699</v>
      </c>
      <c r="I5405">
        <v>0.26146771699096699</v>
      </c>
      <c r="J5405">
        <v>0.20465429922924999</v>
      </c>
      <c r="K5405">
        <v>0.17892140520549299</v>
      </c>
      <c r="L5405">
        <v>699.06563032884299</v>
      </c>
      <c r="M5405">
        <v>12.701776980757201</v>
      </c>
      <c r="N5405">
        <v>55.777865346928998</v>
      </c>
      <c r="O5405">
        <v>53.7261334000383</v>
      </c>
      <c r="P5405">
        <v>-5.4526132525370599E-2</v>
      </c>
      <c r="Q5405">
        <v>7.7637103574170793E-2</v>
      </c>
      <c r="R5405">
        <v>0.98802984589519904</v>
      </c>
      <c r="S5405" t="s">
        <v>10956</v>
      </c>
      <c r="T5405" t="s">
        <v>11100</v>
      </c>
      <c r="U5405" t="s">
        <v>11100</v>
      </c>
      <c r="V5405" t="s">
        <v>11100</v>
      </c>
      <c r="W5405" t="s">
        <v>16450</v>
      </c>
      <c r="X5405">
        <v>11</v>
      </c>
      <c r="Y5405" t="s">
        <v>21866</v>
      </c>
      <c r="Z5405" t="s">
        <v>27410</v>
      </c>
      <c r="AA5405">
        <v>0.64534990984015361</v>
      </c>
      <c r="AB5405" t="str">
        <f>HYPERLINK("Melting_Curves/meltCurve_Q9Y316_MEMO1.pdf", "Melting_Curves/meltCurve_Q9Y316_MEMO1.pdf")</f>
        <v>Melting_Curves/meltCurve_Q9Y316_MEMO1.pdf</v>
      </c>
    </row>
    <row r="5406" spans="1:28" x14ac:dyDescent="0.25">
      <c r="A5406" t="s">
        <v>5410</v>
      </c>
      <c r="B5406">
        <v>0.99299721793515405</v>
      </c>
      <c r="C5406">
        <v>1.0628393291773199</v>
      </c>
      <c r="D5406">
        <v>0.95739125367098998</v>
      </c>
      <c r="E5406">
        <v>0.96587345223533805</v>
      </c>
      <c r="F5406">
        <v>0.72103977327527002</v>
      </c>
      <c r="G5406">
        <v>0.68280998404440296</v>
      </c>
      <c r="H5406">
        <v>0.45064457484762199</v>
      </c>
      <c r="I5406">
        <v>0.31749939038991498</v>
      </c>
      <c r="J5406">
        <v>0.14944985963773</v>
      </c>
      <c r="K5406">
        <v>0.160719238857189</v>
      </c>
      <c r="L5406">
        <v>649.064270560566</v>
      </c>
      <c r="M5406">
        <v>11.5060754434255</v>
      </c>
      <c r="N5406">
        <v>56.410569735767801</v>
      </c>
      <c r="O5406">
        <v>54.787328733811002</v>
      </c>
      <c r="P5406">
        <v>-5.25182522333714E-2</v>
      </c>
      <c r="Q5406">
        <v>0</v>
      </c>
      <c r="R5406">
        <v>0.98180255058167998</v>
      </c>
      <c r="S5406" t="s">
        <v>10957</v>
      </c>
      <c r="T5406" t="s">
        <v>11100</v>
      </c>
      <c r="U5406" t="s">
        <v>11100</v>
      </c>
      <c r="V5406" t="s">
        <v>11100</v>
      </c>
      <c r="W5406" t="s">
        <v>16451</v>
      </c>
      <c r="X5406">
        <v>5</v>
      </c>
      <c r="Y5406" t="s">
        <v>21867</v>
      </c>
      <c r="Z5406" t="s">
        <v>27411</v>
      </c>
      <c r="AA5406">
        <v>0.65397953029763534</v>
      </c>
      <c r="AB5406" t="str">
        <f>HYPERLINK("Melting_Curves/meltCurve_Q9Y320_2_TMX2.pdf", "Melting_Curves/meltCurve_Q9Y320_2_TMX2.pdf")</f>
        <v>Melting_Curves/meltCurve_Q9Y320_2_TMX2.pdf</v>
      </c>
    </row>
    <row r="5407" spans="1:28" x14ac:dyDescent="0.25">
      <c r="A5407" t="s">
        <v>5411</v>
      </c>
      <c r="B5407">
        <v>0.99299721793515405</v>
      </c>
      <c r="C5407">
        <v>1.0921903893115701</v>
      </c>
      <c r="D5407">
        <v>0.97169115587188903</v>
      </c>
      <c r="E5407">
        <v>0.98298789890337901</v>
      </c>
      <c r="F5407">
        <v>0.81218886931440804</v>
      </c>
      <c r="G5407">
        <v>0.67255442074348204</v>
      </c>
      <c r="H5407">
        <v>0.95188830474191799</v>
      </c>
      <c r="I5407">
        <v>1.2316704150476701</v>
      </c>
      <c r="J5407">
        <v>1.4201865550794499</v>
      </c>
      <c r="K5407">
        <v>1.21265324190695</v>
      </c>
      <c r="L5407">
        <v>15000</v>
      </c>
      <c r="M5407">
        <v>246.90727676126701</v>
      </c>
      <c r="O5407">
        <v>60.747563314639201</v>
      </c>
      <c r="P5407">
        <v>0.32152041887077398</v>
      </c>
      <c r="Q5407">
        <v>1.3164197160186499</v>
      </c>
      <c r="R5407">
        <v>0.57925892994297901</v>
      </c>
      <c r="S5407" t="s">
        <v>10958</v>
      </c>
      <c r="T5407" t="s">
        <v>11100</v>
      </c>
      <c r="U5407" t="s">
        <v>11100</v>
      </c>
      <c r="V5407" t="s">
        <v>11100</v>
      </c>
      <c r="W5407" t="s">
        <v>16452</v>
      </c>
      <c r="X5407">
        <v>5</v>
      </c>
      <c r="Y5407" t="s">
        <v>21868</v>
      </c>
      <c r="Z5407" t="s">
        <v>27412</v>
      </c>
      <c r="AA5407">
        <v>1.0658698292967039</v>
      </c>
      <c r="AB5407" t="str">
        <f>HYPERLINK("Melting_Curves/meltCurve_Q9Y333_LSM2.pdf", "Melting_Curves/meltCurve_Q9Y333_LSM2.pdf")</f>
        <v>Melting_Curves/meltCurve_Q9Y333_LSM2.pdf</v>
      </c>
    </row>
    <row r="5408" spans="1:28" x14ac:dyDescent="0.25">
      <c r="A5408" t="s">
        <v>5412</v>
      </c>
      <c r="B5408">
        <v>0.99299721793515405</v>
      </c>
      <c r="C5408">
        <v>0.96860903152090705</v>
      </c>
      <c r="D5408">
        <v>0.93479548124832301</v>
      </c>
      <c r="E5408">
        <v>0.92205364965967396</v>
      </c>
      <c r="F5408">
        <v>0.466307257982017</v>
      </c>
      <c r="G5408">
        <v>0.21796078523429299</v>
      </c>
      <c r="H5408">
        <v>0.10700269858240399</v>
      </c>
      <c r="I5408">
        <v>9.5268104945888998E-2</v>
      </c>
      <c r="J5408">
        <v>8.9913511110026198E-2</v>
      </c>
      <c r="K5408">
        <v>7.0777712366904597E-2</v>
      </c>
      <c r="L5408">
        <v>1413.70419445525</v>
      </c>
      <c r="M5408">
        <v>28.391739172933299</v>
      </c>
      <c r="N5408">
        <v>50.135658990986997</v>
      </c>
      <c r="O5408">
        <v>49.547751505704497</v>
      </c>
      <c r="P5408">
        <v>-0.130615116332541</v>
      </c>
      <c r="Q5408">
        <v>8.8237393203176195E-2</v>
      </c>
      <c r="R5408">
        <v>0.99537853357821005</v>
      </c>
      <c r="S5408" t="s">
        <v>10959</v>
      </c>
      <c r="T5408" t="s">
        <v>11100</v>
      </c>
      <c r="U5408" t="s">
        <v>11100</v>
      </c>
      <c r="V5408" t="s">
        <v>11100</v>
      </c>
      <c r="W5408" t="s">
        <v>16453</v>
      </c>
      <c r="X5408">
        <v>19</v>
      </c>
      <c r="Y5408" t="s">
        <v>21869</v>
      </c>
      <c r="Z5408" t="s">
        <v>27413</v>
      </c>
      <c r="AA5408">
        <v>0.48325225591050452</v>
      </c>
      <c r="AB5408" t="str">
        <f>HYPERLINK("Melting_Curves/meltCurve_Q9Y371_SH3GLB1.pdf", "Melting_Curves/meltCurve_Q9Y371_SH3GLB1.pdf")</f>
        <v>Melting_Curves/meltCurve_Q9Y371_SH3GLB1.pdf</v>
      </c>
    </row>
    <row r="5409" spans="1:28" x14ac:dyDescent="0.25">
      <c r="A5409" t="s">
        <v>5413</v>
      </c>
      <c r="B5409">
        <v>0.99299721793515405</v>
      </c>
      <c r="C5409">
        <v>0.99493009324480197</v>
      </c>
      <c r="D5409">
        <v>1.1124818353099</v>
      </c>
      <c r="E5409">
        <v>0.79405827096914705</v>
      </c>
      <c r="F5409">
        <v>0.73370033048138406</v>
      </c>
      <c r="G5409">
        <v>0.83567868316016103</v>
      </c>
      <c r="H5409">
        <v>1.2686359915585399</v>
      </c>
      <c r="I5409">
        <v>1.15824196893262</v>
      </c>
      <c r="J5409">
        <v>0.59365597264002801</v>
      </c>
      <c r="K5409">
        <v>0.33559137923906601</v>
      </c>
      <c r="L5409">
        <v>15000</v>
      </c>
      <c r="M5409">
        <v>234.463229457235</v>
      </c>
      <c r="N5409">
        <v>64.280826494951995</v>
      </c>
      <c r="O5409">
        <v>63.971262133854999</v>
      </c>
      <c r="P5409">
        <v>-0.60880450874754899</v>
      </c>
      <c r="Q5409">
        <v>0.33557184596605799</v>
      </c>
      <c r="R5409">
        <v>0.65123371591327495</v>
      </c>
      <c r="S5409" t="s">
        <v>10960</v>
      </c>
      <c r="T5409" t="s">
        <v>11100</v>
      </c>
      <c r="U5409" t="s">
        <v>11100</v>
      </c>
      <c r="V5409" t="s">
        <v>11100</v>
      </c>
      <c r="W5409" t="s">
        <v>16454</v>
      </c>
      <c r="X5409">
        <v>2</v>
      </c>
      <c r="Y5409" t="s">
        <v>21870</v>
      </c>
      <c r="Z5409" t="s">
        <v>27414</v>
      </c>
      <c r="AA5409">
        <v>0.93310844085430145</v>
      </c>
      <c r="AB5409" t="str">
        <f>HYPERLINK("Melting_Curves/meltCurve_Q9Y375_NDUFAF1.pdf", "Melting_Curves/meltCurve_Q9Y375_NDUFAF1.pdf")</f>
        <v>Melting_Curves/meltCurve_Q9Y375_NDUFAF1.pdf</v>
      </c>
    </row>
    <row r="5410" spans="1:28" x14ac:dyDescent="0.25">
      <c r="A5410" t="s">
        <v>5414</v>
      </c>
      <c r="B5410">
        <v>0.99299721793515405</v>
      </c>
      <c r="C5410">
        <v>1.04230457723605</v>
      </c>
      <c r="D5410">
        <v>1.1699709248221899</v>
      </c>
      <c r="E5410">
        <v>0.86928070819351899</v>
      </c>
      <c r="F5410">
        <v>0.80725440140958804</v>
      </c>
      <c r="G5410">
        <v>0.72004556983468904</v>
      </c>
      <c r="H5410">
        <v>0.51807067411277496</v>
      </c>
      <c r="I5410">
        <v>0.52693894357658699</v>
      </c>
      <c r="J5410">
        <v>0.24506573547917199</v>
      </c>
      <c r="K5410">
        <v>0.17452399149908299</v>
      </c>
      <c r="L5410">
        <v>610.81195052948397</v>
      </c>
      <c r="M5410">
        <v>10.4169759344197</v>
      </c>
      <c r="N5410">
        <v>58.636206384752803</v>
      </c>
      <c r="O5410">
        <v>56.5988215708906</v>
      </c>
      <c r="P5410">
        <v>-4.6031474473504502E-2</v>
      </c>
      <c r="Q5410">
        <v>0</v>
      </c>
      <c r="R5410">
        <v>0.93358983030187404</v>
      </c>
      <c r="S5410" t="s">
        <v>10961</v>
      </c>
      <c r="T5410" t="s">
        <v>11100</v>
      </c>
      <c r="U5410" t="s">
        <v>11100</v>
      </c>
      <c r="V5410" t="s">
        <v>11100</v>
      </c>
      <c r="W5410" t="s">
        <v>16455</v>
      </c>
      <c r="X5410">
        <v>8</v>
      </c>
      <c r="Y5410" t="s">
        <v>21871</v>
      </c>
      <c r="Z5410" t="s">
        <v>27415</v>
      </c>
      <c r="AA5410">
        <v>0.70932344804688063</v>
      </c>
      <c r="AB5410" t="str">
        <f>HYPERLINK("Melting_Curves/meltCurve_Q9Y376_CAB39.pdf", "Melting_Curves/meltCurve_Q9Y376_CAB39.pdf")</f>
        <v>Melting_Curves/meltCurve_Q9Y376_CAB39.pdf</v>
      </c>
    </row>
    <row r="5411" spans="1:28" x14ac:dyDescent="0.25">
      <c r="A5411" t="s">
        <v>5415</v>
      </c>
      <c r="B5411">
        <v>0.99299721793515405</v>
      </c>
      <c r="C5411">
        <v>0.95785007296389202</v>
      </c>
      <c r="D5411">
        <v>0.90670549575787696</v>
      </c>
      <c r="E5411">
        <v>0.768601972241721</v>
      </c>
      <c r="F5411">
        <v>0.65530775073186898</v>
      </c>
      <c r="G5411">
        <v>0.30936264846425199</v>
      </c>
      <c r="H5411">
        <v>0.18931174044205901</v>
      </c>
      <c r="I5411">
        <v>0.18042294912484599</v>
      </c>
      <c r="J5411">
        <v>0.16691719945689201</v>
      </c>
      <c r="K5411">
        <v>0.136890036317981</v>
      </c>
      <c r="L5411">
        <v>766.86421548626697</v>
      </c>
      <c r="M5411">
        <v>15.2062774027087</v>
      </c>
      <c r="N5411">
        <v>51.2659182135801</v>
      </c>
      <c r="O5411">
        <v>49.582722693743797</v>
      </c>
      <c r="P5411">
        <v>-6.8266148450945696E-2</v>
      </c>
      <c r="Q5411">
        <v>0.109710462893713</v>
      </c>
      <c r="R5411">
        <v>0.98740548389372096</v>
      </c>
      <c r="S5411" t="s">
        <v>10962</v>
      </c>
      <c r="T5411" t="s">
        <v>11100</v>
      </c>
      <c r="U5411" t="s">
        <v>11100</v>
      </c>
      <c r="V5411" t="s">
        <v>11100</v>
      </c>
      <c r="W5411" t="s">
        <v>16456</v>
      </c>
      <c r="X5411">
        <v>34</v>
      </c>
      <c r="Y5411" t="s">
        <v>21872</v>
      </c>
      <c r="Z5411" t="s">
        <v>27416</v>
      </c>
      <c r="AA5411">
        <v>0.5262741866253281</v>
      </c>
      <c r="AB5411" t="str">
        <f>HYPERLINK("Melting_Curves/meltCurve_Q9Y383_LUC7L2.pdf", "Melting_Curves/meltCurve_Q9Y383_LUC7L2.pdf")</f>
        <v>Melting_Curves/meltCurve_Q9Y383_LUC7L2.pdf</v>
      </c>
    </row>
    <row r="5412" spans="1:28" x14ac:dyDescent="0.25">
      <c r="A5412" t="s">
        <v>5416</v>
      </c>
      <c r="B5412">
        <v>0.99299721793515405</v>
      </c>
      <c r="C5412">
        <v>0.90575162601637405</v>
      </c>
      <c r="D5412">
        <v>1.0289646587134</v>
      </c>
      <c r="E5412">
        <v>0.63960525706484195</v>
      </c>
      <c r="F5412">
        <v>0.77031704491334896</v>
      </c>
      <c r="G5412">
        <v>0.39876911935221998</v>
      </c>
      <c r="H5412">
        <v>0.27185324482499001</v>
      </c>
      <c r="I5412">
        <v>0.21537986836935499</v>
      </c>
      <c r="J5412">
        <v>8.4752582725710193E-2</v>
      </c>
      <c r="K5412">
        <v>0.10032280733332399</v>
      </c>
      <c r="L5412">
        <v>570.90823941430097</v>
      </c>
      <c r="M5412">
        <v>10.843983156495201</v>
      </c>
      <c r="N5412">
        <v>52.647466449206398</v>
      </c>
      <c r="O5412">
        <v>50.951943466786503</v>
      </c>
      <c r="P5412">
        <v>-5.3225881702050698E-2</v>
      </c>
      <c r="Q5412">
        <v>0</v>
      </c>
      <c r="R5412">
        <v>0.945268889306212</v>
      </c>
      <c r="S5412" t="s">
        <v>10963</v>
      </c>
      <c r="T5412" t="s">
        <v>11100</v>
      </c>
      <c r="U5412" t="s">
        <v>11100</v>
      </c>
      <c r="V5412" t="s">
        <v>11100</v>
      </c>
      <c r="W5412" t="s">
        <v>16457</v>
      </c>
      <c r="X5412">
        <v>1</v>
      </c>
      <c r="Y5412" t="s">
        <v>21873</v>
      </c>
      <c r="Z5412" t="s">
        <v>27417</v>
      </c>
      <c r="AA5412">
        <v>0.54486430199669478</v>
      </c>
      <c r="AB5412" t="str">
        <f>HYPERLINK("Melting_Curves/meltCurve_Q9Y385_UBE2J1.pdf", "Melting_Curves/meltCurve_Q9Y385_UBE2J1.pdf")</f>
        <v>Melting_Curves/meltCurve_Q9Y385_UBE2J1.pdf</v>
      </c>
    </row>
    <row r="5413" spans="1:28" x14ac:dyDescent="0.25">
      <c r="A5413" t="s">
        <v>5417</v>
      </c>
      <c r="B5413">
        <v>0.99299721793515405</v>
      </c>
      <c r="C5413">
        <v>1.0511572718674</v>
      </c>
      <c r="D5413">
        <v>0.96010560763030395</v>
      </c>
      <c r="E5413">
        <v>0.91583597890935797</v>
      </c>
      <c r="F5413">
        <v>0.74524464349629305</v>
      </c>
      <c r="G5413">
        <v>0.62538580797101595</v>
      </c>
      <c r="H5413">
        <v>0.63283869486661704</v>
      </c>
      <c r="I5413">
        <v>0.596401812968539</v>
      </c>
      <c r="J5413">
        <v>0.38096621383395302</v>
      </c>
      <c r="K5413">
        <v>0.16869447684663</v>
      </c>
      <c r="L5413">
        <v>467.84243159000499</v>
      </c>
      <c r="M5413">
        <v>7.8375272789276798</v>
      </c>
      <c r="N5413">
        <v>59.692603401329698</v>
      </c>
      <c r="O5413">
        <v>56.180848615043999</v>
      </c>
      <c r="P5413">
        <v>-3.49189114897141E-2</v>
      </c>
      <c r="Q5413">
        <v>0</v>
      </c>
      <c r="R5413">
        <v>0.92426187100498602</v>
      </c>
      <c r="S5413" t="s">
        <v>10964</v>
      </c>
      <c r="T5413" t="s">
        <v>11100</v>
      </c>
      <c r="U5413" t="s">
        <v>11100</v>
      </c>
      <c r="V5413" t="s">
        <v>11100</v>
      </c>
      <c r="W5413" t="s">
        <v>16458</v>
      </c>
      <c r="X5413">
        <v>11</v>
      </c>
      <c r="Y5413" t="s">
        <v>21874</v>
      </c>
      <c r="Z5413" t="s">
        <v>27418</v>
      </c>
      <c r="AA5413">
        <v>0.71507521452914879</v>
      </c>
      <c r="AB5413" t="str">
        <f>HYPERLINK("Melting_Curves/meltCurve_Q9Y394_2_DHRS7.pdf", "Melting_Curves/meltCurve_Q9Y394_2_DHRS7.pdf")</f>
        <v>Melting_Curves/meltCurve_Q9Y394_2_DHRS7.pdf</v>
      </c>
    </row>
    <row r="5414" spans="1:28" x14ac:dyDescent="0.25">
      <c r="A5414" t="s">
        <v>5418</v>
      </c>
      <c r="B5414">
        <v>0.99299721793515405</v>
      </c>
      <c r="C5414">
        <v>1.0540358020262801</v>
      </c>
      <c r="D5414">
        <v>0.98031948277585401</v>
      </c>
      <c r="E5414">
        <v>1.01625895687832</v>
      </c>
      <c r="F5414">
        <v>0.78801549073183397</v>
      </c>
      <c r="G5414">
        <v>1.10805927521953</v>
      </c>
      <c r="H5414">
        <v>0.90397653838691405</v>
      </c>
      <c r="I5414">
        <v>0.54547746190647495</v>
      </c>
      <c r="J5414">
        <v>0.38414592498192401</v>
      </c>
      <c r="K5414">
        <v>0.199520973953773</v>
      </c>
      <c r="L5414">
        <v>1945.0790714484399</v>
      </c>
      <c r="M5414">
        <v>31.968647454320902</v>
      </c>
      <c r="N5414">
        <v>61.789031510426398</v>
      </c>
      <c r="O5414">
        <v>60.606719101907402</v>
      </c>
      <c r="P5414">
        <v>-0.106357140522189</v>
      </c>
      <c r="Q5414">
        <v>0.19346892572193</v>
      </c>
      <c r="R5414">
        <v>0.92271170815410697</v>
      </c>
      <c r="S5414" t="s">
        <v>10965</v>
      </c>
      <c r="T5414" t="s">
        <v>11100</v>
      </c>
      <c r="U5414" t="s">
        <v>11100</v>
      </c>
      <c r="V5414" t="s">
        <v>11100</v>
      </c>
      <c r="W5414" t="s">
        <v>16459</v>
      </c>
      <c r="X5414">
        <v>3</v>
      </c>
      <c r="Y5414" t="s">
        <v>21875</v>
      </c>
      <c r="Z5414" t="s">
        <v>27419</v>
      </c>
      <c r="AA5414">
        <v>0.83636641398319855</v>
      </c>
      <c r="AB5414" t="str">
        <f>HYPERLINK("Melting_Curves/meltCurve_Q9Y3A3_MOB4.pdf", "Melting_Curves/meltCurve_Q9Y3A3_MOB4.pdf")</f>
        <v>Melting_Curves/meltCurve_Q9Y3A3_MOB4.pdf</v>
      </c>
    </row>
    <row r="5415" spans="1:28" x14ac:dyDescent="0.25">
      <c r="A5415" t="s">
        <v>5419</v>
      </c>
      <c r="B5415">
        <v>0.99299721793515405</v>
      </c>
      <c r="C5415">
        <v>1.09633394906985</v>
      </c>
      <c r="D5415">
        <v>1.0059647780185399</v>
      </c>
      <c r="E5415">
        <v>0.88060916028534697</v>
      </c>
      <c r="F5415">
        <v>0.72709645286577296</v>
      </c>
      <c r="G5415">
        <v>0.36413633778700699</v>
      </c>
      <c r="H5415">
        <v>0.19900164207846899</v>
      </c>
      <c r="I5415">
        <v>0.145061720492447</v>
      </c>
      <c r="J5415">
        <v>0.136801514552055</v>
      </c>
      <c r="K5415">
        <v>0.114718258276341</v>
      </c>
      <c r="L5415">
        <v>1141.5877886037699</v>
      </c>
      <c r="M5415">
        <v>22.075858743483298</v>
      </c>
      <c r="N5415">
        <v>52.324031357190798</v>
      </c>
      <c r="O5415">
        <v>51.293325050163098</v>
      </c>
      <c r="P5415">
        <v>-9.5356267829386193E-2</v>
      </c>
      <c r="Q5415">
        <v>0.113777279903718</v>
      </c>
      <c r="R5415">
        <v>0.99133723166186005</v>
      </c>
      <c r="S5415" t="s">
        <v>10966</v>
      </c>
      <c r="T5415" t="s">
        <v>11100</v>
      </c>
      <c r="U5415" t="s">
        <v>11100</v>
      </c>
      <c r="V5415" t="s">
        <v>11100</v>
      </c>
      <c r="W5415" t="s">
        <v>16460</v>
      </c>
      <c r="X5415">
        <v>13</v>
      </c>
      <c r="Y5415" t="s">
        <v>21876</v>
      </c>
      <c r="Z5415" t="s">
        <v>27420</v>
      </c>
      <c r="AA5415">
        <v>0.55815252480143562</v>
      </c>
      <c r="AB5415" t="str">
        <f>HYPERLINK("Melting_Curves/meltCurve_Q9Y3A5_SBDS.pdf", "Melting_Curves/meltCurve_Q9Y3A5_SBDS.pdf")</f>
        <v>Melting_Curves/meltCurve_Q9Y3A5_SBDS.pdf</v>
      </c>
    </row>
    <row r="5416" spans="1:28" x14ac:dyDescent="0.25">
      <c r="A5416" t="s">
        <v>5420</v>
      </c>
      <c r="B5416">
        <v>0.99299721793515405</v>
      </c>
      <c r="C5416">
        <v>0.93889957351823095</v>
      </c>
      <c r="D5416">
        <v>0.86268913099078304</v>
      </c>
      <c r="E5416">
        <v>0.76245547068723396</v>
      </c>
      <c r="F5416">
        <v>0.74621203503108802</v>
      </c>
      <c r="G5416">
        <v>0.63855244482696005</v>
      </c>
      <c r="H5416">
        <v>0.38128375566218797</v>
      </c>
      <c r="I5416">
        <v>0.17701312546221601</v>
      </c>
      <c r="J5416">
        <v>0.111828998398403</v>
      </c>
      <c r="K5416">
        <v>7.4041089883908506E-2</v>
      </c>
      <c r="L5416">
        <v>598.02680016149804</v>
      </c>
      <c r="M5416">
        <v>10.9888597430053</v>
      </c>
      <c r="N5416">
        <v>54.4211847307865</v>
      </c>
      <c r="O5416">
        <v>52.712078831045702</v>
      </c>
      <c r="P5416">
        <v>-5.2135014866602401E-2</v>
      </c>
      <c r="Q5416">
        <v>0</v>
      </c>
      <c r="R5416">
        <v>0.96490517685618604</v>
      </c>
      <c r="S5416" t="s">
        <v>10967</v>
      </c>
      <c r="T5416" t="s">
        <v>11100</v>
      </c>
      <c r="U5416" t="s">
        <v>11100</v>
      </c>
      <c r="V5416" t="s">
        <v>11100</v>
      </c>
      <c r="W5416" t="s">
        <v>16461</v>
      </c>
      <c r="X5416">
        <v>3</v>
      </c>
      <c r="Y5416" t="s">
        <v>21877</v>
      </c>
      <c r="Z5416" t="s">
        <v>27421</v>
      </c>
      <c r="AA5416">
        <v>0.59686759190249028</v>
      </c>
      <c r="AB5416" t="str">
        <f>HYPERLINK("Melting_Curves/meltCurve_Q9Y3A6_TMED5.pdf", "Melting_Curves/meltCurve_Q9Y3A6_TMED5.pdf")</f>
        <v>Melting_Curves/meltCurve_Q9Y3A6_TMED5.pdf</v>
      </c>
    </row>
    <row r="5417" spans="1:28" x14ac:dyDescent="0.25">
      <c r="A5417" t="s">
        <v>5421</v>
      </c>
      <c r="B5417">
        <v>0.99299721793515405</v>
      </c>
      <c r="C5417">
        <v>1.07328192812484</v>
      </c>
      <c r="D5417">
        <v>1.0487159774314301</v>
      </c>
      <c r="E5417">
        <v>0.96139735688941197</v>
      </c>
      <c r="F5417">
        <v>0.89173462422792005</v>
      </c>
      <c r="G5417">
        <v>0.74595269944876297</v>
      </c>
      <c r="H5417">
        <v>0.72529204944124903</v>
      </c>
      <c r="I5417">
        <v>0.53737140362229896</v>
      </c>
      <c r="J5417">
        <v>0.27419192250669</v>
      </c>
      <c r="K5417">
        <v>0.18529521440274199</v>
      </c>
      <c r="L5417">
        <v>769.02526085071099</v>
      </c>
      <c r="M5417">
        <v>12.7305232544246</v>
      </c>
      <c r="N5417">
        <v>60.407985246298999</v>
      </c>
      <c r="O5417">
        <v>58.975597817934201</v>
      </c>
      <c r="P5417">
        <v>-5.3975552646573097E-2</v>
      </c>
      <c r="Q5417">
        <v>0</v>
      </c>
      <c r="R5417">
        <v>0.96743648809468596</v>
      </c>
      <c r="S5417" t="s">
        <v>10968</v>
      </c>
      <c r="T5417" t="s">
        <v>11100</v>
      </c>
      <c r="U5417" t="s">
        <v>11100</v>
      </c>
      <c r="V5417" t="s">
        <v>11100</v>
      </c>
      <c r="W5417" t="s">
        <v>16462</v>
      </c>
      <c r="X5417">
        <v>3</v>
      </c>
      <c r="Y5417" t="s">
        <v>21878</v>
      </c>
      <c r="Z5417" t="s">
        <v>27422</v>
      </c>
      <c r="AA5417">
        <v>0.7635070569568837</v>
      </c>
      <c r="AB5417" t="str">
        <f>HYPERLINK("Melting_Curves/meltCurve_Q9Y3B3_2_TMED7.pdf", "Melting_Curves/meltCurve_Q9Y3B3_2_TMED7.pdf")</f>
        <v>Melting_Curves/meltCurve_Q9Y3B3_2_TMED7.pdf</v>
      </c>
    </row>
    <row r="5418" spans="1:28" x14ac:dyDescent="0.25">
      <c r="A5418" t="s">
        <v>5422</v>
      </c>
      <c r="B5418">
        <v>0.99299721793515405</v>
      </c>
      <c r="C5418">
        <v>0.95485966637027297</v>
      </c>
      <c r="D5418">
        <v>0.96930967242427302</v>
      </c>
      <c r="E5418">
        <v>0.85758930013424595</v>
      </c>
      <c r="F5418">
        <v>0.50973072899925698</v>
      </c>
      <c r="G5418">
        <v>0.33589386245619102</v>
      </c>
      <c r="H5418">
        <v>0.44526139691800698</v>
      </c>
      <c r="I5418">
        <v>0.39146093187389402</v>
      </c>
      <c r="J5418">
        <v>0.25307040767211503</v>
      </c>
      <c r="K5418">
        <v>0.18050299985180901</v>
      </c>
      <c r="L5418">
        <v>1230.2475119012299</v>
      </c>
      <c r="M5418">
        <v>25.230259677114802</v>
      </c>
      <c r="N5418">
        <v>50.628443875838897</v>
      </c>
      <c r="O5418">
        <v>48.457565667955201</v>
      </c>
      <c r="P5418">
        <v>-9.0744870376099698E-2</v>
      </c>
      <c r="Q5418">
        <v>0.30286590483985398</v>
      </c>
      <c r="R5418">
        <v>0.951666527190554</v>
      </c>
      <c r="S5418" t="s">
        <v>10969</v>
      </c>
      <c r="T5418" t="s">
        <v>11100</v>
      </c>
      <c r="U5418" t="s">
        <v>11100</v>
      </c>
      <c r="V5418" t="s">
        <v>11100</v>
      </c>
      <c r="W5418" t="s">
        <v>16463</v>
      </c>
      <c r="X5418">
        <v>3</v>
      </c>
      <c r="Y5418" t="s">
        <v>21879</v>
      </c>
      <c r="Z5418" t="s">
        <v>27423</v>
      </c>
      <c r="AA5418">
        <v>0.58205915674639852</v>
      </c>
      <c r="AB5418" t="str">
        <f>HYPERLINK("Melting_Curves/meltCurve_Q9Y3B4_SF3B14.pdf", "Melting_Curves/meltCurve_Q9Y3B4_SF3B14.pdf")</f>
        <v>Melting_Curves/meltCurve_Q9Y3B4_SF3B14.pdf</v>
      </c>
    </row>
    <row r="5419" spans="1:28" x14ac:dyDescent="0.25">
      <c r="A5419" t="s">
        <v>5423</v>
      </c>
      <c r="B5419">
        <v>0.99299721793515405</v>
      </c>
      <c r="C5419">
        <v>0.74312536711080002</v>
      </c>
      <c r="D5419">
        <v>0.96174054514144502</v>
      </c>
      <c r="E5419">
        <v>0.80111703184485805</v>
      </c>
      <c r="F5419">
        <v>0.606184052236731</v>
      </c>
      <c r="G5419">
        <v>0.35698926443588302</v>
      </c>
      <c r="H5419">
        <v>0.44924538986858198</v>
      </c>
      <c r="I5419">
        <v>0.31767639887355698</v>
      </c>
      <c r="J5419">
        <v>0.29974721971045398</v>
      </c>
      <c r="K5419">
        <v>0.34144992330634999</v>
      </c>
      <c r="L5419">
        <v>588.50775143958901</v>
      </c>
      <c r="M5419">
        <v>11.9936656255573</v>
      </c>
      <c r="N5419">
        <v>52.604371359096596</v>
      </c>
      <c r="O5419">
        <v>47.763809252183101</v>
      </c>
      <c r="P5419">
        <v>-4.5414774306438102E-2</v>
      </c>
      <c r="Q5419">
        <v>0.27673196172772602</v>
      </c>
      <c r="R5419">
        <v>0.89168244384621798</v>
      </c>
      <c r="S5419" t="s">
        <v>10970</v>
      </c>
      <c r="T5419" t="s">
        <v>11100</v>
      </c>
      <c r="U5419" t="s">
        <v>11100</v>
      </c>
      <c r="V5419" t="s">
        <v>11100</v>
      </c>
      <c r="W5419" t="s">
        <v>16464</v>
      </c>
      <c r="X5419">
        <v>2</v>
      </c>
      <c r="Y5419" t="s">
        <v>21880</v>
      </c>
      <c r="Z5419" t="s">
        <v>27424</v>
      </c>
      <c r="AA5419">
        <v>0.58911262552947163</v>
      </c>
      <c r="AB5419" t="str">
        <f>HYPERLINK("Melting_Curves/meltCurve_Q9Y3B7_MRPL11.pdf", "Melting_Curves/meltCurve_Q9Y3B7_MRPL11.pdf")</f>
        <v>Melting_Curves/meltCurve_Q9Y3B7_MRPL11.pdf</v>
      </c>
    </row>
    <row r="5420" spans="1:28" x14ac:dyDescent="0.25">
      <c r="A5420" t="s">
        <v>5424</v>
      </c>
      <c r="B5420">
        <v>0.99299721793515405</v>
      </c>
      <c r="C5420">
        <v>0.92885068846540697</v>
      </c>
      <c r="D5420">
        <v>1.10065150500372</v>
      </c>
      <c r="E5420">
        <v>0.91739441691017598</v>
      </c>
      <c r="F5420">
        <v>0.82419329323338697</v>
      </c>
      <c r="G5420">
        <v>1.1930856948362001</v>
      </c>
      <c r="H5420">
        <v>2.2846227673273201</v>
      </c>
      <c r="I5420">
        <v>2.9691379922735601</v>
      </c>
      <c r="J5420">
        <v>3.8694613168026901</v>
      </c>
      <c r="K5420">
        <v>3.6046330280212802</v>
      </c>
      <c r="L5420">
        <v>13474.9324409414</v>
      </c>
      <c r="M5420">
        <v>250</v>
      </c>
      <c r="O5420">
        <v>53.896280052450599</v>
      </c>
      <c r="P5420">
        <v>0.57981737745751205</v>
      </c>
      <c r="Q5420">
        <v>1.5</v>
      </c>
      <c r="R5420">
        <v>1.6968347486431098E-2</v>
      </c>
      <c r="S5420" t="s">
        <v>10971</v>
      </c>
      <c r="T5420" t="s">
        <v>11100</v>
      </c>
      <c r="U5420" t="s">
        <v>11100</v>
      </c>
      <c r="V5420" t="s">
        <v>11100</v>
      </c>
      <c r="W5420" t="s">
        <v>16465</v>
      </c>
      <c r="X5420">
        <v>7</v>
      </c>
      <c r="Y5420" t="s">
        <v>21881</v>
      </c>
      <c r="Z5420" t="s">
        <v>27425</v>
      </c>
      <c r="AA5420">
        <v>1.218290540677138</v>
      </c>
      <c r="AB5420" t="str">
        <f>HYPERLINK("Melting_Curves/meltCurve_Q9Y3B9_RRP15.pdf", "Melting_Curves/meltCurve_Q9Y3B9_RRP15.pdf")</f>
        <v>Melting_Curves/meltCurve_Q9Y3B9_RRP15.pdf</v>
      </c>
    </row>
    <row r="5421" spans="1:28" x14ac:dyDescent="0.25">
      <c r="A5421" t="s">
        <v>5425</v>
      </c>
      <c r="B5421">
        <v>0.99299721793515405</v>
      </c>
      <c r="C5421">
        <v>1.04385050479129</v>
      </c>
      <c r="D5421">
        <v>0.867544987080621</v>
      </c>
      <c r="E5421">
        <v>0.82659624180431102</v>
      </c>
      <c r="F5421">
        <v>0.77374297016913296</v>
      </c>
      <c r="G5421">
        <v>0.62988529462699205</v>
      </c>
      <c r="H5421">
        <v>0.45784642018196298</v>
      </c>
      <c r="I5421">
        <v>0.27234343989750898</v>
      </c>
      <c r="J5421">
        <v>0.131388770077835</v>
      </c>
      <c r="K5421">
        <v>8.3524580227047396E-2</v>
      </c>
      <c r="L5421">
        <v>620.74792081801797</v>
      </c>
      <c r="M5421">
        <v>11.171520409496599</v>
      </c>
      <c r="N5421">
        <v>55.565214002778298</v>
      </c>
      <c r="O5421">
        <v>53.873956542374003</v>
      </c>
      <c r="P5421">
        <v>-5.18574843764225E-2</v>
      </c>
      <c r="Q5421">
        <v>0</v>
      </c>
      <c r="R5421">
        <v>0.97703303257718099</v>
      </c>
      <c r="S5421" t="s">
        <v>10972</v>
      </c>
      <c r="T5421" t="s">
        <v>11100</v>
      </c>
      <c r="U5421" t="s">
        <v>11100</v>
      </c>
      <c r="V5421" t="s">
        <v>11100</v>
      </c>
      <c r="W5421" t="s">
        <v>16466</v>
      </c>
      <c r="X5421">
        <v>4</v>
      </c>
      <c r="Y5421" t="s">
        <v>21882</v>
      </c>
      <c r="Z5421" t="s">
        <v>27426</v>
      </c>
      <c r="AA5421">
        <v>0.62972209771064747</v>
      </c>
      <c r="AB5421" t="str">
        <f>HYPERLINK("Melting_Curves/meltCurve_Q9Y3C4_TPRKB.pdf", "Melting_Curves/meltCurve_Q9Y3C4_TPRKB.pdf")</f>
        <v>Melting_Curves/meltCurve_Q9Y3C4_TPRKB.pdf</v>
      </c>
    </row>
    <row r="5422" spans="1:28" x14ac:dyDescent="0.25">
      <c r="A5422" t="s">
        <v>5426</v>
      </c>
      <c r="B5422">
        <v>0.99299721793515405</v>
      </c>
      <c r="C5422">
        <v>1.0376866328100101</v>
      </c>
      <c r="D5422">
        <v>0.90675188757871905</v>
      </c>
      <c r="E5422">
        <v>0.92490025778787799</v>
      </c>
      <c r="F5422">
        <v>0.92306314357847696</v>
      </c>
      <c r="G5422">
        <v>0.55728127353167001</v>
      </c>
      <c r="H5422">
        <v>0.68699712601694995</v>
      </c>
      <c r="I5422">
        <v>0.73141057409222399</v>
      </c>
      <c r="J5422">
        <v>0.65060419073714004</v>
      </c>
      <c r="K5422">
        <v>0.48802650204380399</v>
      </c>
      <c r="L5422">
        <v>12618.345296154401</v>
      </c>
      <c r="M5422">
        <v>250</v>
      </c>
      <c r="O5422">
        <v>50.470151242705597</v>
      </c>
      <c r="P5422">
        <v>-0.46702861382950001</v>
      </c>
      <c r="Q5422">
        <v>0.62286392419493697</v>
      </c>
      <c r="R5422">
        <v>0.83393811054530198</v>
      </c>
      <c r="S5422" t="s">
        <v>10973</v>
      </c>
      <c r="T5422" t="s">
        <v>11100</v>
      </c>
      <c r="U5422" t="s">
        <v>11100</v>
      </c>
      <c r="V5422" t="s">
        <v>11100</v>
      </c>
      <c r="W5422" t="s">
        <v>16467</v>
      </c>
      <c r="X5422">
        <v>4</v>
      </c>
      <c r="Y5422" t="s">
        <v>21883</v>
      </c>
      <c r="Z5422" t="s">
        <v>27427</v>
      </c>
      <c r="AA5422">
        <v>0.79227393450102523</v>
      </c>
      <c r="AB5422" t="str">
        <f>HYPERLINK("Melting_Curves/meltCurve_Q9Y3C5_RNF11.pdf", "Melting_Curves/meltCurve_Q9Y3C5_RNF11.pdf")</f>
        <v>Melting_Curves/meltCurve_Q9Y3C5_RNF11.pdf</v>
      </c>
    </row>
    <row r="5423" spans="1:28" x14ac:dyDescent="0.25">
      <c r="A5423" t="s">
        <v>5427</v>
      </c>
      <c r="B5423">
        <v>0.99299721793515405</v>
      </c>
      <c r="C5423">
        <v>0.971893364565105</v>
      </c>
      <c r="D5423">
        <v>0.88319040067883803</v>
      </c>
      <c r="E5423">
        <v>0.77411432206408703</v>
      </c>
      <c r="F5423">
        <v>0.531940643794789</v>
      </c>
      <c r="G5423">
        <v>0.24125880455016499</v>
      </c>
      <c r="H5423">
        <v>0.13414979616566</v>
      </c>
      <c r="I5423">
        <v>9.5799161109867498E-2</v>
      </c>
      <c r="J5423">
        <v>9.0951081476513998E-2</v>
      </c>
      <c r="K5423">
        <v>8.1184630338667102E-2</v>
      </c>
      <c r="L5423">
        <v>806.11059750501795</v>
      </c>
      <c r="M5423">
        <v>16.1837799910119</v>
      </c>
      <c r="N5423">
        <v>50.155893815738303</v>
      </c>
      <c r="O5423">
        <v>49.067894216357502</v>
      </c>
      <c r="P5423">
        <v>-7.8105232309653203E-2</v>
      </c>
      <c r="Q5423">
        <v>5.2836377924910298E-2</v>
      </c>
      <c r="R5423">
        <v>0.99604000106438695</v>
      </c>
      <c r="S5423" t="s">
        <v>10974</v>
      </c>
      <c r="T5423" t="s">
        <v>11100</v>
      </c>
      <c r="U5423" t="s">
        <v>11100</v>
      </c>
      <c r="V5423" t="s">
        <v>11100</v>
      </c>
      <c r="W5423" t="s">
        <v>16468</v>
      </c>
      <c r="X5423">
        <v>8</v>
      </c>
      <c r="Y5423" t="s">
        <v>21884</v>
      </c>
      <c r="Z5423" t="s">
        <v>27428</v>
      </c>
      <c r="AA5423">
        <v>0.47502282539631391</v>
      </c>
      <c r="AB5423" t="str">
        <f>HYPERLINK("Melting_Curves/meltCurve_Q9Y3C6_PPIL1.pdf", "Melting_Curves/meltCurve_Q9Y3C6_PPIL1.pdf")</f>
        <v>Melting_Curves/meltCurve_Q9Y3C6_PPIL1.pdf</v>
      </c>
    </row>
    <row r="5424" spans="1:28" x14ac:dyDescent="0.25">
      <c r="A5424" t="s">
        <v>5428</v>
      </c>
      <c r="B5424">
        <v>0.99299721793515405</v>
      </c>
      <c r="C5424">
        <v>1.0690921117624901</v>
      </c>
      <c r="D5424">
        <v>0.91735376009154601</v>
      </c>
      <c r="E5424">
        <v>0.80254406694286295</v>
      </c>
      <c r="F5424">
        <v>0.70033653670529294</v>
      </c>
      <c r="G5424">
        <v>0.57643868320421099</v>
      </c>
      <c r="H5424">
        <v>0.53094631283080196</v>
      </c>
      <c r="I5424">
        <v>0.55810729330449804</v>
      </c>
      <c r="J5424">
        <v>0.356283420674324</v>
      </c>
      <c r="K5424">
        <v>0.167237914962937</v>
      </c>
      <c r="L5424">
        <v>397.60849577811001</v>
      </c>
      <c r="M5424">
        <v>6.8688978661156801</v>
      </c>
      <c r="N5424">
        <v>57.8853410670839</v>
      </c>
      <c r="O5424">
        <v>53.575084465182798</v>
      </c>
      <c r="P5424">
        <v>-3.2116348899258698E-2</v>
      </c>
      <c r="Q5424">
        <v>0</v>
      </c>
      <c r="R5424">
        <v>0.92753932166526598</v>
      </c>
      <c r="S5424" t="s">
        <v>10975</v>
      </c>
      <c r="T5424" t="s">
        <v>11100</v>
      </c>
      <c r="U5424" t="s">
        <v>11100</v>
      </c>
      <c r="V5424" t="s">
        <v>11100</v>
      </c>
      <c r="W5424" t="s">
        <v>16469</v>
      </c>
      <c r="X5424">
        <v>8</v>
      </c>
      <c r="Y5424" t="s">
        <v>21885</v>
      </c>
      <c r="Z5424" t="s">
        <v>27429</v>
      </c>
      <c r="AA5424">
        <v>0.66619467187642178</v>
      </c>
      <c r="AB5424" t="str">
        <f>HYPERLINK("Melting_Curves/meltCurve_Q9Y3C8_UFC1.pdf", "Melting_Curves/meltCurve_Q9Y3C8_UFC1.pdf")</f>
        <v>Melting_Curves/meltCurve_Q9Y3C8_UFC1.pdf</v>
      </c>
    </row>
    <row r="5425" spans="1:28" x14ac:dyDescent="0.25">
      <c r="A5425" t="s">
        <v>5429</v>
      </c>
      <c r="B5425">
        <v>0.99299721793515405</v>
      </c>
      <c r="C5425">
        <v>1.0112208732927901</v>
      </c>
      <c r="D5425">
        <v>0.92478902582945899</v>
      </c>
      <c r="E5425">
        <v>0.886392377605284</v>
      </c>
      <c r="F5425">
        <v>0.685934638109992</v>
      </c>
      <c r="G5425">
        <v>0.34201090259022998</v>
      </c>
      <c r="H5425">
        <v>0.27335928355794498</v>
      </c>
      <c r="I5425">
        <v>0.25452271597002502</v>
      </c>
      <c r="J5425">
        <v>0.21692364031230801</v>
      </c>
      <c r="K5425">
        <v>0.203078002335392</v>
      </c>
      <c r="L5425">
        <v>1132.60399585297</v>
      </c>
      <c r="M5425">
        <v>22.333801209302901</v>
      </c>
      <c r="N5425">
        <v>51.989918211369499</v>
      </c>
      <c r="O5425">
        <v>50.311220579226898</v>
      </c>
      <c r="P5425">
        <v>-8.7546021170804705E-2</v>
      </c>
      <c r="Q5425">
        <v>0.211158925947455</v>
      </c>
      <c r="R5425">
        <v>0.99279813679774598</v>
      </c>
      <c r="S5425" t="s">
        <v>10976</v>
      </c>
      <c r="T5425" t="s">
        <v>11100</v>
      </c>
      <c r="U5425" t="s">
        <v>11100</v>
      </c>
      <c r="V5425" t="s">
        <v>11100</v>
      </c>
      <c r="W5425" t="s">
        <v>16470</v>
      </c>
      <c r="X5425">
        <v>7</v>
      </c>
      <c r="Y5425" t="s">
        <v>21886</v>
      </c>
      <c r="Z5425" t="s">
        <v>27430</v>
      </c>
      <c r="AA5425">
        <v>0.58026687770432495</v>
      </c>
      <c r="AB5425" t="str">
        <f>HYPERLINK("Melting_Curves/meltCurve_Q9Y3D0_FAM96B.pdf", "Melting_Curves/meltCurve_Q9Y3D0_FAM96B.pdf")</f>
        <v>Melting_Curves/meltCurve_Q9Y3D0_FAM96B.pdf</v>
      </c>
    </row>
    <row r="5426" spans="1:28" x14ac:dyDescent="0.25">
      <c r="A5426" t="s">
        <v>5430</v>
      </c>
      <c r="B5426">
        <v>0.99299721793515405</v>
      </c>
      <c r="C5426">
        <v>1.04899278998451</v>
      </c>
      <c r="D5426">
        <v>0.944889545986067</v>
      </c>
      <c r="E5426">
        <v>0.96745398607380895</v>
      </c>
      <c r="F5426">
        <v>0.67229442929874905</v>
      </c>
      <c r="G5426">
        <v>0.49957604674169798</v>
      </c>
      <c r="H5426">
        <v>0.41811076198220898</v>
      </c>
      <c r="I5426">
        <v>0.43950787260177199</v>
      </c>
      <c r="J5426">
        <v>0.45314054723859298</v>
      </c>
      <c r="K5426">
        <v>0.41505108736114799</v>
      </c>
      <c r="L5426">
        <v>1661.8933871167701</v>
      </c>
      <c r="M5426">
        <v>33.345646064650502</v>
      </c>
      <c r="N5426">
        <v>53.040370366972603</v>
      </c>
      <c r="O5426">
        <v>49.660174110144503</v>
      </c>
      <c r="P5426">
        <v>-9.5147211935731196E-2</v>
      </c>
      <c r="Q5426">
        <v>0.43320853509657298</v>
      </c>
      <c r="R5426">
        <v>0.989008245204264</v>
      </c>
      <c r="S5426" t="s">
        <v>10977</v>
      </c>
      <c r="T5426" t="s">
        <v>11100</v>
      </c>
      <c r="U5426" t="s">
        <v>11100</v>
      </c>
      <c r="V5426" t="s">
        <v>11100</v>
      </c>
      <c r="W5426" t="s">
        <v>16471</v>
      </c>
      <c r="X5426">
        <v>3</v>
      </c>
      <c r="Y5426" t="s">
        <v>21887</v>
      </c>
      <c r="Z5426" t="s">
        <v>27431</v>
      </c>
      <c r="AA5426">
        <v>0.67857571373361869</v>
      </c>
      <c r="AB5426" t="str">
        <f>HYPERLINK("Melting_Curves/meltCurve_Q9Y3D2_MSRB2.pdf", "Melting_Curves/meltCurve_Q9Y3D2_MSRB2.pdf")</f>
        <v>Melting_Curves/meltCurve_Q9Y3D2_MSRB2.pdf</v>
      </c>
    </row>
    <row r="5427" spans="1:28" x14ac:dyDescent="0.25">
      <c r="A5427" t="s">
        <v>5431</v>
      </c>
      <c r="B5427">
        <v>0.99299721793515405</v>
      </c>
      <c r="C5427">
        <v>0.84856818318519001</v>
      </c>
      <c r="D5427">
        <v>1.0870032395662901</v>
      </c>
      <c r="E5427">
        <v>0.60711552787900702</v>
      </c>
      <c r="F5427">
        <v>0.85095376403740497</v>
      </c>
      <c r="G5427">
        <v>0.46323589050511998</v>
      </c>
      <c r="H5427">
        <v>0.58754709833553698</v>
      </c>
      <c r="I5427">
        <v>0.44557204427638503</v>
      </c>
      <c r="J5427">
        <v>0.75038953023548405</v>
      </c>
      <c r="K5427">
        <v>0.38982831812621699</v>
      </c>
      <c r="L5427">
        <v>674.01351617459704</v>
      </c>
      <c r="M5427">
        <v>14.1999892254013</v>
      </c>
      <c r="O5427">
        <v>46.554172664761602</v>
      </c>
      <c r="P5427">
        <v>-3.70416109349841E-2</v>
      </c>
      <c r="Q5427">
        <v>0.514302256352549</v>
      </c>
      <c r="R5427">
        <v>0.605024766180558</v>
      </c>
      <c r="S5427" t="s">
        <v>10978</v>
      </c>
      <c r="T5427" t="s">
        <v>11100</v>
      </c>
      <c r="U5427" t="s">
        <v>11100</v>
      </c>
      <c r="V5427" t="s">
        <v>11100</v>
      </c>
      <c r="W5427" t="s">
        <v>16472</v>
      </c>
      <c r="X5427">
        <v>1</v>
      </c>
      <c r="Y5427" t="s">
        <v>21888</v>
      </c>
      <c r="Z5427" t="s">
        <v>27432</v>
      </c>
      <c r="AA5427">
        <v>0.69563393281561148</v>
      </c>
      <c r="AB5427" t="str">
        <f>HYPERLINK("Melting_Curves/meltCurve_Q9Y3D6_FIS1.pdf", "Melting_Curves/meltCurve_Q9Y3D6_FIS1.pdf")</f>
        <v>Melting_Curves/meltCurve_Q9Y3D6_FIS1.pdf</v>
      </c>
    </row>
    <row r="5428" spans="1:28" x14ac:dyDescent="0.25">
      <c r="A5428" t="s">
        <v>5432</v>
      </c>
      <c r="B5428">
        <v>0.99299721793515405</v>
      </c>
      <c r="C5428">
        <v>1.21332372262111</v>
      </c>
      <c r="D5428">
        <v>1.03224953686191</v>
      </c>
      <c r="E5428">
        <v>0.96625030494195696</v>
      </c>
      <c r="F5428">
        <v>0.58176490884080501</v>
      </c>
      <c r="G5428">
        <v>0.201301064041251</v>
      </c>
      <c r="H5428">
        <v>0.13684520532383501</v>
      </c>
      <c r="I5428">
        <v>0.103931873138719</v>
      </c>
      <c r="J5428">
        <v>8.8323409909779604E-2</v>
      </c>
      <c r="K5428">
        <v>6.9609011944294003E-2</v>
      </c>
      <c r="L5428">
        <v>1708.8262120473801</v>
      </c>
      <c r="M5428">
        <v>33.852644794299501</v>
      </c>
      <c r="N5428">
        <v>50.7968826352053</v>
      </c>
      <c r="O5428">
        <v>50.303195149485802</v>
      </c>
      <c r="P5428">
        <v>-0.15215497744063999</v>
      </c>
      <c r="Q5428">
        <v>9.5627447101151897E-2</v>
      </c>
      <c r="R5428">
        <v>0.97537216355116096</v>
      </c>
      <c r="S5428" t="s">
        <v>10979</v>
      </c>
      <c r="T5428" t="s">
        <v>11100</v>
      </c>
      <c r="U5428" t="s">
        <v>11100</v>
      </c>
      <c r="V5428" t="s">
        <v>11100</v>
      </c>
      <c r="W5428" t="s">
        <v>16473</v>
      </c>
      <c r="X5428">
        <v>6</v>
      </c>
      <c r="Y5428" t="s">
        <v>19652</v>
      </c>
      <c r="Z5428" t="s">
        <v>27433</v>
      </c>
      <c r="AA5428">
        <v>0.50634520813339201</v>
      </c>
      <c r="AB5428" t="str">
        <f>HYPERLINK("Melting_Curves/meltCurve_Q9Y3D8_TAF9.pdf", "Melting_Curves/meltCurve_Q9Y3D8_TAF9.pdf")</f>
        <v>Melting_Curves/meltCurve_Q9Y3D8_TAF9.pdf</v>
      </c>
    </row>
    <row r="5429" spans="1:28" x14ac:dyDescent="0.25">
      <c r="A5429" t="s">
        <v>5433</v>
      </c>
      <c r="B5429">
        <v>0.99299721793515405</v>
      </c>
      <c r="C5429">
        <v>0.77306750296568505</v>
      </c>
      <c r="D5429">
        <v>0.75259623159970701</v>
      </c>
      <c r="E5429">
        <v>0.61394932449218198</v>
      </c>
      <c r="F5429">
        <v>0.51288551982032804</v>
      </c>
      <c r="G5429">
        <v>0.26026662675398599</v>
      </c>
      <c r="H5429">
        <v>0.37254688042109502</v>
      </c>
      <c r="I5429">
        <v>0.46839180874240999</v>
      </c>
      <c r="J5429">
        <v>0.46625990433203501</v>
      </c>
      <c r="K5429">
        <v>0.489825411636302</v>
      </c>
      <c r="L5429">
        <v>614.69537791158405</v>
      </c>
      <c r="M5429">
        <v>14.2443859287847</v>
      </c>
      <c r="N5429">
        <v>49.188964235611003</v>
      </c>
      <c r="O5429">
        <v>42.3297154970167</v>
      </c>
      <c r="P5429">
        <v>-4.9395760491924602E-2</v>
      </c>
      <c r="Q5429">
        <v>0.41291941022284301</v>
      </c>
      <c r="R5429">
        <v>0.853245658736834</v>
      </c>
      <c r="S5429" t="s">
        <v>10980</v>
      </c>
      <c r="T5429" t="s">
        <v>11100</v>
      </c>
      <c r="U5429" t="s">
        <v>11100</v>
      </c>
      <c r="V5429" t="s">
        <v>11100</v>
      </c>
      <c r="W5429" t="s">
        <v>16474</v>
      </c>
      <c r="X5429">
        <v>3</v>
      </c>
      <c r="Y5429" t="s">
        <v>21889</v>
      </c>
      <c r="Z5429" t="s">
        <v>27434</v>
      </c>
      <c r="AA5429">
        <v>0.55044880635876181</v>
      </c>
      <c r="AB5429" t="str">
        <f>HYPERLINK("Melting_Curves/meltCurve_Q9Y3E1_HDGFRP3.pdf", "Melting_Curves/meltCurve_Q9Y3E1_HDGFRP3.pdf")</f>
        <v>Melting_Curves/meltCurve_Q9Y3E1_HDGFRP3.pdf</v>
      </c>
    </row>
    <row r="5430" spans="1:28" x14ac:dyDescent="0.25">
      <c r="A5430" t="s">
        <v>5434</v>
      </c>
      <c r="B5430">
        <v>0.99299721793515405</v>
      </c>
      <c r="C5430">
        <v>0.97640446015599303</v>
      </c>
      <c r="D5430">
        <v>0.97847934693665395</v>
      </c>
      <c r="E5430">
        <v>0.90731717830252401</v>
      </c>
      <c r="F5430">
        <v>0.84033265958590497</v>
      </c>
      <c r="G5430">
        <v>0.44514985214564301</v>
      </c>
      <c r="H5430">
        <v>0.344735576628033</v>
      </c>
      <c r="I5430">
        <v>0.35574233277390999</v>
      </c>
      <c r="J5430">
        <v>0.38804928429812202</v>
      </c>
      <c r="K5430">
        <v>0.30084807094073102</v>
      </c>
      <c r="L5430">
        <v>1940.51490870882</v>
      </c>
      <c r="M5430">
        <v>37.641267923157201</v>
      </c>
      <c r="N5430">
        <v>53.179628980338997</v>
      </c>
      <c r="O5430">
        <v>51.408003263328801</v>
      </c>
      <c r="P5430">
        <v>-0.120464881750802</v>
      </c>
      <c r="Q5430">
        <v>0.34190930778140299</v>
      </c>
      <c r="R5430">
        <v>0.98585354977529005</v>
      </c>
      <c r="S5430" t="s">
        <v>10981</v>
      </c>
      <c r="T5430" t="s">
        <v>11100</v>
      </c>
      <c r="U5430" t="s">
        <v>11100</v>
      </c>
      <c r="V5430" t="s">
        <v>11100</v>
      </c>
      <c r="W5430" t="s">
        <v>16475</v>
      </c>
      <c r="X5430">
        <v>8</v>
      </c>
      <c r="Y5430" t="s">
        <v>21890</v>
      </c>
      <c r="Z5430" t="s">
        <v>27435</v>
      </c>
      <c r="AA5430">
        <v>0.66378869811085306</v>
      </c>
      <c r="AB5430" t="str">
        <f>HYPERLINK("Melting_Curves/meltCurve_Q9Y3E2_BOLA1.pdf", "Melting_Curves/meltCurve_Q9Y3E2_BOLA1.pdf")</f>
        <v>Melting_Curves/meltCurve_Q9Y3E2_BOLA1.pdf</v>
      </c>
    </row>
    <row r="5431" spans="1:28" x14ac:dyDescent="0.25">
      <c r="A5431" t="s">
        <v>5435</v>
      </c>
      <c r="B5431">
        <v>0.99299721793515405</v>
      </c>
      <c r="C5431">
        <v>1.3127776732718599</v>
      </c>
      <c r="D5431">
        <v>1.74192021242248</v>
      </c>
      <c r="E5431">
        <v>0.98050797009721002</v>
      </c>
      <c r="F5431">
        <v>0.85841564204060095</v>
      </c>
      <c r="G5431">
        <v>0.93450139610201999</v>
      </c>
      <c r="H5431">
        <v>0.3971771103217</v>
      </c>
      <c r="I5431">
        <v>0.43260729138962201</v>
      </c>
      <c r="J5431">
        <v>0.201942946692447</v>
      </c>
      <c r="K5431">
        <v>0.204370600893303</v>
      </c>
      <c r="L5431">
        <v>2801.3686272638602</v>
      </c>
      <c r="M5431">
        <v>50.118709208315302</v>
      </c>
      <c r="N5431">
        <v>56.768307408585301</v>
      </c>
      <c r="O5431">
        <v>55.805876852525799</v>
      </c>
      <c r="P5431">
        <v>-0.16417202048288199</v>
      </c>
      <c r="Q5431">
        <v>0.268795302240943</v>
      </c>
      <c r="R5431">
        <v>0.68829483394146296</v>
      </c>
      <c r="S5431" t="s">
        <v>10982</v>
      </c>
      <c r="T5431" t="s">
        <v>11100</v>
      </c>
      <c r="U5431" t="s">
        <v>11100</v>
      </c>
      <c r="V5431" t="s">
        <v>11100</v>
      </c>
      <c r="W5431" t="s">
        <v>16476</v>
      </c>
      <c r="X5431">
        <v>3</v>
      </c>
      <c r="Y5431" t="s">
        <v>21891</v>
      </c>
      <c r="Z5431" t="s">
        <v>27436</v>
      </c>
      <c r="AA5431">
        <v>0.73110841289986939</v>
      </c>
      <c r="AB5431" t="str">
        <f>HYPERLINK("Melting_Curves/meltCurve_Q9Y3E7_4_CHMP3.pdf", "Melting_Curves/meltCurve_Q9Y3E7_4_CHMP3.pdf")</f>
        <v>Melting_Curves/meltCurve_Q9Y3E7_4_CHMP3.pdf</v>
      </c>
    </row>
    <row r="5432" spans="1:28" x14ac:dyDescent="0.25">
      <c r="A5432" t="s">
        <v>5436</v>
      </c>
      <c r="B5432">
        <v>0.99299721793515405</v>
      </c>
      <c r="C5432">
        <v>0.97695133521093602</v>
      </c>
      <c r="D5432">
        <v>0.92064674951538295</v>
      </c>
      <c r="E5432">
        <v>0.89849097811275203</v>
      </c>
      <c r="F5432">
        <v>0.66830713528501295</v>
      </c>
      <c r="G5432">
        <v>0.50170811800065895</v>
      </c>
      <c r="H5432">
        <v>0.49685151247381099</v>
      </c>
      <c r="I5432">
        <v>0.40661104538328202</v>
      </c>
      <c r="J5432">
        <v>0.27931093505272497</v>
      </c>
      <c r="K5432">
        <v>0.144280125498434</v>
      </c>
      <c r="L5432">
        <v>452.02041975193498</v>
      </c>
      <c r="M5432">
        <v>8.0786713890427695</v>
      </c>
      <c r="N5432">
        <v>55.952321600634498</v>
      </c>
      <c r="O5432">
        <v>52.836736270284597</v>
      </c>
      <c r="P5432">
        <v>-3.8266368475813398E-2</v>
      </c>
      <c r="Q5432">
        <v>0</v>
      </c>
      <c r="R5432">
        <v>0.97184057302946403</v>
      </c>
      <c r="S5432" t="s">
        <v>10983</v>
      </c>
      <c r="T5432" t="s">
        <v>11100</v>
      </c>
      <c r="U5432" t="s">
        <v>11100</v>
      </c>
      <c r="V5432" t="s">
        <v>11100</v>
      </c>
      <c r="W5432" t="s">
        <v>16477</v>
      </c>
      <c r="X5432">
        <v>18</v>
      </c>
      <c r="Y5432" t="s">
        <v>21892</v>
      </c>
      <c r="Z5432" t="s">
        <v>27437</v>
      </c>
      <c r="AA5432">
        <v>0.63085553156093155</v>
      </c>
      <c r="AB5432" t="str">
        <f>HYPERLINK("Melting_Curves/meltCurve_Q9Y3F4_STRAP.pdf", "Melting_Curves/meltCurve_Q9Y3F4_STRAP.pdf")</f>
        <v>Melting_Curves/meltCurve_Q9Y3F4_STRAP.pdf</v>
      </c>
    </row>
    <row r="5433" spans="1:28" x14ac:dyDescent="0.25">
      <c r="A5433" t="s">
        <v>5437</v>
      </c>
      <c r="B5433">
        <v>0.99299721793515405</v>
      </c>
      <c r="C5433">
        <v>0.95823895977783602</v>
      </c>
      <c r="D5433">
        <v>0.99034235820381999</v>
      </c>
      <c r="E5433">
        <v>0.87771056622022203</v>
      </c>
      <c r="F5433">
        <v>0.78664752543360195</v>
      </c>
      <c r="G5433">
        <v>0.69356757125631596</v>
      </c>
      <c r="H5433">
        <v>0.75176425126254298</v>
      </c>
      <c r="I5433">
        <v>0.74360666766556904</v>
      </c>
      <c r="J5433">
        <v>0.37599362485695897</v>
      </c>
      <c r="K5433">
        <v>0.17351091931264101</v>
      </c>
      <c r="L5433">
        <v>528.09434617190595</v>
      </c>
      <c r="M5433">
        <v>8.5544536803413695</v>
      </c>
      <c r="N5433">
        <v>61.733258408147599</v>
      </c>
      <c r="O5433">
        <v>58.637269399883202</v>
      </c>
      <c r="P5433">
        <v>-3.6503996401524602E-2</v>
      </c>
      <c r="Q5433">
        <v>0</v>
      </c>
      <c r="R5433">
        <v>0.836156839632057</v>
      </c>
      <c r="S5433" t="s">
        <v>10984</v>
      </c>
      <c r="T5433" t="s">
        <v>11100</v>
      </c>
      <c r="U5433" t="s">
        <v>11100</v>
      </c>
      <c r="V5433" t="s">
        <v>11100</v>
      </c>
      <c r="W5433" t="s">
        <v>16478</v>
      </c>
      <c r="X5433">
        <v>20</v>
      </c>
      <c r="Y5433" t="s">
        <v>21893</v>
      </c>
      <c r="Z5433" t="s">
        <v>27438</v>
      </c>
      <c r="AA5433">
        <v>0.76492465097323703</v>
      </c>
      <c r="AB5433" t="str">
        <f>HYPERLINK("Melting_Curves/meltCurve_Q9Y3I0_C22orf28.pdf", "Melting_Curves/meltCurve_Q9Y3I0_C22orf28.pdf")</f>
        <v>Melting_Curves/meltCurve_Q9Y3I0_C22orf28.pdf</v>
      </c>
    </row>
    <row r="5434" spans="1:28" x14ac:dyDescent="0.25">
      <c r="A5434" t="s">
        <v>5438</v>
      </c>
      <c r="B5434">
        <v>0.99299721793515405</v>
      </c>
      <c r="C5434">
        <v>1.0920342069718201</v>
      </c>
      <c r="D5434">
        <v>0.88093957705717996</v>
      </c>
      <c r="E5434">
        <v>0.74857719876765605</v>
      </c>
      <c r="F5434">
        <v>0.53925601224537401</v>
      </c>
      <c r="G5434">
        <v>0.39004096342204397</v>
      </c>
      <c r="H5434">
        <v>0.33560546695078802</v>
      </c>
      <c r="I5434">
        <v>0.250642855825844</v>
      </c>
      <c r="J5434">
        <v>0.22577000083932799</v>
      </c>
      <c r="K5434">
        <v>0.111752296037814</v>
      </c>
      <c r="L5434">
        <v>628.73055290639797</v>
      </c>
      <c r="M5434">
        <v>12.5660687357935</v>
      </c>
      <c r="N5434">
        <v>51.463648539579303</v>
      </c>
      <c r="O5434">
        <v>48.817589141512997</v>
      </c>
      <c r="P5434">
        <v>-5.4882014525178803E-2</v>
      </c>
      <c r="Q5434">
        <v>0.14733313198230499</v>
      </c>
      <c r="R5434">
        <v>0.97686363417953503</v>
      </c>
      <c r="S5434" t="s">
        <v>10985</v>
      </c>
      <c r="T5434" t="s">
        <v>11100</v>
      </c>
      <c r="U5434" t="s">
        <v>11100</v>
      </c>
      <c r="V5434" t="s">
        <v>11100</v>
      </c>
      <c r="W5434" t="s">
        <v>16479</v>
      </c>
      <c r="X5434">
        <v>5</v>
      </c>
      <c r="Y5434" t="s">
        <v>21894</v>
      </c>
      <c r="Z5434" t="s">
        <v>27439</v>
      </c>
      <c r="AA5434">
        <v>0.54032927416400633</v>
      </c>
      <c r="AB5434" t="str">
        <f>HYPERLINK("Melting_Curves/meltCurve_Q9Y3I1_FBXO7.pdf", "Melting_Curves/meltCurve_Q9Y3I1_FBXO7.pdf")</f>
        <v>Melting_Curves/meltCurve_Q9Y3I1_FBXO7.pdf</v>
      </c>
    </row>
    <row r="5435" spans="1:28" x14ac:dyDescent="0.25">
      <c r="A5435" t="s">
        <v>5439</v>
      </c>
      <c r="B5435">
        <v>0.99299721793515405</v>
      </c>
      <c r="C5435">
        <v>0.87967711536613102</v>
      </c>
      <c r="D5435">
        <v>0.84959229400789604</v>
      </c>
      <c r="E5435">
        <v>0.87234172223072404</v>
      </c>
      <c r="F5435">
        <v>0.66675113566843702</v>
      </c>
      <c r="G5435">
        <v>0.410571672128628</v>
      </c>
      <c r="H5435">
        <v>0.496382664575307</v>
      </c>
      <c r="I5435">
        <v>0.39667047595600102</v>
      </c>
      <c r="J5435">
        <v>0.304120859276722</v>
      </c>
      <c r="K5435">
        <v>0.25984120462648902</v>
      </c>
      <c r="L5435">
        <v>425.51790388952099</v>
      </c>
      <c r="M5435">
        <v>8.0969599918138808</v>
      </c>
      <c r="N5435">
        <v>55.0021925896014</v>
      </c>
      <c r="O5435">
        <v>49.6385065294822</v>
      </c>
      <c r="P5435">
        <v>-3.4644471839111998E-2</v>
      </c>
      <c r="Q5435">
        <v>0.151363863887431</v>
      </c>
      <c r="R5435">
        <v>0.94705492735320296</v>
      </c>
      <c r="S5435" t="s">
        <v>10986</v>
      </c>
      <c r="T5435" t="s">
        <v>11100</v>
      </c>
      <c r="U5435" t="s">
        <v>11100</v>
      </c>
      <c r="V5435" t="s">
        <v>11100</v>
      </c>
      <c r="W5435" t="s">
        <v>16480</v>
      </c>
      <c r="X5435">
        <v>3</v>
      </c>
      <c r="Y5435" t="s">
        <v>21895</v>
      </c>
      <c r="Z5435" t="s">
        <v>27440</v>
      </c>
      <c r="AA5435">
        <v>0.61247653206060271</v>
      </c>
      <c r="AB5435" t="str">
        <f>HYPERLINK("Melting_Curves/meltCurve_Q9Y3L5_RAP2C.pdf", "Melting_Curves/meltCurve_Q9Y3L5_RAP2C.pdf")</f>
        <v>Melting_Curves/meltCurve_Q9Y3L5_RAP2C.pdf</v>
      </c>
    </row>
    <row r="5436" spans="1:28" x14ac:dyDescent="0.25">
      <c r="A5436" t="s">
        <v>5440</v>
      </c>
      <c r="B5436">
        <v>0.99299721793515405</v>
      </c>
      <c r="C5436">
        <v>0.97288340594291101</v>
      </c>
      <c r="D5436">
        <v>1.0038596068494701</v>
      </c>
      <c r="E5436">
        <v>0.88394653134020096</v>
      </c>
      <c r="F5436">
        <v>0.72549665706964395</v>
      </c>
      <c r="G5436">
        <v>0.49393436936026902</v>
      </c>
      <c r="H5436">
        <v>0.31190256386696502</v>
      </c>
      <c r="I5436">
        <v>0.23091846754693501</v>
      </c>
      <c r="J5436">
        <v>0.21624823887074701</v>
      </c>
      <c r="K5436">
        <v>0.192397323955318</v>
      </c>
      <c r="L5436">
        <v>873.19995716914605</v>
      </c>
      <c r="M5436">
        <v>16.718959629903299</v>
      </c>
      <c r="N5436">
        <v>53.566860558845498</v>
      </c>
      <c r="O5436">
        <v>51.498093709596397</v>
      </c>
      <c r="P5436">
        <v>-6.7307628920690393E-2</v>
      </c>
      <c r="Q5436">
        <v>0.17076525040632801</v>
      </c>
      <c r="R5436">
        <v>0.99824550420920799</v>
      </c>
      <c r="S5436" t="s">
        <v>10987</v>
      </c>
      <c r="T5436" t="s">
        <v>11100</v>
      </c>
      <c r="U5436" t="s">
        <v>11100</v>
      </c>
      <c r="V5436" t="s">
        <v>11100</v>
      </c>
      <c r="W5436" t="s">
        <v>16481</v>
      </c>
      <c r="X5436">
        <v>11</v>
      </c>
      <c r="Y5436" t="s">
        <v>21896</v>
      </c>
      <c r="Z5436" t="s">
        <v>27441</v>
      </c>
      <c r="AA5436">
        <v>0.60542730461799499</v>
      </c>
      <c r="AB5436" t="str">
        <f>HYPERLINK("Melting_Curves/meltCurve_Q9Y3P9_RABGAP1.pdf", "Melting_Curves/meltCurve_Q9Y3P9_RABGAP1.pdf")</f>
        <v>Melting_Curves/meltCurve_Q9Y3P9_RABGAP1.pdf</v>
      </c>
    </row>
    <row r="5437" spans="1:28" x14ac:dyDescent="0.25">
      <c r="A5437" t="s">
        <v>5441</v>
      </c>
      <c r="B5437">
        <v>0.99299721793515405</v>
      </c>
      <c r="C5437">
        <v>1.04703858795968</v>
      </c>
      <c r="D5437">
        <v>0.99494253837982805</v>
      </c>
      <c r="E5437">
        <v>0.87970651245847398</v>
      </c>
      <c r="F5437">
        <v>0.76144158488839997</v>
      </c>
      <c r="G5437">
        <v>0.390061145994122</v>
      </c>
      <c r="H5437">
        <v>0.32515397649693301</v>
      </c>
      <c r="I5437">
        <v>0.23945224954109801</v>
      </c>
      <c r="J5437">
        <v>0.22757905743839099</v>
      </c>
      <c r="K5437">
        <v>0.15995930709908901</v>
      </c>
      <c r="L5437">
        <v>1041.74275432532</v>
      </c>
      <c r="M5437">
        <v>20.1465035241186</v>
      </c>
      <c r="N5437">
        <v>52.977388047362098</v>
      </c>
      <c r="O5437">
        <v>51.206987695250803</v>
      </c>
      <c r="P5437">
        <v>-7.9534111131429996E-2</v>
      </c>
      <c r="Q5437">
        <v>0.19140836350462601</v>
      </c>
      <c r="R5437">
        <v>0.98924883756749404</v>
      </c>
      <c r="S5437" t="s">
        <v>10988</v>
      </c>
      <c r="T5437" t="s">
        <v>11100</v>
      </c>
      <c r="U5437" t="s">
        <v>11100</v>
      </c>
      <c r="V5437" t="s">
        <v>11100</v>
      </c>
      <c r="W5437" t="s">
        <v>16482</v>
      </c>
      <c r="X5437">
        <v>6</v>
      </c>
      <c r="Y5437" t="s">
        <v>21897</v>
      </c>
      <c r="Z5437" t="s">
        <v>27442</v>
      </c>
      <c r="AA5437">
        <v>0.59821641900332401</v>
      </c>
      <c r="AB5437" t="str">
        <f>HYPERLINK("Melting_Curves/meltCurve_Q9Y3Q8_TSC22D4.pdf", "Melting_Curves/meltCurve_Q9Y3Q8_TSC22D4.pdf")</f>
        <v>Melting_Curves/meltCurve_Q9Y3Q8_TSC22D4.pdf</v>
      </c>
    </row>
    <row r="5438" spans="1:28" x14ac:dyDescent="0.25">
      <c r="A5438" t="s">
        <v>5442</v>
      </c>
      <c r="B5438">
        <v>0.99299721793515405</v>
      </c>
      <c r="C5438">
        <v>0.93180247844617603</v>
      </c>
      <c r="D5438">
        <v>1.23116255584177</v>
      </c>
      <c r="E5438">
        <v>0.98434591047503195</v>
      </c>
      <c r="F5438">
        <v>0.64061666336192902</v>
      </c>
      <c r="G5438">
        <v>0.393920578225676</v>
      </c>
      <c r="H5438">
        <v>0.25113558687968002</v>
      </c>
      <c r="I5438">
        <v>0.30459803061140001</v>
      </c>
      <c r="J5438">
        <v>0.28103262014382202</v>
      </c>
      <c r="K5438">
        <v>0.29547828446310598</v>
      </c>
      <c r="L5438">
        <v>1817.4702575823601</v>
      </c>
      <c r="M5438">
        <v>36.123270560887498</v>
      </c>
      <c r="N5438">
        <v>51.542188134307402</v>
      </c>
      <c r="O5438">
        <v>50.159579781219698</v>
      </c>
      <c r="P5438">
        <v>-0.12805872562072801</v>
      </c>
      <c r="Q5438">
        <v>0.28873005689231201</v>
      </c>
      <c r="R5438">
        <v>0.94882808785289696</v>
      </c>
      <c r="S5438" t="s">
        <v>10989</v>
      </c>
      <c r="T5438" t="s">
        <v>11100</v>
      </c>
      <c r="U5438" t="s">
        <v>11100</v>
      </c>
      <c r="V5438" t="s">
        <v>11100</v>
      </c>
      <c r="W5438" t="s">
        <v>16483</v>
      </c>
      <c r="X5438">
        <v>8</v>
      </c>
      <c r="Y5438" t="s">
        <v>21898</v>
      </c>
      <c r="Z5438" t="s">
        <v>27443</v>
      </c>
      <c r="AA5438">
        <v>0.60740031884008472</v>
      </c>
      <c r="AB5438" t="str">
        <f>HYPERLINK("Melting_Curves/meltCurve_Q9Y3S2_ZNF330.pdf", "Melting_Curves/meltCurve_Q9Y3S2_ZNF330.pdf")</f>
        <v>Melting_Curves/meltCurve_Q9Y3S2_ZNF330.pdf</v>
      </c>
    </row>
    <row r="5439" spans="1:28" x14ac:dyDescent="0.25">
      <c r="A5439" t="s">
        <v>5443</v>
      </c>
      <c r="B5439">
        <v>0.99299721793515405</v>
      </c>
      <c r="C5439">
        <v>0.97422922502221798</v>
      </c>
      <c r="D5439">
        <v>1.0156535959788999</v>
      </c>
      <c r="E5439">
        <v>0.84672806837929804</v>
      </c>
      <c r="F5439">
        <v>0.72874180616400996</v>
      </c>
      <c r="G5439">
        <v>0.41783533839870002</v>
      </c>
      <c r="H5439">
        <v>0.203963413346955</v>
      </c>
      <c r="I5439">
        <v>0.150047414688109</v>
      </c>
      <c r="J5439">
        <v>0.13049400792861299</v>
      </c>
      <c r="K5439">
        <v>0.106317103618566</v>
      </c>
      <c r="L5439">
        <v>946.64783107732103</v>
      </c>
      <c r="M5439">
        <v>18.1711285863509</v>
      </c>
      <c r="N5439">
        <v>52.6589785056428</v>
      </c>
      <c r="O5439">
        <v>51.477605941827399</v>
      </c>
      <c r="P5439">
        <v>-8.0464205233407998E-2</v>
      </c>
      <c r="Q5439">
        <v>8.8244242829585304E-2</v>
      </c>
      <c r="R5439">
        <v>0.99482315837383295</v>
      </c>
      <c r="S5439" t="s">
        <v>10990</v>
      </c>
      <c r="T5439" t="s">
        <v>11100</v>
      </c>
      <c r="U5439" t="s">
        <v>11100</v>
      </c>
      <c r="V5439" t="s">
        <v>11100</v>
      </c>
      <c r="W5439" t="s">
        <v>16484</v>
      </c>
      <c r="X5439">
        <v>4</v>
      </c>
      <c r="Y5439" t="s">
        <v>21899</v>
      </c>
      <c r="Z5439" t="s">
        <v>27444</v>
      </c>
      <c r="AA5439">
        <v>0.56060795290279763</v>
      </c>
      <c r="AB5439" t="str">
        <f>HYPERLINK("Melting_Curves/meltCurve_Q9Y3T6_R3HCC1.pdf", "Melting_Curves/meltCurve_Q9Y3T6_R3HCC1.pdf")</f>
        <v>Melting_Curves/meltCurve_Q9Y3T6_R3HCC1.pdf</v>
      </c>
    </row>
    <row r="5440" spans="1:28" x14ac:dyDescent="0.25">
      <c r="A5440" t="s">
        <v>5444</v>
      </c>
      <c r="B5440">
        <v>0.99299721793515405</v>
      </c>
      <c r="C5440">
        <v>1.05892584422675</v>
      </c>
      <c r="D5440">
        <v>1.0189046539833799</v>
      </c>
      <c r="E5440">
        <v>0.92692447987832005</v>
      </c>
      <c r="F5440">
        <v>0.62455067373723205</v>
      </c>
      <c r="G5440">
        <v>0.29693272831596101</v>
      </c>
      <c r="H5440">
        <v>0.18609761187703</v>
      </c>
      <c r="I5440">
        <v>0.16022620523946601</v>
      </c>
      <c r="J5440">
        <v>0.140532450180408</v>
      </c>
      <c r="K5440">
        <v>0.118027365935267</v>
      </c>
      <c r="L5440">
        <v>1326.8590347787399</v>
      </c>
      <c r="M5440">
        <v>26.147117716246498</v>
      </c>
      <c r="N5440">
        <v>51.374788991229302</v>
      </c>
      <c r="O5440">
        <v>50.451860669313596</v>
      </c>
      <c r="P5440">
        <v>-0.11182185930140701</v>
      </c>
      <c r="Q5440">
        <v>0.13695153223127299</v>
      </c>
      <c r="R5440">
        <v>0.99670959540149795</v>
      </c>
      <c r="S5440" t="s">
        <v>10991</v>
      </c>
      <c r="T5440" t="s">
        <v>11100</v>
      </c>
      <c r="U5440" t="s">
        <v>11100</v>
      </c>
      <c r="V5440" t="s">
        <v>11100</v>
      </c>
      <c r="W5440" t="s">
        <v>16485</v>
      </c>
      <c r="X5440">
        <v>17</v>
      </c>
      <c r="Y5440" t="s">
        <v>21900</v>
      </c>
      <c r="Z5440" t="s">
        <v>27445</v>
      </c>
      <c r="AA5440">
        <v>0.53938162772934861</v>
      </c>
      <c r="AB5440" t="str">
        <f>HYPERLINK("Melting_Curves/meltCurve_Q9Y3T9_NOC2L.pdf", "Melting_Curves/meltCurve_Q9Y3T9_NOC2L.pdf")</f>
        <v>Melting_Curves/meltCurve_Q9Y3T9_NOC2L.pdf</v>
      </c>
    </row>
    <row r="5441" spans="1:28" x14ac:dyDescent="0.25">
      <c r="A5441" t="s">
        <v>5445</v>
      </c>
      <c r="B5441">
        <v>0.99299721793515405</v>
      </c>
      <c r="C5441">
        <v>0.82795250009773702</v>
      </c>
      <c r="D5441">
        <v>1.04861066997194</v>
      </c>
      <c r="E5441">
        <v>0.76205316843302395</v>
      </c>
      <c r="F5441">
        <v>0.69590699485299501</v>
      </c>
      <c r="G5441">
        <v>0.39957782802959801</v>
      </c>
      <c r="H5441">
        <v>0.199706263538033</v>
      </c>
      <c r="I5441">
        <v>0.127291506231544</v>
      </c>
      <c r="J5441">
        <v>8.9601444036510297E-2</v>
      </c>
      <c r="K5441">
        <v>6.4142231882525894E-2</v>
      </c>
      <c r="L5441">
        <v>711.26143997312602</v>
      </c>
      <c r="M5441">
        <v>13.6234314366192</v>
      </c>
      <c r="N5441">
        <v>52.266185503114798</v>
      </c>
      <c r="O5441">
        <v>51.122302805315201</v>
      </c>
      <c r="P5441">
        <v>-6.6135867620646202E-2</v>
      </c>
      <c r="Q5441">
        <v>7.4394643431416997E-3</v>
      </c>
      <c r="R5441">
        <v>0.96640212582318896</v>
      </c>
      <c r="S5441" t="s">
        <v>10992</v>
      </c>
      <c r="T5441" t="s">
        <v>11100</v>
      </c>
      <c r="U5441" t="s">
        <v>11100</v>
      </c>
      <c r="V5441" t="s">
        <v>11100</v>
      </c>
      <c r="W5441" t="s">
        <v>16486</v>
      </c>
      <c r="X5441">
        <v>1</v>
      </c>
      <c r="Y5441" t="s">
        <v>21901</v>
      </c>
      <c r="Z5441" t="s">
        <v>27446</v>
      </c>
      <c r="AA5441">
        <v>0.53134074238251972</v>
      </c>
      <c r="AB5441" t="str">
        <f>HYPERLINK("Melting_Curves/meltCurve_Q9Y3V2_2_RWDD3.pdf", "Melting_Curves/meltCurve_Q9Y3V2_2_RWDD3.pdf")</f>
        <v>Melting_Curves/meltCurve_Q9Y3V2_2_RWDD3.pdf</v>
      </c>
    </row>
    <row r="5442" spans="1:28" x14ac:dyDescent="0.25">
      <c r="A5442" t="s">
        <v>5446</v>
      </c>
      <c r="B5442">
        <v>0.99299721793515405</v>
      </c>
      <c r="C5442">
        <v>0.87287076370271599</v>
      </c>
      <c r="D5442">
        <v>0.97475454893772795</v>
      </c>
      <c r="E5442">
        <v>0.84518642610988703</v>
      </c>
      <c r="F5442">
        <v>0.81595434723115801</v>
      </c>
      <c r="G5442">
        <v>0.36868693465032798</v>
      </c>
      <c r="H5442">
        <v>0.55998910880546204</v>
      </c>
      <c r="I5442">
        <v>0.71085053327940895</v>
      </c>
      <c r="J5442">
        <v>1.9737130836086501</v>
      </c>
      <c r="K5442">
        <v>2.2647617502968802</v>
      </c>
      <c r="L5442">
        <v>5390.5493949615702</v>
      </c>
      <c r="M5442">
        <v>86.494162457291907</v>
      </c>
      <c r="O5442">
        <v>62.289408555763202</v>
      </c>
      <c r="P5442">
        <v>0.173573203727102</v>
      </c>
      <c r="Q5442">
        <v>1.5</v>
      </c>
      <c r="R5442">
        <v>0.49879156832289501</v>
      </c>
      <c r="S5442" t="s">
        <v>10993</v>
      </c>
      <c r="T5442" t="s">
        <v>11100</v>
      </c>
      <c r="U5442" t="s">
        <v>11100</v>
      </c>
      <c r="V5442" t="s">
        <v>11100</v>
      </c>
      <c r="W5442" t="s">
        <v>16487</v>
      </c>
      <c r="X5442">
        <v>3</v>
      </c>
      <c r="Y5442" t="s">
        <v>21902</v>
      </c>
      <c r="Z5442" t="s">
        <v>27447</v>
      </c>
      <c r="AA5442">
        <v>1.0775313758467311</v>
      </c>
      <c r="AB5442" t="str">
        <f>HYPERLINK("Melting_Curves/meltCurve_Q9Y3X0_CCDC9.pdf", "Melting_Curves/meltCurve_Q9Y3X0_CCDC9.pdf")</f>
        <v>Melting_Curves/meltCurve_Q9Y3X0_CCDC9.pdf</v>
      </c>
    </row>
    <row r="5443" spans="1:28" x14ac:dyDescent="0.25">
      <c r="A5443" t="s">
        <v>5447</v>
      </c>
      <c r="B5443">
        <v>0.99299721793515405</v>
      </c>
      <c r="C5443">
        <v>1.03544830110883</v>
      </c>
      <c r="D5443">
        <v>0.91632645533103596</v>
      </c>
      <c r="E5443">
        <v>0.83669426037287598</v>
      </c>
      <c r="F5443">
        <v>0.69075389630317896</v>
      </c>
      <c r="G5443">
        <v>0.572698525376936</v>
      </c>
      <c r="H5443">
        <v>0.497792307244045</v>
      </c>
      <c r="I5443">
        <v>0.40905518233515897</v>
      </c>
      <c r="J5443">
        <v>0.28171561834004599</v>
      </c>
      <c r="K5443">
        <v>0.16043668612885101</v>
      </c>
      <c r="L5443">
        <v>450.14300846350898</v>
      </c>
      <c r="M5443">
        <v>7.9822467888560702</v>
      </c>
      <c r="N5443">
        <v>56.393020640058303</v>
      </c>
      <c r="O5443">
        <v>53.183609645016404</v>
      </c>
      <c r="P5443">
        <v>-3.7564909358267298E-2</v>
      </c>
      <c r="Q5443">
        <v>0</v>
      </c>
      <c r="R5443">
        <v>0.98224185010427201</v>
      </c>
      <c r="S5443" t="s">
        <v>10994</v>
      </c>
      <c r="T5443" t="s">
        <v>11100</v>
      </c>
      <c r="U5443" t="s">
        <v>11100</v>
      </c>
      <c r="V5443" t="s">
        <v>11100</v>
      </c>
      <c r="W5443" t="s">
        <v>16488</v>
      </c>
      <c r="X5443">
        <v>15</v>
      </c>
      <c r="Y5443" t="s">
        <v>21903</v>
      </c>
      <c r="Z5443" t="s">
        <v>27448</v>
      </c>
      <c r="AA5443">
        <v>0.64108350179266615</v>
      </c>
      <c r="AB5443" t="str">
        <f>HYPERLINK("Melting_Curves/meltCurve_Q9Y3Z3_4_SAMHD1.pdf", "Melting_Curves/meltCurve_Q9Y3Z3_4_SAMHD1.pdf")</f>
        <v>Melting_Curves/meltCurve_Q9Y3Z3_4_SAMHD1.pdf</v>
      </c>
    </row>
    <row r="5444" spans="1:28" x14ac:dyDescent="0.25">
      <c r="A5444" t="s">
        <v>5448</v>
      </c>
      <c r="B5444">
        <v>0.99299721793515405</v>
      </c>
      <c r="C5444">
        <v>0.97821829109633596</v>
      </c>
      <c r="D5444">
        <v>0.93491136984447298</v>
      </c>
      <c r="E5444">
        <v>0.86958421919402795</v>
      </c>
      <c r="F5444">
        <v>0.71666450417264005</v>
      </c>
      <c r="G5444">
        <v>0.48370205910530301</v>
      </c>
      <c r="H5444">
        <v>0.46499481534791798</v>
      </c>
      <c r="I5444">
        <v>0.51973872399485199</v>
      </c>
      <c r="J5444">
        <v>0.52253526770322301</v>
      </c>
      <c r="K5444">
        <v>0.45387857951101501</v>
      </c>
      <c r="L5444">
        <v>1099.9955079761601</v>
      </c>
      <c r="M5444">
        <v>22.409341921439601</v>
      </c>
      <c r="N5444">
        <v>56.784326064743198</v>
      </c>
      <c r="O5444">
        <v>48.700604716942102</v>
      </c>
      <c r="P5444">
        <v>-6.0276628847410398E-2</v>
      </c>
      <c r="Q5444">
        <v>0.47603159584483901</v>
      </c>
      <c r="R5444">
        <v>0.97417215686456105</v>
      </c>
      <c r="S5444" t="s">
        <v>10995</v>
      </c>
      <c r="T5444" t="s">
        <v>11100</v>
      </c>
      <c r="U5444" t="s">
        <v>11100</v>
      </c>
      <c r="V5444" t="s">
        <v>11100</v>
      </c>
      <c r="W5444" t="s">
        <v>16489</v>
      </c>
      <c r="X5444">
        <v>4</v>
      </c>
      <c r="Y5444" t="s">
        <v>21904</v>
      </c>
      <c r="Z5444" t="s">
        <v>27449</v>
      </c>
      <c r="AA5444">
        <v>0.69271964984503165</v>
      </c>
      <c r="AB5444" t="str">
        <f>HYPERLINK("Melting_Curves/meltCurve_Q9Y448_KNSTRN.pdf", "Melting_Curves/meltCurve_Q9Y448_KNSTRN.pdf")</f>
        <v>Melting_Curves/meltCurve_Q9Y448_KNSTRN.pdf</v>
      </c>
    </row>
    <row r="5445" spans="1:28" x14ac:dyDescent="0.25">
      <c r="A5445" t="s">
        <v>5449</v>
      </c>
      <c r="B5445">
        <v>0.99299721793515405</v>
      </c>
      <c r="C5445">
        <v>0.99016849917711003</v>
      </c>
      <c r="D5445">
        <v>0.99632617589700101</v>
      </c>
      <c r="E5445">
        <v>0.91581461299151301</v>
      </c>
      <c r="F5445">
        <v>0.73700695101622304</v>
      </c>
      <c r="G5445">
        <v>0.450108042430097</v>
      </c>
      <c r="H5445">
        <v>0.206043270161402</v>
      </c>
      <c r="I5445">
        <v>0.14545327808397601</v>
      </c>
      <c r="J5445">
        <v>0.104737608089576</v>
      </c>
      <c r="K5445">
        <v>8.7372145828130202E-2</v>
      </c>
      <c r="L5445">
        <v>1014.53228679703</v>
      </c>
      <c r="M5445">
        <v>19.2913211871215</v>
      </c>
      <c r="N5445">
        <v>53.031443184238597</v>
      </c>
      <c r="O5445">
        <v>52.034760424958598</v>
      </c>
      <c r="P5445">
        <v>-8.5814420138352707E-2</v>
      </c>
      <c r="Q5445">
        <v>7.4160833606984805E-2</v>
      </c>
      <c r="R5445">
        <v>0.99926730936798502</v>
      </c>
      <c r="S5445" t="s">
        <v>10996</v>
      </c>
      <c r="T5445" t="s">
        <v>11100</v>
      </c>
      <c r="U5445" t="s">
        <v>11100</v>
      </c>
      <c r="V5445" t="s">
        <v>11100</v>
      </c>
      <c r="W5445" t="s">
        <v>16490</v>
      </c>
      <c r="X5445">
        <v>14</v>
      </c>
      <c r="Y5445" t="s">
        <v>21905</v>
      </c>
      <c r="Z5445" t="s">
        <v>27450</v>
      </c>
      <c r="AA5445">
        <v>0.56773552874487809</v>
      </c>
      <c r="AB5445" t="str">
        <f>HYPERLINK("Melting_Curves/meltCurve_Q9Y450_4_HBS1L.pdf", "Melting_Curves/meltCurve_Q9Y450_4_HBS1L.pdf")</f>
        <v>Melting_Curves/meltCurve_Q9Y450_4_HBS1L.pdf</v>
      </c>
    </row>
    <row r="5446" spans="1:28" x14ac:dyDescent="0.25">
      <c r="A5446" t="s">
        <v>5450</v>
      </c>
      <c r="B5446">
        <v>0.99299721793515405</v>
      </c>
      <c r="C5446">
        <v>0.94889552481747497</v>
      </c>
      <c r="D5446">
        <v>0.91962063987912102</v>
      </c>
      <c r="E5446">
        <v>0.90816856147923097</v>
      </c>
      <c r="F5446">
        <v>0.80922897406812699</v>
      </c>
      <c r="G5446">
        <v>0.65003791465909899</v>
      </c>
      <c r="H5446">
        <v>0.365984546145393</v>
      </c>
      <c r="I5446">
        <v>0.38911866733705802</v>
      </c>
      <c r="J5446">
        <v>0.24983100561605201</v>
      </c>
      <c r="K5446">
        <v>0.21616137899069501</v>
      </c>
      <c r="L5446">
        <v>662.61165720143504</v>
      </c>
      <c r="M5446">
        <v>12.0867218973167</v>
      </c>
      <c r="N5446">
        <v>56.2479563638936</v>
      </c>
      <c r="O5446">
        <v>53.385480614932597</v>
      </c>
      <c r="P5446">
        <v>-4.9141190008017602E-2</v>
      </c>
      <c r="Q5446">
        <v>0.13200219082630599</v>
      </c>
      <c r="R5446">
        <v>0.98045028024903702</v>
      </c>
      <c r="S5446" t="s">
        <v>10997</v>
      </c>
      <c r="T5446" t="s">
        <v>11100</v>
      </c>
      <c r="U5446" t="s">
        <v>11100</v>
      </c>
      <c r="V5446" t="s">
        <v>11100</v>
      </c>
      <c r="W5446" t="s">
        <v>16491</v>
      </c>
      <c r="X5446">
        <v>1</v>
      </c>
      <c r="Y5446" t="s">
        <v>21906</v>
      </c>
      <c r="Z5446" t="s">
        <v>27451</v>
      </c>
      <c r="AA5446">
        <v>0.66058791192091448</v>
      </c>
      <c r="AB5446" t="str">
        <f>HYPERLINK("Melting_Curves/meltCurve_Q9Y478_PRKAB1.pdf", "Melting_Curves/meltCurve_Q9Y478_PRKAB1.pdf")</f>
        <v>Melting_Curves/meltCurve_Q9Y478_PRKAB1.pdf</v>
      </c>
    </row>
    <row r="5447" spans="1:28" x14ac:dyDescent="0.25">
      <c r="A5447" t="s">
        <v>5451</v>
      </c>
      <c r="B5447">
        <v>0.99299721793515405</v>
      </c>
      <c r="C5447">
        <v>0.99034900214027999</v>
      </c>
      <c r="D5447">
        <v>0.92615129778520899</v>
      </c>
      <c r="E5447">
        <v>0.86250824175663499</v>
      </c>
      <c r="F5447">
        <v>0.77425427584289996</v>
      </c>
      <c r="G5447">
        <v>0.458908926602414</v>
      </c>
      <c r="H5447">
        <v>0.21668403208232601</v>
      </c>
      <c r="I5447">
        <v>0.188180983100114</v>
      </c>
      <c r="J5447">
        <v>0.15701770723237399</v>
      </c>
      <c r="K5447">
        <v>0.13856619606604101</v>
      </c>
      <c r="L5447">
        <v>958.068104775797</v>
      </c>
      <c r="M5447">
        <v>18.280922019127601</v>
      </c>
      <c r="N5447">
        <v>53.166812703688201</v>
      </c>
      <c r="O5447">
        <v>51.793036219500898</v>
      </c>
      <c r="P5447">
        <v>-7.8112701451550207E-2</v>
      </c>
      <c r="Q5447">
        <v>0.114813533798999</v>
      </c>
      <c r="R5447">
        <v>0.99085066922201404</v>
      </c>
      <c r="S5447" t="s">
        <v>10998</v>
      </c>
      <c r="T5447" t="s">
        <v>11100</v>
      </c>
      <c r="U5447" t="s">
        <v>11100</v>
      </c>
      <c r="V5447" t="s">
        <v>11100</v>
      </c>
      <c r="W5447" t="s">
        <v>16492</v>
      </c>
      <c r="X5447">
        <v>52</v>
      </c>
      <c r="Y5447" t="s">
        <v>21907</v>
      </c>
      <c r="Z5447" t="s">
        <v>27452</v>
      </c>
      <c r="AA5447">
        <v>0.58236669149112907</v>
      </c>
      <c r="AB5447" t="str">
        <f>HYPERLINK("Melting_Curves/meltCurve_Q9Y490_TLN1.pdf", "Melting_Curves/meltCurve_Q9Y490_TLN1.pdf")</f>
        <v>Melting_Curves/meltCurve_Q9Y490_TLN1.pdf</v>
      </c>
    </row>
    <row r="5448" spans="1:28" x14ac:dyDescent="0.25">
      <c r="A5448" t="s">
        <v>5452</v>
      </c>
      <c r="B5448">
        <v>0.99299721793515405</v>
      </c>
      <c r="C5448">
        <v>1.0371374156754001</v>
      </c>
      <c r="D5448">
        <v>0.95148170776237595</v>
      </c>
      <c r="E5448">
        <v>0.83569419361220099</v>
      </c>
      <c r="F5448">
        <v>0.63995306310071998</v>
      </c>
      <c r="G5448">
        <v>0.44007600244880002</v>
      </c>
      <c r="H5448">
        <v>0.33811607108793401</v>
      </c>
      <c r="I5448">
        <v>0.104073663660983</v>
      </c>
      <c r="J5448">
        <v>0.127542612552902</v>
      </c>
      <c r="K5448">
        <v>0.115397102814004</v>
      </c>
      <c r="L5448">
        <v>678.84806936310395</v>
      </c>
      <c r="M5448">
        <v>12.942892813076</v>
      </c>
      <c r="N5448">
        <v>52.7949059087831</v>
      </c>
      <c r="O5448">
        <v>51.244761695661303</v>
      </c>
      <c r="P5448">
        <v>-6.0589979301699202E-2</v>
      </c>
      <c r="Q5448">
        <v>4.0597449707056997E-2</v>
      </c>
      <c r="R5448">
        <v>0.990574619604078</v>
      </c>
      <c r="S5448" t="s">
        <v>10999</v>
      </c>
      <c r="T5448" t="s">
        <v>11100</v>
      </c>
      <c r="U5448" t="s">
        <v>11100</v>
      </c>
      <c r="V5448" t="s">
        <v>11100</v>
      </c>
      <c r="W5448" t="s">
        <v>16493</v>
      </c>
      <c r="X5448">
        <v>4</v>
      </c>
      <c r="Y5448" t="s">
        <v>21908</v>
      </c>
      <c r="Z5448" t="s">
        <v>27453</v>
      </c>
      <c r="AA5448">
        <v>0.55517625430372042</v>
      </c>
      <c r="AB5448" t="str">
        <f>HYPERLINK("Melting_Curves/meltCurve_Q9Y4B4_RAD54L2.pdf", "Melting_Curves/meltCurve_Q9Y4B4_RAD54L2.pdf")</f>
        <v>Melting_Curves/meltCurve_Q9Y4B4_RAD54L2.pdf</v>
      </c>
    </row>
    <row r="5449" spans="1:28" x14ac:dyDescent="0.25">
      <c r="A5449" t="s">
        <v>5453</v>
      </c>
      <c r="B5449">
        <v>0.99299721793515405</v>
      </c>
      <c r="C5449">
        <v>1.04867751691054</v>
      </c>
      <c r="D5449">
        <v>0.94067120020663397</v>
      </c>
      <c r="E5449">
        <v>0.840450827760724</v>
      </c>
      <c r="F5449">
        <v>0.71056678372386095</v>
      </c>
      <c r="G5449">
        <v>0.29445364200410501</v>
      </c>
      <c r="H5449">
        <v>0.22548974934170199</v>
      </c>
      <c r="I5449">
        <v>0.19495304498721799</v>
      </c>
      <c r="J5449">
        <v>0.17342042638990501</v>
      </c>
      <c r="K5449">
        <v>0.124383517082381</v>
      </c>
      <c r="L5449">
        <v>1074.15939766467</v>
      </c>
      <c r="M5449">
        <v>21.0695776160881</v>
      </c>
      <c r="N5449">
        <v>51.8138974396566</v>
      </c>
      <c r="O5449">
        <v>50.528962044484103</v>
      </c>
      <c r="P5449">
        <v>-8.9280933492553505E-2</v>
      </c>
      <c r="Q5449">
        <v>0.14357047484619201</v>
      </c>
      <c r="R5449">
        <v>0.98650736242557802</v>
      </c>
      <c r="S5449" t="s">
        <v>11000</v>
      </c>
      <c r="T5449" t="s">
        <v>11100</v>
      </c>
      <c r="U5449" t="s">
        <v>11100</v>
      </c>
      <c r="V5449" t="s">
        <v>11100</v>
      </c>
      <c r="W5449" t="s">
        <v>16494</v>
      </c>
      <c r="X5449">
        <v>10</v>
      </c>
      <c r="Y5449" t="s">
        <v>21909</v>
      </c>
      <c r="Z5449" t="s">
        <v>27454</v>
      </c>
      <c r="AA5449">
        <v>0.55297797703897567</v>
      </c>
      <c r="AB5449" t="str">
        <f>HYPERLINK("Melting_Curves/meltCurve_Q9Y4C1_KDM3A.pdf", "Melting_Curves/meltCurve_Q9Y4C1_KDM3A.pdf")</f>
        <v>Melting_Curves/meltCurve_Q9Y4C1_KDM3A.pdf</v>
      </c>
    </row>
    <row r="5450" spans="1:28" x14ac:dyDescent="0.25">
      <c r="A5450" t="s">
        <v>5454</v>
      </c>
      <c r="B5450">
        <v>0.99299721793515405</v>
      </c>
      <c r="C5450">
        <v>1.04297527943608</v>
      </c>
      <c r="D5450">
        <v>0.923023513923938</v>
      </c>
      <c r="E5450">
        <v>0.82520892806878998</v>
      </c>
      <c r="F5450">
        <v>0.58604704849071998</v>
      </c>
      <c r="G5450">
        <v>0.24214713543150199</v>
      </c>
      <c r="H5450">
        <v>0.18205556180002599</v>
      </c>
      <c r="I5450">
        <v>0.15039460370521601</v>
      </c>
      <c r="J5450">
        <v>0.108257458981263</v>
      </c>
      <c r="K5450">
        <v>8.2671468908467396E-2</v>
      </c>
      <c r="L5450">
        <v>971.37117662851995</v>
      </c>
      <c r="M5450">
        <v>19.338857972744002</v>
      </c>
      <c r="N5450">
        <v>50.774098114885703</v>
      </c>
      <c r="O5450">
        <v>49.701163586008498</v>
      </c>
      <c r="P5450">
        <v>-8.8160020349084406E-2</v>
      </c>
      <c r="Q5450">
        <v>9.3743544961679595E-2</v>
      </c>
      <c r="R5450">
        <v>0.99351416124238101</v>
      </c>
      <c r="S5450" t="s">
        <v>11001</v>
      </c>
      <c r="T5450" t="s">
        <v>11100</v>
      </c>
      <c r="U5450" t="s">
        <v>11100</v>
      </c>
      <c r="V5450" t="s">
        <v>11100</v>
      </c>
      <c r="W5450" t="s">
        <v>16495</v>
      </c>
      <c r="X5450">
        <v>13</v>
      </c>
      <c r="Y5450" t="s">
        <v>21910</v>
      </c>
      <c r="Z5450" t="s">
        <v>27455</v>
      </c>
      <c r="AA5450">
        <v>0.50600549187878996</v>
      </c>
      <c r="AB5450" t="str">
        <f>HYPERLINK("Melting_Curves/meltCurve_Q9Y4C2_2_FAM115A.pdf", "Melting_Curves/meltCurve_Q9Y4C2_2_FAM115A.pdf")</f>
        <v>Melting_Curves/meltCurve_Q9Y4C2_2_FAM115A.pdf</v>
      </c>
    </row>
    <row r="5451" spans="1:28" x14ac:dyDescent="0.25">
      <c r="A5451" t="s">
        <v>5455</v>
      </c>
      <c r="B5451">
        <v>0.99299721793515405</v>
      </c>
      <c r="C5451">
        <v>0.87367372076064598</v>
      </c>
      <c r="D5451">
        <v>0.907819206125555</v>
      </c>
      <c r="E5451">
        <v>0.88359610672367095</v>
      </c>
      <c r="F5451">
        <v>0.77243043321721705</v>
      </c>
      <c r="G5451">
        <v>0.51294416625557104</v>
      </c>
      <c r="H5451">
        <v>0.293881874880421</v>
      </c>
      <c r="I5451">
        <v>0.138947040013777</v>
      </c>
      <c r="J5451">
        <v>0.14240425509687901</v>
      </c>
      <c r="K5451">
        <v>7.3457207246330897E-2</v>
      </c>
      <c r="L5451">
        <v>714.97854757494201</v>
      </c>
      <c r="M5451">
        <v>13.252480708908401</v>
      </c>
      <c r="N5451">
        <v>53.9505637098408</v>
      </c>
      <c r="O5451">
        <v>52.766495012843201</v>
      </c>
      <c r="P5451">
        <v>-6.2798625524322596E-2</v>
      </c>
      <c r="Q5451">
        <v>0</v>
      </c>
      <c r="R5451">
        <v>0.98190812460614496</v>
      </c>
      <c r="S5451" t="s">
        <v>11002</v>
      </c>
      <c r="T5451" t="s">
        <v>11100</v>
      </c>
      <c r="U5451" t="s">
        <v>11100</v>
      </c>
      <c r="V5451" t="s">
        <v>11100</v>
      </c>
      <c r="W5451" t="s">
        <v>16496</v>
      </c>
      <c r="X5451">
        <v>2</v>
      </c>
      <c r="Y5451" t="s">
        <v>21911</v>
      </c>
      <c r="Z5451" t="s">
        <v>27456</v>
      </c>
      <c r="AA5451">
        <v>0.58254235574462521</v>
      </c>
      <c r="AB5451" t="str">
        <f>HYPERLINK("Melting_Curves/meltCurve_Q9Y4C4_MFHAS1.pdf", "Melting_Curves/meltCurve_Q9Y4C4_MFHAS1.pdf")</f>
        <v>Melting_Curves/meltCurve_Q9Y4C4_MFHAS1.pdf</v>
      </c>
    </row>
    <row r="5452" spans="1:28" x14ac:dyDescent="0.25">
      <c r="A5452" t="s">
        <v>5456</v>
      </c>
      <c r="B5452">
        <v>0.99299721793515405</v>
      </c>
      <c r="C5452">
        <v>0.87310873520280996</v>
      </c>
      <c r="D5452">
        <v>0.75071189361786905</v>
      </c>
      <c r="E5452">
        <v>0.89109578024718095</v>
      </c>
      <c r="F5452">
        <v>0.606699480906436</v>
      </c>
      <c r="G5452">
        <v>0.43781814921832801</v>
      </c>
      <c r="H5452">
        <v>8.6360387482086298E-2</v>
      </c>
      <c r="I5452">
        <v>0.12052632433263</v>
      </c>
      <c r="J5452">
        <v>0.115973619206983</v>
      </c>
      <c r="K5452">
        <v>0</v>
      </c>
      <c r="L5452">
        <v>674.40449628307999</v>
      </c>
      <c r="M5452">
        <v>13.066452105045199</v>
      </c>
      <c r="N5452">
        <v>51.6134365771563</v>
      </c>
      <c r="O5452">
        <v>50.449413235984501</v>
      </c>
      <c r="P5452">
        <v>-6.4761497718428707E-2</v>
      </c>
      <c r="Q5452">
        <v>0</v>
      </c>
      <c r="R5452">
        <v>0.942368881367179</v>
      </c>
      <c r="S5452" t="s">
        <v>11003</v>
      </c>
      <c r="T5452" t="s">
        <v>11100</v>
      </c>
      <c r="U5452" t="s">
        <v>11100</v>
      </c>
      <c r="V5452" t="s">
        <v>11100</v>
      </c>
      <c r="W5452" t="s">
        <v>16497</v>
      </c>
      <c r="X5452">
        <v>1</v>
      </c>
      <c r="Y5452" t="s">
        <v>21912</v>
      </c>
      <c r="Z5452" t="s">
        <v>27457</v>
      </c>
      <c r="AA5452">
        <v>0.50990253800027963</v>
      </c>
      <c r="AB5452" t="str">
        <f>HYPERLINK("Melting_Curves/meltCurve_Q9Y4D7_2_PLXND1.pdf", "Melting_Curves/meltCurve_Q9Y4D7_2_PLXND1.pdf")</f>
        <v>Melting_Curves/meltCurve_Q9Y4D7_2_PLXND1.pdf</v>
      </c>
    </row>
    <row r="5453" spans="1:28" x14ac:dyDescent="0.25">
      <c r="A5453" t="s">
        <v>5457</v>
      </c>
      <c r="B5453">
        <v>0.99299721793515405</v>
      </c>
      <c r="C5453">
        <v>0.91389712819949798</v>
      </c>
      <c r="D5453">
        <v>0.69402929801248603</v>
      </c>
      <c r="E5453">
        <v>0.76585634147313697</v>
      </c>
      <c r="F5453">
        <v>0.66461243808827297</v>
      </c>
      <c r="G5453">
        <v>0.525601748471349</v>
      </c>
      <c r="H5453">
        <v>0.58946512275991803</v>
      </c>
      <c r="I5453">
        <v>0.55833861402403495</v>
      </c>
      <c r="J5453">
        <v>0.57570596180032596</v>
      </c>
      <c r="K5453">
        <v>0.458382233133029</v>
      </c>
      <c r="L5453">
        <v>436.80040658845599</v>
      </c>
      <c r="M5453">
        <v>9.7558072668693203</v>
      </c>
      <c r="O5453">
        <v>43.013678712677297</v>
      </c>
      <c r="P5453">
        <v>-2.8019245266702401E-2</v>
      </c>
      <c r="Q5453">
        <v>0.50611292623191495</v>
      </c>
      <c r="R5453">
        <v>0.88425708054630003</v>
      </c>
      <c r="S5453" t="s">
        <v>11004</v>
      </c>
      <c r="T5453" t="s">
        <v>11100</v>
      </c>
      <c r="U5453" t="s">
        <v>11100</v>
      </c>
      <c r="V5453" t="s">
        <v>11100</v>
      </c>
      <c r="W5453" t="s">
        <v>16498</v>
      </c>
      <c r="X5453">
        <v>22</v>
      </c>
      <c r="Y5453" t="s">
        <v>21913</v>
      </c>
      <c r="Z5453" t="s">
        <v>27458</v>
      </c>
      <c r="AA5453">
        <v>0.65997421961335545</v>
      </c>
      <c r="AB5453" t="str">
        <f>HYPERLINK("Melting_Curves/meltCurve_Q9Y4E1_2_FAM21C.pdf", "Melting_Curves/meltCurve_Q9Y4E1_2_FAM21C.pdf")</f>
        <v>Melting_Curves/meltCurve_Q9Y4E1_2_FAM21C.pdf</v>
      </c>
    </row>
    <row r="5454" spans="1:28" x14ac:dyDescent="0.25">
      <c r="A5454" t="s">
        <v>5458</v>
      </c>
      <c r="B5454">
        <v>0.99299721793515405</v>
      </c>
      <c r="C5454">
        <v>0.968367377802129</v>
      </c>
      <c r="D5454">
        <v>0.87347642251726498</v>
      </c>
      <c r="E5454">
        <v>0.87565704238209097</v>
      </c>
      <c r="F5454">
        <v>0.77660607299803297</v>
      </c>
      <c r="G5454">
        <v>0.384849755250048</v>
      </c>
      <c r="H5454">
        <v>0.29031426333049298</v>
      </c>
      <c r="I5454">
        <v>0.22185234959477601</v>
      </c>
      <c r="J5454">
        <v>0.15517493222782899</v>
      </c>
      <c r="K5454">
        <v>0.118426523240645</v>
      </c>
      <c r="L5454">
        <v>816.71510135110395</v>
      </c>
      <c r="M5454">
        <v>15.6091874357693</v>
      </c>
      <c r="N5454">
        <v>53.118252323325699</v>
      </c>
      <c r="O5454">
        <v>51.486512866357998</v>
      </c>
      <c r="P5454">
        <v>-6.7898656357758103E-2</v>
      </c>
      <c r="Q5454">
        <v>0.104229395768224</v>
      </c>
      <c r="R5454">
        <v>0.98017969047660602</v>
      </c>
      <c r="S5454" t="s">
        <v>11005</v>
      </c>
      <c r="T5454" t="s">
        <v>11100</v>
      </c>
      <c r="U5454" t="s">
        <v>11100</v>
      </c>
      <c r="V5454" t="s">
        <v>11100</v>
      </c>
      <c r="W5454" t="s">
        <v>16499</v>
      </c>
      <c r="X5454">
        <v>6</v>
      </c>
      <c r="Y5454" t="s">
        <v>21914</v>
      </c>
      <c r="Z5454" t="s">
        <v>27459</v>
      </c>
      <c r="AA5454">
        <v>0.57781381124080999</v>
      </c>
      <c r="AB5454" t="str">
        <f>HYPERLINK("Melting_Curves/meltCurve_Q9Y4E8_USP15.pdf", "Melting_Curves/meltCurve_Q9Y4E8_USP15.pdf")</f>
        <v>Melting_Curves/meltCurve_Q9Y4E8_USP15.pdf</v>
      </c>
    </row>
    <row r="5455" spans="1:28" x14ac:dyDescent="0.25">
      <c r="A5455" t="s">
        <v>5459</v>
      </c>
      <c r="B5455">
        <v>0.99299721793515405</v>
      </c>
      <c r="C5455">
        <v>0.95361758925861595</v>
      </c>
      <c r="D5455">
        <v>0.90763751323567998</v>
      </c>
      <c r="E5455">
        <v>0.73321312427448804</v>
      </c>
      <c r="F5455">
        <v>0.57055587535162999</v>
      </c>
      <c r="G5455">
        <v>0.489792957957223</v>
      </c>
      <c r="H5455">
        <v>0.50979518185272898</v>
      </c>
      <c r="I5455">
        <v>0.66717544249363403</v>
      </c>
      <c r="J5455">
        <v>0.72177436822446694</v>
      </c>
      <c r="K5455">
        <v>1.0967523431538</v>
      </c>
      <c r="L5455">
        <v>1642.8883607821199</v>
      </c>
      <c r="M5455">
        <v>37.318168122565801</v>
      </c>
      <c r="O5455">
        <v>43.897976836516399</v>
      </c>
      <c r="P5455">
        <v>-6.8374783022114805E-2</v>
      </c>
      <c r="Q5455">
        <v>0.67827933910580696</v>
      </c>
      <c r="R5455">
        <v>0.375465487882155</v>
      </c>
      <c r="S5455" t="s">
        <v>11006</v>
      </c>
      <c r="T5455" t="s">
        <v>11100</v>
      </c>
      <c r="U5455" t="s">
        <v>11100</v>
      </c>
      <c r="V5455" t="s">
        <v>11100</v>
      </c>
      <c r="W5455" t="s">
        <v>16500</v>
      </c>
      <c r="X5455">
        <v>7</v>
      </c>
      <c r="Y5455" t="s">
        <v>21915</v>
      </c>
      <c r="Z5455" t="s">
        <v>27460</v>
      </c>
      <c r="AA5455">
        <v>0.75473663746377417</v>
      </c>
      <c r="AB5455" t="str">
        <f>HYPERLINK("Melting_Curves/meltCurve_Q9Y4G6_TLN2.pdf", "Melting_Curves/meltCurve_Q9Y4G6_TLN2.pdf")</f>
        <v>Melting_Curves/meltCurve_Q9Y4G6_TLN2.pdf</v>
      </c>
    </row>
    <row r="5456" spans="1:28" x14ac:dyDescent="0.25">
      <c r="A5456" t="s">
        <v>5460</v>
      </c>
      <c r="B5456">
        <v>0.99299721793515405</v>
      </c>
      <c r="C5456">
        <v>1.0243522224974999</v>
      </c>
      <c r="D5456">
        <v>0.83108961773858203</v>
      </c>
      <c r="E5456">
        <v>0.73861903093600201</v>
      </c>
      <c r="F5456">
        <v>0.68087760270055198</v>
      </c>
      <c r="G5456">
        <v>0.49784475990791499</v>
      </c>
      <c r="H5456">
        <v>0.11849581318097099</v>
      </c>
      <c r="I5456">
        <v>8.6758443522098605E-2</v>
      </c>
      <c r="J5456">
        <v>9.9914006228882996E-2</v>
      </c>
      <c r="K5456">
        <v>0</v>
      </c>
      <c r="L5456">
        <v>676.62580015671801</v>
      </c>
      <c r="M5456">
        <v>13.018431534734299</v>
      </c>
      <c r="N5456">
        <v>51.974463562088701</v>
      </c>
      <c r="O5456">
        <v>50.793932190666297</v>
      </c>
      <c r="P5456">
        <v>-6.4085995336958204E-2</v>
      </c>
      <c r="Q5456">
        <v>0</v>
      </c>
      <c r="R5456">
        <v>0.96408690884616</v>
      </c>
      <c r="S5456" t="s">
        <v>11007</v>
      </c>
      <c r="T5456" t="s">
        <v>11100</v>
      </c>
      <c r="U5456" t="s">
        <v>11100</v>
      </c>
      <c r="V5456" t="s">
        <v>11100</v>
      </c>
      <c r="W5456" t="s">
        <v>16501</v>
      </c>
      <c r="X5456">
        <v>2</v>
      </c>
      <c r="Y5456" t="s">
        <v>21916</v>
      </c>
      <c r="Z5456" t="s">
        <v>27461</v>
      </c>
      <c r="AA5456">
        <v>0.52135958877099886</v>
      </c>
      <c r="AB5456" t="str">
        <f>HYPERLINK("Melting_Curves/meltCurve_Q9Y4G8_RAPGEF2.pdf", "Melting_Curves/meltCurve_Q9Y4G8_RAPGEF2.pdf")</f>
        <v>Melting_Curves/meltCurve_Q9Y4G8_RAPGEF2.pdf</v>
      </c>
    </row>
    <row r="5457" spans="1:28" x14ac:dyDescent="0.25">
      <c r="A5457" t="s">
        <v>5461</v>
      </c>
      <c r="B5457">
        <v>0.99299721793515405</v>
      </c>
      <c r="C5457">
        <v>1.0256164201729201</v>
      </c>
      <c r="D5457">
        <v>1.0126415882214299</v>
      </c>
      <c r="E5457">
        <v>1.0218054933641401</v>
      </c>
      <c r="F5457">
        <v>0.59282624715635501</v>
      </c>
      <c r="G5457">
        <v>5.9782582565045497E-2</v>
      </c>
      <c r="H5457">
        <v>0.318759876844176</v>
      </c>
      <c r="I5457">
        <v>0.17915248257361399</v>
      </c>
      <c r="J5457">
        <v>0.17186305809890801</v>
      </c>
      <c r="K5457">
        <v>9.6989201035402206E-2</v>
      </c>
      <c r="L5457">
        <v>12552.4474259659</v>
      </c>
      <c r="M5457">
        <v>250</v>
      </c>
      <c r="N5457">
        <v>50.290550289404301</v>
      </c>
      <c r="O5457">
        <v>50.206582615564798</v>
      </c>
      <c r="P5457">
        <v>-1.0390702561687499</v>
      </c>
      <c r="Q5457">
        <v>0.16530943407429399</v>
      </c>
      <c r="R5457">
        <v>0.97505095586868096</v>
      </c>
      <c r="S5457" t="s">
        <v>11008</v>
      </c>
      <c r="T5457" t="s">
        <v>11100</v>
      </c>
      <c r="U5457" t="s">
        <v>11100</v>
      </c>
      <c r="V5457" t="s">
        <v>11100</v>
      </c>
      <c r="W5457" t="s">
        <v>16502</v>
      </c>
      <c r="X5457">
        <v>8</v>
      </c>
      <c r="Y5457" t="s">
        <v>21917</v>
      </c>
      <c r="Z5457" t="s">
        <v>27462</v>
      </c>
      <c r="AA5457">
        <v>0.53291921295892808</v>
      </c>
      <c r="AB5457" t="str">
        <f>HYPERLINK("Melting_Curves/meltCurve_Q9Y4H2_IRS2.pdf", "Melting_Curves/meltCurve_Q9Y4H2_IRS2.pdf")</f>
        <v>Melting_Curves/meltCurve_Q9Y4H2_IRS2.pdf</v>
      </c>
    </row>
    <row r="5458" spans="1:28" x14ac:dyDescent="0.25">
      <c r="A5458" t="s">
        <v>5462</v>
      </c>
      <c r="B5458">
        <v>0.99299721793515405</v>
      </c>
      <c r="C5458">
        <v>0.90643818906964202</v>
      </c>
      <c r="D5458">
        <v>0.94202624890562603</v>
      </c>
      <c r="E5458">
        <v>0.75418579932914398</v>
      </c>
      <c r="F5458">
        <v>0.65040528318556501</v>
      </c>
      <c r="G5458">
        <v>0.51171098619134503</v>
      </c>
      <c r="H5458">
        <v>0.28256069799922101</v>
      </c>
      <c r="I5458">
        <v>0.247042296301235</v>
      </c>
      <c r="J5458">
        <v>0.233414914082021</v>
      </c>
      <c r="K5458">
        <v>0.235623512309142</v>
      </c>
      <c r="L5458">
        <v>569.33559112830403</v>
      </c>
      <c r="M5458">
        <v>11.096802538068401</v>
      </c>
      <c r="N5458">
        <v>52.931216525684597</v>
      </c>
      <c r="O5458">
        <v>49.7246120809681</v>
      </c>
      <c r="P5458">
        <v>-4.77534415581145E-2</v>
      </c>
      <c r="Q5458">
        <v>0.144349139347839</v>
      </c>
      <c r="R5458">
        <v>0.98391107975538294</v>
      </c>
      <c r="S5458" t="s">
        <v>11009</v>
      </c>
      <c r="T5458" t="s">
        <v>11100</v>
      </c>
      <c r="U5458" t="s">
        <v>11100</v>
      </c>
      <c r="V5458" t="s">
        <v>11100</v>
      </c>
      <c r="W5458" t="s">
        <v>16503</v>
      </c>
      <c r="X5458">
        <v>4</v>
      </c>
      <c r="Y5458" t="s">
        <v>21918</v>
      </c>
      <c r="Z5458" t="s">
        <v>27463</v>
      </c>
      <c r="AA5458">
        <v>0.57563755472354472</v>
      </c>
      <c r="AB5458" t="str">
        <f>HYPERLINK("Melting_Curves/meltCurve_Q9Y4K3_TRAF6.pdf", "Melting_Curves/meltCurve_Q9Y4K3_TRAF6.pdf")</f>
        <v>Melting_Curves/meltCurve_Q9Y4K3_TRAF6.pdf</v>
      </c>
    </row>
    <row r="5459" spans="1:28" x14ac:dyDescent="0.25">
      <c r="A5459" t="s">
        <v>5463</v>
      </c>
      <c r="B5459">
        <v>0.99299721793515405</v>
      </c>
      <c r="C5459">
        <v>0.87906292675945497</v>
      </c>
      <c r="D5459">
        <v>0.93905103883274199</v>
      </c>
      <c r="E5459">
        <v>0.79219245128665305</v>
      </c>
      <c r="F5459">
        <v>0.63650983531888194</v>
      </c>
      <c r="G5459">
        <v>0.39474055911401101</v>
      </c>
      <c r="H5459">
        <v>0.21240707730987901</v>
      </c>
      <c r="I5459">
        <v>0.183301681243659</v>
      </c>
      <c r="J5459">
        <v>0.20040251539714801</v>
      </c>
      <c r="K5459">
        <v>0.15265592310561099</v>
      </c>
      <c r="L5459">
        <v>705.53310492383298</v>
      </c>
      <c r="M5459">
        <v>13.8883536094476</v>
      </c>
      <c r="N5459">
        <v>51.791000387231399</v>
      </c>
      <c r="O5459">
        <v>49.781885845361103</v>
      </c>
      <c r="P5459">
        <v>-6.1618642901949502E-2</v>
      </c>
      <c r="Q5459">
        <v>0.11664881287942901</v>
      </c>
      <c r="R5459">
        <v>0.98458132110357699</v>
      </c>
      <c r="S5459" t="s">
        <v>11010</v>
      </c>
      <c r="T5459" t="s">
        <v>11100</v>
      </c>
      <c r="U5459" t="s">
        <v>11100</v>
      </c>
      <c r="V5459" t="s">
        <v>11100</v>
      </c>
      <c r="W5459" t="s">
        <v>16504</v>
      </c>
      <c r="X5459">
        <v>10</v>
      </c>
      <c r="Y5459" t="s">
        <v>21919</v>
      </c>
      <c r="Z5459" t="s">
        <v>27464</v>
      </c>
      <c r="AA5459">
        <v>0.5428005699035886</v>
      </c>
      <c r="AB5459" t="str">
        <f>HYPERLINK("Melting_Curves/meltCurve_Q9Y4K4_MAP4K5.pdf", "Melting_Curves/meltCurve_Q9Y4K4_MAP4K5.pdf")</f>
        <v>Melting_Curves/meltCurve_Q9Y4K4_MAP4K5.pdf</v>
      </c>
    </row>
    <row r="5460" spans="1:28" x14ac:dyDescent="0.25">
      <c r="A5460" t="s">
        <v>5464</v>
      </c>
      <c r="B5460">
        <v>0.99299721793515405</v>
      </c>
      <c r="C5460">
        <v>1.2205345783685499</v>
      </c>
      <c r="D5460">
        <v>1.0733305812498699</v>
      </c>
      <c r="E5460">
        <v>1.12420845621037</v>
      </c>
      <c r="F5460">
        <v>0.93127967600870698</v>
      </c>
      <c r="G5460">
        <v>0.46564152534486902</v>
      </c>
      <c r="H5460">
        <v>0.234942810437721</v>
      </c>
      <c r="I5460">
        <v>0.18371030121441601</v>
      </c>
      <c r="J5460">
        <v>0.170590660370495</v>
      </c>
      <c r="K5460">
        <v>0.13784787336021101</v>
      </c>
      <c r="L5460">
        <v>2187.2555748290702</v>
      </c>
      <c r="M5460">
        <v>41.206292012956901</v>
      </c>
      <c r="N5460">
        <v>53.622187298906098</v>
      </c>
      <c r="O5460">
        <v>52.956064605156598</v>
      </c>
      <c r="P5460">
        <v>-0.16141867622252001</v>
      </c>
      <c r="Q5460">
        <v>0.170215845086513</v>
      </c>
      <c r="R5460">
        <v>0.96078731356645197</v>
      </c>
      <c r="S5460" t="s">
        <v>11011</v>
      </c>
      <c r="T5460" t="s">
        <v>11100</v>
      </c>
      <c r="U5460" t="s">
        <v>11100</v>
      </c>
      <c r="V5460" t="s">
        <v>11100</v>
      </c>
      <c r="W5460" t="s">
        <v>16505</v>
      </c>
      <c r="X5460">
        <v>6</v>
      </c>
      <c r="Y5460" t="s">
        <v>21920</v>
      </c>
      <c r="Z5460" t="s">
        <v>27465</v>
      </c>
      <c r="AA5460">
        <v>0.61785398335132813</v>
      </c>
      <c r="AB5460" t="str">
        <f>HYPERLINK("Melting_Curves/meltCurve_Q9Y4P1_6_ATG4B.pdf", "Melting_Curves/meltCurve_Q9Y4P1_6_ATG4B.pdf")</f>
        <v>Melting_Curves/meltCurve_Q9Y4P1_6_ATG4B.pdf</v>
      </c>
    </row>
    <row r="5461" spans="1:28" x14ac:dyDescent="0.25">
      <c r="A5461" t="s">
        <v>5465</v>
      </c>
      <c r="B5461">
        <v>0.99299721793515405</v>
      </c>
      <c r="C5461">
        <v>0.95162785968715802</v>
      </c>
      <c r="D5461">
        <v>0.99306297044196001</v>
      </c>
      <c r="E5461">
        <v>0.809908611022083</v>
      </c>
      <c r="F5461">
        <v>0.69960908802034805</v>
      </c>
      <c r="G5461">
        <v>0.388078307562925</v>
      </c>
      <c r="H5461">
        <v>0.16659131101716601</v>
      </c>
      <c r="I5461">
        <v>0.11919050212971299</v>
      </c>
      <c r="J5461">
        <v>0.104285049884524</v>
      </c>
      <c r="K5461">
        <v>0.102295309551049</v>
      </c>
      <c r="L5461">
        <v>880.58408663501405</v>
      </c>
      <c r="M5461">
        <v>17.018965311290099</v>
      </c>
      <c r="N5461">
        <v>52.142375465686698</v>
      </c>
      <c r="O5461">
        <v>51.042815733269997</v>
      </c>
      <c r="P5461">
        <v>-7.8247641564714004E-2</v>
      </c>
      <c r="Q5461">
        <v>6.1345005447025903E-2</v>
      </c>
      <c r="R5461">
        <v>0.99180597571295304</v>
      </c>
      <c r="S5461" t="s">
        <v>11012</v>
      </c>
      <c r="T5461" t="s">
        <v>11100</v>
      </c>
      <c r="U5461" t="s">
        <v>11100</v>
      </c>
      <c r="V5461" t="s">
        <v>11100</v>
      </c>
      <c r="W5461" t="s">
        <v>16506</v>
      </c>
      <c r="X5461">
        <v>6</v>
      </c>
      <c r="Y5461" t="s">
        <v>21921</v>
      </c>
      <c r="Z5461" t="s">
        <v>27466</v>
      </c>
      <c r="AA5461">
        <v>0.53806750260283942</v>
      </c>
      <c r="AB5461" t="str">
        <f>HYPERLINK("Melting_Curves/meltCurve_Q9Y4P8_3_WIPI2.pdf", "Melting_Curves/meltCurve_Q9Y4P8_3_WIPI2.pdf")</f>
        <v>Melting_Curves/meltCurve_Q9Y4P8_3_WIPI2.pdf</v>
      </c>
    </row>
    <row r="5462" spans="1:28" x14ac:dyDescent="0.25">
      <c r="A5462" t="s">
        <v>5466</v>
      </c>
      <c r="B5462">
        <v>0.99299721793515405</v>
      </c>
      <c r="C5462">
        <v>1.06753313060003</v>
      </c>
      <c r="D5462">
        <v>0.93408391018825498</v>
      </c>
      <c r="E5462">
        <v>0.76326812208918005</v>
      </c>
      <c r="F5462">
        <v>0.46569413023348899</v>
      </c>
      <c r="G5462">
        <v>0.245053879861484</v>
      </c>
      <c r="H5462">
        <v>0.16089989303673299</v>
      </c>
      <c r="I5462">
        <v>0.124630494019149</v>
      </c>
      <c r="J5462">
        <v>0.1133846754904</v>
      </c>
      <c r="K5462">
        <v>0.10220782331209199</v>
      </c>
      <c r="L5462">
        <v>947.347146623242</v>
      </c>
      <c r="M5462">
        <v>19.272316653680601</v>
      </c>
      <c r="N5462">
        <v>49.750912911067601</v>
      </c>
      <c r="O5462">
        <v>48.635781904101599</v>
      </c>
      <c r="P5462">
        <v>-8.8870670553294506E-2</v>
      </c>
      <c r="Q5462">
        <v>0.102934691384337</v>
      </c>
      <c r="R5462">
        <v>0.99564992018721998</v>
      </c>
      <c r="S5462" t="s">
        <v>11013</v>
      </c>
      <c r="T5462" t="s">
        <v>11100</v>
      </c>
      <c r="U5462" t="s">
        <v>11100</v>
      </c>
      <c r="V5462" t="s">
        <v>11100</v>
      </c>
      <c r="W5462" t="s">
        <v>16507</v>
      </c>
      <c r="X5462">
        <v>9</v>
      </c>
      <c r="Y5462" t="s">
        <v>21922</v>
      </c>
      <c r="Z5462" t="s">
        <v>27467</v>
      </c>
      <c r="AA5462">
        <v>0.47905697162965488</v>
      </c>
      <c r="AB5462" t="str">
        <f>HYPERLINK("Melting_Curves/meltCurve_Q9Y4R8_TELO2.pdf", "Melting_Curves/meltCurve_Q9Y4R8_TELO2.pdf")</f>
        <v>Melting_Curves/meltCurve_Q9Y4R8_TELO2.pdf</v>
      </c>
    </row>
    <row r="5463" spans="1:28" x14ac:dyDescent="0.25">
      <c r="A5463" t="s">
        <v>5467</v>
      </c>
      <c r="B5463">
        <v>0.99299721793515405</v>
      </c>
      <c r="C5463">
        <v>1.0148703454391399</v>
      </c>
      <c r="D5463">
        <v>0.99032500384538302</v>
      </c>
      <c r="E5463">
        <v>0.86673850551295795</v>
      </c>
      <c r="F5463">
        <v>0.41775825370205399</v>
      </c>
      <c r="G5463">
        <v>0.22220545836056199</v>
      </c>
      <c r="H5463">
        <v>0.129529744518976</v>
      </c>
      <c r="I5463">
        <v>0.106715057651601</v>
      </c>
      <c r="J5463">
        <v>0.104688179244334</v>
      </c>
      <c r="K5463">
        <v>6.1853985841870997E-2</v>
      </c>
      <c r="L5463">
        <v>1338.92022157776</v>
      </c>
      <c r="M5463">
        <v>27.1458802904123</v>
      </c>
      <c r="N5463">
        <v>49.728357103758</v>
      </c>
      <c r="O5463">
        <v>49.057813337946101</v>
      </c>
      <c r="P5463">
        <v>-0.124610987778894</v>
      </c>
      <c r="Q5463">
        <v>9.9224958031419896E-2</v>
      </c>
      <c r="R5463">
        <v>0.99719938459826396</v>
      </c>
      <c r="S5463" t="s">
        <v>11014</v>
      </c>
      <c r="T5463" t="s">
        <v>11100</v>
      </c>
      <c r="U5463" t="s">
        <v>11100</v>
      </c>
      <c r="V5463" t="s">
        <v>11100</v>
      </c>
      <c r="W5463" t="s">
        <v>16508</v>
      </c>
      <c r="X5463">
        <v>5</v>
      </c>
      <c r="Y5463" t="s">
        <v>21923</v>
      </c>
      <c r="Z5463" t="s">
        <v>27468</v>
      </c>
      <c r="AA5463">
        <v>0.47589525798689142</v>
      </c>
      <c r="AB5463" t="str">
        <f>HYPERLINK("Melting_Curves/meltCurve_Q9Y4U1_MMACHC.pdf", "Melting_Curves/meltCurve_Q9Y4U1_MMACHC.pdf")</f>
        <v>Melting_Curves/meltCurve_Q9Y4U1_MMACHC.pdf</v>
      </c>
    </row>
    <row r="5464" spans="1:28" x14ac:dyDescent="0.25">
      <c r="A5464" t="s">
        <v>5468</v>
      </c>
      <c r="B5464">
        <v>0.99299721793515405</v>
      </c>
      <c r="C5464">
        <v>0.96139823887342801</v>
      </c>
      <c r="D5464">
        <v>0.98237571150259295</v>
      </c>
      <c r="E5464">
        <v>0.91018854497671398</v>
      </c>
      <c r="F5464">
        <v>0.74970303371639002</v>
      </c>
      <c r="G5464">
        <v>0.70034986304589697</v>
      </c>
      <c r="H5464">
        <v>0.25983758945858099</v>
      </c>
      <c r="I5464">
        <v>0.19905857697635301</v>
      </c>
      <c r="J5464">
        <v>0.165215606313349</v>
      </c>
      <c r="K5464">
        <v>0.14930083723945001</v>
      </c>
      <c r="L5464">
        <v>893.26869676165802</v>
      </c>
      <c r="M5464">
        <v>16.455659998915099</v>
      </c>
      <c r="N5464">
        <v>54.909278961066804</v>
      </c>
      <c r="O5464">
        <v>53.500714680701797</v>
      </c>
      <c r="P5464">
        <v>-7.0323694575121401E-2</v>
      </c>
      <c r="Q5464">
        <v>8.5517428989209707E-2</v>
      </c>
      <c r="R5464">
        <v>0.97495201984032898</v>
      </c>
      <c r="S5464" t="s">
        <v>11015</v>
      </c>
      <c r="T5464" t="s">
        <v>11100</v>
      </c>
      <c r="U5464" t="s">
        <v>11100</v>
      </c>
      <c r="V5464" t="s">
        <v>11100</v>
      </c>
      <c r="W5464" t="s">
        <v>16509</v>
      </c>
      <c r="X5464">
        <v>21</v>
      </c>
      <c r="Y5464" t="s">
        <v>21924</v>
      </c>
      <c r="Z5464" t="s">
        <v>27469</v>
      </c>
      <c r="AA5464">
        <v>0.62572311432517413</v>
      </c>
      <c r="AB5464" t="str">
        <f>HYPERLINK("Melting_Curves/meltCurve_Q9Y4W6_AFG3L2.pdf", "Melting_Curves/meltCurve_Q9Y4W6_AFG3L2.pdf")</f>
        <v>Melting_Curves/meltCurve_Q9Y4W6_AFG3L2.pdf</v>
      </c>
    </row>
    <row r="5465" spans="1:28" x14ac:dyDescent="0.25">
      <c r="A5465" t="s">
        <v>5469</v>
      </c>
      <c r="B5465">
        <v>0.99299721793515405</v>
      </c>
      <c r="C5465">
        <v>0.981045364282915</v>
      </c>
      <c r="D5465">
        <v>0.90730297756574096</v>
      </c>
      <c r="E5465">
        <v>0.85754523255509596</v>
      </c>
      <c r="F5465">
        <v>0.78001578032622298</v>
      </c>
      <c r="G5465">
        <v>0.56231130562159504</v>
      </c>
      <c r="H5465">
        <v>0.62275065097153903</v>
      </c>
      <c r="I5465">
        <v>0.66011427764835695</v>
      </c>
      <c r="J5465">
        <v>0.47429794746535597</v>
      </c>
      <c r="K5465">
        <v>0.249030063923082</v>
      </c>
      <c r="L5465">
        <v>347.29664234621703</v>
      </c>
      <c r="M5465">
        <v>5.6751287690735204</v>
      </c>
      <c r="N5465">
        <v>61.1962576485912</v>
      </c>
      <c r="O5465">
        <v>54.869676543753897</v>
      </c>
      <c r="P5465">
        <v>-2.5959323758826602E-2</v>
      </c>
      <c r="Q5465">
        <v>0</v>
      </c>
      <c r="R5465">
        <v>0.884512380022206</v>
      </c>
      <c r="S5465" t="s">
        <v>11016</v>
      </c>
      <c r="T5465" t="s">
        <v>11100</v>
      </c>
      <c r="U5465" t="s">
        <v>11100</v>
      </c>
      <c r="V5465" t="s">
        <v>11100</v>
      </c>
      <c r="W5465" t="s">
        <v>16510</v>
      </c>
      <c r="X5465">
        <v>12</v>
      </c>
      <c r="Y5465" t="s">
        <v>21925</v>
      </c>
      <c r="Z5465" t="s">
        <v>27470</v>
      </c>
      <c r="AA5465">
        <v>0.71286039688698366</v>
      </c>
      <c r="AB5465" t="str">
        <f>HYPERLINK("Melting_Curves/meltCurve_Q9Y4X5_ARIH1.pdf", "Melting_Curves/meltCurve_Q9Y4X5_ARIH1.pdf")</f>
        <v>Melting_Curves/meltCurve_Q9Y4X5_ARIH1.pdf</v>
      </c>
    </row>
    <row r="5466" spans="1:28" x14ac:dyDescent="0.25">
      <c r="A5466" t="s">
        <v>5470</v>
      </c>
      <c r="B5466">
        <v>0.99299721793515405</v>
      </c>
      <c r="C5466">
        <v>0.93870494938036297</v>
      </c>
      <c r="D5466">
        <v>1.1188830390503599</v>
      </c>
      <c r="E5466">
        <v>0.84455847872561995</v>
      </c>
      <c r="F5466">
        <v>0.773196057806387</v>
      </c>
      <c r="G5466">
        <v>0.83079660602991201</v>
      </c>
      <c r="H5466">
        <v>0.88115861979865895</v>
      </c>
      <c r="I5466">
        <v>1.29337584839806</v>
      </c>
      <c r="J5466">
        <v>1.3936003200640601</v>
      </c>
      <c r="K5466">
        <v>1.6732802887617599</v>
      </c>
      <c r="L5466">
        <v>4964.5180340957504</v>
      </c>
      <c r="M5466">
        <v>81.659031219949696</v>
      </c>
      <c r="O5466">
        <v>60.759272194374297</v>
      </c>
      <c r="P5466">
        <v>0.16799708790128701</v>
      </c>
      <c r="Q5466">
        <v>1.5</v>
      </c>
      <c r="R5466">
        <v>0.77147690265885804</v>
      </c>
      <c r="S5466" t="s">
        <v>11017</v>
      </c>
      <c r="T5466" t="s">
        <v>11100</v>
      </c>
      <c r="U5466" t="s">
        <v>11100</v>
      </c>
      <c r="V5466" t="s">
        <v>11100</v>
      </c>
      <c r="W5466" t="s">
        <v>16511</v>
      </c>
      <c r="X5466">
        <v>9</v>
      </c>
      <c r="Y5466" t="s">
        <v>21926</v>
      </c>
      <c r="Z5466" t="s">
        <v>27471</v>
      </c>
      <c r="AA5466">
        <v>1.1029120897064351</v>
      </c>
      <c r="AB5466" t="str">
        <f>HYPERLINK("Melting_Curves/meltCurve_Q9Y4Z0_LSM4.pdf", "Melting_Curves/meltCurve_Q9Y4Z0_LSM4.pdf")</f>
        <v>Melting_Curves/meltCurve_Q9Y4Z0_LSM4.pdf</v>
      </c>
    </row>
    <row r="5467" spans="1:28" x14ac:dyDescent="0.25">
      <c r="A5467" t="s">
        <v>5471</v>
      </c>
      <c r="B5467">
        <v>0.99299721793515405</v>
      </c>
      <c r="C5467">
        <v>0.91918371068210603</v>
      </c>
      <c r="D5467">
        <v>1.1630335628669399</v>
      </c>
      <c r="E5467">
        <v>0.939289642726299</v>
      </c>
      <c r="F5467">
        <v>0.92157195086167198</v>
      </c>
      <c r="G5467">
        <v>0.73954588155414902</v>
      </c>
      <c r="H5467">
        <v>0.48423506921120402</v>
      </c>
      <c r="I5467">
        <v>0.476283261465417</v>
      </c>
      <c r="J5467">
        <v>0.39169211343811999</v>
      </c>
      <c r="K5467">
        <v>0.3443690068186</v>
      </c>
      <c r="L5467">
        <v>1192.05839492621</v>
      </c>
      <c r="M5467">
        <v>21.873187467627901</v>
      </c>
      <c r="N5467">
        <v>57.964696093920303</v>
      </c>
      <c r="O5467">
        <v>54.049223112240497</v>
      </c>
      <c r="P5467">
        <v>-6.4265138780234807E-2</v>
      </c>
      <c r="Q5467">
        <v>0.36481109682275897</v>
      </c>
      <c r="R5467">
        <v>0.94543849361526799</v>
      </c>
      <c r="S5467" t="s">
        <v>11018</v>
      </c>
      <c r="T5467" t="s">
        <v>11100</v>
      </c>
      <c r="U5467" t="s">
        <v>11100</v>
      </c>
      <c r="V5467" t="s">
        <v>11100</v>
      </c>
      <c r="W5467" t="s">
        <v>16512</v>
      </c>
      <c r="X5467">
        <v>13</v>
      </c>
      <c r="Y5467" t="s">
        <v>21927</v>
      </c>
      <c r="Z5467" t="s">
        <v>27472</v>
      </c>
      <c r="AA5467">
        <v>0.74197063135625507</v>
      </c>
      <c r="AB5467" t="str">
        <f>HYPERLINK("Melting_Curves/meltCurve_Q9Y508_RNF114.pdf", "Melting_Curves/meltCurve_Q9Y508_RNF114.pdf")</f>
        <v>Melting_Curves/meltCurve_Q9Y508_RNF114.pdf</v>
      </c>
    </row>
    <row r="5468" spans="1:28" x14ac:dyDescent="0.25">
      <c r="A5468" t="s">
        <v>5472</v>
      </c>
      <c r="B5468">
        <v>0.99299721793515405</v>
      </c>
      <c r="C5468">
        <v>0.97765988945317905</v>
      </c>
      <c r="D5468">
        <v>0.96069522526402995</v>
      </c>
      <c r="E5468">
        <v>0.89547365665197698</v>
      </c>
      <c r="F5468">
        <v>0.79280622599603001</v>
      </c>
      <c r="G5468">
        <v>0.80932630565624397</v>
      </c>
      <c r="H5468">
        <v>0.69320334050809695</v>
      </c>
      <c r="I5468">
        <v>0.64734032575941702</v>
      </c>
      <c r="J5468">
        <v>0.64051018612165</v>
      </c>
      <c r="K5468">
        <v>0.57133315517237104</v>
      </c>
      <c r="L5468">
        <v>403.594106842624</v>
      </c>
      <c r="M5468">
        <v>7.2260317374208798</v>
      </c>
      <c r="O5468">
        <v>52.050960490525497</v>
      </c>
      <c r="P5468">
        <v>-1.8618966338144902E-2</v>
      </c>
      <c r="Q5468">
        <v>0.46441474888185202</v>
      </c>
      <c r="R5468">
        <v>0.97744031298731104</v>
      </c>
      <c r="S5468" t="s">
        <v>11019</v>
      </c>
      <c r="T5468" t="s">
        <v>11100</v>
      </c>
      <c r="U5468" t="s">
        <v>11100</v>
      </c>
      <c r="V5468" t="s">
        <v>11100</v>
      </c>
      <c r="W5468" t="s">
        <v>16513</v>
      </c>
      <c r="X5468">
        <v>5</v>
      </c>
      <c r="Y5468" t="s">
        <v>21928</v>
      </c>
      <c r="Z5468" t="s">
        <v>27473</v>
      </c>
      <c r="AA5468">
        <v>0.79836164620284922</v>
      </c>
      <c r="AB5468" t="str">
        <f>HYPERLINK("Melting_Curves/meltCurve_Q9Y512_SAMM50.pdf", "Melting_Curves/meltCurve_Q9Y512_SAMM50.pdf")</f>
        <v>Melting_Curves/meltCurve_Q9Y512_SAMM50.pdf</v>
      </c>
    </row>
    <row r="5469" spans="1:28" x14ac:dyDescent="0.25">
      <c r="A5469" t="s">
        <v>5473</v>
      </c>
      <c r="B5469">
        <v>0.99299721793515405</v>
      </c>
      <c r="C5469">
        <v>0.82463813400348496</v>
      </c>
      <c r="D5469">
        <v>0.80337595025364095</v>
      </c>
      <c r="E5469">
        <v>0.73758526205161801</v>
      </c>
      <c r="F5469">
        <v>0.56523164668527703</v>
      </c>
      <c r="G5469">
        <v>0.466960373293549</v>
      </c>
      <c r="H5469">
        <v>0.46797039267596902</v>
      </c>
      <c r="I5469">
        <v>0.32012310355094198</v>
      </c>
      <c r="J5469">
        <v>0.19108298415104499</v>
      </c>
      <c r="K5469">
        <v>0.109113568166086</v>
      </c>
      <c r="L5469">
        <v>356.47755559249799</v>
      </c>
      <c r="M5469">
        <v>6.74575315357764</v>
      </c>
      <c r="N5469">
        <v>52.8447376313989</v>
      </c>
      <c r="O5469">
        <v>48.782717194687301</v>
      </c>
      <c r="P5469">
        <v>-3.4643778310209997E-2</v>
      </c>
      <c r="Q5469">
        <v>0</v>
      </c>
      <c r="R5469">
        <v>0.96182766666584096</v>
      </c>
      <c r="S5469" t="s">
        <v>11020</v>
      </c>
      <c r="T5469" t="s">
        <v>11100</v>
      </c>
      <c r="U5469" t="s">
        <v>11100</v>
      </c>
      <c r="V5469" t="s">
        <v>11100</v>
      </c>
      <c r="W5469" t="s">
        <v>16514</v>
      </c>
      <c r="X5469">
        <v>2</v>
      </c>
      <c r="Y5469" t="s">
        <v>21929</v>
      </c>
      <c r="Z5469" t="s">
        <v>27474</v>
      </c>
      <c r="AA5469">
        <v>0.54934012038457591</v>
      </c>
      <c r="AB5469" t="str">
        <f>HYPERLINK("Melting_Curves/meltCurve_Q9Y546_LRRC42.pdf", "Melting_Curves/meltCurve_Q9Y546_LRRC42.pdf")</f>
        <v>Melting_Curves/meltCurve_Q9Y546_LRRC42.pdf</v>
      </c>
    </row>
    <row r="5470" spans="1:28" x14ac:dyDescent="0.25">
      <c r="A5470" t="s">
        <v>5474</v>
      </c>
      <c r="B5470">
        <v>0.99299721793515405</v>
      </c>
      <c r="C5470">
        <v>0.97998913771017304</v>
      </c>
      <c r="D5470">
        <v>0.98949797413198803</v>
      </c>
      <c r="E5470">
        <v>0.91466744242141695</v>
      </c>
      <c r="F5470">
        <v>0.80497492804906201</v>
      </c>
      <c r="G5470">
        <v>0.65399757179718598</v>
      </c>
      <c r="H5470">
        <v>0.41171161970403503</v>
      </c>
      <c r="I5470">
        <v>0.21198380385240101</v>
      </c>
      <c r="J5470">
        <v>0.151439070891254</v>
      </c>
      <c r="K5470">
        <v>0.134854304315768</v>
      </c>
      <c r="L5470">
        <v>776.56263932101695</v>
      </c>
      <c r="M5470">
        <v>13.9819321638458</v>
      </c>
      <c r="N5470">
        <v>55.782748083496998</v>
      </c>
      <c r="O5470">
        <v>54.441321349927897</v>
      </c>
      <c r="P5470">
        <v>-6.2322967669987302E-2</v>
      </c>
      <c r="Q5470">
        <v>2.9463616258848899E-2</v>
      </c>
      <c r="R5470">
        <v>0.99673807506877998</v>
      </c>
      <c r="S5470" t="s">
        <v>11021</v>
      </c>
      <c r="T5470" t="s">
        <v>11100</v>
      </c>
      <c r="U5470" t="s">
        <v>11100</v>
      </c>
      <c r="V5470" t="s">
        <v>11100</v>
      </c>
      <c r="W5470" t="s">
        <v>16515</v>
      </c>
      <c r="X5470">
        <v>15</v>
      </c>
      <c r="Y5470" t="s">
        <v>21930</v>
      </c>
      <c r="Z5470" t="s">
        <v>27475</v>
      </c>
      <c r="AA5470">
        <v>0.64165949277637668</v>
      </c>
      <c r="AB5470" t="str">
        <f>HYPERLINK("Melting_Curves/meltCurve_Q9Y570_PPME1.pdf", "Melting_Curves/meltCurve_Q9Y570_PPME1.pdf")</f>
        <v>Melting_Curves/meltCurve_Q9Y570_PPME1.pdf</v>
      </c>
    </row>
    <row r="5471" spans="1:28" x14ac:dyDescent="0.25">
      <c r="A5471" t="s">
        <v>5475</v>
      </c>
      <c r="B5471">
        <v>0.99299721793515405</v>
      </c>
      <c r="C5471">
        <v>0.88687433511158897</v>
      </c>
      <c r="D5471">
        <v>0.968834019998152</v>
      </c>
      <c r="E5471">
        <v>0.72604101075204197</v>
      </c>
      <c r="F5471">
        <v>0.66576148404671498</v>
      </c>
      <c r="G5471">
        <v>0.615825991522987</v>
      </c>
      <c r="H5471">
        <v>0.56865960859506504</v>
      </c>
      <c r="I5471">
        <v>0.63155602063748095</v>
      </c>
      <c r="J5471">
        <v>0.69852514703577395</v>
      </c>
      <c r="K5471">
        <v>0.99350275891282203</v>
      </c>
      <c r="L5471">
        <v>2372.03196021437</v>
      </c>
      <c r="M5471">
        <v>53.094968351742203</v>
      </c>
      <c r="O5471">
        <v>44.612024719364001</v>
      </c>
      <c r="P5471">
        <v>-9.0594577044587996E-2</v>
      </c>
      <c r="Q5471">
        <v>0.69551878660922195</v>
      </c>
      <c r="R5471">
        <v>0.49208824215140601</v>
      </c>
      <c r="S5471" t="s">
        <v>11022</v>
      </c>
      <c r="T5471" t="s">
        <v>11100</v>
      </c>
      <c r="U5471" t="s">
        <v>11100</v>
      </c>
      <c r="V5471" t="s">
        <v>11100</v>
      </c>
      <c r="W5471" t="s">
        <v>16516</v>
      </c>
      <c r="X5471">
        <v>3</v>
      </c>
      <c r="Y5471" t="s">
        <v>21931</v>
      </c>
      <c r="Z5471" t="s">
        <v>27476</v>
      </c>
      <c r="AA5471">
        <v>0.77394981946240593</v>
      </c>
      <c r="AB5471" t="str">
        <f>HYPERLINK("Melting_Curves/meltCurve_Q9Y584_TIMM22.pdf", "Melting_Curves/meltCurve_Q9Y584_TIMM22.pdf")</f>
        <v>Melting_Curves/meltCurve_Q9Y584_TIMM22.pdf</v>
      </c>
    </row>
    <row r="5472" spans="1:28" x14ac:dyDescent="0.25">
      <c r="A5472" t="s">
        <v>5476</v>
      </c>
      <c r="B5472">
        <v>0.99299721793515405</v>
      </c>
      <c r="C5472">
        <v>0.97156806111195904</v>
      </c>
      <c r="D5472">
        <v>1.2144373701650599</v>
      </c>
      <c r="E5472">
        <v>0.72570815504521802</v>
      </c>
      <c r="F5472">
        <v>0.71617960926656798</v>
      </c>
      <c r="G5472">
        <v>0.71949836120245803</v>
      </c>
      <c r="H5472">
        <v>0.63967738431896004</v>
      </c>
      <c r="I5472">
        <v>0.70901726912584395</v>
      </c>
      <c r="J5472">
        <v>0.62043342511624</v>
      </c>
      <c r="K5472">
        <v>0.80224609971586203</v>
      </c>
      <c r="L5472">
        <v>11537.499209759701</v>
      </c>
      <c r="M5472">
        <v>250</v>
      </c>
      <c r="O5472">
        <v>46.147043832110903</v>
      </c>
      <c r="P5472">
        <v>-0.40471802825881198</v>
      </c>
      <c r="Q5472">
        <v>0.70117535277175103</v>
      </c>
      <c r="R5472">
        <v>0.789176732485523</v>
      </c>
      <c r="S5472" t="s">
        <v>11023</v>
      </c>
      <c r="T5472" t="s">
        <v>11100</v>
      </c>
      <c r="U5472" t="s">
        <v>11100</v>
      </c>
      <c r="V5472" t="s">
        <v>11100</v>
      </c>
      <c r="W5472" t="s">
        <v>16517</v>
      </c>
      <c r="X5472">
        <v>2</v>
      </c>
      <c r="Y5472" t="s">
        <v>21932</v>
      </c>
      <c r="Z5472" t="s">
        <v>27477</v>
      </c>
      <c r="AA5472">
        <v>0.79234104125366622</v>
      </c>
      <c r="AB5472" t="str">
        <f>HYPERLINK("Melting_Curves/meltCurve_Q9Y597_3_KCTD3.pdf", "Melting_Curves/meltCurve_Q9Y597_3_KCTD3.pdf")</f>
        <v>Melting_Curves/meltCurve_Q9Y597_3_KCTD3.pdf</v>
      </c>
    </row>
    <row r="5473" spans="1:28" x14ac:dyDescent="0.25">
      <c r="A5473" t="s">
        <v>5477</v>
      </c>
      <c r="B5473">
        <v>0.99299721793515405</v>
      </c>
      <c r="C5473">
        <v>1.0813140531698999</v>
      </c>
      <c r="D5473">
        <v>0.91189342659079997</v>
      </c>
      <c r="E5473">
        <v>0.82363695582729302</v>
      </c>
      <c r="F5473">
        <v>0.67814793969290199</v>
      </c>
      <c r="G5473">
        <v>0.43930929707701999</v>
      </c>
      <c r="H5473">
        <v>0.33139607042082198</v>
      </c>
      <c r="I5473">
        <v>0.195022023232614</v>
      </c>
      <c r="J5473">
        <v>0.164473697911176</v>
      </c>
      <c r="K5473">
        <v>0.14696173149237499</v>
      </c>
      <c r="L5473">
        <v>675.15341124032295</v>
      </c>
      <c r="M5473">
        <v>12.9413037769562</v>
      </c>
      <c r="N5473">
        <v>53.0043847531838</v>
      </c>
      <c r="O5473">
        <v>50.971834107719303</v>
      </c>
      <c r="P5473">
        <v>-5.7636617037365098E-2</v>
      </c>
      <c r="Q5473">
        <v>9.2111277461493404E-2</v>
      </c>
      <c r="R5473">
        <v>0.989245849745513</v>
      </c>
      <c r="S5473" t="s">
        <v>11024</v>
      </c>
      <c r="T5473" t="s">
        <v>11100</v>
      </c>
      <c r="U5473" t="s">
        <v>11100</v>
      </c>
      <c r="V5473" t="s">
        <v>11100</v>
      </c>
      <c r="W5473" t="s">
        <v>16518</v>
      </c>
      <c r="X5473">
        <v>3</v>
      </c>
      <c r="Y5473" t="s">
        <v>21933</v>
      </c>
      <c r="Z5473" t="s">
        <v>27478</v>
      </c>
      <c r="AA5473">
        <v>0.5711391819118864</v>
      </c>
      <c r="AB5473" t="str">
        <f>HYPERLINK("Melting_Curves/meltCurve_Q9Y5A9_YTHDF2.pdf", "Melting_Curves/meltCurve_Q9Y5A9_YTHDF2.pdf")</f>
        <v>Melting_Curves/meltCurve_Q9Y5A9_YTHDF2.pdf</v>
      </c>
    </row>
    <row r="5474" spans="1:28" x14ac:dyDescent="0.25">
      <c r="A5474" t="s">
        <v>5478</v>
      </c>
      <c r="B5474">
        <v>0.99299721793515405</v>
      </c>
      <c r="C5474">
        <v>0.97881116621922104</v>
      </c>
      <c r="D5474">
        <v>0.93333279697591798</v>
      </c>
      <c r="E5474">
        <v>0.847470438735895</v>
      </c>
      <c r="F5474">
        <v>0.55785879354648604</v>
      </c>
      <c r="G5474">
        <v>0.30530316233550298</v>
      </c>
      <c r="H5474">
        <v>0.21189085390500301</v>
      </c>
      <c r="I5474">
        <v>0.16458054810289999</v>
      </c>
      <c r="J5474">
        <v>0.16157246848832199</v>
      </c>
      <c r="K5474">
        <v>0.116019522999862</v>
      </c>
      <c r="L5474">
        <v>940.76914174863703</v>
      </c>
      <c r="M5474">
        <v>18.7716481916082</v>
      </c>
      <c r="N5474">
        <v>50.932905624541498</v>
      </c>
      <c r="O5474">
        <v>49.558125686133899</v>
      </c>
      <c r="P5474">
        <v>-8.2395621883814302E-2</v>
      </c>
      <c r="Q5474">
        <v>0.129921510788231</v>
      </c>
      <c r="R5474">
        <v>0.99808734731109805</v>
      </c>
      <c r="S5474" t="s">
        <v>11025</v>
      </c>
      <c r="T5474" t="s">
        <v>11100</v>
      </c>
      <c r="U5474" t="s">
        <v>11100</v>
      </c>
      <c r="V5474" t="s">
        <v>11100</v>
      </c>
      <c r="W5474" t="s">
        <v>16519</v>
      </c>
      <c r="X5474">
        <v>9</v>
      </c>
      <c r="Y5474" t="s">
        <v>21934</v>
      </c>
      <c r="Z5474" t="s">
        <v>27479</v>
      </c>
      <c r="AA5474">
        <v>0.52310064585940963</v>
      </c>
      <c r="AB5474" t="str">
        <f>HYPERLINK("Melting_Curves/meltCurve_Q9Y5B0_CTDP1.pdf", "Melting_Curves/meltCurve_Q9Y5B0_CTDP1.pdf")</f>
        <v>Melting_Curves/meltCurve_Q9Y5B0_CTDP1.pdf</v>
      </c>
    </row>
    <row r="5475" spans="1:28" x14ac:dyDescent="0.25">
      <c r="A5475" t="s">
        <v>5479</v>
      </c>
      <c r="B5475">
        <v>0.99299721793515405</v>
      </c>
      <c r="C5475">
        <v>0.85526648708971198</v>
      </c>
      <c r="D5475">
        <v>1.00674808332918</v>
      </c>
      <c r="E5475">
        <v>0.74180506823958003</v>
      </c>
      <c r="F5475">
        <v>0.39167796839819602</v>
      </c>
      <c r="G5475">
        <v>0.39320346879844098</v>
      </c>
      <c r="H5475">
        <v>0.30909698278879799</v>
      </c>
      <c r="I5475">
        <v>0.33966831735437802</v>
      </c>
      <c r="J5475">
        <v>0.36997603364723602</v>
      </c>
      <c r="K5475">
        <v>0.31781629746655998</v>
      </c>
      <c r="L5475">
        <v>1899.48638829888</v>
      </c>
      <c r="M5475">
        <v>40.320429333938499</v>
      </c>
      <c r="N5475">
        <v>48.513378284430999</v>
      </c>
      <c r="O5475">
        <v>46.994341745343597</v>
      </c>
      <c r="P5475">
        <v>-0.14064929215696301</v>
      </c>
      <c r="Q5475">
        <v>0.34428205625160901</v>
      </c>
      <c r="R5475">
        <v>0.96624321305369698</v>
      </c>
      <c r="S5475" t="s">
        <v>11026</v>
      </c>
      <c r="T5475" t="s">
        <v>11100</v>
      </c>
      <c r="U5475" t="s">
        <v>11100</v>
      </c>
      <c r="V5475" t="s">
        <v>11100</v>
      </c>
      <c r="W5475" t="s">
        <v>16520</v>
      </c>
      <c r="X5475">
        <v>1</v>
      </c>
      <c r="Y5475" t="s">
        <v>21935</v>
      </c>
      <c r="Z5475" t="s">
        <v>27480</v>
      </c>
      <c r="AA5475">
        <v>0.56735576191537285</v>
      </c>
      <c r="AB5475" t="str">
        <f>HYPERLINK("Melting_Curves/meltCurve_Q9Y5B6_3_PAXBP1.pdf", "Melting_Curves/meltCurve_Q9Y5B6_3_PAXBP1.pdf")</f>
        <v>Melting_Curves/meltCurve_Q9Y5B6_3_PAXBP1.pdf</v>
      </c>
    </row>
    <row r="5476" spans="1:28" x14ac:dyDescent="0.25">
      <c r="A5476" t="s">
        <v>5480</v>
      </c>
      <c r="B5476">
        <v>0.99299721793515405</v>
      </c>
      <c r="C5476">
        <v>1.08063183282218</v>
      </c>
      <c r="D5476">
        <v>0.95167969297449095</v>
      </c>
      <c r="E5476">
        <v>0.97887451471470699</v>
      </c>
      <c r="F5476">
        <v>0.65767527729670205</v>
      </c>
      <c r="G5476">
        <v>0.300763695884319</v>
      </c>
      <c r="H5476">
        <v>0.20064780783573399</v>
      </c>
      <c r="I5476">
        <v>0.158203638273025</v>
      </c>
      <c r="J5476">
        <v>0.14316078735618401</v>
      </c>
      <c r="K5476">
        <v>0.17492514022328201</v>
      </c>
      <c r="L5476">
        <v>1560.29793163969</v>
      </c>
      <c r="M5476">
        <v>30.663306211286201</v>
      </c>
      <c r="N5476">
        <v>51.541067036913802</v>
      </c>
      <c r="O5476">
        <v>50.669902471224397</v>
      </c>
      <c r="P5476">
        <v>-0.12684119621082801</v>
      </c>
      <c r="Q5476">
        <v>0.16160473916392301</v>
      </c>
      <c r="R5476">
        <v>0.99305041845048303</v>
      </c>
      <c r="S5476" t="s">
        <v>11027</v>
      </c>
      <c r="T5476" t="s">
        <v>11100</v>
      </c>
      <c r="U5476" t="s">
        <v>11100</v>
      </c>
      <c r="V5476" t="s">
        <v>11100</v>
      </c>
      <c r="W5476" t="s">
        <v>16521</v>
      </c>
      <c r="X5476">
        <v>6</v>
      </c>
      <c r="Y5476" t="s">
        <v>21936</v>
      </c>
      <c r="Z5476" t="s">
        <v>27481</v>
      </c>
      <c r="AA5476">
        <v>0.55463430629125932</v>
      </c>
      <c r="AB5476" t="str">
        <f>HYPERLINK("Melting_Curves/meltCurve_Q9Y5B8_2_NME7.pdf", "Melting_Curves/meltCurve_Q9Y5B8_2_NME7.pdf")</f>
        <v>Melting_Curves/meltCurve_Q9Y5B8_2_NME7.pdf</v>
      </c>
    </row>
    <row r="5477" spans="1:28" x14ac:dyDescent="0.25">
      <c r="A5477" t="s">
        <v>5481</v>
      </c>
      <c r="B5477">
        <v>0.99299721793515405</v>
      </c>
      <c r="C5477">
        <v>0.88796374492346997</v>
      </c>
      <c r="D5477">
        <v>0.87662675282039304</v>
      </c>
      <c r="E5477">
        <v>0.75913020291842603</v>
      </c>
      <c r="F5477">
        <v>0.39744593553964502</v>
      </c>
      <c r="G5477">
        <v>0.200325560520524</v>
      </c>
      <c r="H5477">
        <v>0.18404924576189</v>
      </c>
      <c r="I5477">
        <v>0.175538290872672</v>
      </c>
      <c r="J5477">
        <v>0.17646888575843001</v>
      </c>
      <c r="K5477">
        <v>0.173325823714327</v>
      </c>
      <c r="L5477">
        <v>988.47693785278295</v>
      </c>
      <c r="M5477">
        <v>20.563356242290901</v>
      </c>
      <c r="N5477">
        <v>48.9701115337446</v>
      </c>
      <c r="O5477">
        <v>47.622135223939502</v>
      </c>
      <c r="P5477">
        <v>-9.0961803913831102E-2</v>
      </c>
      <c r="Q5477">
        <v>0.157400198685824</v>
      </c>
      <c r="R5477">
        <v>0.98424711468439097</v>
      </c>
      <c r="S5477" t="s">
        <v>11028</v>
      </c>
      <c r="T5477" t="s">
        <v>11100</v>
      </c>
      <c r="U5477" t="s">
        <v>11100</v>
      </c>
      <c r="V5477" t="s">
        <v>11100</v>
      </c>
      <c r="W5477" t="s">
        <v>16522</v>
      </c>
      <c r="X5477">
        <v>1</v>
      </c>
      <c r="Y5477" t="s">
        <v>21937</v>
      </c>
      <c r="Z5477" t="s">
        <v>27482</v>
      </c>
      <c r="AA5477">
        <v>0.47882028986967018</v>
      </c>
      <c r="AB5477" t="str">
        <f>HYPERLINK("Melting_Curves/meltCurve_Q9Y5J5_PHLDA3.pdf", "Melting_Curves/meltCurve_Q9Y5J5_PHLDA3.pdf")</f>
        <v>Melting_Curves/meltCurve_Q9Y5J5_PHLDA3.pdf</v>
      </c>
    </row>
    <row r="5478" spans="1:28" x14ac:dyDescent="0.25">
      <c r="A5478" t="s">
        <v>5482</v>
      </c>
      <c r="B5478">
        <v>0.99299721793515405</v>
      </c>
      <c r="C5478">
        <v>0.894602272335975</v>
      </c>
      <c r="D5478">
        <v>0.87758574422994595</v>
      </c>
      <c r="E5478">
        <v>0.89338988500530003</v>
      </c>
      <c r="F5478">
        <v>0.71832155503165396</v>
      </c>
      <c r="G5478">
        <v>0.70067081187434499</v>
      </c>
      <c r="H5478">
        <v>0.55514766015876504</v>
      </c>
      <c r="I5478">
        <v>0.43013523096695</v>
      </c>
      <c r="J5478">
        <v>0.33876428533487202</v>
      </c>
      <c r="K5478">
        <v>0.238256935830789</v>
      </c>
      <c r="L5478">
        <v>416.81769115024002</v>
      </c>
      <c r="M5478">
        <v>7.14189923306213</v>
      </c>
      <c r="N5478">
        <v>58.362303421162302</v>
      </c>
      <c r="O5478">
        <v>54.306039030894802</v>
      </c>
      <c r="P5478">
        <v>-3.2934647485148398E-2</v>
      </c>
      <c r="Q5478">
        <v>0</v>
      </c>
      <c r="R5478">
        <v>0.97351437019893305</v>
      </c>
      <c r="S5478" t="s">
        <v>11029</v>
      </c>
      <c r="T5478" t="s">
        <v>11100</v>
      </c>
      <c r="U5478" t="s">
        <v>11100</v>
      </c>
      <c r="V5478" t="s">
        <v>11100</v>
      </c>
      <c r="W5478" t="s">
        <v>16523</v>
      </c>
      <c r="X5478">
        <v>2</v>
      </c>
      <c r="Y5478" t="s">
        <v>21938</v>
      </c>
      <c r="Z5478" t="s">
        <v>27483</v>
      </c>
      <c r="AA5478">
        <v>0.67931643060803804</v>
      </c>
      <c r="AB5478" t="str">
        <f>HYPERLINK("Melting_Curves/meltCurve_Q9Y5J6_TIMM10B.pdf", "Melting_Curves/meltCurve_Q9Y5J6_TIMM10B.pdf")</f>
        <v>Melting_Curves/meltCurve_Q9Y5J6_TIMM10B.pdf</v>
      </c>
    </row>
    <row r="5479" spans="1:28" x14ac:dyDescent="0.25">
      <c r="A5479" t="s">
        <v>5483</v>
      </c>
      <c r="B5479">
        <v>0.99299721793515405</v>
      </c>
      <c r="C5479">
        <v>0.88202494662198805</v>
      </c>
      <c r="D5479">
        <v>0.87457092299442196</v>
      </c>
      <c r="E5479">
        <v>0.81356219779082395</v>
      </c>
      <c r="F5479">
        <v>0.724122308150701</v>
      </c>
      <c r="G5479">
        <v>0.63256109013264195</v>
      </c>
      <c r="H5479">
        <v>0.60645088579895001</v>
      </c>
      <c r="I5479">
        <v>0.63899691452352902</v>
      </c>
      <c r="J5479">
        <v>0.63843563596133401</v>
      </c>
      <c r="K5479">
        <v>0.53873145709937298</v>
      </c>
      <c r="L5479">
        <v>416.956707946302</v>
      </c>
      <c r="M5479">
        <v>8.8294948243425608</v>
      </c>
      <c r="O5479">
        <v>44.988945998093797</v>
      </c>
      <c r="P5479">
        <v>-2.2009049948986101E-2</v>
      </c>
      <c r="Q5479">
        <v>0.55177887551315297</v>
      </c>
      <c r="R5479">
        <v>0.94807045755880803</v>
      </c>
      <c r="S5479" t="s">
        <v>11030</v>
      </c>
      <c r="T5479" t="s">
        <v>11100</v>
      </c>
      <c r="U5479" t="s">
        <v>11100</v>
      </c>
      <c r="V5479" t="s">
        <v>11100</v>
      </c>
      <c r="W5479" t="s">
        <v>16524</v>
      </c>
      <c r="X5479">
        <v>8</v>
      </c>
      <c r="Y5479" t="s">
        <v>21939</v>
      </c>
      <c r="Z5479" t="s">
        <v>27484</v>
      </c>
      <c r="AA5479">
        <v>0.72691477944590133</v>
      </c>
      <c r="AB5479" t="str">
        <f>HYPERLINK("Melting_Curves/meltCurve_Q9Y5J7_TIMM9.pdf", "Melting_Curves/meltCurve_Q9Y5J7_TIMM9.pdf")</f>
        <v>Melting_Curves/meltCurve_Q9Y5J7_TIMM9.pdf</v>
      </c>
    </row>
    <row r="5480" spans="1:28" x14ac:dyDescent="0.25">
      <c r="A5480" t="s">
        <v>5484</v>
      </c>
      <c r="B5480">
        <v>0.99299721793515405</v>
      </c>
      <c r="C5480">
        <v>0.98459261180700197</v>
      </c>
      <c r="D5480">
        <v>0.94753386825642605</v>
      </c>
      <c r="E5480">
        <v>0.90828301177759596</v>
      </c>
      <c r="F5480">
        <v>0.66322374522708305</v>
      </c>
      <c r="G5480">
        <v>0.31128039091573301</v>
      </c>
      <c r="H5480">
        <v>0.252138957299328</v>
      </c>
      <c r="I5480">
        <v>0.201544882091443</v>
      </c>
      <c r="J5480">
        <v>0.15818266041092</v>
      </c>
      <c r="K5480">
        <v>0.133173996505974</v>
      </c>
      <c r="L5480">
        <v>1154.5712409007001</v>
      </c>
      <c r="M5480">
        <v>22.683350587278099</v>
      </c>
      <c r="N5480">
        <v>51.762242079558298</v>
      </c>
      <c r="O5480">
        <v>50.508867154873798</v>
      </c>
      <c r="P5480">
        <v>-9.4603051225993703E-2</v>
      </c>
      <c r="Q5480">
        <v>0.15740882883639901</v>
      </c>
      <c r="R5480">
        <v>0.99513027018781097</v>
      </c>
      <c r="S5480" t="s">
        <v>11031</v>
      </c>
      <c r="T5480" t="s">
        <v>11100</v>
      </c>
      <c r="U5480" t="s">
        <v>11100</v>
      </c>
      <c r="V5480" t="s">
        <v>11100</v>
      </c>
      <c r="W5480" t="s">
        <v>16525</v>
      </c>
      <c r="X5480">
        <v>13</v>
      </c>
      <c r="Y5480" t="s">
        <v>21940</v>
      </c>
      <c r="Z5480" t="s">
        <v>27485</v>
      </c>
      <c r="AA5480">
        <v>0.5566698613663309</v>
      </c>
      <c r="AB5480" t="str">
        <f>HYPERLINK("Melting_Curves/meltCurve_Q9Y5K5_2_UCHL5.pdf", "Melting_Curves/meltCurve_Q9Y5K5_2_UCHL5.pdf")</f>
        <v>Melting_Curves/meltCurve_Q9Y5K5_2_UCHL5.pdf</v>
      </c>
    </row>
    <row r="5481" spans="1:28" x14ac:dyDescent="0.25">
      <c r="A5481" t="s">
        <v>5485</v>
      </c>
      <c r="B5481">
        <v>0.99299721793515405</v>
      </c>
      <c r="C5481">
        <v>1.0075471325436001</v>
      </c>
      <c r="D5481">
        <v>0.92344814167976597</v>
      </c>
      <c r="E5481">
        <v>0.90595210927053005</v>
      </c>
      <c r="F5481">
        <v>0.75671620869365097</v>
      </c>
      <c r="G5481">
        <v>0.69540195288495898</v>
      </c>
      <c r="H5481">
        <v>0.47216336814760501</v>
      </c>
      <c r="I5481">
        <v>0.27655176136628201</v>
      </c>
      <c r="J5481">
        <v>0.226921823815702</v>
      </c>
      <c r="K5481">
        <v>0.16111571680098999</v>
      </c>
      <c r="L5481">
        <v>604.58534919644603</v>
      </c>
      <c r="M5481">
        <v>10.678953374729</v>
      </c>
      <c r="N5481">
        <v>56.614663273198502</v>
      </c>
      <c r="O5481">
        <v>54.737674154765898</v>
      </c>
      <c r="P5481">
        <v>-4.8791766247993598E-2</v>
      </c>
      <c r="Q5481">
        <v>0</v>
      </c>
      <c r="R5481">
        <v>0.99079035894395795</v>
      </c>
      <c r="S5481" t="s">
        <v>11032</v>
      </c>
      <c r="T5481" t="s">
        <v>11100</v>
      </c>
      <c r="U5481" t="s">
        <v>11100</v>
      </c>
      <c r="V5481" t="s">
        <v>11100</v>
      </c>
      <c r="W5481" t="s">
        <v>16526</v>
      </c>
      <c r="X5481">
        <v>10</v>
      </c>
      <c r="Y5481" t="s">
        <v>21941</v>
      </c>
      <c r="Z5481" t="s">
        <v>27486</v>
      </c>
      <c r="AA5481">
        <v>0.65775045900788087</v>
      </c>
      <c r="AB5481" t="str">
        <f>HYPERLINK("Melting_Curves/meltCurve_Q9Y5K6_CD2AP.pdf", "Melting_Curves/meltCurve_Q9Y5K6_CD2AP.pdf")</f>
        <v>Melting_Curves/meltCurve_Q9Y5K6_CD2AP.pdf</v>
      </c>
    </row>
    <row r="5482" spans="1:28" x14ac:dyDescent="0.25">
      <c r="A5482" t="s">
        <v>5486</v>
      </c>
      <c r="B5482">
        <v>0.99299721793515405</v>
      </c>
      <c r="C5482">
        <v>0.99826764427690895</v>
      </c>
      <c r="D5482">
        <v>0.914756100122878</v>
      </c>
      <c r="E5482">
        <v>0.91244304445299595</v>
      </c>
      <c r="F5482">
        <v>0.81046522604842897</v>
      </c>
      <c r="G5482">
        <v>0.62939647307726798</v>
      </c>
      <c r="H5482">
        <v>0.72671070261532</v>
      </c>
      <c r="I5482">
        <v>0.794733897731557</v>
      </c>
      <c r="J5482">
        <v>0.85443015510391995</v>
      </c>
      <c r="K5482">
        <v>0.53998049860263597</v>
      </c>
      <c r="L5482">
        <v>936.73314986281298</v>
      </c>
      <c r="M5482">
        <v>19.693293373812899</v>
      </c>
      <c r="O5482">
        <v>47.083777021185</v>
      </c>
      <c r="P5482">
        <v>-3.0631047690101401E-2</v>
      </c>
      <c r="Q5482">
        <v>0.70707276242205097</v>
      </c>
      <c r="R5482">
        <v>0.648029620223743</v>
      </c>
      <c r="S5482" t="s">
        <v>11033</v>
      </c>
      <c r="T5482" t="s">
        <v>11100</v>
      </c>
      <c r="U5482" t="s">
        <v>11100</v>
      </c>
      <c r="V5482" t="s">
        <v>11100</v>
      </c>
      <c r="W5482" t="s">
        <v>16527</v>
      </c>
      <c r="X5482">
        <v>14</v>
      </c>
      <c r="Y5482" t="s">
        <v>21942</v>
      </c>
      <c r="Z5482" t="s">
        <v>27487</v>
      </c>
      <c r="AA5482">
        <v>0.81420068669859258</v>
      </c>
      <c r="AB5482" t="str">
        <f>HYPERLINK("Melting_Curves/meltCurve_Q9Y5K8_ATP6V1D.pdf", "Melting_Curves/meltCurve_Q9Y5K8_ATP6V1D.pdf")</f>
        <v>Melting_Curves/meltCurve_Q9Y5K8_ATP6V1D.pdf</v>
      </c>
    </row>
    <row r="5483" spans="1:28" x14ac:dyDescent="0.25">
      <c r="A5483" t="s">
        <v>5487</v>
      </c>
      <c r="B5483">
        <v>0.99299721793515405</v>
      </c>
      <c r="C5483">
        <v>0.95503942483795901</v>
      </c>
      <c r="D5483">
        <v>1.02641538444856</v>
      </c>
      <c r="E5483">
        <v>0.95722160939411705</v>
      </c>
      <c r="F5483">
        <v>0.83400927289858295</v>
      </c>
      <c r="G5483">
        <v>0.86306823489143103</v>
      </c>
      <c r="H5483">
        <v>0.75900770893259695</v>
      </c>
      <c r="I5483">
        <v>0.73888954164047904</v>
      </c>
      <c r="J5483">
        <v>0.608996630504682</v>
      </c>
      <c r="K5483">
        <v>0.42638623255484998</v>
      </c>
      <c r="L5483">
        <v>486.72967069151599</v>
      </c>
      <c r="M5483">
        <v>7.2826124965364896</v>
      </c>
      <c r="N5483">
        <v>66.834487459228598</v>
      </c>
      <c r="O5483">
        <v>62.347947467153901</v>
      </c>
      <c r="P5483">
        <v>-2.92483029236607E-2</v>
      </c>
      <c r="Q5483">
        <v>0</v>
      </c>
      <c r="R5483">
        <v>0.93321421405546601</v>
      </c>
      <c r="S5483" t="s">
        <v>11034</v>
      </c>
      <c r="T5483" t="s">
        <v>11100</v>
      </c>
      <c r="U5483" t="s">
        <v>11100</v>
      </c>
      <c r="V5483" t="s">
        <v>11100</v>
      </c>
      <c r="W5483" t="s">
        <v>16528</v>
      </c>
      <c r="X5483">
        <v>6</v>
      </c>
      <c r="Y5483" t="s">
        <v>21943</v>
      </c>
      <c r="Z5483" t="s">
        <v>27488</v>
      </c>
      <c r="AA5483">
        <v>0.83418858096413728</v>
      </c>
      <c r="AB5483" t="str">
        <f>HYPERLINK("Melting_Curves/meltCurve_Q9Y5L4_TIMM13.pdf", "Melting_Curves/meltCurve_Q9Y5L4_TIMM13.pdf")</f>
        <v>Melting_Curves/meltCurve_Q9Y5L4_TIMM13.pdf</v>
      </c>
    </row>
    <row r="5484" spans="1:28" x14ac:dyDescent="0.25">
      <c r="A5484" t="s">
        <v>5488</v>
      </c>
      <c r="B5484">
        <v>0.99299721793515405</v>
      </c>
      <c r="C5484">
        <v>1.02500665469762</v>
      </c>
      <c r="D5484">
        <v>0.92687052095579603</v>
      </c>
      <c r="E5484">
        <v>0.83538795366801499</v>
      </c>
      <c r="F5484">
        <v>0.66627859202462003</v>
      </c>
      <c r="G5484">
        <v>0.21616687593980299</v>
      </c>
      <c r="H5484">
        <v>0.16647171560823401</v>
      </c>
      <c r="I5484">
        <v>0.14073982327870699</v>
      </c>
      <c r="J5484">
        <v>0.13774360197205901</v>
      </c>
      <c r="K5484">
        <v>0.101773735216724</v>
      </c>
      <c r="L5484">
        <v>1193.7555733581501</v>
      </c>
      <c r="M5484">
        <v>23.593068403378499</v>
      </c>
      <c r="N5484">
        <v>51.134276107506999</v>
      </c>
      <c r="O5484">
        <v>50.238439928566301</v>
      </c>
      <c r="P5484">
        <v>-0.104533347159037</v>
      </c>
      <c r="Q5484">
        <v>0.109653497206191</v>
      </c>
      <c r="R5484">
        <v>0.98721218893705698</v>
      </c>
      <c r="S5484" t="s">
        <v>11035</v>
      </c>
      <c r="T5484" t="s">
        <v>11100</v>
      </c>
      <c r="U5484" t="s">
        <v>11100</v>
      </c>
      <c r="V5484" t="s">
        <v>11100</v>
      </c>
      <c r="W5484" t="s">
        <v>16529</v>
      </c>
      <c r="X5484">
        <v>14</v>
      </c>
      <c r="Y5484" t="s">
        <v>21944</v>
      </c>
      <c r="Z5484" t="s">
        <v>27489</v>
      </c>
      <c r="AA5484">
        <v>0.52193151816409666</v>
      </c>
      <c r="AB5484" t="str">
        <f>HYPERLINK("Melting_Curves/meltCurve_Q9Y5M8_SRPRB.pdf", "Melting_Curves/meltCurve_Q9Y5M8_SRPRB.pdf")</f>
        <v>Melting_Curves/meltCurve_Q9Y5M8_SRPRB.pdf</v>
      </c>
    </row>
    <row r="5485" spans="1:28" x14ac:dyDescent="0.25">
      <c r="A5485" t="s">
        <v>5489</v>
      </c>
      <c r="B5485">
        <v>0.99299721793515405</v>
      </c>
      <c r="C5485">
        <v>0.95827373121697301</v>
      </c>
      <c r="D5485">
        <v>1.0957375587106699</v>
      </c>
      <c r="E5485">
        <v>0.888030695129985</v>
      </c>
      <c r="F5485">
        <v>0.78121826905411595</v>
      </c>
      <c r="G5485">
        <v>0.52228597666349597</v>
      </c>
      <c r="H5485">
        <v>0.37300565462910901</v>
      </c>
      <c r="I5485">
        <v>0.25102530295494302</v>
      </c>
      <c r="J5485">
        <v>0.16198414978925699</v>
      </c>
      <c r="K5485">
        <v>0.138665686141836</v>
      </c>
      <c r="L5485">
        <v>810.37409974228103</v>
      </c>
      <c r="M5485">
        <v>15.071340302975001</v>
      </c>
      <c r="N5485">
        <v>54.604117454296897</v>
      </c>
      <c r="O5485">
        <v>52.849225269887697</v>
      </c>
      <c r="P5485">
        <v>-6.3963577458643103E-2</v>
      </c>
      <c r="Q5485">
        <v>0.102909134529045</v>
      </c>
      <c r="R5485">
        <v>0.98555047536568896</v>
      </c>
      <c r="S5485" t="s">
        <v>11036</v>
      </c>
      <c r="T5485" t="s">
        <v>11100</v>
      </c>
      <c r="U5485" t="s">
        <v>11100</v>
      </c>
      <c r="V5485" t="s">
        <v>11100</v>
      </c>
      <c r="W5485" t="s">
        <v>16530</v>
      </c>
      <c r="X5485">
        <v>5</v>
      </c>
      <c r="Y5485" t="s">
        <v>21945</v>
      </c>
      <c r="Z5485" t="s">
        <v>27490</v>
      </c>
      <c r="AA5485">
        <v>0.61920872963062201</v>
      </c>
      <c r="AB5485" t="str">
        <f>HYPERLINK("Melting_Curves/meltCurve_Q9Y5N5_N6AMT1.pdf", "Melting_Curves/meltCurve_Q9Y5N5_N6AMT1.pdf")</f>
        <v>Melting_Curves/meltCurve_Q9Y5N5_N6AMT1.pdf</v>
      </c>
    </row>
    <row r="5486" spans="1:28" x14ac:dyDescent="0.25">
      <c r="A5486" t="s">
        <v>5490</v>
      </c>
      <c r="B5486">
        <v>0.99299721793515405</v>
      </c>
      <c r="C5486">
        <v>0.97145403159294197</v>
      </c>
      <c r="D5486">
        <v>1.14583847530659</v>
      </c>
      <c r="E5486">
        <v>0.82385550326374102</v>
      </c>
      <c r="F5486">
        <v>0.35171518933542001</v>
      </c>
      <c r="G5486">
        <v>0.185930751567594</v>
      </c>
      <c r="H5486">
        <v>0.11082101051853201</v>
      </c>
      <c r="I5486">
        <v>0.116643611587019</v>
      </c>
      <c r="J5486">
        <v>0.115272657248328</v>
      </c>
      <c r="K5486">
        <v>0.11883125820373799</v>
      </c>
      <c r="L5486">
        <v>1661.3238446882301</v>
      </c>
      <c r="M5486">
        <v>34.128872815501303</v>
      </c>
      <c r="N5486">
        <v>49.077059783228698</v>
      </c>
      <c r="O5486">
        <v>48.511742630763301</v>
      </c>
      <c r="P5486">
        <v>-0.15456640530499599</v>
      </c>
      <c r="Q5486">
        <v>0.12118323226224401</v>
      </c>
      <c r="R5486">
        <v>0.98430532420331196</v>
      </c>
      <c r="S5486" t="s">
        <v>11037</v>
      </c>
      <c r="T5486" t="s">
        <v>11100</v>
      </c>
      <c r="U5486" t="s">
        <v>11100</v>
      </c>
      <c r="V5486" t="s">
        <v>11100</v>
      </c>
      <c r="W5486" t="s">
        <v>16531</v>
      </c>
      <c r="X5486">
        <v>7</v>
      </c>
      <c r="Y5486" t="s">
        <v>21946</v>
      </c>
      <c r="Z5486" t="s">
        <v>27491</v>
      </c>
      <c r="AA5486">
        <v>0.4673456237613331</v>
      </c>
      <c r="AB5486" t="str">
        <f>HYPERLINK("Melting_Curves/meltCurve_Q9Y5N6_ORC6.pdf", "Melting_Curves/meltCurve_Q9Y5N6_ORC6.pdf")</f>
        <v>Melting_Curves/meltCurve_Q9Y5N6_ORC6.pdf</v>
      </c>
    </row>
    <row r="5487" spans="1:28" x14ac:dyDescent="0.25">
      <c r="A5487" t="s">
        <v>5491</v>
      </c>
      <c r="B5487">
        <v>0.99299721793515405</v>
      </c>
      <c r="C5487">
        <v>0.99445387284210596</v>
      </c>
      <c r="D5487">
        <v>0.84672722544446</v>
      </c>
      <c r="E5487">
        <v>0.84516666672257001</v>
      </c>
      <c r="F5487">
        <v>0.68501618815724197</v>
      </c>
      <c r="G5487">
        <v>0.46564528073323802</v>
      </c>
      <c r="H5487">
        <v>0.20231178833899499</v>
      </c>
      <c r="I5487">
        <v>0.164692496296342</v>
      </c>
      <c r="J5487">
        <v>0.15043567102358499</v>
      </c>
      <c r="K5487">
        <v>0.13862822047430001</v>
      </c>
      <c r="L5487">
        <v>700.89422406519998</v>
      </c>
      <c r="M5487">
        <v>13.459636472135699</v>
      </c>
      <c r="N5487">
        <v>52.6275375139627</v>
      </c>
      <c r="O5487">
        <v>50.964605675536603</v>
      </c>
      <c r="P5487">
        <v>-6.1674616533523498E-2</v>
      </c>
      <c r="Q5487">
        <v>6.6025996432991799E-2</v>
      </c>
      <c r="R5487">
        <v>0.98380810463712498</v>
      </c>
      <c r="S5487" t="s">
        <v>11038</v>
      </c>
      <c r="T5487" t="s">
        <v>11100</v>
      </c>
      <c r="U5487" t="s">
        <v>11100</v>
      </c>
      <c r="V5487" t="s">
        <v>11100</v>
      </c>
      <c r="W5487" t="s">
        <v>16532</v>
      </c>
      <c r="X5487">
        <v>5</v>
      </c>
      <c r="Y5487" t="s">
        <v>21947</v>
      </c>
      <c r="Z5487" t="s">
        <v>27492</v>
      </c>
      <c r="AA5487">
        <v>0.55524798336748182</v>
      </c>
      <c r="AB5487" t="str">
        <f>HYPERLINK("Melting_Curves/meltCurve_Q9Y5P4_2_COL4A3BP.pdf", "Melting_Curves/meltCurve_Q9Y5P4_2_COL4A3BP.pdf")</f>
        <v>Melting_Curves/meltCurve_Q9Y5P4_2_COL4A3BP.pdf</v>
      </c>
    </row>
    <row r="5488" spans="1:28" x14ac:dyDescent="0.25">
      <c r="A5488" t="s">
        <v>5492</v>
      </c>
      <c r="B5488">
        <v>0.99299721793515405</v>
      </c>
      <c r="C5488">
        <v>1.0429970177615699</v>
      </c>
      <c r="D5488">
        <v>0.93006374697398198</v>
      </c>
      <c r="E5488">
        <v>0.91228886866738601</v>
      </c>
      <c r="F5488">
        <v>0.87191586104712504</v>
      </c>
      <c r="G5488">
        <v>0.87029773777508301</v>
      </c>
      <c r="H5488">
        <v>0.83040312070643896</v>
      </c>
      <c r="I5488">
        <v>0.52181713239133698</v>
      </c>
      <c r="J5488">
        <v>0.36264209330894098</v>
      </c>
      <c r="K5488">
        <v>0.29145474545026001</v>
      </c>
      <c r="L5488">
        <v>797.48005854330097</v>
      </c>
      <c r="M5488">
        <v>12.863135873724501</v>
      </c>
      <c r="N5488">
        <v>61.997317826652598</v>
      </c>
      <c r="O5488">
        <v>60.556250961116099</v>
      </c>
      <c r="P5488">
        <v>-5.3113846456244902E-2</v>
      </c>
      <c r="Q5488">
        <v>0</v>
      </c>
      <c r="R5488">
        <v>0.95459220521308297</v>
      </c>
      <c r="S5488" t="s">
        <v>11039</v>
      </c>
      <c r="T5488" t="s">
        <v>11100</v>
      </c>
      <c r="U5488" t="s">
        <v>11100</v>
      </c>
      <c r="V5488" t="s">
        <v>11100</v>
      </c>
      <c r="W5488" t="s">
        <v>16533</v>
      </c>
      <c r="X5488">
        <v>6</v>
      </c>
      <c r="Y5488" t="s">
        <v>21948</v>
      </c>
      <c r="Z5488" t="s">
        <v>27493</v>
      </c>
      <c r="AA5488">
        <v>0.80202839256840519</v>
      </c>
      <c r="AB5488" t="str">
        <f>HYPERLINK("Melting_Curves/meltCurve_Q9Y5P6_GMPPB.pdf", "Melting_Curves/meltCurve_Q9Y5P6_GMPPB.pdf")</f>
        <v>Melting_Curves/meltCurve_Q9Y5P6_GMPPB.pdf</v>
      </c>
    </row>
    <row r="5489" spans="1:28" x14ac:dyDescent="0.25">
      <c r="A5489" t="s">
        <v>5493</v>
      </c>
      <c r="B5489">
        <v>0.99299721793515405</v>
      </c>
      <c r="C5489">
        <v>1.1061461237816399</v>
      </c>
      <c r="D5489">
        <v>0.97469535337800095</v>
      </c>
      <c r="E5489">
        <v>0.93114635659888001</v>
      </c>
      <c r="F5489">
        <v>0.64416687471302203</v>
      </c>
      <c r="G5489">
        <v>0.23589209797858901</v>
      </c>
      <c r="H5489">
        <v>0.19338780830782001</v>
      </c>
      <c r="I5489">
        <v>0.17012233504763899</v>
      </c>
      <c r="J5489">
        <v>0.136407735068661</v>
      </c>
      <c r="K5489">
        <v>0.14127435844293601</v>
      </c>
      <c r="L5489">
        <v>1652.8574241987501</v>
      </c>
      <c r="M5489">
        <v>32.658539132936603</v>
      </c>
      <c r="N5489">
        <v>51.173236214974999</v>
      </c>
      <c r="O5489">
        <v>50.421644505168302</v>
      </c>
      <c r="P5489">
        <v>-0.13749168839981199</v>
      </c>
      <c r="Q5489">
        <v>0.15090819260444499</v>
      </c>
      <c r="R5489">
        <v>0.99086640251087699</v>
      </c>
      <c r="S5489" t="s">
        <v>11040</v>
      </c>
      <c r="T5489" t="s">
        <v>11100</v>
      </c>
      <c r="U5489" t="s">
        <v>11100</v>
      </c>
      <c r="V5489" t="s">
        <v>11100</v>
      </c>
      <c r="W5489" t="s">
        <v>16534</v>
      </c>
      <c r="X5489">
        <v>8</v>
      </c>
      <c r="Y5489" t="s">
        <v>21949</v>
      </c>
      <c r="Z5489" t="s">
        <v>27494</v>
      </c>
      <c r="AA5489">
        <v>0.54056940959780531</v>
      </c>
      <c r="AB5489" t="str">
        <f>HYPERLINK("Melting_Curves/meltCurve_Q9Y5Q8_GTF3C5.pdf", "Melting_Curves/meltCurve_Q9Y5Q8_GTF3C5.pdf")</f>
        <v>Melting_Curves/meltCurve_Q9Y5Q8_GTF3C5.pdf</v>
      </c>
    </row>
    <row r="5490" spans="1:28" x14ac:dyDescent="0.25">
      <c r="A5490" t="s">
        <v>5494</v>
      </c>
      <c r="B5490">
        <v>0.99299721793515405</v>
      </c>
      <c r="C5490">
        <v>0.93837714902536196</v>
      </c>
      <c r="D5490">
        <v>0.74401666519823395</v>
      </c>
      <c r="E5490">
        <v>0.75512587001647602</v>
      </c>
      <c r="F5490">
        <v>0.48528251844053399</v>
      </c>
      <c r="G5490">
        <v>0.24379857000943</v>
      </c>
      <c r="H5490">
        <v>0.31354742753759901</v>
      </c>
      <c r="I5490">
        <v>0.37577268715166301</v>
      </c>
      <c r="J5490">
        <v>0.51921409133406404</v>
      </c>
      <c r="K5490">
        <v>0.32427443899196201</v>
      </c>
      <c r="L5490">
        <v>740.61061522779096</v>
      </c>
      <c r="M5490">
        <v>16.131307147845</v>
      </c>
      <c r="N5490">
        <v>49.553458320160203</v>
      </c>
      <c r="O5490">
        <v>45.223208665601803</v>
      </c>
      <c r="P5490">
        <v>-5.82166428692035E-2</v>
      </c>
      <c r="Q5490">
        <v>0.34722125689654998</v>
      </c>
      <c r="R5490">
        <v>0.87821019804279299</v>
      </c>
      <c r="S5490" t="s">
        <v>11041</v>
      </c>
      <c r="T5490" t="s">
        <v>11100</v>
      </c>
      <c r="U5490" t="s">
        <v>11100</v>
      </c>
      <c r="V5490" t="s">
        <v>11100</v>
      </c>
      <c r="W5490" t="s">
        <v>16535</v>
      </c>
      <c r="X5490">
        <v>3</v>
      </c>
      <c r="Y5490" t="s">
        <v>21950</v>
      </c>
      <c r="Z5490" t="s">
        <v>27495</v>
      </c>
      <c r="AA5490">
        <v>0.55424324610349662</v>
      </c>
      <c r="AB5490" t="str">
        <f>HYPERLINK("Melting_Curves/meltCurve_Q9Y5Q9_GTF3C3.pdf", "Melting_Curves/meltCurve_Q9Y5Q9_GTF3C3.pdf")</f>
        <v>Melting_Curves/meltCurve_Q9Y5Q9_GTF3C3.pdf</v>
      </c>
    </row>
    <row r="5491" spans="1:28" x14ac:dyDescent="0.25">
      <c r="A5491" t="s">
        <v>5495</v>
      </c>
      <c r="B5491">
        <v>0.99299721793515405</v>
      </c>
      <c r="C5491">
        <v>0.80480597623622896</v>
      </c>
      <c r="D5491">
        <v>1.1748691089307799</v>
      </c>
      <c r="E5491">
        <v>0.74877175802404905</v>
      </c>
      <c r="F5491">
        <v>1.0024033386562099</v>
      </c>
      <c r="G5491">
        <v>1.3606877184111399</v>
      </c>
      <c r="H5491">
        <v>0.93286270677972605</v>
      </c>
      <c r="I5491">
        <v>0.25286741278897601</v>
      </c>
      <c r="J5491">
        <v>0.11775925641466201</v>
      </c>
      <c r="K5491">
        <v>0.13115732257156101</v>
      </c>
      <c r="L5491">
        <v>4256.6053099541195</v>
      </c>
      <c r="M5491">
        <v>71.550391124670497</v>
      </c>
      <c r="N5491">
        <v>59.7260858687469</v>
      </c>
      <c r="O5491">
        <v>59.444591829889802</v>
      </c>
      <c r="P5491">
        <v>-0.26398656079558602</v>
      </c>
      <c r="Q5491">
        <v>0.122712260658487</v>
      </c>
      <c r="R5491">
        <v>0.84935408283325597</v>
      </c>
      <c r="S5491" t="s">
        <v>11042</v>
      </c>
      <c r="T5491" t="s">
        <v>11100</v>
      </c>
      <c r="U5491" t="s">
        <v>11100</v>
      </c>
      <c r="V5491" t="s">
        <v>11100</v>
      </c>
      <c r="W5491" t="s">
        <v>16536</v>
      </c>
      <c r="X5491">
        <v>2</v>
      </c>
      <c r="Y5491" t="s">
        <v>21951</v>
      </c>
      <c r="Z5491" t="s">
        <v>27496</v>
      </c>
      <c r="AA5491">
        <v>0.78152579596692795</v>
      </c>
      <c r="AB5491" t="str">
        <f>HYPERLINK("Melting_Curves/meltCurve_Q9Y5S2_CDC42BPB.pdf", "Melting_Curves/meltCurve_Q9Y5S2_CDC42BPB.pdf")</f>
        <v>Melting_Curves/meltCurve_Q9Y5S2_CDC42BPB.pdf</v>
      </c>
    </row>
    <row r="5492" spans="1:28" x14ac:dyDescent="0.25">
      <c r="A5492" t="s">
        <v>5496</v>
      </c>
      <c r="B5492">
        <v>0.99299721793515405</v>
      </c>
      <c r="C5492">
        <v>1.1508672688404</v>
      </c>
      <c r="D5492">
        <v>1.69294905395262</v>
      </c>
      <c r="E5492">
        <v>1.35422707556519</v>
      </c>
      <c r="F5492">
        <v>0.99581862952318501</v>
      </c>
      <c r="G5492">
        <v>0.76917798439701701</v>
      </c>
      <c r="H5492">
        <v>0.31993791149169498</v>
      </c>
      <c r="I5492">
        <v>0.30116357299789398</v>
      </c>
      <c r="J5492">
        <v>0.28315673421038401</v>
      </c>
      <c r="K5492">
        <v>0.23257614049341299</v>
      </c>
      <c r="L5492">
        <v>2898.6081132600898</v>
      </c>
      <c r="M5492">
        <v>53.104902850341098</v>
      </c>
      <c r="N5492">
        <v>55.396796306325001</v>
      </c>
      <c r="O5492">
        <v>54.505447747051001</v>
      </c>
      <c r="P5492">
        <v>-0.17759285543874201</v>
      </c>
      <c r="Q5492">
        <v>0.27089431869163899</v>
      </c>
      <c r="R5492">
        <v>0.73398632004461495</v>
      </c>
      <c r="S5492" t="s">
        <v>11043</v>
      </c>
      <c r="T5492" t="s">
        <v>11100</v>
      </c>
      <c r="U5492" t="s">
        <v>11100</v>
      </c>
      <c r="V5492" t="s">
        <v>11100</v>
      </c>
      <c r="W5492" t="s">
        <v>16537</v>
      </c>
      <c r="X5492">
        <v>7</v>
      </c>
      <c r="Y5492" t="s">
        <v>21952</v>
      </c>
      <c r="Z5492" t="s">
        <v>27497</v>
      </c>
      <c r="AA5492">
        <v>0.69976854727728821</v>
      </c>
      <c r="AB5492" t="str">
        <f>HYPERLINK("Melting_Curves/meltCurve_Q9Y5S9_RBM8A.pdf", "Melting_Curves/meltCurve_Q9Y5S9_RBM8A.pdf")</f>
        <v>Melting_Curves/meltCurve_Q9Y5S9_RBM8A.pdf</v>
      </c>
    </row>
    <row r="5493" spans="1:28" x14ac:dyDescent="0.25">
      <c r="A5493" t="s">
        <v>5497</v>
      </c>
      <c r="B5493">
        <v>0.99299721793515405</v>
      </c>
      <c r="C5493">
        <v>0.93071626736092505</v>
      </c>
      <c r="D5493">
        <v>1.12970725686155</v>
      </c>
      <c r="E5493">
        <v>0.87015468284431097</v>
      </c>
      <c r="F5493">
        <v>0.72395185620410596</v>
      </c>
      <c r="G5493">
        <v>0.69585573513401799</v>
      </c>
      <c r="H5493">
        <v>0.91826468603279499</v>
      </c>
      <c r="I5493">
        <v>2.1827903605587999</v>
      </c>
      <c r="J5493">
        <v>2.4542602308336998</v>
      </c>
      <c r="K5493">
        <v>2.5073015673677199</v>
      </c>
      <c r="L5493">
        <v>8516.6663641873802</v>
      </c>
      <c r="M5493">
        <v>144.99205765258901</v>
      </c>
      <c r="O5493">
        <v>58.727674779418102</v>
      </c>
      <c r="P5493">
        <v>0.30861101676345198</v>
      </c>
      <c r="Q5493">
        <v>1.5</v>
      </c>
      <c r="R5493">
        <v>0.460394425273769</v>
      </c>
      <c r="S5493" t="s">
        <v>11044</v>
      </c>
      <c r="T5493" t="s">
        <v>11100</v>
      </c>
      <c r="U5493" t="s">
        <v>11100</v>
      </c>
      <c r="V5493" t="s">
        <v>11100</v>
      </c>
      <c r="W5493" t="s">
        <v>16538</v>
      </c>
      <c r="X5493">
        <v>7</v>
      </c>
      <c r="Y5493" t="s">
        <v>21953</v>
      </c>
      <c r="Z5493" t="s">
        <v>27498</v>
      </c>
      <c r="AA5493">
        <v>1.1375325722628671</v>
      </c>
      <c r="AB5493" t="str">
        <f>HYPERLINK("Melting_Curves/meltCurve_Q9Y5U2_2_TSSC4.pdf", "Melting_Curves/meltCurve_Q9Y5U2_2_TSSC4.pdf")</f>
        <v>Melting_Curves/meltCurve_Q9Y5U2_2_TSSC4.pdf</v>
      </c>
    </row>
    <row r="5494" spans="1:28" x14ac:dyDescent="0.25">
      <c r="A5494" t="s">
        <v>5498</v>
      </c>
      <c r="B5494">
        <v>0.99299721793515405</v>
      </c>
      <c r="C5494">
        <v>0.84457024685187498</v>
      </c>
      <c r="D5494">
        <v>0.87567048553985205</v>
      </c>
      <c r="E5494">
        <v>0.96489377172864299</v>
      </c>
      <c r="F5494">
        <v>0.74671096515844604</v>
      </c>
      <c r="G5494">
        <v>0.50446340176545901</v>
      </c>
      <c r="H5494">
        <v>0.47546560103167801</v>
      </c>
      <c r="I5494">
        <v>0.56093482847710596</v>
      </c>
      <c r="J5494">
        <v>0.58665243122079702</v>
      </c>
      <c r="K5494">
        <v>0.488686812129767</v>
      </c>
      <c r="L5494">
        <v>3230.5271361394198</v>
      </c>
      <c r="M5494">
        <v>64.492261120508502</v>
      </c>
      <c r="O5494">
        <v>50.043605484117798</v>
      </c>
      <c r="P5494">
        <v>-0.15389270231249899</v>
      </c>
      <c r="Q5494">
        <v>0.52234000311315898</v>
      </c>
      <c r="R5494">
        <v>0.86632924737723305</v>
      </c>
      <c r="S5494" t="s">
        <v>11045</v>
      </c>
      <c r="T5494" t="s">
        <v>11100</v>
      </c>
      <c r="U5494" t="s">
        <v>11100</v>
      </c>
      <c r="V5494" t="s">
        <v>11100</v>
      </c>
      <c r="W5494" t="s">
        <v>16539</v>
      </c>
      <c r="X5494">
        <v>3</v>
      </c>
      <c r="Y5494" t="s">
        <v>21954</v>
      </c>
      <c r="Z5494" t="s">
        <v>27499</v>
      </c>
      <c r="AA5494">
        <v>0.73141904423272586</v>
      </c>
      <c r="AB5494" t="str">
        <f>HYPERLINK("Melting_Curves/meltCurve_Q9Y5V0_ZNF706.pdf", "Melting_Curves/meltCurve_Q9Y5V0_ZNF706.pdf")</f>
        <v>Melting_Curves/meltCurve_Q9Y5V0_ZNF706.pdf</v>
      </c>
    </row>
    <row r="5495" spans="1:28" x14ac:dyDescent="0.25">
      <c r="A5495" t="s">
        <v>5499</v>
      </c>
      <c r="B5495">
        <v>0.99299721793515405</v>
      </c>
      <c r="C5495">
        <v>0.74237416236170095</v>
      </c>
      <c r="D5495">
        <v>0.75338144789292705</v>
      </c>
      <c r="E5495">
        <v>0.60576500943623901</v>
      </c>
      <c r="F5495">
        <v>0.52893133017014904</v>
      </c>
      <c r="G5495">
        <v>0.456690258143363</v>
      </c>
      <c r="H5495">
        <v>0.66731059652140401</v>
      </c>
      <c r="I5495">
        <v>0.48765425478434599</v>
      </c>
      <c r="J5495">
        <v>0.55093560975014599</v>
      </c>
      <c r="K5495">
        <v>0.52720296267599998</v>
      </c>
      <c r="L5495">
        <v>642.51708467805395</v>
      </c>
      <c r="M5495">
        <v>15.587239832500799</v>
      </c>
      <c r="O5495">
        <v>40.560122474723897</v>
      </c>
      <c r="P5495">
        <v>-4.49343795495711E-2</v>
      </c>
      <c r="Q5495">
        <v>0.53233909375141397</v>
      </c>
      <c r="R5495">
        <v>0.82381634350892896</v>
      </c>
      <c r="S5495" t="s">
        <v>11046</v>
      </c>
      <c r="T5495" t="s">
        <v>11100</v>
      </c>
      <c r="U5495" t="s">
        <v>11100</v>
      </c>
      <c r="V5495" t="s">
        <v>11100</v>
      </c>
      <c r="W5495" t="s">
        <v>16540</v>
      </c>
      <c r="X5495">
        <v>1</v>
      </c>
      <c r="Y5495" t="s">
        <v>21955</v>
      </c>
      <c r="Z5495" t="s">
        <v>27500</v>
      </c>
      <c r="AA5495">
        <v>0.61171138517370804</v>
      </c>
      <c r="AB5495" t="str">
        <f>HYPERLINK("Melting_Curves/meltCurve_Q9Y5V3_MAGED1.pdf", "Melting_Curves/meltCurve_Q9Y5V3_MAGED1.pdf")</f>
        <v>Melting_Curves/meltCurve_Q9Y5V3_MAGED1.pdf</v>
      </c>
    </row>
    <row r="5496" spans="1:28" x14ac:dyDescent="0.25">
      <c r="A5496" t="s">
        <v>5500</v>
      </c>
      <c r="B5496">
        <v>0.99299721793515405</v>
      </c>
      <c r="C5496">
        <v>0.89866848861930704</v>
      </c>
      <c r="D5496">
        <v>0.83430534613748197</v>
      </c>
      <c r="E5496">
        <v>0.82028144293332095</v>
      </c>
      <c r="F5496">
        <v>0.63088685066598105</v>
      </c>
      <c r="G5496">
        <v>0.34264983890624401</v>
      </c>
      <c r="H5496">
        <v>0.19214033576300299</v>
      </c>
      <c r="I5496">
        <v>0.125302726917495</v>
      </c>
      <c r="J5496">
        <v>0.184196674521791</v>
      </c>
      <c r="K5496">
        <v>7.8980010921340604E-2</v>
      </c>
      <c r="L5496">
        <v>627.94512670964104</v>
      </c>
      <c r="M5496">
        <v>12.285795393172</v>
      </c>
      <c r="N5496">
        <v>51.452605754779597</v>
      </c>
      <c r="O5496">
        <v>49.813923470361402</v>
      </c>
      <c r="P5496">
        <v>-5.9259849825644799E-2</v>
      </c>
      <c r="Q5496">
        <v>3.9112490002015998E-2</v>
      </c>
      <c r="R5496">
        <v>0.97768538941723504</v>
      </c>
      <c r="S5496" t="s">
        <v>11047</v>
      </c>
      <c r="T5496" t="s">
        <v>11100</v>
      </c>
      <c r="U5496" t="s">
        <v>11100</v>
      </c>
      <c r="V5496" t="s">
        <v>11100</v>
      </c>
      <c r="W5496" t="s">
        <v>16541</v>
      </c>
      <c r="X5496">
        <v>4</v>
      </c>
      <c r="Y5496" t="s">
        <v>21956</v>
      </c>
      <c r="Z5496" t="s">
        <v>27501</v>
      </c>
      <c r="AA5496">
        <v>0.5153145473326306</v>
      </c>
      <c r="AB5496" t="str">
        <f>HYPERLINK("Melting_Curves/meltCurve_Q9Y5X1_SNX9.pdf", "Melting_Curves/meltCurve_Q9Y5X1_SNX9.pdf")</f>
        <v>Melting_Curves/meltCurve_Q9Y5X1_SNX9.pdf</v>
      </c>
    </row>
    <row r="5497" spans="1:28" x14ac:dyDescent="0.25">
      <c r="A5497" t="s">
        <v>5501</v>
      </c>
      <c r="B5497">
        <v>0.99299721793515405</v>
      </c>
      <c r="C5497">
        <v>1.0477242327257099</v>
      </c>
      <c r="D5497">
        <v>1.05951298067408</v>
      </c>
      <c r="E5497">
        <v>0.84161136285965299</v>
      </c>
      <c r="F5497">
        <v>0.79506521438926303</v>
      </c>
      <c r="G5497">
        <v>0.52882272260167396</v>
      </c>
      <c r="H5497">
        <v>0.477529731568061</v>
      </c>
      <c r="I5497">
        <v>0.48445807388545398</v>
      </c>
      <c r="J5497">
        <v>0.25314852069015298</v>
      </c>
      <c r="K5497">
        <v>0.17232774693356601</v>
      </c>
      <c r="L5497">
        <v>543.43695447173104</v>
      </c>
      <c r="M5497">
        <v>9.6924968058585907</v>
      </c>
      <c r="N5497">
        <v>56.824362208273499</v>
      </c>
      <c r="O5497">
        <v>53.837195384844797</v>
      </c>
      <c r="P5497">
        <v>-4.2307014586949201E-2</v>
      </c>
      <c r="Q5497">
        <v>6.0533683047000297E-2</v>
      </c>
      <c r="R5497">
        <v>0.95092016508653798</v>
      </c>
      <c r="S5497" t="s">
        <v>11048</v>
      </c>
      <c r="T5497" t="s">
        <v>11100</v>
      </c>
      <c r="U5497" t="s">
        <v>11100</v>
      </c>
      <c r="V5497" t="s">
        <v>11100</v>
      </c>
      <c r="W5497" t="s">
        <v>16542</v>
      </c>
      <c r="X5497">
        <v>4</v>
      </c>
      <c r="Y5497" t="s">
        <v>21957</v>
      </c>
      <c r="Z5497" t="s">
        <v>27502</v>
      </c>
      <c r="AA5497">
        <v>0.66208167537684171</v>
      </c>
      <c r="AB5497" t="str">
        <f>HYPERLINK("Melting_Curves/meltCurve_Q9Y5X2_SNX8.pdf", "Melting_Curves/meltCurve_Q9Y5X2_SNX8.pdf")</f>
        <v>Melting_Curves/meltCurve_Q9Y5X2_SNX8.pdf</v>
      </c>
    </row>
    <row r="5498" spans="1:28" x14ac:dyDescent="0.25">
      <c r="A5498" t="s">
        <v>5502</v>
      </c>
      <c r="B5498">
        <v>0.99299721793515405</v>
      </c>
      <c r="C5498">
        <v>0.98897269475362404</v>
      </c>
      <c r="D5498">
        <v>0.89832768008158403</v>
      </c>
      <c r="E5498">
        <v>0.88201590693320997</v>
      </c>
      <c r="F5498">
        <v>0.73957704756214404</v>
      </c>
      <c r="G5498">
        <v>0.52323203815362396</v>
      </c>
      <c r="H5498">
        <v>0.24362050838263699</v>
      </c>
      <c r="I5498">
        <v>0.174169823862938</v>
      </c>
      <c r="J5498">
        <v>0.170529370241253</v>
      </c>
      <c r="K5498">
        <v>0.13751864791641799</v>
      </c>
      <c r="L5498">
        <v>813.15560411603599</v>
      </c>
      <c r="M5498">
        <v>15.3797207991185</v>
      </c>
      <c r="N5498">
        <v>53.557655433835301</v>
      </c>
      <c r="O5498">
        <v>52.002215934833004</v>
      </c>
      <c r="P5498">
        <v>-6.7336382920549803E-2</v>
      </c>
      <c r="Q5498">
        <v>8.9366555553662005E-2</v>
      </c>
      <c r="R5498">
        <v>0.99004485811960496</v>
      </c>
      <c r="S5498" t="s">
        <v>11049</v>
      </c>
      <c r="T5498" t="s">
        <v>11100</v>
      </c>
      <c r="U5498" t="s">
        <v>11100</v>
      </c>
      <c r="V5498" t="s">
        <v>11100</v>
      </c>
      <c r="W5498" t="s">
        <v>16543</v>
      </c>
      <c r="X5498">
        <v>14</v>
      </c>
      <c r="Y5498" t="s">
        <v>21958</v>
      </c>
      <c r="Z5498" t="s">
        <v>27503</v>
      </c>
      <c r="AA5498">
        <v>0.58716110188161885</v>
      </c>
      <c r="AB5498" t="str">
        <f>HYPERLINK("Melting_Curves/meltCurve_Q9Y5X3_SNX5.pdf", "Melting_Curves/meltCurve_Q9Y5X3_SNX5.pdf")</f>
        <v>Melting_Curves/meltCurve_Q9Y5X3_SNX5.pdf</v>
      </c>
    </row>
    <row r="5499" spans="1:28" x14ac:dyDescent="0.25">
      <c r="A5499" t="s">
        <v>5503</v>
      </c>
      <c r="B5499">
        <v>0.99299721793515405</v>
      </c>
      <c r="C5499">
        <v>0.85560577380886105</v>
      </c>
      <c r="D5499">
        <v>0.91293218639277995</v>
      </c>
      <c r="E5499">
        <v>0.82041935861201698</v>
      </c>
      <c r="F5499">
        <v>0.73600246936782998</v>
      </c>
      <c r="G5499">
        <v>0.56633674577983395</v>
      </c>
      <c r="H5499">
        <v>0.58790130094478799</v>
      </c>
      <c r="I5499">
        <v>0.65098496120142602</v>
      </c>
      <c r="J5499">
        <v>0.71376530532390803</v>
      </c>
      <c r="K5499">
        <v>0.49504943228507903</v>
      </c>
      <c r="L5499">
        <v>488.58891783543402</v>
      </c>
      <c r="M5499">
        <v>10.452207994318201</v>
      </c>
      <c r="O5499">
        <v>45.131146809425402</v>
      </c>
      <c r="P5499">
        <v>-2.4958449933691101E-2</v>
      </c>
      <c r="Q5499">
        <v>0.56910880133048802</v>
      </c>
      <c r="R5499">
        <v>0.80942226336455303</v>
      </c>
      <c r="S5499" t="s">
        <v>11050</v>
      </c>
      <c r="T5499" t="s">
        <v>11100</v>
      </c>
      <c r="U5499" t="s">
        <v>11100</v>
      </c>
      <c r="V5499" t="s">
        <v>11100</v>
      </c>
      <c r="W5499" t="s">
        <v>16544</v>
      </c>
      <c r="X5499">
        <v>5</v>
      </c>
      <c r="Y5499" t="s">
        <v>21959</v>
      </c>
      <c r="Z5499" t="s">
        <v>27504</v>
      </c>
      <c r="AA5499">
        <v>0.72682822143814696</v>
      </c>
      <c r="AB5499" t="str">
        <f>HYPERLINK("Melting_Curves/meltCurve_Q9Y5Y0_FLVCR1.pdf", "Melting_Curves/meltCurve_Q9Y5Y0_FLVCR1.pdf")</f>
        <v>Melting_Curves/meltCurve_Q9Y5Y0_FLVCR1.pdf</v>
      </c>
    </row>
    <row r="5500" spans="1:28" x14ac:dyDescent="0.25">
      <c r="A5500" t="s">
        <v>5504</v>
      </c>
      <c r="B5500">
        <v>0.99299721793515405</v>
      </c>
      <c r="C5500">
        <v>1.0604537167218799</v>
      </c>
      <c r="D5500">
        <v>1.0135048131662101</v>
      </c>
      <c r="E5500">
        <v>1.0027249373951299</v>
      </c>
      <c r="F5500">
        <v>0.74967384232494205</v>
      </c>
      <c r="G5500">
        <v>0.44038802703844399</v>
      </c>
      <c r="H5500">
        <v>0.171879829162183</v>
      </c>
      <c r="I5500">
        <v>0.125804624117828</v>
      </c>
      <c r="J5500">
        <v>0.110860074878136</v>
      </c>
      <c r="K5500">
        <v>8.0985210427951093E-2</v>
      </c>
      <c r="L5500">
        <v>1275.8064835817099</v>
      </c>
      <c r="M5500">
        <v>24.277207993155201</v>
      </c>
      <c r="N5500">
        <v>52.970733834105999</v>
      </c>
      <c r="O5500">
        <v>52.198941980577104</v>
      </c>
      <c r="P5500">
        <v>-0.106113893813194</v>
      </c>
      <c r="Q5500">
        <v>8.7382814081773702E-2</v>
      </c>
      <c r="R5500">
        <v>0.99526291257532995</v>
      </c>
      <c r="S5500" t="s">
        <v>11051</v>
      </c>
      <c r="T5500" t="s">
        <v>11100</v>
      </c>
      <c r="U5500" t="s">
        <v>11100</v>
      </c>
      <c r="V5500" t="s">
        <v>11100</v>
      </c>
      <c r="W5500" t="s">
        <v>16545</v>
      </c>
      <c r="X5500">
        <v>7</v>
      </c>
      <c r="Y5500" t="s">
        <v>21960</v>
      </c>
      <c r="Z5500" t="s">
        <v>27505</v>
      </c>
      <c r="AA5500">
        <v>0.56897758014387578</v>
      </c>
      <c r="AB5500" t="str">
        <f>HYPERLINK("Melting_Curves/meltCurve_Q9Y5Y2_NUBP2.pdf", "Melting_Curves/meltCurve_Q9Y5Y2_NUBP2.pdf")</f>
        <v>Melting_Curves/meltCurve_Q9Y5Y2_NUBP2.pdf</v>
      </c>
    </row>
    <row r="5501" spans="1:28" x14ac:dyDescent="0.25">
      <c r="A5501" t="s">
        <v>5505</v>
      </c>
      <c r="B5501">
        <v>0.99299721793515405</v>
      </c>
      <c r="C5501">
        <v>0.90603467407068305</v>
      </c>
      <c r="D5501">
        <v>0.83641533779968602</v>
      </c>
      <c r="E5501">
        <v>0.78354605047536796</v>
      </c>
      <c r="F5501">
        <v>0.72287229096387495</v>
      </c>
      <c r="G5501">
        <v>0.39743690549629401</v>
      </c>
      <c r="H5501">
        <v>0.37577565740402002</v>
      </c>
      <c r="I5501">
        <v>0.31256263955718699</v>
      </c>
      <c r="J5501">
        <v>0.29445650817864799</v>
      </c>
      <c r="K5501">
        <v>0.24459593998698001</v>
      </c>
      <c r="L5501">
        <v>480.55998851857998</v>
      </c>
      <c r="M5501">
        <v>9.3661405652302996</v>
      </c>
      <c r="N5501">
        <v>53.483759783801197</v>
      </c>
      <c r="O5501">
        <v>49.132260164191699</v>
      </c>
      <c r="P5501">
        <v>-4.0133542446339598E-2</v>
      </c>
      <c r="Q5501">
        <v>0.15840621904545801</v>
      </c>
      <c r="R5501">
        <v>0.96860261118050905</v>
      </c>
      <c r="S5501" t="s">
        <v>11052</v>
      </c>
      <c r="T5501" t="s">
        <v>11100</v>
      </c>
      <c r="U5501" t="s">
        <v>11100</v>
      </c>
      <c r="V5501" t="s">
        <v>11100</v>
      </c>
      <c r="W5501" t="s">
        <v>16546</v>
      </c>
      <c r="X5501">
        <v>7</v>
      </c>
      <c r="Y5501" t="s">
        <v>21961</v>
      </c>
      <c r="Z5501" t="s">
        <v>27506</v>
      </c>
      <c r="AA5501">
        <v>0.58551889099774967</v>
      </c>
      <c r="AB5501" t="str">
        <f>HYPERLINK("Melting_Curves/meltCurve_Q9Y5Z4_HEBP2.pdf", "Melting_Curves/meltCurve_Q9Y5Z4_HEBP2.pdf")</f>
        <v>Melting_Curves/meltCurve_Q9Y5Z4_HEBP2.pdf</v>
      </c>
    </row>
    <row r="5502" spans="1:28" x14ac:dyDescent="0.25">
      <c r="A5502" t="s">
        <v>5506</v>
      </c>
      <c r="B5502">
        <v>0.99299721793515405</v>
      </c>
      <c r="C5502">
        <v>0.99796138454938699</v>
      </c>
      <c r="D5502">
        <v>0.95839577828579303</v>
      </c>
      <c r="E5502">
        <v>0.75121315830101698</v>
      </c>
      <c r="F5502">
        <v>1.0216894072129199</v>
      </c>
      <c r="G5502">
        <v>0.609823324307737</v>
      </c>
      <c r="H5502">
        <v>0.39981792201895699</v>
      </c>
      <c r="I5502">
        <v>0.40410192989166999</v>
      </c>
      <c r="J5502">
        <v>0.24931120649945199</v>
      </c>
      <c r="K5502">
        <v>0.34304417721792302</v>
      </c>
      <c r="L5502">
        <v>2920.5128642397899</v>
      </c>
      <c r="M5502">
        <v>54.6167480586913</v>
      </c>
      <c r="N5502">
        <v>54.637111101424502</v>
      </c>
      <c r="O5502">
        <v>53.401300653778598</v>
      </c>
      <c r="P5502">
        <v>-0.16776953795407901</v>
      </c>
      <c r="Q5502">
        <v>0.34385649362258702</v>
      </c>
      <c r="R5502">
        <v>0.90732417413322697</v>
      </c>
      <c r="S5502" t="s">
        <v>11053</v>
      </c>
      <c r="T5502" t="s">
        <v>11100</v>
      </c>
      <c r="U5502" t="s">
        <v>11100</v>
      </c>
      <c r="V5502" t="s">
        <v>11100</v>
      </c>
      <c r="W5502" t="s">
        <v>16547</v>
      </c>
      <c r="X5502">
        <v>1</v>
      </c>
      <c r="Y5502" t="s">
        <v>21962</v>
      </c>
      <c r="Z5502" t="s">
        <v>27507</v>
      </c>
      <c r="AA5502">
        <v>0.70543679763516498</v>
      </c>
      <c r="AB5502" t="str">
        <f>HYPERLINK("Melting_Curves/meltCurve_Q9Y5Z9_2_UBIAD1.pdf", "Melting_Curves/meltCurve_Q9Y5Z9_2_UBIAD1.pdf")</f>
        <v>Melting_Curves/meltCurve_Q9Y5Z9_2_UBIAD1.pdf</v>
      </c>
    </row>
    <row r="5503" spans="1:28" x14ac:dyDescent="0.25">
      <c r="A5503" t="s">
        <v>5507</v>
      </c>
      <c r="B5503">
        <v>0.99299721793515405</v>
      </c>
      <c r="C5503">
        <v>1.0209101777061</v>
      </c>
      <c r="D5503">
        <v>1.0453689075810699</v>
      </c>
      <c r="E5503">
        <v>0.99826890944667201</v>
      </c>
      <c r="F5503">
        <v>0.76018376434467405</v>
      </c>
      <c r="G5503">
        <v>0.45247596266101098</v>
      </c>
      <c r="H5503">
        <v>0.26972600722576101</v>
      </c>
      <c r="I5503">
        <v>0.26182991960844498</v>
      </c>
      <c r="J5503">
        <v>0.26653727414790901</v>
      </c>
      <c r="K5503">
        <v>0.19081605707189001</v>
      </c>
      <c r="L5503">
        <v>1417.59945266259</v>
      </c>
      <c r="M5503">
        <v>27.339500794211801</v>
      </c>
      <c r="N5503">
        <v>53.058219339796999</v>
      </c>
      <c r="O5503">
        <v>51.576663129281798</v>
      </c>
      <c r="P5503">
        <v>-0.10184401417663699</v>
      </c>
      <c r="Q5503">
        <v>0.231482031524611</v>
      </c>
      <c r="R5503">
        <v>0.99388230922838094</v>
      </c>
      <c r="S5503" t="s">
        <v>11054</v>
      </c>
      <c r="T5503" t="s">
        <v>11100</v>
      </c>
      <c r="U5503" t="s">
        <v>11100</v>
      </c>
      <c r="V5503" t="s">
        <v>11100</v>
      </c>
      <c r="W5503" t="s">
        <v>16548</v>
      </c>
      <c r="X5503">
        <v>2</v>
      </c>
      <c r="Y5503" t="s">
        <v>21963</v>
      </c>
      <c r="Z5503" t="s">
        <v>27508</v>
      </c>
      <c r="AA5503">
        <v>0.61771546736275085</v>
      </c>
      <c r="AB5503" t="str">
        <f>HYPERLINK("Melting_Curves/meltCurve_Q9Y605_MRFAP1.pdf", "Melting_Curves/meltCurve_Q9Y605_MRFAP1.pdf")</f>
        <v>Melting_Curves/meltCurve_Q9Y605_MRFAP1.pdf</v>
      </c>
    </row>
    <row r="5504" spans="1:28" x14ac:dyDescent="0.25">
      <c r="A5504" t="s">
        <v>5508</v>
      </c>
      <c r="B5504">
        <v>0.99299721793515405</v>
      </c>
      <c r="C5504">
        <v>0.63269161190358802</v>
      </c>
      <c r="D5504">
        <v>0.891830756892662</v>
      </c>
      <c r="E5504">
        <v>0.64889336227832495</v>
      </c>
      <c r="F5504">
        <v>0.63710570424559998</v>
      </c>
      <c r="G5504">
        <v>1.18679907073507</v>
      </c>
      <c r="H5504">
        <v>1.3784101136478999</v>
      </c>
      <c r="I5504">
        <v>1.9456822674362899</v>
      </c>
      <c r="J5504">
        <v>1.72365303987264</v>
      </c>
      <c r="K5504">
        <v>2.7944869901479699</v>
      </c>
      <c r="L5504">
        <v>3199.49105061819</v>
      </c>
      <c r="M5504">
        <v>58.708670044905297</v>
      </c>
      <c r="O5504">
        <v>54.434636475423297</v>
      </c>
      <c r="P5504">
        <v>0.13481466030963399</v>
      </c>
      <c r="Q5504">
        <v>1.5</v>
      </c>
      <c r="R5504">
        <v>0.47017170177804501</v>
      </c>
      <c r="S5504" t="s">
        <v>11055</v>
      </c>
      <c r="T5504" t="s">
        <v>11100</v>
      </c>
      <c r="U5504" t="s">
        <v>11100</v>
      </c>
      <c r="V5504" t="s">
        <v>11100</v>
      </c>
      <c r="W5504" t="s">
        <v>16549</v>
      </c>
      <c r="X5504">
        <v>4</v>
      </c>
      <c r="Y5504" t="s">
        <v>21964</v>
      </c>
      <c r="Z5504" t="s">
        <v>27509</v>
      </c>
      <c r="AA5504">
        <v>1.20750060965261</v>
      </c>
      <c r="AB5504" t="str">
        <f>HYPERLINK("Melting_Curves/meltCurve_Q9Y608_4_LRRFIP2.pdf", "Melting_Curves/meltCurve_Q9Y608_4_LRRFIP2.pdf")</f>
        <v>Melting_Curves/meltCurve_Q9Y608_4_LRRFIP2.pdf</v>
      </c>
    </row>
    <row r="5505" spans="1:28" x14ac:dyDescent="0.25">
      <c r="A5505" t="s">
        <v>5509</v>
      </c>
      <c r="B5505">
        <v>0.99299721793515405</v>
      </c>
      <c r="C5505">
        <v>0.91143030500351097</v>
      </c>
      <c r="D5505">
        <v>1.0026647240666899</v>
      </c>
      <c r="E5505">
        <v>0.85562877806886695</v>
      </c>
      <c r="F5505">
        <v>0.58853831622358099</v>
      </c>
      <c r="G5505">
        <v>0.32887670104977801</v>
      </c>
      <c r="H5505">
        <v>0.26967466327149903</v>
      </c>
      <c r="I5505">
        <v>0.30004052669408199</v>
      </c>
      <c r="J5505">
        <v>0.251017372235323</v>
      </c>
      <c r="K5505">
        <v>0.25140376387005903</v>
      </c>
      <c r="L5505">
        <v>1215.89493124205</v>
      </c>
      <c r="M5505">
        <v>24.5328380393922</v>
      </c>
      <c r="N5505">
        <v>51.056730330778102</v>
      </c>
      <c r="O5505">
        <v>49.236169774465502</v>
      </c>
      <c r="P5505">
        <v>-9.2654697483021603E-2</v>
      </c>
      <c r="Q5505">
        <v>0.25619789820488797</v>
      </c>
      <c r="R5505">
        <v>0.98936162434191</v>
      </c>
      <c r="S5505" t="s">
        <v>11056</v>
      </c>
      <c r="T5505" t="s">
        <v>11100</v>
      </c>
      <c r="U5505" t="s">
        <v>11100</v>
      </c>
      <c r="V5505" t="s">
        <v>11100</v>
      </c>
      <c r="W5505" t="s">
        <v>16550</v>
      </c>
      <c r="X5505">
        <v>9</v>
      </c>
      <c r="Y5505" t="s">
        <v>21965</v>
      </c>
      <c r="Z5505" t="s">
        <v>27510</v>
      </c>
      <c r="AA5505">
        <v>0.57436242720115338</v>
      </c>
      <c r="AB5505" t="str">
        <f>HYPERLINK("Melting_Curves/meltCurve_Q9Y613_FHOD1.pdf", "Melting_Curves/meltCurve_Q9Y613_FHOD1.pdf")</f>
        <v>Melting_Curves/meltCurve_Q9Y613_FHOD1.pdf</v>
      </c>
    </row>
    <row r="5506" spans="1:28" x14ac:dyDescent="0.25">
      <c r="A5506" t="s">
        <v>5510</v>
      </c>
      <c r="B5506">
        <v>0.99299721793515405</v>
      </c>
      <c r="C5506">
        <v>1.0170185387132999</v>
      </c>
      <c r="D5506">
        <v>0.98079610173533405</v>
      </c>
      <c r="E5506">
        <v>0.89634790393772701</v>
      </c>
      <c r="F5506">
        <v>0.79473326204808803</v>
      </c>
      <c r="G5506">
        <v>0.61262967127180001</v>
      </c>
      <c r="H5506">
        <v>0.62238932161452898</v>
      </c>
      <c r="I5506">
        <v>0.62634968455919304</v>
      </c>
      <c r="J5506">
        <v>0.36882284585339398</v>
      </c>
      <c r="K5506">
        <v>0.14731305032831099</v>
      </c>
      <c r="L5506">
        <v>486.78420351276702</v>
      </c>
      <c r="M5506">
        <v>8.1545375954222994</v>
      </c>
      <c r="N5506">
        <v>59.694881870577397</v>
      </c>
      <c r="O5506">
        <v>56.427021674246497</v>
      </c>
      <c r="P5506">
        <v>-3.6166740204047303E-2</v>
      </c>
      <c r="Q5506">
        <v>0</v>
      </c>
      <c r="R5506">
        <v>0.91514140626705198</v>
      </c>
      <c r="S5506" t="s">
        <v>11057</v>
      </c>
      <c r="T5506" t="s">
        <v>11100</v>
      </c>
      <c r="U5506" t="s">
        <v>11100</v>
      </c>
      <c r="V5506" t="s">
        <v>11100</v>
      </c>
      <c r="W5506" t="s">
        <v>16551</v>
      </c>
      <c r="X5506">
        <v>18</v>
      </c>
      <c r="Y5506" t="s">
        <v>21966</v>
      </c>
      <c r="Z5506" t="s">
        <v>27511</v>
      </c>
      <c r="AA5506">
        <v>0.71827487471737983</v>
      </c>
      <c r="AB5506" t="str">
        <f>HYPERLINK("Melting_Curves/meltCurve_Q9Y617_PSAT1.pdf", "Melting_Curves/meltCurve_Q9Y617_PSAT1.pdf")</f>
        <v>Melting_Curves/meltCurve_Q9Y617_PSAT1.pdf</v>
      </c>
    </row>
    <row r="5507" spans="1:28" x14ac:dyDescent="0.25">
      <c r="A5507" t="s">
        <v>5511</v>
      </c>
      <c r="B5507">
        <v>0.99299721793515405</v>
      </c>
      <c r="C5507">
        <v>0.97147189657263899</v>
      </c>
      <c r="D5507">
        <v>0.87519899352230901</v>
      </c>
      <c r="E5507">
        <v>0.88794475228713299</v>
      </c>
      <c r="F5507">
        <v>0.77285645440858897</v>
      </c>
      <c r="G5507">
        <v>0.55336515813230502</v>
      </c>
      <c r="H5507">
        <v>0.54176399916875095</v>
      </c>
      <c r="I5507">
        <v>0.61972989242439402</v>
      </c>
      <c r="J5507">
        <v>0.81040257951174599</v>
      </c>
      <c r="K5507">
        <v>0.88996158097181799</v>
      </c>
      <c r="L5507">
        <v>957.25407746328096</v>
      </c>
      <c r="M5507">
        <v>20.799913726249802</v>
      </c>
      <c r="O5507">
        <v>45.602961221938202</v>
      </c>
      <c r="P5507">
        <v>-3.5255705881625299E-2</v>
      </c>
      <c r="Q5507">
        <v>0.69082183912629003</v>
      </c>
      <c r="R5507">
        <v>0.53443327097305404</v>
      </c>
      <c r="S5507" t="s">
        <v>11058</v>
      </c>
      <c r="T5507" t="s">
        <v>11100</v>
      </c>
      <c r="U5507" t="s">
        <v>11100</v>
      </c>
      <c r="V5507" t="s">
        <v>11100</v>
      </c>
      <c r="W5507" t="s">
        <v>16552</v>
      </c>
      <c r="X5507">
        <v>5</v>
      </c>
      <c r="Y5507" t="s">
        <v>21967</v>
      </c>
      <c r="Z5507" t="s">
        <v>27512</v>
      </c>
      <c r="AA5507">
        <v>0.7875347539310229</v>
      </c>
      <c r="AB5507" t="str">
        <f>HYPERLINK("Melting_Curves/meltCurve_Q9Y619_SLC25A15.pdf", "Melting_Curves/meltCurve_Q9Y619_SLC25A15.pdf")</f>
        <v>Melting_Curves/meltCurve_Q9Y619_SLC25A15.pdf</v>
      </c>
    </row>
    <row r="5508" spans="1:28" x14ac:dyDescent="0.25">
      <c r="A5508" t="s">
        <v>5512</v>
      </c>
      <c r="B5508">
        <v>0.99299721793515405</v>
      </c>
      <c r="C5508">
        <v>1.1084371849736401</v>
      </c>
      <c r="D5508">
        <v>1.4561391754519799</v>
      </c>
      <c r="E5508">
        <v>1.07119257567892</v>
      </c>
      <c r="F5508">
        <v>0.85031491662686498</v>
      </c>
      <c r="G5508">
        <v>1.0779997448026399</v>
      </c>
      <c r="H5508">
        <v>0.85283917051046498</v>
      </c>
      <c r="I5508">
        <v>0.75495869664170301</v>
      </c>
      <c r="J5508">
        <v>0.78687506690339604</v>
      </c>
      <c r="K5508">
        <v>0.72470021838137599</v>
      </c>
      <c r="L5508">
        <v>14326.268532243599</v>
      </c>
      <c r="M5508">
        <v>250</v>
      </c>
      <c r="O5508">
        <v>57.301404305800098</v>
      </c>
      <c r="P5508">
        <v>-0.266669607668299</v>
      </c>
      <c r="Q5508">
        <v>0.75551130076852802</v>
      </c>
      <c r="R5508">
        <v>0.42727806643265098</v>
      </c>
      <c r="S5508" t="s">
        <v>11059</v>
      </c>
      <c r="T5508" t="s">
        <v>11100</v>
      </c>
      <c r="U5508" t="s">
        <v>11100</v>
      </c>
      <c r="V5508" t="s">
        <v>11100</v>
      </c>
      <c r="W5508" t="s">
        <v>16553</v>
      </c>
      <c r="X5508">
        <v>6</v>
      </c>
      <c r="Y5508" t="s">
        <v>21968</v>
      </c>
      <c r="Z5508" t="s">
        <v>27513</v>
      </c>
      <c r="AA5508">
        <v>0.92101459426438592</v>
      </c>
      <c r="AB5508" t="str">
        <f>HYPERLINK("Melting_Curves/meltCurve_Q9Y639_1_NPTN.pdf", "Melting_Curves/meltCurve_Q9Y639_1_NPTN.pdf")</f>
        <v>Melting_Curves/meltCurve_Q9Y639_1_NPTN.pdf</v>
      </c>
    </row>
    <row r="5509" spans="1:28" x14ac:dyDescent="0.25">
      <c r="A5509" t="s">
        <v>5513</v>
      </c>
      <c r="B5509">
        <v>0.99299721793515405</v>
      </c>
      <c r="C5509">
        <v>1.05681237280651</v>
      </c>
      <c r="D5509">
        <v>0.96466920084858299</v>
      </c>
      <c r="E5509">
        <v>0.96978262906071899</v>
      </c>
      <c r="F5509">
        <v>0.83388043970384995</v>
      </c>
      <c r="G5509">
        <v>0.465250657752729</v>
      </c>
      <c r="H5509">
        <v>0.26458958484549999</v>
      </c>
      <c r="I5509">
        <v>0.14525839462487</v>
      </c>
      <c r="J5509">
        <v>0.12338761804267</v>
      </c>
      <c r="K5509">
        <v>9.5834567055362793E-2</v>
      </c>
      <c r="L5509">
        <v>1231.4516073019399</v>
      </c>
      <c r="M5509">
        <v>23.1680970854866</v>
      </c>
      <c r="N5509">
        <v>53.685304571579799</v>
      </c>
      <c r="O5509">
        <v>52.761651589685201</v>
      </c>
      <c r="P5509">
        <v>-9.8511606619835199E-2</v>
      </c>
      <c r="Q5509">
        <v>0.10263833436779</v>
      </c>
      <c r="R5509">
        <v>0.99599774706792799</v>
      </c>
      <c r="S5509" t="s">
        <v>11060</v>
      </c>
      <c r="T5509" t="s">
        <v>11100</v>
      </c>
      <c r="U5509" t="s">
        <v>11100</v>
      </c>
      <c r="V5509" t="s">
        <v>11100</v>
      </c>
      <c r="W5509" t="s">
        <v>16554</v>
      </c>
      <c r="X5509">
        <v>6</v>
      </c>
      <c r="Y5509" t="s">
        <v>21969</v>
      </c>
      <c r="Z5509" t="s">
        <v>27514</v>
      </c>
      <c r="AA5509">
        <v>0.59479428334143425</v>
      </c>
      <c r="AB5509" t="str">
        <f>HYPERLINK("Melting_Curves/meltCurve_Q9Y673_ALG5.pdf", "Melting_Curves/meltCurve_Q9Y673_ALG5.pdf")</f>
        <v>Melting_Curves/meltCurve_Q9Y673_ALG5.pdf</v>
      </c>
    </row>
    <row r="5510" spans="1:28" x14ac:dyDescent="0.25">
      <c r="A5510" t="s">
        <v>5514</v>
      </c>
      <c r="B5510">
        <v>0.99299721793515405</v>
      </c>
      <c r="C5510">
        <v>0.986642395828212</v>
      </c>
      <c r="D5510">
        <v>0.94414793136444197</v>
      </c>
      <c r="E5510">
        <v>0.89852331587743905</v>
      </c>
      <c r="F5510">
        <v>0.66255082569850698</v>
      </c>
      <c r="G5510">
        <v>0.57958786894304704</v>
      </c>
      <c r="H5510">
        <v>0.31078866312090497</v>
      </c>
      <c r="I5510">
        <v>0.15228973294050199</v>
      </c>
      <c r="J5510">
        <v>0.114686184860259</v>
      </c>
      <c r="K5510">
        <v>0.105820350980893</v>
      </c>
      <c r="L5510">
        <v>673.72730897976498</v>
      </c>
      <c r="M5510">
        <v>12.482431459991099</v>
      </c>
      <c r="N5510">
        <v>53.974033205017797</v>
      </c>
      <c r="O5510">
        <v>52.644927024622802</v>
      </c>
      <c r="P5510">
        <v>-5.9288780084852701E-2</v>
      </c>
      <c r="Q5510">
        <v>0</v>
      </c>
      <c r="R5510">
        <v>0.99133029940674999</v>
      </c>
      <c r="S5510" t="s">
        <v>11061</v>
      </c>
      <c r="T5510" t="s">
        <v>11100</v>
      </c>
      <c r="U5510" t="s">
        <v>11100</v>
      </c>
      <c r="V5510" t="s">
        <v>11100</v>
      </c>
      <c r="W5510" t="s">
        <v>16555</v>
      </c>
      <c r="X5510">
        <v>27</v>
      </c>
      <c r="Y5510" t="s">
        <v>21970</v>
      </c>
      <c r="Z5510" t="s">
        <v>27515</v>
      </c>
      <c r="AA5510">
        <v>0.58364352684234866</v>
      </c>
      <c r="AB5510" t="str">
        <f>HYPERLINK("Melting_Curves/meltCurve_Q9Y678_COPG1.pdf", "Melting_Curves/meltCurve_Q9Y678_COPG1.pdf")</f>
        <v>Melting_Curves/meltCurve_Q9Y678_COPG1.pdf</v>
      </c>
    </row>
    <row r="5511" spans="1:28" x14ac:dyDescent="0.25">
      <c r="A5511" t="s">
        <v>5515</v>
      </c>
      <c r="B5511">
        <v>0.99299721793515405</v>
      </c>
      <c r="C5511">
        <v>1.07139022459384</v>
      </c>
      <c r="D5511">
        <v>0.94625962864735802</v>
      </c>
      <c r="E5511">
        <v>0.98993601839850298</v>
      </c>
      <c r="F5511">
        <v>0.80784789261980705</v>
      </c>
      <c r="G5511">
        <v>0.38872311706803703</v>
      </c>
      <c r="H5511">
        <v>0.16604812294704099</v>
      </c>
      <c r="I5511">
        <v>0.12000565514297699</v>
      </c>
      <c r="J5511">
        <v>0.10391664351111</v>
      </c>
      <c r="K5511">
        <v>0.13689403651168899</v>
      </c>
      <c r="L5511">
        <v>1599.9062377549001</v>
      </c>
      <c r="M5511">
        <v>30.560859695799</v>
      </c>
      <c r="N5511">
        <v>52.799906160260001</v>
      </c>
      <c r="O5511">
        <v>52.128840572321003</v>
      </c>
      <c r="P5511">
        <v>-0.129812366380685</v>
      </c>
      <c r="Q5511">
        <v>0.114301198545739</v>
      </c>
      <c r="R5511">
        <v>0.99455694477770795</v>
      </c>
      <c r="S5511" t="s">
        <v>11062</v>
      </c>
      <c r="T5511" t="s">
        <v>11100</v>
      </c>
      <c r="U5511" t="s">
        <v>11100</v>
      </c>
      <c r="V5511" t="s">
        <v>11100</v>
      </c>
      <c r="W5511" t="s">
        <v>16556</v>
      </c>
      <c r="X5511">
        <v>6</v>
      </c>
      <c r="Y5511" t="s">
        <v>21971</v>
      </c>
      <c r="Z5511" t="s">
        <v>27516</v>
      </c>
      <c r="AA5511">
        <v>0.57294142234042278</v>
      </c>
      <c r="AB5511" t="str">
        <f>HYPERLINK("Melting_Curves/meltCurve_Q9Y679_2_AUP1.pdf", "Melting_Curves/meltCurve_Q9Y679_2_AUP1.pdf")</f>
        <v>Melting_Curves/meltCurve_Q9Y679_2_AUP1.pdf</v>
      </c>
    </row>
    <row r="5512" spans="1:28" x14ac:dyDescent="0.25">
      <c r="A5512" t="s">
        <v>5516</v>
      </c>
      <c r="B5512">
        <v>0.99299721793515405</v>
      </c>
      <c r="C5512">
        <v>0.96480009316183502</v>
      </c>
      <c r="D5512">
        <v>0.93288764015396197</v>
      </c>
      <c r="E5512">
        <v>0.89029269242826303</v>
      </c>
      <c r="F5512">
        <v>0.74759583882771496</v>
      </c>
      <c r="G5512">
        <v>0.528747340392131</v>
      </c>
      <c r="H5512">
        <v>0.48280723722929098</v>
      </c>
      <c r="I5512">
        <v>0.451467654587065</v>
      </c>
      <c r="J5512">
        <v>0.486033881962531</v>
      </c>
      <c r="K5512">
        <v>0.32431240052531002</v>
      </c>
      <c r="L5512">
        <v>741.71674615293796</v>
      </c>
      <c r="M5512">
        <v>14.566359557357201</v>
      </c>
      <c r="N5512">
        <v>56.475814250811297</v>
      </c>
      <c r="O5512">
        <v>49.989035915980999</v>
      </c>
      <c r="P5512">
        <v>-4.5119416400026299E-2</v>
      </c>
      <c r="Q5512">
        <v>0.38070471290699598</v>
      </c>
      <c r="R5512">
        <v>0.97160040604049203</v>
      </c>
      <c r="S5512" t="s">
        <v>11063</v>
      </c>
      <c r="T5512" t="s">
        <v>11100</v>
      </c>
      <c r="U5512" t="s">
        <v>11100</v>
      </c>
      <c r="V5512" t="s">
        <v>11100</v>
      </c>
      <c r="W5512" t="s">
        <v>16557</v>
      </c>
      <c r="X5512">
        <v>7</v>
      </c>
      <c r="Y5512" t="s">
        <v>21972</v>
      </c>
      <c r="Z5512" t="s">
        <v>27517</v>
      </c>
      <c r="AA5512">
        <v>0.68105155724464883</v>
      </c>
      <c r="AB5512" t="str">
        <f>HYPERLINK("Melting_Curves/meltCurve_Q9Y680_3_FKBP7.pdf", "Melting_Curves/meltCurve_Q9Y680_3_FKBP7.pdf")</f>
        <v>Melting_Curves/meltCurve_Q9Y680_3_FKBP7.pdf</v>
      </c>
    </row>
    <row r="5513" spans="1:28" x14ac:dyDescent="0.25">
      <c r="A5513" t="s">
        <v>5517</v>
      </c>
      <c r="B5513">
        <v>0.99299721793515405</v>
      </c>
      <c r="C5513">
        <v>0.912974194442295</v>
      </c>
      <c r="D5513">
        <v>1.06919331989514</v>
      </c>
      <c r="E5513">
        <v>1.18694801111687</v>
      </c>
      <c r="F5513">
        <v>1.1119976748762299</v>
      </c>
      <c r="G5513">
        <v>0.93641972581733002</v>
      </c>
      <c r="H5513">
        <v>0.31174683484437599</v>
      </c>
      <c r="I5513">
        <v>0.23537274690753501</v>
      </c>
      <c r="J5513">
        <v>7.8032707524599204E-2</v>
      </c>
      <c r="K5513">
        <v>0.113389693218371</v>
      </c>
      <c r="L5513">
        <v>3223.6458204616001</v>
      </c>
      <c r="M5513">
        <v>57.475286778540202</v>
      </c>
      <c r="N5513">
        <v>56.401832154135697</v>
      </c>
      <c r="O5513">
        <v>56.019733755735501</v>
      </c>
      <c r="P5513">
        <v>-0.22134625606769101</v>
      </c>
      <c r="Q5513">
        <v>0.137037639495628</v>
      </c>
      <c r="R5513">
        <v>0.96035826257134105</v>
      </c>
      <c r="S5513" t="s">
        <v>11064</v>
      </c>
      <c r="T5513" t="s">
        <v>11100</v>
      </c>
      <c r="U5513" t="s">
        <v>11100</v>
      </c>
      <c r="V5513" t="s">
        <v>11100</v>
      </c>
      <c r="W5513" t="s">
        <v>16558</v>
      </c>
      <c r="X5513">
        <v>2</v>
      </c>
      <c r="Y5513" t="s">
        <v>21973</v>
      </c>
      <c r="Z5513" t="s">
        <v>27518</v>
      </c>
      <c r="AA5513">
        <v>0.68770773333017554</v>
      </c>
      <c r="AB5513" t="str">
        <f>HYPERLINK("Melting_Curves/meltCurve_Q9Y692_2_GMEB1.pdf", "Melting_Curves/meltCurve_Q9Y692_2_GMEB1.pdf")</f>
        <v>Melting_Curves/meltCurve_Q9Y692_2_GMEB1.pdf</v>
      </c>
    </row>
    <row r="5514" spans="1:28" x14ac:dyDescent="0.25">
      <c r="A5514" t="s">
        <v>5518</v>
      </c>
      <c r="B5514">
        <v>0.99299721793515405</v>
      </c>
      <c r="C5514">
        <v>0.97142662182543305</v>
      </c>
      <c r="D5514">
        <v>0.97178522653562704</v>
      </c>
      <c r="E5514">
        <v>0.92599661604147299</v>
      </c>
      <c r="F5514">
        <v>0.75474258250395498</v>
      </c>
      <c r="G5514">
        <v>0.524985722057006</v>
      </c>
      <c r="H5514">
        <v>0.37093291919490601</v>
      </c>
      <c r="I5514">
        <v>0.25568117729701301</v>
      </c>
      <c r="J5514">
        <v>0.22071341744436901</v>
      </c>
      <c r="K5514">
        <v>0.13441771916235101</v>
      </c>
      <c r="L5514">
        <v>757.34454209701596</v>
      </c>
      <c r="M5514">
        <v>14.1317263478941</v>
      </c>
      <c r="N5514">
        <v>54.593094335868898</v>
      </c>
      <c r="O5514">
        <v>52.5528885655349</v>
      </c>
      <c r="P5514">
        <v>-5.95590617954216E-2</v>
      </c>
      <c r="Q5514">
        <v>0.11416305039473</v>
      </c>
      <c r="R5514">
        <v>0.99724269473750904</v>
      </c>
      <c r="S5514" t="s">
        <v>11065</v>
      </c>
      <c r="T5514" t="s">
        <v>11100</v>
      </c>
      <c r="U5514" t="s">
        <v>11100</v>
      </c>
      <c r="V5514" t="s">
        <v>11100</v>
      </c>
      <c r="W5514" t="s">
        <v>16559</v>
      </c>
      <c r="X5514">
        <v>21</v>
      </c>
      <c r="Y5514" t="s">
        <v>21974</v>
      </c>
      <c r="Z5514" t="s">
        <v>27519</v>
      </c>
      <c r="AA5514">
        <v>0.61977008966187208</v>
      </c>
      <c r="AB5514" t="str">
        <f>HYPERLINK("Melting_Curves/meltCurve_Q9Y696_CLIC4.pdf", "Melting_Curves/meltCurve_Q9Y696_CLIC4.pdf")</f>
        <v>Melting_Curves/meltCurve_Q9Y696_CLIC4.pdf</v>
      </c>
    </row>
    <row r="5515" spans="1:28" x14ac:dyDescent="0.25">
      <c r="A5515" t="s">
        <v>5519</v>
      </c>
      <c r="B5515">
        <v>0.99299721793515405</v>
      </c>
      <c r="C5515">
        <v>0.93973689557997897</v>
      </c>
      <c r="D5515">
        <v>0.92724273114316702</v>
      </c>
      <c r="E5515">
        <v>0.87799638233584198</v>
      </c>
      <c r="F5515">
        <v>0.71966334334281301</v>
      </c>
      <c r="G5515">
        <v>0.67626189338656795</v>
      </c>
      <c r="H5515">
        <v>0.54390422190962096</v>
      </c>
      <c r="I5515">
        <v>0.36550880851242901</v>
      </c>
      <c r="J5515">
        <v>0.35380491486932802</v>
      </c>
      <c r="K5515">
        <v>0.23778993087795799</v>
      </c>
      <c r="L5515">
        <v>439.18782379235302</v>
      </c>
      <c r="M5515">
        <v>7.5849015822350898</v>
      </c>
      <c r="N5515">
        <v>57.902902937089898</v>
      </c>
      <c r="O5515">
        <v>54.289015533137302</v>
      </c>
      <c r="P5515">
        <v>-3.4976514142574001E-2</v>
      </c>
      <c r="Q5515">
        <v>0</v>
      </c>
      <c r="R5515">
        <v>0.98833469527541995</v>
      </c>
      <c r="S5515" t="s">
        <v>11066</v>
      </c>
      <c r="T5515" t="s">
        <v>11100</v>
      </c>
      <c r="U5515" t="s">
        <v>11100</v>
      </c>
      <c r="V5515" t="s">
        <v>11100</v>
      </c>
      <c r="W5515" t="s">
        <v>16560</v>
      </c>
      <c r="X5515">
        <v>12</v>
      </c>
      <c r="Y5515" t="s">
        <v>21975</v>
      </c>
      <c r="Z5515" t="s">
        <v>27520</v>
      </c>
      <c r="AA5515">
        <v>0.67343613989193085</v>
      </c>
      <c r="AB5515" t="str">
        <f>HYPERLINK("Melting_Curves/meltCurve_Q9Y697_2_NFS1.pdf", "Melting_Curves/meltCurve_Q9Y697_2_NFS1.pdf")</f>
        <v>Melting_Curves/meltCurve_Q9Y697_2_NFS1.pdf</v>
      </c>
    </row>
    <row r="5516" spans="1:28" x14ac:dyDescent="0.25">
      <c r="A5516" t="s">
        <v>5520</v>
      </c>
      <c r="B5516">
        <v>0.99299721793515405</v>
      </c>
      <c r="C5516">
        <v>1.1384352491896099</v>
      </c>
      <c r="D5516">
        <v>1.0432101865636301</v>
      </c>
      <c r="E5516">
        <v>0.82307944959979995</v>
      </c>
      <c r="F5516">
        <v>0.797464640745146</v>
      </c>
      <c r="G5516">
        <v>0.60161804243642003</v>
      </c>
      <c r="H5516">
        <v>0.25680173268894202</v>
      </c>
      <c r="I5516">
        <v>0.31463019347269</v>
      </c>
      <c r="J5516">
        <v>0.29219049099748001</v>
      </c>
      <c r="K5516">
        <v>0.31589780586552102</v>
      </c>
      <c r="L5516">
        <v>1033.08779858444</v>
      </c>
      <c r="M5516">
        <v>19.766778995013201</v>
      </c>
      <c r="N5516">
        <v>54.346612523748597</v>
      </c>
      <c r="O5516">
        <v>51.737762629990797</v>
      </c>
      <c r="P5516">
        <v>-7.0148985293684504E-2</v>
      </c>
      <c r="Q5516">
        <v>0.26559062344416301</v>
      </c>
      <c r="R5516">
        <v>0.94716814055808496</v>
      </c>
      <c r="S5516" t="s">
        <v>11067</v>
      </c>
      <c r="T5516" t="s">
        <v>11100</v>
      </c>
      <c r="U5516" t="s">
        <v>11100</v>
      </c>
      <c r="V5516" t="s">
        <v>11100</v>
      </c>
      <c r="W5516" t="s">
        <v>16561</v>
      </c>
      <c r="X5516">
        <v>3</v>
      </c>
      <c r="Y5516" t="s">
        <v>21976</v>
      </c>
      <c r="Z5516" t="s">
        <v>27521</v>
      </c>
      <c r="AA5516">
        <v>0.64885876166415324</v>
      </c>
      <c r="AB5516" t="str">
        <f>HYPERLINK("Melting_Curves/meltCurve_Q9Y6A4_C16orf80.pdf", "Melting_Curves/meltCurve_Q9Y6A4_C16orf80.pdf")</f>
        <v>Melting_Curves/meltCurve_Q9Y6A4_C16orf80.pdf</v>
      </c>
    </row>
    <row r="5517" spans="1:28" x14ac:dyDescent="0.25">
      <c r="A5517" t="s">
        <v>5521</v>
      </c>
      <c r="B5517">
        <v>0.99299721793515405</v>
      </c>
      <c r="C5517">
        <v>0.90788274731654095</v>
      </c>
      <c r="D5517">
        <v>0.95215949756431595</v>
      </c>
      <c r="E5517">
        <v>0.89225706035215502</v>
      </c>
      <c r="F5517">
        <v>0.748165403289896</v>
      </c>
      <c r="G5517">
        <v>0.62530405685419099</v>
      </c>
      <c r="H5517">
        <v>0.6437254247234</v>
      </c>
      <c r="I5517">
        <v>0.79822777546940205</v>
      </c>
      <c r="J5517">
        <v>0.89330950821976296</v>
      </c>
      <c r="K5517">
        <v>0.82876932771096801</v>
      </c>
      <c r="L5517">
        <v>2717.9433034915301</v>
      </c>
      <c r="M5517">
        <v>58.125804268950397</v>
      </c>
      <c r="O5517">
        <v>46.704417277152203</v>
      </c>
      <c r="P5517">
        <v>-7.6024129383014005E-2</v>
      </c>
      <c r="Q5517">
        <v>0.75565681732178003</v>
      </c>
      <c r="R5517">
        <v>0.52413418511487797</v>
      </c>
      <c r="S5517" t="s">
        <v>11068</v>
      </c>
      <c r="T5517" t="s">
        <v>11100</v>
      </c>
      <c r="U5517" t="s">
        <v>11100</v>
      </c>
      <c r="V5517" t="s">
        <v>11100</v>
      </c>
      <c r="W5517" t="s">
        <v>16562</v>
      </c>
      <c r="X5517">
        <v>35</v>
      </c>
      <c r="Y5517" t="s">
        <v>21977</v>
      </c>
      <c r="Z5517" t="s">
        <v>27522</v>
      </c>
      <c r="AA5517">
        <v>0.83551946961658463</v>
      </c>
      <c r="AB5517" t="str">
        <f>HYPERLINK("Melting_Curves/meltCurve_Q9Y6A5_TACC3.pdf", "Melting_Curves/meltCurve_Q9Y6A5_TACC3.pdf")</f>
        <v>Melting_Curves/meltCurve_Q9Y6A5_TACC3.pdf</v>
      </c>
    </row>
    <row r="5518" spans="1:28" x14ac:dyDescent="0.25">
      <c r="A5518" t="s">
        <v>5522</v>
      </c>
      <c r="B5518">
        <v>0.99299721793515405</v>
      </c>
      <c r="C5518">
        <v>1.26293913114273</v>
      </c>
      <c r="D5518">
        <v>1.10685130450402</v>
      </c>
      <c r="E5518">
        <v>1.15407830341773</v>
      </c>
      <c r="F5518">
        <v>0.92153775289137596</v>
      </c>
      <c r="G5518">
        <v>0.65243645750220502</v>
      </c>
      <c r="H5518">
        <v>0.484191499652392</v>
      </c>
      <c r="I5518">
        <v>0.27056599629391398</v>
      </c>
      <c r="J5518">
        <v>0.25534761094742497</v>
      </c>
      <c r="K5518">
        <v>0.20089293621158499</v>
      </c>
      <c r="L5518">
        <v>1239.94150831552</v>
      </c>
      <c r="M5518">
        <v>22.524194517929001</v>
      </c>
      <c r="N5518">
        <v>56.394473179701897</v>
      </c>
      <c r="O5518">
        <v>54.620911160290298</v>
      </c>
      <c r="P5518">
        <v>-8.1669545670331106E-2</v>
      </c>
      <c r="Q5518">
        <v>0.207825297829036</v>
      </c>
      <c r="R5518">
        <v>0.92284908138920696</v>
      </c>
      <c r="S5518" t="s">
        <v>11069</v>
      </c>
      <c r="T5518" t="s">
        <v>11100</v>
      </c>
      <c r="U5518" t="s">
        <v>11100</v>
      </c>
      <c r="V5518" t="s">
        <v>11100</v>
      </c>
      <c r="W5518" t="s">
        <v>16563</v>
      </c>
      <c r="X5518">
        <v>6</v>
      </c>
      <c r="Y5518" t="s">
        <v>21978</v>
      </c>
      <c r="Z5518" t="s">
        <v>27523</v>
      </c>
      <c r="AA5518">
        <v>0.69220414067592873</v>
      </c>
      <c r="AB5518" t="str">
        <f>HYPERLINK("Melting_Curves/meltCurve_Q9Y6B6_SAR1B.pdf", "Melting_Curves/meltCurve_Q9Y6B6_SAR1B.pdf")</f>
        <v>Melting_Curves/meltCurve_Q9Y6B6_SAR1B.pdf</v>
      </c>
    </row>
    <row r="5519" spans="1:28" x14ac:dyDescent="0.25">
      <c r="A5519" t="s">
        <v>5523</v>
      </c>
      <c r="B5519">
        <v>0.99299721793515405</v>
      </c>
      <c r="C5519">
        <v>1.00382059225567</v>
      </c>
      <c r="D5519">
        <v>0.99328872722564898</v>
      </c>
      <c r="E5519">
        <v>0.87153692194421895</v>
      </c>
      <c r="F5519">
        <v>0.75142575510078202</v>
      </c>
      <c r="G5519">
        <v>0.63055065572962699</v>
      </c>
      <c r="H5519">
        <v>0.55069828880534899</v>
      </c>
      <c r="I5519">
        <v>0.67692023716414795</v>
      </c>
      <c r="J5519">
        <v>0.58158461829464903</v>
      </c>
      <c r="K5519">
        <v>0.22755639852606099</v>
      </c>
      <c r="L5519">
        <v>361.87580916684698</v>
      </c>
      <c r="M5519">
        <v>5.8438136490458197</v>
      </c>
      <c r="N5519">
        <v>61.9245976786029</v>
      </c>
      <c r="O5519">
        <v>55.830213143662903</v>
      </c>
      <c r="P5519">
        <v>-2.6260869944466001E-2</v>
      </c>
      <c r="Q5519">
        <v>0</v>
      </c>
      <c r="R5519">
        <v>0.84501140728546897</v>
      </c>
      <c r="S5519" t="s">
        <v>11070</v>
      </c>
      <c r="T5519" t="s">
        <v>11100</v>
      </c>
      <c r="U5519" t="s">
        <v>11100</v>
      </c>
      <c r="V5519" t="s">
        <v>11100</v>
      </c>
      <c r="W5519" t="s">
        <v>16564</v>
      </c>
      <c r="X5519">
        <v>9</v>
      </c>
      <c r="Y5519" t="s">
        <v>17102</v>
      </c>
      <c r="Z5519" t="s">
        <v>27524</v>
      </c>
      <c r="AA5519">
        <v>0.72880611707786025</v>
      </c>
      <c r="AB5519" t="str">
        <f>HYPERLINK("Melting_Curves/meltCurve_Q9Y6C9_MTCH2.pdf", "Melting_Curves/meltCurve_Q9Y6C9_MTCH2.pdf")</f>
        <v>Melting_Curves/meltCurve_Q9Y6C9_MTCH2.pdf</v>
      </c>
    </row>
    <row r="5520" spans="1:28" x14ac:dyDescent="0.25">
      <c r="A5520" t="s">
        <v>5524</v>
      </c>
      <c r="B5520">
        <v>0.99299721793515405</v>
      </c>
      <c r="C5520">
        <v>1.28063855457203</v>
      </c>
      <c r="D5520">
        <v>0.96966888154155395</v>
      </c>
      <c r="E5520">
        <v>0.96604959889590503</v>
      </c>
      <c r="F5520">
        <v>0.89558410033387204</v>
      </c>
      <c r="G5520">
        <v>0.569353581525332</v>
      </c>
      <c r="H5520">
        <v>0.231759676258216</v>
      </c>
      <c r="I5520">
        <v>0.10354397975653799</v>
      </c>
      <c r="J5520">
        <v>0.102785105944383</v>
      </c>
      <c r="K5520">
        <v>4.0977433994114999E-2</v>
      </c>
      <c r="L5520">
        <v>1393.4741768681899</v>
      </c>
      <c r="M5520">
        <v>25.730176629719999</v>
      </c>
      <c r="N5520">
        <v>54.413026240432501</v>
      </c>
      <c r="O5520">
        <v>53.833238635657601</v>
      </c>
      <c r="P5520">
        <v>-0.11268380798298699</v>
      </c>
      <c r="Q5520">
        <v>5.6973195936021098E-2</v>
      </c>
      <c r="R5520">
        <v>0.95747113905039205</v>
      </c>
      <c r="S5520" t="s">
        <v>11071</v>
      </c>
      <c r="T5520" t="s">
        <v>11100</v>
      </c>
      <c r="U5520" t="s">
        <v>11100</v>
      </c>
      <c r="V5520" t="s">
        <v>11100</v>
      </c>
      <c r="W5520" t="s">
        <v>16565</v>
      </c>
      <c r="X5520">
        <v>2</v>
      </c>
      <c r="Y5520" t="s">
        <v>21979</v>
      </c>
      <c r="Z5520" t="s">
        <v>27525</v>
      </c>
      <c r="AA5520">
        <v>0.60413138364348418</v>
      </c>
      <c r="AB5520" t="str">
        <f>HYPERLINK("Melting_Curves/meltCurve_Q9Y6D5_ARFGEF2.pdf", "Melting_Curves/meltCurve_Q9Y6D5_ARFGEF2.pdf")</f>
        <v>Melting_Curves/meltCurve_Q9Y6D5_ARFGEF2.pdf</v>
      </c>
    </row>
    <row r="5521" spans="1:28" x14ac:dyDescent="0.25">
      <c r="A5521" t="s">
        <v>5525</v>
      </c>
      <c r="B5521">
        <v>0.99299721793515405</v>
      </c>
      <c r="C5521">
        <v>0.74718397198722997</v>
      </c>
      <c r="D5521">
        <v>0.55605026116535505</v>
      </c>
      <c r="E5521">
        <v>0.469789585852733</v>
      </c>
      <c r="F5521">
        <v>0.87703575724010496</v>
      </c>
      <c r="G5521">
        <v>0.24617465658068199</v>
      </c>
      <c r="H5521">
        <v>0.120457907269871</v>
      </c>
      <c r="I5521">
        <v>7.4974006202094795E-2</v>
      </c>
      <c r="J5521">
        <v>3.0885698706979901E-2</v>
      </c>
      <c r="K5521">
        <v>3.4800381908634097E-2</v>
      </c>
      <c r="L5521">
        <v>380.377255915094</v>
      </c>
      <c r="M5521">
        <v>7.9245051709067402</v>
      </c>
      <c r="N5521">
        <v>48.000113378792001</v>
      </c>
      <c r="O5521">
        <v>45.232142762216398</v>
      </c>
      <c r="P5521">
        <v>-4.3850401738820703E-2</v>
      </c>
      <c r="Q5521">
        <v>0</v>
      </c>
      <c r="R5521">
        <v>0.75800984663384396</v>
      </c>
      <c r="S5521" t="s">
        <v>11072</v>
      </c>
      <c r="T5521" t="s">
        <v>11100</v>
      </c>
      <c r="U5521" t="s">
        <v>11100</v>
      </c>
      <c r="V5521" t="s">
        <v>11100</v>
      </c>
      <c r="W5521" t="s">
        <v>16566</v>
      </c>
      <c r="X5521">
        <v>4</v>
      </c>
      <c r="Y5521" t="s">
        <v>21980</v>
      </c>
      <c r="Z5521" t="s">
        <v>27526</v>
      </c>
      <c r="AA5521">
        <v>0.41908211007608148</v>
      </c>
      <c r="AB5521" t="str">
        <f>HYPERLINK("Melting_Curves/meltCurve_Q9Y6D6_ARFGEF1.pdf", "Melting_Curves/meltCurve_Q9Y6D6_ARFGEF1.pdf")</f>
        <v>Melting_Curves/meltCurve_Q9Y6D6_ARFGEF1.pdf</v>
      </c>
    </row>
    <row r="5522" spans="1:28" x14ac:dyDescent="0.25">
      <c r="A5522" t="s">
        <v>5526</v>
      </c>
      <c r="B5522">
        <v>0.99299721793515405</v>
      </c>
      <c r="C5522">
        <v>0.94182281397413103</v>
      </c>
      <c r="D5522">
        <v>1.0433911037078401</v>
      </c>
      <c r="E5522">
        <v>0.84638912327307103</v>
      </c>
      <c r="F5522">
        <v>0.65836838036405398</v>
      </c>
      <c r="G5522">
        <v>0.31939677096884</v>
      </c>
      <c r="H5522">
        <v>0.248184887854935</v>
      </c>
      <c r="I5522">
        <v>0.19039642389460301</v>
      </c>
      <c r="J5522">
        <v>0.195496984580811</v>
      </c>
      <c r="K5522">
        <v>0.145639798373396</v>
      </c>
      <c r="L5522">
        <v>1080.0991130709001</v>
      </c>
      <c r="M5522">
        <v>21.311281923384399</v>
      </c>
      <c r="N5522">
        <v>51.656691875434603</v>
      </c>
      <c r="O5522">
        <v>50.242108654739297</v>
      </c>
      <c r="P5522">
        <v>-8.8490739920230196E-2</v>
      </c>
      <c r="Q5522">
        <v>0.16554082438717899</v>
      </c>
      <c r="R5522">
        <v>0.99018694018838205</v>
      </c>
      <c r="S5522" t="s">
        <v>11073</v>
      </c>
      <c r="T5522" t="s">
        <v>11100</v>
      </c>
      <c r="U5522" t="s">
        <v>11100</v>
      </c>
      <c r="V5522" t="s">
        <v>11100</v>
      </c>
      <c r="W5522" t="s">
        <v>16567</v>
      </c>
      <c r="X5522">
        <v>31</v>
      </c>
      <c r="Y5522" t="s">
        <v>21981</v>
      </c>
      <c r="Z5522" t="s">
        <v>27527</v>
      </c>
      <c r="AA5522">
        <v>0.55592805105743559</v>
      </c>
      <c r="AB5522" t="str">
        <f>HYPERLINK("Melting_Curves/meltCurve_Q9Y6D9_MAD1L1.pdf", "Melting_Curves/meltCurve_Q9Y6D9_MAD1L1.pdf")</f>
        <v>Melting_Curves/meltCurve_Q9Y6D9_MAD1L1.pdf</v>
      </c>
    </row>
    <row r="5523" spans="1:28" x14ac:dyDescent="0.25">
      <c r="A5523" t="s">
        <v>5527</v>
      </c>
      <c r="B5523">
        <v>0.99299721793515405</v>
      </c>
      <c r="C5523">
        <v>1.0117431980649501</v>
      </c>
      <c r="D5523">
        <v>1.0544533947755299</v>
      </c>
      <c r="E5523">
        <v>0.83340703164390695</v>
      </c>
      <c r="F5523">
        <v>0.76211077512381997</v>
      </c>
      <c r="G5523">
        <v>0.688015467563029</v>
      </c>
      <c r="H5523">
        <v>0.91567022178320701</v>
      </c>
      <c r="I5523">
        <v>0.67634916736446005</v>
      </c>
      <c r="J5523">
        <v>0.37595761241988701</v>
      </c>
      <c r="K5523">
        <v>0.30965892808485002</v>
      </c>
      <c r="L5523">
        <v>493.524250319271</v>
      </c>
      <c r="M5523">
        <v>7.8173966067842198</v>
      </c>
      <c r="N5523">
        <v>63.131534646978501</v>
      </c>
      <c r="O5523">
        <v>59.400159040057503</v>
      </c>
      <c r="P5523">
        <v>-3.2941979569924701E-2</v>
      </c>
      <c r="Q5523">
        <v>0</v>
      </c>
      <c r="R5523">
        <v>0.79177317482134102</v>
      </c>
      <c r="S5523" t="s">
        <v>11074</v>
      </c>
      <c r="T5523" t="s">
        <v>11100</v>
      </c>
      <c r="U5523" t="s">
        <v>11100</v>
      </c>
      <c r="V5523" t="s">
        <v>11100</v>
      </c>
      <c r="W5523" t="s">
        <v>16568</v>
      </c>
      <c r="X5523">
        <v>2</v>
      </c>
      <c r="Y5523" t="s">
        <v>21982</v>
      </c>
      <c r="Z5523" t="s">
        <v>27528</v>
      </c>
      <c r="AA5523">
        <v>0.7826605930599333</v>
      </c>
      <c r="AB5523" t="str">
        <f>HYPERLINK("Melting_Curves/meltCurve_Q9Y6G9_DYNC1LI1.pdf", "Melting_Curves/meltCurve_Q9Y6G9_DYNC1LI1.pdf")</f>
        <v>Melting_Curves/meltCurve_Q9Y6G9_DYNC1LI1.pdf</v>
      </c>
    </row>
    <row r="5524" spans="1:28" x14ac:dyDescent="0.25">
      <c r="A5524" t="s">
        <v>5528</v>
      </c>
      <c r="B5524">
        <v>0.99299721793515405</v>
      </c>
      <c r="C5524">
        <v>0.97653969747994696</v>
      </c>
      <c r="D5524">
        <v>1.1877575158682201</v>
      </c>
      <c r="E5524">
        <v>1.0159116730931801</v>
      </c>
      <c r="F5524">
        <v>0.87292257711035304</v>
      </c>
      <c r="G5524">
        <v>1.0154073155199299</v>
      </c>
      <c r="H5524">
        <v>0.83165680912009199</v>
      </c>
      <c r="I5524">
        <v>1.07572400944358</v>
      </c>
      <c r="J5524">
        <v>1.1882763927001001</v>
      </c>
      <c r="K5524">
        <v>1.1222805091244299</v>
      </c>
      <c r="L5524">
        <v>15000</v>
      </c>
      <c r="M5524">
        <v>245.852311386617</v>
      </c>
      <c r="O5524">
        <v>61.0082019008332</v>
      </c>
      <c r="P5524">
        <v>0.156436428928688</v>
      </c>
      <c r="Q5524">
        <v>1.1552786739156899</v>
      </c>
      <c r="R5524">
        <v>0.35729360554089001</v>
      </c>
      <c r="S5524" t="s">
        <v>11075</v>
      </c>
      <c r="T5524" t="s">
        <v>11100</v>
      </c>
      <c r="U5524" t="s">
        <v>11100</v>
      </c>
      <c r="V5524" t="s">
        <v>11100</v>
      </c>
      <c r="W5524" t="s">
        <v>16569</v>
      </c>
      <c r="X5524">
        <v>8</v>
      </c>
      <c r="Y5524" t="s">
        <v>21983</v>
      </c>
      <c r="Z5524" t="s">
        <v>27529</v>
      </c>
      <c r="AA5524">
        <v>1.0309751934517539</v>
      </c>
      <c r="AB5524" t="str">
        <f>HYPERLINK("Melting_Curves/meltCurve_Q9Y6H1_CHCHD2.pdf", "Melting_Curves/meltCurve_Q9Y6H1_CHCHD2.pdf")</f>
        <v>Melting_Curves/meltCurve_Q9Y6H1_CHCHD2.pdf</v>
      </c>
    </row>
    <row r="5525" spans="1:28" x14ac:dyDescent="0.25">
      <c r="A5525" t="s">
        <v>5529</v>
      </c>
      <c r="B5525">
        <v>0.99299721793515405</v>
      </c>
      <c r="C5525">
        <v>0.97165837697711599</v>
      </c>
      <c r="D5525">
        <v>0.82460757173171595</v>
      </c>
      <c r="E5525">
        <v>0.865278649018977</v>
      </c>
      <c r="F5525">
        <v>0.83837181836558206</v>
      </c>
      <c r="G5525">
        <v>0.48553901285454898</v>
      </c>
      <c r="H5525">
        <v>0.32922344992781299</v>
      </c>
      <c r="I5525">
        <v>0.26910334798994001</v>
      </c>
      <c r="J5525">
        <v>0.23540374412680101</v>
      </c>
      <c r="K5525">
        <v>0.12564740200642399</v>
      </c>
      <c r="L5525">
        <v>612.72761503348602</v>
      </c>
      <c r="M5525">
        <v>11.3363272030724</v>
      </c>
      <c r="N5525">
        <v>54.5873026831662</v>
      </c>
      <c r="O5525">
        <v>52.449949733918203</v>
      </c>
      <c r="P5525">
        <v>-5.1196453393563601E-2</v>
      </c>
      <c r="Q5525">
        <v>5.2798750889654203E-2</v>
      </c>
      <c r="R5525">
        <v>0.96305682168984796</v>
      </c>
      <c r="S5525" t="s">
        <v>11076</v>
      </c>
      <c r="T5525" t="s">
        <v>11100</v>
      </c>
      <c r="U5525" t="s">
        <v>11100</v>
      </c>
      <c r="V5525" t="s">
        <v>11100</v>
      </c>
      <c r="W5525" t="s">
        <v>16570</v>
      </c>
      <c r="X5525">
        <v>8</v>
      </c>
      <c r="Y5525" t="s">
        <v>21984</v>
      </c>
      <c r="Z5525" t="s">
        <v>27530</v>
      </c>
      <c r="AA5525">
        <v>0.60799121833898151</v>
      </c>
      <c r="AB5525" t="str">
        <f>HYPERLINK("Melting_Curves/meltCurve_Q9Y6I3_3_EPN1.pdf", "Melting_Curves/meltCurve_Q9Y6I3_3_EPN1.pdf")</f>
        <v>Melting_Curves/meltCurve_Q9Y6I3_3_EPN1.pdf</v>
      </c>
    </row>
    <row r="5526" spans="1:28" x14ac:dyDescent="0.25">
      <c r="A5526" t="s">
        <v>5530</v>
      </c>
      <c r="B5526">
        <v>0.99299721793515405</v>
      </c>
      <c r="C5526">
        <v>1.0722671453484001</v>
      </c>
      <c r="D5526">
        <v>1.00620932472798</v>
      </c>
      <c r="E5526">
        <v>0.85425470097801903</v>
      </c>
      <c r="F5526">
        <v>0.75888660398341901</v>
      </c>
      <c r="G5526">
        <v>0.394383435761337</v>
      </c>
      <c r="H5526">
        <v>0.20706792551873601</v>
      </c>
      <c r="I5526">
        <v>0.17528644236980701</v>
      </c>
      <c r="J5526">
        <v>0.17444297837226699</v>
      </c>
      <c r="K5526">
        <v>0.143151528052575</v>
      </c>
      <c r="L5526">
        <v>1128.4921368171499</v>
      </c>
      <c r="M5526">
        <v>21.7802497157472</v>
      </c>
      <c r="N5526">
        <v>52.607135113513301</v>
      </c>
      <c r="O5526">
        <v>51.381789567655602</v>
      </c>
      <c r="P5526">
        <v>-9.1122071523362394E-2</v>
      </c>
      <c r="Q5526">
        <v>0.14015561616851599</v>
      </c>
      <c r="R5526">
        <v>0.98939843846099595</v>
      </c>
      <c r="S5526" t="s">
        <v>11077</v>
      </c>
      <c r="T5526" t="s">
        <v>11100</v>
      </c>
      <c r="U5526" t="s">
        <v>11100</v>
      </c>
      <c r="V5526" t="s">
        <v>11100</v>
      </c>
      <c r="W5526" t="s">
        <v>16571</v>
      </c>
      <c r="X5526">
        <v>11</v>
      </c>
      <c r="Y5526" t="s">
        <v>21985</v>
      </c>
      <c r="Z5526" t="s">
        <v>27531</v>
      </c>
      <c r="AA5526">
        <v>0.57439897500722337</v>
      </c>
      <c r="AB5526" t="str">
        <f>HYPERLINK("Melting_Curves/meltCurve_Q9Y6I9_TEX264.pdf", "Melting_Curves/meltCurve_Q9Y6I9_TEX264.pdf")</f>
        <v>Melting_Curves/meltCurve_Q9Y6I9_TEX264.pdf</v>
      </c>
    </row>
    <row r="5527" spans="1:28" x14ac:dyDescent="0.25">
      <c r="A5527" t="s">
        <v>5531</v>
      </c>
      <c r="B5527">
        <v>0.99299721793515405</v>
      </c>
      <c r="C5527">
        <v>1.0284787908813</v>
      </c>
      <c r="D5527">
        <v>0.91813728810667605</v>
      </c>
      <c r="E5527">
        <v>0.88572303169225197</v>
      </c>
      <c r="F5527">
        <v>0.74556669141262799</v>
      </c>
      <c r="G5527">
        <v>0.87665207860595795</v>
      </c>
      <c r="H5527">
        <v>0.35744587809052802</v>
      </c>
      <c r="I5527">
        <v>0.15735098121279401</v>
      </c>
      <c r="J5527">
        <v>6.8243682381554399E-2</v>
      </c>
      <c r="K5527">
        <v>4.9931741533165298E-2</v>
      </c>
      <c r="L5527">
        <v>1156.9068918703099</v>
      </c>
      <c r="M5527">
        <v>20.5178955144297</v>
      </c>
      <c r="N5527">
        <v>56.385261564395897</v>
      </c>
      <c r="O5527">
        <v>55.857834162508603</v>
      </c>
      <c r="P5527">
        <v>-9.1833559166474205E-2</v>
      </c>
      <c r="Q5527">
        <v>0</v>
      </c>
      <c r="R5527">
        <v>0.94825146851148201</v>
      </c>
      <c r="S5527" t="s">
        <v>11078</v>
      </c>
      <c r="T5527" t="s">
        <v>11100</v>
      </c>
      <c r="U5527" t="s">
        <v>11100</v>
      </c>
      <c r="V5527" t="s">
        <v>11100</v>
      </c>
      <c r="W5527" t="s">
        <v>16572</v>
      </c>
      <c r="X5527">
        <v>2</v>
      </c>
      <c r="Y5527" t="s">
        <v>21986</v>
      </c>
      <c r="Z5527" t="s">
        <v>27532</v>
      </c>
      <c r="AA5527">
        <v>0.6557612541719311</v>
      </c>
      <c r="AB5527" t="str">
        <f>HYPERLINK("Melting_Curves/meltCurve_Q9Y6K0_CEPT1.pdf", "Melting_Curves/meltCurve_Q9Y6K0_CEPT1.pdf")</f>
        <v>Melting_Curves/meltCurve_Q9Y6K0_CEPT1.pdf</v>
      </c>
    </row>
    <row r="5528" spans="1:28" x14ac:dyDescent="0.25">
      <c r="A5528" t="s">
        <v>5532</v>
      </c>
      <c r="B5528">
        <v>0.99299721793515405</v>
      </c>
      <c r="C5528">
        <v>0.97054346484018605</v>
      </c>
      <c r="D5528">
        <v>0.96135127018788602</v>
      </c>
      <c r="E5528">
        <v>0.81304208038381098</v>
      </c>
      <c r="F5528">
        <v>0.58809110560872202</v>
      </c>
      <c r="G5528">
        <v>0.36257386638044198</v>
      </c>
      <c r="H5528">
        <v>0.68193481756269403</v>
      </c>
      <c r="I5528">
        <v>0.94893131278347698</v>
      </c>
      <c r="J5528">
        <v>1.2203297669267901</v>
      </c>
      <c r="K5528">
        <v>1.0713837954168499</v>
      </c>
      <c r="L5528">
        <v>3596.2822544984601</v>
      </c>
      <c r="M5528">
        <v>82.287461280425802</v>
      </c>
      <c r="O5528">
        <v>43.6780992304177</v>
      </c>
      <c r="P5528">
        <v>-8.8466493252608303E-2</v>
      </c>
      <c r="Q5528">
        <v>0.81216833007364397</v>
      </c>
      <c r="R5528">
        <v>9.54581059290429E-2</v>
      </c>
      <c r="S5528" t="s">
        <v>11079</v>
      </c>
      <c r="T5528" t="s">
        <v>11100</v>
      </c>
      <c r="U5528" t="s">
        <v>11100</v>
      </c>
      <c r="V5528" t="s">
        <v>11100</v>
      </c>
      <c r="W5528" t="s">
        <v>16573</v>
      </c>
      <c r="X5528">
        <v>15</v>
      </c>
      <c r="Y5528" t="s">
        <v>16845</v>
      </c>
      <c r="Z5528" t="s">
        <v>27533</v>
      </c>
      <c r="AA5528">
        <v>0.85427498643808275</v>
      </c>
      <c r="AB5528" t="str">
        <f>HYPERLINK("Melting_Curves/meltCurve_Q9Y6K9_IKBKG.pdf", "Melting_Curves/meltCurve_Q9Y6K9_IKBKG.pdf")</f>
        <v>Melting_Curves/meltCurve_Q9Y6K9_IKBKG.pdf</v>
      </c>
    </row>
    <row r="5529" spans="1:28" x14ac:dyDescent="0.25">
      <c r="A5529" t="s">
        <v>5533</v>
      </c>
      <c r="B5529">
        <v>0.99299721793515405</v>
      </c>
      <c r="C5529">
        <v>0.91537927817210696</v>
      </c>
      <c r="D5529">
        <v>0.90265667261798499</v>
      </c>
      <c r="E5529">
        <v>0.813696897591353</v>
      </c>
      <c r="F5529">
        <v>0.71118715540938604</v>
      </c>
      <c r="G5529">
        <v>0.51569046111866701</v>
      </c>
      <c r="H5529">
        <v>1.4195790158982</v>
      </c>
      <c r="I5529">
        <v>1.65877295152204</v>
      </c>
      <c r="J5529">
        <v>2.1709527752953801</v>
      </c>
      <c r="K5529">
        <v>2.2287150362948598</v>
      </c>
      <c r="L5529">
        <v>14255.1774885264</v>
      </c>
      <c r="M5529">
        <v>250</v>
      </c>
      <c r="O5529">
        <v>57.017061035109499</v>
      </c>
      <c r="P5529">
        <v>0.54808156514519801</v>
      </c>
      <c r="Q5529">
        <v>1.5</v>
      </c>
      <c r="R5529">
        <v>0.58530336150039197</v>
      </c>
      <c r="S5529" t="s">
        <v>11080</v>
      </c>
      <c r="T5529" t="s">
        <v>11100</v>
      </c>
      <c r="U5529" t="s">
        <v>11100</v>
      </c>
      <c r="V5529" t="s">
        <v>11100</v>
      </c>
      <c r="W5529" t="s">
        <v>16574</v>
      </c>
      <c r="X5529">
        <v>8</v>
      </c>
      <c r="Y5529" t="s">
        <v>21987</v>
      </c>
      <c r="Z5529" t="s">
        <v>27534</v>
      </c>
      <c r="AA5529">
        <v>1.1662714655356401</v>
      </c>
      <c r="AB5529" t="str">
        <f>HYPERLINK("Melting_Curves/meltCurve_Q9Y6M5_SLC30A1.pdf", "Melting_Curves/meltCurve_Q9Y6M5_SLC30A1.pdf")</f>
        <v>Melting_Curves/meltCurve_Q9Y6M5_SLC30A1.pdf</v>
      </c>
    </row>
    <row r="5530" spans="1:28" x14ac:dyDescent="0.25">
      <c r="A5530" t="s">
        <v>5534</v>
      </c>
      <c r="B5530">
        <v>0.99299721793515405</v>
      </c>
      <c r="C5530">
        <v>0.82070137582894398</v>
      </c>
      <c r="D5530">
        <v>1.0156584256741299</v>
      </c>
      <c r="E5530">
        <v>0.85063265285190803</v>
      </c>
      <c r="F5530">
        <v>0.67083468138931401</v>
      </c>
      <c r="G5530">
        <v>0.48641748935797202</v>
      </c>
      <c r="H5530">
        <v>0.277921965650822</v>
      </c>
      <c r="I5530">
        <v>0.20976431431491799</v>
      </c>
      <c r="J5530">
        <v>0.22596996321561599</v>
      </c>
      <c r="K5530">
        <v>0.244115556180866</v>
      </c>
      <c r="L5530">
        <v>823.57389520926699</v>
      </c>
      <c r="M5530">
        <v>16.035339001363301</v>
      </c>
      <c r="N5530">
        <v>52.908900032339197</v>
      </c>
      <c r="O5530">
        <v>50.581079738287798</v>
      </c>
      <c r="P5530">
        <v>-6.4413871955601304E-2</v>
      </c>
      <c r="Q5530">
        <v>0.18732746788665899</v>
      </c>
      <c r="R5530">
        <v>0.96150008544030696</v>
      </c>
      <c r="S5530" t="s">
        <v>11081</v>
      </c>
      <c r="T5530" t="s">
        <v>11100</v>
      </c>
      <c r="U5530" t="s">
        <v>11100</v>
      </c>
      <c r="V5530" t="s">
        <v>11100</v>
      </c>
      <c r="W5530" t="s">
        <v>16575</v>
      </c>
      <c r="X5530">
        <v>1</v>
      </c>
      <c r="Y5530" t="s">
        <v>21988</v>
      </c>
      <c r="Z5530" t="s">
        <v>27535</v>
      </c>
      <c r="AA5530">
        <v>0.59107684163346519</v>
      </c>
      <c r="AB5530" t="str">
        <f>HYPERLINK("Melting_Curves/meltCurve_Q9Y6N1_COX11.pdf", "Melting_Curves/meltCurve_Q9Y6N1_COX11.pdf")</f>
        <v>Melting_Curves/meltCurve_Q9Y6N1_COX11.pdf</v>
      </c>
    </row>
    <row r="5531" spans="1:28" x14ac:dyDescent="0.25">
      <c r="A5531" t="s">
        <v>5535</v>
      </c>
      <c r="B5531">
        <v>0.99299721793515405</v>
      </c>
      <c r="C5531">
        <v>0.88507281597249698</v>
      </c>
      <c r="D5531">
        <v>0.90337458313307695</v>
      </c>
      <c r="E5531">
        <v>0.81671881672984903</v>
      </c>
      <c r="F5531">
        <v>0.75158072065745396</v>
      </c>
      <c r="G5531">
        <v>0.58580184564936</v>
      </c>
      <c r="H5531">
        <v>0.516487618656438</v>
      </c>
      <c r="I5531">
        <v>0.46238074527837603</v>
      </c>
      <c r="J5531">
        <v>0.47949625982280403</v>
      </c>
      <c r="K5531">
        <v>0.34927785477874601</v>
      </c>
      <c r="L5531">
        <v>372.52543443059398</v>
      </c>
      <c r="M5531">
        <v>6.85977281928694</v>
      </c>
      <c r="N5531">
        <v>59.175051416240201</v>
      </c>
      <c r="O5531">
        <v>50.2526213567808</v>
      </c>
      <c r="P5531">
        <v>-2.6819955728994101E-2</v>
      </c>
      <c r="Q5531">
        <v>0.21566654986924999</v>
      </c>
      <c r="R5531">
        <v>0.97421842789705004</v>
      </c>
      <c r="S5531" t="s">
        <v>11082</v>
      </c>
      <c r="T5531" t="s">
        <v>11100</v>
      </c>
      <c r="U5531" t="s">
        <v>11100</v>
      </c>
      <c r="V5531" t="s">
        <v>11100</v>
      </c>
      <c r="W5531" t="s">
        <v>16576</v>
      </c>
      <c r="X5531">
        <v>10</v>
      </c>
      <c r="Y5531" t="s">
        <v>21989</v>
      </c>
      <c r="Z5531" t="s">
        <v>27536</v>
      </c>
      <c r="AA5531">
        <v>0.67440843746689427</v>
      </c>
      <c r="AB5531" t="str">
        <f>HYPERLINK("Melting_Curves/meltCurve_Q9Y6N7_6_ROBO1.pdf", "Melting_Curves/meltCurve_Q9Y6N7_6_ROBO1.pdf")</f>
        <v>Melting_Curves/meltCurve_Q9Y6N7_6_ROBO1.pdf</v>
      </c>
    </row>
    <row r="5532" spans="1:28" x14ac:dyDescent="0.25">
      <c r="A5532" t="s">
        <v>5536</v>
      </c>
      <c r="B5532">
        <v>0.99299721793515405</v>
      </c>
      <c r="C5532">
        <v>1.1220127139962801</v>
      </c>
      <c r="D5532">
        <v>0.75434780499349796</v>
      </c>
      <c r="E5532">
        <v>0.78818883636232695</v>
      </c>
      <c r="F5532">
        <v>0.61321560110259499</v>
      </c>
      <c r="G5532">
        <v>0.385586467574833</v>
      </c>
      <c r="H5532">
        <v>0.22749031057282701</v>
      </c>
      <c r="I5532">
        <v>0.154952815512542</v>
      </c>
      <c r="J5532">
        <v>0.158868735333515</v>
      </c>
      <c r="K5532">
        <v>8.1635799236886006E-2</v>
      </c>
      <c r="L5532">
        <v>581.86873123704697</v>
      </c>
      <c r="M5532">
        <v>11.3339196068838</v>
      </c>
      <c r="N5532">
        <v>51.613126824895801</v>
      </c>
      <c r="O5532">
        <v>49.8183871317419</v>
      </c>
      <c r="P5532">
        <v>-5.5229667540268999E-2</v>
      </c>
      <c r="Q5532">
        <v>2.9241040986499801E-2</v>
      </c>
      <c r="R5532">
        <v>0.959840246338311</v>
      </c>
      <c r="S5532" t="s">
        <v>11083</v>
      </c>
      <c r="T5532" t="s">
        <v>11100</v>
      </c>
      <c r="U5532" t="s">
        <v>11100</v>
      </c>
      <c r="V5532" t="s">
        <v>11100</v>
      </c>
      <c r="W5532" t="s">
        <v>16577</v>
      </c>
      <c r="X5532">
        <v>1</v>
      </c>
      <c r="Y5532" t="s">
        <v>21990</v>
      </c>
      <c r="Z5532" t="s">
        <v>27537</v>
      </c>
      <c r="AA5532">
        <v>0.51905520065838684</v>
      </c>
      <c r="AB5532" t="str">
        <f>HYPERLINK("Melting_Curves/meltCurve_Q9Y6Q2_STON1.pdf", "Melting_Curves/meltCurve_Q9Y6Q2_STON1.pdf")</f>
        <v>Melting_Curves/meltCurve_Q9Y6Q2_STON1.pdf</v>
      </c>
    </row>
    <row r="5533" spans="1:28" x14ac:dyDescent="0.25">
      <c r="A5533" t="s">
        <v>5537</v>
      </c>
      <c r="B5533">
        <v>0.99299721793515405</v>
      </c>
      <c r="C5533">
        <v>1.06286877824133</v>
      </c>
      <c r="D5533">
        <v>1.0264208692786201</v>
      </c>
      <c r="E5533">
        <v>0.905333174743154</v>
      </c>
      <c r="F5533">
        <v>0.64331793870731802</v>
      </c>
      <c r="G5533">
        <v>0.34033494289777699</v>
      </c>
      <c r="H5533">
        <v>0.199927174685915</v>
      </c>
      <c r="I5533">
        <v>0.18965980064977001</v>
      </c>
      <c r="J5533">
        <v>0.16634745549570501</v>
      </c>
      <c r="K5533">
        <v>7.7014005519092293E-2</v>
      </c>
      <c r="L5533">
        <v>1134.05994666526</v>
      </c>
      <c r="M5533">
        <v>22.209689904940699</v>
      </c>
      <c r="N5533">
        <v>51.7689419121726</v>
      </c>
      <c r="O5533">
        <v>50.652920854616902</v>
      </c>
      <c r="P5533">
        <v>-9.5271685650410706E-2</v>
      </c>
      <c r="Q5533">
        <v>0.13088616921253199</v>
      </c>
      <c r="R5533">
        <v>0.99246927687111397</v>
      </c>
      <c r="S5533" t="s">
        <v>11084</v>
      </c>
      <c r="T5533" t="s">
        <v>11100</v>
      </c>
      <c r="U5533" t="s">
        <v>11100</v>
      </c>
      <c r="V5533" t="s">
        <v>11100</v>
      </c>
      <c r="W5533" t="s">
        <v>16578</v>
      </c>
      <c r="X5533">
        <v>5</v>
      </c>
      <c r="Y5533" t="s">
        <v>21991</v>
      </c>
      <c r="Z5533" t="s">
        <v>27538</v>
      </c>
      <c r="AA5533">
        <v>0.5477579949858149</v>
      </c>
      <c r="AB5533" t="str">
        <f>HYPERLINK("Melting_Curves/meltCurve_Q9Y6Q9_2_NCOA3.pdf", "Melting_Curves/meltCurve_Q9Y6Q9_2_NCOA3.pdf")</f>
        <v>Melting_Curves/meltCurve_Q9Y6Q9_2_NCOA3.pdf</v>
      </c>
    </row>
    <row r="5534" spans="1:28" x14ac:dyDescent="0.25">
      <c r="A5534" t="s">
        <v>5538</v>
      </c>
      <c r="B5534">
        <v>0.99299721793515405</v>
      </c>
      <c r="C5534">
        <v>1.00946326573279</v>
      </c>
      <c r="D5534">
        <v>1.1667143330563099</v>
      </c>
      <c r="E5534">
        <v>0.96773635170549599</v>
      </c>
      <c r="F5534">
        <v>0.67230707739456497</v>
      </c>
      <c r="G5534">
        <v>0.50541264767884198</v>
      </c>
      <c r="H5534">
        <v>0.32753396567709298</v>
      </c>
      <c r="I5534">
        <v>0.266724757214585</v>
      </c>
      <c r="J5534">
        <v>0.27237876799341798</v>
      </c>
      <c r="K5534">
        <v>0.21157114160629201</v>
      </c>
      <c r="L5534">
        <v>1108.3303931246201</v>
      </c>
      <c r="M5534">
        <v>21.4639438582305</v>
      </c>
      <c r="N5534">
        <v>53.274065479252499</v>
      </c>
      <c r="O5534">
        <v>51.1948959415109</v>
      </c>
      <c r="P5534">
        <v>-7.9506269802607901E-2</v>
      </c>
      <c r="Q5534">
        <v>0.24147863177131401</v>
      </c>
      <c r="R5534">
        <v>0.967526995277045</v>
      </c>
      <c r="S5534" t="s">
        <v>11085</v>
      </c>
      <c r="T5534" t="s">
        <v>11100</v>
      </c>
      <c r="U5534" t="s">
        <v>11100</v>
      </c>
      <c r="V5534" t="s">
        <v>11100</v>
      </c>
      <c r="W5534" t="s">
        <v>16579</v>
      </c>
      <c r="X5534">
        <v>1</v>
      </c>
      <c r="Y5534" t="s">
        <v>21992</v>
      </c>
      <c r="Z5534" t="s">
        <v>27539</v>
      </c>
      <c r="AA5534">
        <v>0.6203322807878211</v>
      </c>
      <c r="AB5534" t="str">
        <f>HYPERLINK("Melting_Curves/meltCurve_Q9Y6R0_NUMBL.pdf", "Melting_Curves/meltCurve_Q9Y6R0_NUMBL.pdf")</f>
        <v>Melting_Curves/meltCurve_Q9Y6R0_NUMBL.pdf</v>
      </c>
    </row>
    <row r="5535" spans="1:28" x14ac:dyDescent="0.25">
      <c r="A5535" t="s">
        <v>5539</v>
      </c>
      <c r="B5535">
        <v>0.99299721793515405</v>
      </c>
      <c r="C5535">
        <v>1.20960542005434</v>
      </c>
      <c r="D5535">
        <v>1.1331915579227601</v>
      </c>
      <c r="E5535">
        <v>1.21375163050051</v>
      </c>
      <c r="F5535">
        <v>0.959701513586526</v>
      </c>
      <c r="G5535">
        <v>0.76641988661281202</v>
      </c>
      <c r="H5535">
        <v>0.44255632972000902</v>
      </c>
      <c r="I5535">
        <v>0.25675628410650198</v>
      </c>
      <c r="J5535">
        <v>0.242800939381873</v>
      </c>
      <c r="K5535">
        <v>0.216433155242267</v>
      </c>
      <c r="L5535">
        <v>1646.3580546601499</v>
      </c>
      <c r="M5535">
        <v>29.672192478397999</v>
      </c>
      <c r="N5535">
        <v>56.576488046758101</v>
      </c>
      <c r="O5535">
        <v>55.2346950168468</v>
      </c>
      <c r="P5535">
        <v>-0.105031099782529</v>
      </c>
      <c r="Q5535">
        <v>0.21794505317475499</v>
      </c>
      <c r="R5535">
        <v>0.92976507199024405</v>
      </c>
      <c r="S5535" t="s">
        <v>11086</v>
      </c>
      <c r="T5535" t="s">
        <v>11100</v>
      </c>
      <c r="U5535" t="s">
        <v>11100</v>
      </c>
      <c r="V5535" t="s">
        <v>11100</v>
      </c>
      <c r="W5535" t="s">
        <v>16580</v>
      </c>
      <c r="X5535">
        <v>1</v>
      </c>
      <c r="Y5535" t="s">
        <v>21993</v>
      </c>
      <c r="Z5535" t="s">
        <v>27540</v>
      </c>
      <c r="AA5535">
        <v>0.70483826187243159</v>
      </c>
      <c r="AB5535" t="str">
        <f>HYPERLINK("Melting_Curves/meltCurve_Q9Y6V7_DDX49.pdf", "Melting_Curves/meltCurve_Q9Y6V7_DDX49.pdf")</f>
        <v>Melting_Curves/meltCurve_Q9Y6V7_DDX49.pdf</v>
      </c>
    </row>
    <row r="5536" spans="1:28" x14ac:dyDescent="0.25">
      <c r="A5536" t="s">
        <v>5540</v>
      </c>
      <c r="B5536">
        <v>0.99299721793515405</v>
      </c>
      <c r="C5536">
        <v>0.95299412660281901</v>
      </c>
      <c r="D5536">
        <v>0.94371781904165097</v>
      </c>
      <c r="E5536">
        <v>0.78286618588733203</v>
      </c>
      <c r="F5536">
        <v>0.67852537667113799</v>
      </c>
      <c r="G5536">
        <v>0.337921159295763</v>
      </c>
      <c r="H5536">
        <v>0.221857103351808</v>
      </c>
      <c r="I5536">
        <v>0.145329652973201</v>
      </c>
      <c r="J5536">
        <v>0.212917585030268</v>
      </c>
      <c r="K5536">
        <v>0.17293954781086901</v>
      </c>
      <c r="L5536">
        <v>843.92459698605501</v>
      </c>
      <c r="M5536">
        <v>16.673850357487801</v>
      </c>
      <c r="N5536">
        <v>51.6397612129051</v>
      </c>
      <c r="O5536">
        <v>49.902444396910198</v>
      </c>
      <c r="P5536">
        <v>-7.1758095602032806E-2</v>
      </c>
      <c r="Q5536">
        <v>0.141010498978865</v>
      </c>
      <c r="R5536">
        <v>0.98550384676804903</v>
      </c>
      <c r="S5536" t="s">
        <v>11087</v>
      </c>
      <c r="T5536" t="s">
        <v>11100</v>
      </c>
      <c r="U5536" t="s">
        <v>11100</v>
      </c>
      <c r="V5536" t="s">
        <v>11100</v>
      </c>
      <c r="W5536" t="s">
        <v>16581</v>
      </c>
      <c r="X5536">
        <v>2</v>
      </c>
      <c r="Y5536" t="s">
        <v>21994</v>
      </c>
      <c r="Z5536" t="s">
        <v>27541</v>
      </c>
      <c r="AA5536">
        <v>0.54590903315272077</v>
      </c>
      <c r="AB5536" t="str">
        <f>HYPERLINK("Melting_Curves/meltCurve_Q9Y6W3_CAPN7.pdf", "Melting_Curves/meltCurve_Q9Y6W3_CAPN7.pdf")</f>
        <v>Melting_Curves/meltCurve_Q9Y6W3_CAPN7.pdf</v>
      </c>
    </row>
    <row r="5537" spans="1:28" x14ac:dyDescent="0.25">
      <c r="A5537" t="s">
        <v>5541</v>
      </c>
      <c r="B5537">
        <v>0.99299721793515405</v>
      </c>
      <c r="C5537">
        <v>0.88576051893791996</v>
      </c>
      <c r="D5537">
        <v>0.862477730189535</v>
      </c>
      <c r="E5537">
        <v>0.82890651519398495</v>
      </c>
      <c r="F5537">
        <v>0.73850291288978198</v>
      </c>
      <c r="G5537">
        <v>0.76208373324807499</v>
      </c>
      <c r="H5537">
        <v>1.0286641855982599</v>
      </c>
      <c r="I5537">
        <v>1.23521520814986</v>
      </c>
      <c r="J5537">
        <v>1.58230956649079</v>
      </c>
      <c r="K5537">
        <v>1.32091300122509</v>
      </c>
      <c r="L5537">
        <v>15000</v>
      </c>
      <c r="M5537">
        <v>245.985058593898</v>
      </c>
      <c r="O5537">
        <v>60.975282822158</v>
      </c>
      <c r="P5537">
        <v>0.45547006789657302</v>
      </c>
      <c r="Q5537">
        <v>1.4516114323530001</v>
      </c>
      <c r="R5537">
        <v>0.67406264151026696</v>
      </c>
      <c r="S5537" t="s">
        <v>11088</v>
      </c>
      <c r="T5537" t="s">
        <v>11100</v>
      </c>
      <c r="U5537" t="s">
        <v>11100</v>
      </c>
      <c r="V5537" t="s">
        <v>11100</v>
      </c>
      <c r="W5537" t="s">
        <v>16582</v>
      </c>
      <c r="X5537">
        <v>9</v>
      </c>
      <c r="Y5537" t="s">
        <v>21995</v>
      </c>
      <c r="Z5537" t="s">
        <v>27542</v>
      </c>
      <c r="AA5537">
        <v>1.0905837740340321</v>
      </c>
      <c r="AB5537" t="str">
        <f>HYPERLINK("Melting_Curves/meltCurve_Q9Y6W5_WASF2.pdf", "Melting_Curves/meltCurve_Q9Y6W5_WASF2.pdf")</f>
        <v>Melting_Curves/meltCurve_Q9Y6W5_WASF2.pdf</v>
      </c>
    </row>
    <row r="5538" spans="1:28" x14ac:dyDescent="0.25">
      <c r="A5538" t="s">
        <v>5542</v>
      </c>
      <c r="B5538">
        <v>0.99299721793515405</v>
      </c>
      <c r="C5538">
        <v>0.95224757031201301</v>
      </c>
      <c r="D5538">
        <v>0.82644331467035503</v>
      </c>
      <c r="E5538">
        <v>0.84825139880052403</v>
      </c>
      <c r="F5538">
        <v>0.89171985032517898</v>
      </c>
      <c r="G5538">
        <v>0.594156855706791</v>
      </c>
      <c r="H5538">
        <v>0.54789589931641103</v>
      </c>
      <c r="I5538">
        <v>0.52208899855531699</v>
      </c>
      <c r="J5538">
        <v>0.47657950885212802</v>
      </c>
      <c r="K5538">
        <v>0.50892902641580495</v>
      </c>
      <c r="L5538">
        <v>438.405509914275</v>
      </c>
      <c r="M5538">
        <v>8.31475335891081</v>
      </c>
      <c r="N5538">
        <v>63.373564693015297</v>
      </c>
      <c r="O5538">
        <v>49.940526707375902</v>
      </c>
      <c r="P5538">
        <v>-2.5984784088208999E-2</v>
      </c>
      <c r="Q5538">
        <v>0.37632527822468198</v>
      </c>
      <c r="R5538">
        <v>0.90357260075992996</v>
      </c>
      <c r="S5538" t="s">
        <v>11089</v>
      </c>
      <c r="T5538" t="s">
        <v>11100</v>
      </c>
      <c r="U5538" t="s">
        <v>11100</v>
      </c>
      <c r="V5538" t="s">
        <v>11100</v>
      </c>
      <c r="W5538" t="s">
        <v>16583</v>
      </c>
      <c r="X5538">
        <v>2</v>
      </c>
      <c r="Y5538" t="s">
        <v>21996</v>
      </c>
      <c r="Z5538" t="s">
        <v>27543</v>
      </c>
      <c r="AA5538">
        <v>0.71815063424257164</v>
      </c>
      <c r="AB5538" t="str">
        <f>HYPERLINK("Melting_Curves/meltCurve_Q9Y6X5_ENPP4.pdf", "Melting_Curves/meltCurve_Q9Y6X5_ENPP4.pdf")</f>
        <v>Melting_Curves/meltCurve_Q9Y6X5_ENPP4.pdf</v>
      </c>
    </row>
    <row r="5539" spans="1:28" x14ac:dyDescent="0.25">
      <c r="A5539" t="s">
        <v>5543</v>
      </c>
      <c r="B5539">
        <v>0.99299721793515405</v>
      </c>
      <c r="C5539">
        <v>0.87839357659561601</v>
      </c>
      <c r="D5539">
        <v>1.0315895964903199</v>
      </c>
      <c r="E5539">
        <v>0.75580191502185001</v>
      </c>
      <c r="F5539">
        <v>0.53239697035943301</v>
      </c>
      <c r="G5539">
        <v>0.28173820722901</v>
      </c>
      <c r="H5539">
        <v>0.23182962516890701</v>
      </c>
      <c r="I5539">
        <v>0.18802764377546499</v>
      </c>
      <c r="J5539">
        <v>0.22965534637097601</v>
      </c>
      <c r="K5539">
        <v>0.257525689586382</v>
      </c>
      <c r="L5539">
        <v>1063.1327259002701</v>
      </c>
      <c r="M5539">
        <v>21.7654665164957</v>
      </c>
      <c r="N5539">
        <v>50.130539135591697</v>
      </c>
      <c r="O5539">
        <v>48.438237396721</v>
      </c>
      <c r="P5539">
        <v>-8.8312080205067894E-2</v>
      </c>
      <c r="Q5539">
        <v>0.21387758247167399</v>
      </c>
      <c r="R5539">
        <v>0.976309768628285</v>
      </c>
      <c r="S5539" t="s">
        <v>11090</v>
      </c>
      <c r="T5539" t="s">
        <v>11100</v>
      </c>
      <c r="U5539" t="s">
        <v>11100</v>
      </c>
      <c r="V5539" t="s">
        <v>11100</v>
      </c>
      <c r="W5539" t="s">
        <v>16584</v>
      </c>
      <c r="X5539">
        <v>7</v>
      </c>
      <c r="Y5539" t="s">
        <v>21997</v>
      </c>
      <c r="Z5539" t="s">
        <v>27544</v>
      </c>
      <c r="AA5539">
        <v>0.53310870004075783</v>
      </c>
      <c r="AB5539" t="str">
        <f>HYPERLINK("Melting_Curves/meltCurve_Q9Y6X8_ZHX2.pdf", "Melting_Curves/meltCurve_Q9Y6X8_ZHX2.pdf")</f>
        <v>Melting_Curves/meltCurve_Q9Y6X8_ZHX2.pdf</v>
      </c>
    </row>
    <row r="5540" spans="1:28" x14ac:dyDescent="0.25">
      <c r="A5540" t="s">
        <v>5544</v>
      </c>
      <c r="B5540">
        <v>0.99299721793515405</v>
      </c>
      <c r="C5540">
        <v>0.88525017381487403</v>
      </c>
      <c r="D5540">
        <v>0.80491841441165701</v>
      </c>
      <c r="E5540">
        <v>0.77498922778732104</v>
      </c>
      <c r="F5540">
        <v>0.592649256087453</v>
      </c>
      <c r="G5540">
        <v>0.45748956123215601</v>
      </c>
      <c r="H5540">
        <v>0.10200649774001</v>
      </c>
      <c r="I5540">
        <v>7.3434722568523306E-2</v>
      </c>
      <c r="J5540">
        <v>8.2146542578530601E-2</v>
      </c>
      <c r="K5540">
        <v>7.3341140865071902E-2</v>
      </c>
      <c r="L5540">
        <v>599.27127375057501</v>
      </c>
      <c r="M5540">
        <v>11.726901077110901</v>
      </c>
      <c r="N5540">
        <v>51.102270430999397</v>
      </c>
      <c r="O5540">
        <v>49.684136689055997</v>
      </c>
      <c r="P5540">
        <v>-5.9022820694935099E-2</v>
      </c>
      <c r="Q5540">
        <v>0</v>
      </c>
      <c r="R5540">
        <v>0.96518162893386095</v>
      </c>
      <c r="S5540" t="s">
        <v>11091</v>
      </c>
      <c r="T5540" t="s">
        <v>11100</v>
      </c>
      <c r="U5540" t="s">
        <v>11100</v>
      </c>
      <c r="V5540" t="s">
        <v>11100</v>
      </c>
      <c r="W5540" t="s">
        <v>16585</v>
      </c>
      <c r="X5540">
        <v>2</v>
      </c>
      <c r="Y5540" t="s">
        <v>21998</v>
      </c>
      <c r="Z5540" t="s">
        <v>27545</v>
      </c>
      <c r="AA5540">
        <v>0.49646666808579021</v>
      </c>
      <c r="AB5540" t="str">
        <f>HYPERLINK("Melting_Curves/meltCurve_R4GMN1_MOSPD2.pdf", "Melting_Curves/meltCurve_R4GMN1_MOSPD2.pdf")</f>
        <v>Melting_Curves/meltCurve_R4GMN1_MOSPD2.pdf</v>
      </c>
    </row>
    <row r="5541" spans="1:28" x14ac:dyDescent="0.25">
      <c r="A5541" t="s">
        <v>5545</v>
      </c>
      <c r="B5541">
        <v>0.99299721793515405</v>
      </c>
      <c r="C5541">
        <v>1.28803109637735</v>
      </c>
      <c r="D5541">
        <v>1.21423867126693</v>
      </c>
      <c r="E5541">
        <v>0.98275144944059101</v>
      </c>
      <c r="F5541">
        <v>0.74989567024133297</v>
      </c>
      <c r="G5541">
        <v>0.77844272331732101</v>
      </c>
      <c r="H5541">
        <v>0.748899091391243</v>
      </c>
      <c r="I5541">
        <v>0.92634807168125999</v>
      </c>
      <c r="J5541">
        <v>0.40970956416041399</v>
      </c>
      <c r="K5541">
        <v>0.31157496312634497</v>
      </c>
      <c r="L5541">
        <v>662.35915466379504</v>
      </c>
      <c r="M5541">
        <v>10.3066090420949</v>
      </c>
      <c r="N5541">
        <v>64.265476258252505</v>
      </c>
      <c r="O5541">
        <v>61.987194674598101</v>
      </c>
      <c r="P5541">
        <v>-4.1585493841618297E-2</v>
      </c>
      <c r="Q5541">
        <v>0</v>
      </c>
      <c r="R5541">
        <v>0.67542777366552398</v>
      </c>
      <c r="S5541" t="s">
        <v>11092</v>
      </c>
      <c r="T5541" t="s">
        <v>11100</v>
      </c>
      <c r="U5541" t="s">
        <v>11100</v>
      </c>
      <c r="V5541" t="s">
        <v>11100</v>
      </c>
      <c r="W5541" t="s">
        <v>16586</v>
      </c>
      <c r="X5541">
        <v>5</v>
      </c>
      <c r="Y5541" t="s">
        <v>21999</v>
      </c>
      <c r="Z5541" t="s">
        <v>27546</v>
      </c>
      <c r="AA5541">
        <v>0.83108868597410868</v>
      </c>
      <c r="AB5541" t="str">
        <f>HYPERLINK("Melting_Curves/meltCurve_R4GMR5_PSMD8.pdf", "Melting_Curves/meltCurve_R4GMR5_PSMD8.pdf")</f>
        <v>Melting_Curves/meltCurve_R4GMR5_PSMD8.pdf</v>
      </c>
    </row>
    <row r="5542" spans="1:28" x14ac:dyDescent="0.25">
      <c r="A5542" t="s">
        <v>5546</v>
      </c>
      <c r="B5542">
        <v>0.99299721793515405</v>
      </c>
      <c r="C5542">
        <v>0.87843424395037495</v>
      </c>
      <c r="D5542">
        <v>0.76836884597855903</v>
      </c>
      <c r="E5542">
        <v>0.76742412454751896</v>
      </c>
      <c r="F5542">
        <v>0.74165690454216504</v>
      </c>
      <c r="G5542">
        <v>0.49068468693162698</v>
      </c>
      <c r="H5542">
        <v>0.55380749647134497</v>
      </c>
      <c r="I5542">
        <v>0.64764667999099501</v>
      </c>
      <c r="J5542">
        <v>0.66280203222144196</v>
      </c>
      <c r="K5542">
        <v>0.65449274557019699</v>
      </c>
      <c r="L5542">
        <v>571.08731682996597</v>
      </c>
      <c r="M5542">
        <v>13.2839112593102</v>
      </c>
      <c r="O5542">
        <v>42.051696468737802</v>
      </c>
      <c r="P5542">
        <v>-3.0722297670221999E-2</v>
      </c>
      <c r="Q5542">
        <v>0.61104393968218895</v>
      </c>
      <c r="R5542">
        <v>0.78201155254499299</v>
      </c>
      <c r="S5542" t="s">
        <v>11093</v>
      </c>
      <c r="T5542" t="s">
        <v>11100</v>
      </c>
      <c r="U5542" t="s">
        <v>11100</v>
      </c>
      <c r="V5542" t="s">
        <v>11100</v>
      </c>
      <c r="W5542" t="s">
        <v>16587</v>
      </c>
      <c r="X5542">
        <v>3</v>
      </c>
      <c r="Y5542" t="s">
        <v>22000</v>
      </c>
      <c r="Z5542" t="s">
        <v>27547</v>
      </c>
      <c r="AA5542">
        <v>0.70196057554124947</v>
      </c>
      <c r="AB5542" t="str">
        <f>HYPERLINK("Melting_Curves/meltCurve_R4GMU8_LAMTOR5.pdf", "Melting_Curves/meltCurve_R4GMU8_LAMTOR5.pdf")</f>
        <v>Melting_Curves/meltCurve_R4GMU8_LAMTOR5.pdf</v>
      </c>
    </row>
    <row r="5543" spans="1:28" x14ac:dyDescent="0.25">
      <c r="A5543" t="s">
        <v>5547</v>
      </c>
      <c r="B5543">
        <v>0.99299721793515405</v>
      </c>
      <c r="C5543">
        <v>1.0518950757307499</v>
      </c>
      <c r="D5543">
        <v>1.0088951716789101</v>
      </c>
      <c r="E5543">
        <v>0.90178042815430204</v>
      </c>
      <c r="F5543">
        <v>0.71968453491650097</v>
      </c>
      <c r="G5543">
        <v>0.42871499333248198</v>
      </c>
      <c r="H5543">
        <v>0.27090360028709098</v>
      </c>
      <c r="I5543">
        <v>0.234880752168065</v>
      </c>
      <c r="J5543">
        <v>0.24072861233430401</v>
      </c>
      <c r="K5543">
        <v>0.15406009910846999</v>
      </c>
      <c r="L5543">
        <v>1062.2441288881</v>
      </c>
      <c r="M5543">
        <v>20.576806364274599</v>
      </c>
      <c r="N5543">
        <v>52.837567527273997</v>
      </c>
      <c r="O5543">
        <v>51.143216710017597</v>
      </c>
      <c r="P5543">
        <v>-8.1637754312860605E-2</v>
      </c>
      <c r="Q5543">
        <v>0.18838796404139299</v>
      </c>
      <c r="R5543">
        <v>0.99406154109675804</v>
      </c>
      <c r="S5543" t="s">
        <v>11094</v>
      </c>
      <c r="T5543" t="s">
        <v>11100</v>
      </c>
      <c r="U5543" t="s">
        <v>11100</v>
      </c>
      <c r="V5543" t="s">
        <v>11100</v>
      </c>
      <c r="W5543" t="s">
        <v>16588</v>
      </c>
      <c r="X5543">
        <v>4</v>
      </c>
      <c r="Y5543" t="s">
        <v>22001</v>
      </c>
      <c r="Z5543" t="s">
        <v>27548</v>
      </c>
      <c r="AA5543">
        <v>0.59407689411898701</v>
      </c>
      <c r="AB5543" t="str">
        <f>HYPERLINK("Melting_Curves/meltCurve_R4GMX3_BMI1.pdf", "Melting_Curves/meltCurve_R4GMX3_BMI1.pdf")</f>
        <v>Melting_Curves/meltCurve_R4GMX3_BMI1.pdf</v>
      </c>
    </row>
    <row r="5544" spans="1:28" x14ac:dyDescent="0.25">
      <c r="A5544" t="s">
        <v>5548</v>
      </c>
      <c r="B5544">
        <v>0.99299721793515405</v>
      </c>
      <c r="C5544">
        <v>0.87983652147423597</v>
      </c>
      <c r="D5544">
        <v>0.76501308784978606</v>
      </c>
      <c r="E5544">
        <v>0.70304887839961105</v>
      </c>
      <c r="F5544">
        <v>0.69036071449071501</v>
      </c>
      <c r="G5544">
        <v>0.62087046846525595</v>
      </c>
      <c r="H5544">
        <v>0.45475076134921</v>
      </c>
      <c r="I5544">
        <v>0.44096875473024499</v>
      </c>
      <c r="J5544">
        <v>0.32305255030979102</v>
      </c>
      <c r="K5544">
        <v>0.18331066161638099</v>
      </c>
      <c r="L5544">
        <v>309.42405574722102</v>
      </c>
      <c r="M5544">
        <v>5.5481876112842201</v>
      </c>
      <c r="N5544">
        <v>55.770281827557803</v>
      </c>
      <c r="O5544">
        <v>49.783076302709603</v>
      </c>
      <c r="P5544">
        <v>-2.7980851400778099E-2</v>
      </c>
      <c r="Q5544">
        <v>0</v>
      </c>
      <c r="R5544">
        <v>0.94731296124911502</v>
      </c>
      <c r="S5544" t="s">
        <v>11095</v>
      </c>
      <c r="T5544" t="s">
        <v>11100</v>
      </c>
      <c r="U5544" t="s">
        <v>11100</v>
      </c>
      <c r="V5544" t="s">
        <v>11100</v>
      </c>
      <c r="W5544" t="s">
        <v>16589</v>
      </c>
      <c r="X5544">
        <v>3</v>
      </c>
      <c r="Y5544" t="s">
        <v>22002</v>
      </c>
      <c r="Z5544" t="s">
        <v>27549</v>
      </c>
      <c r="AA5544">
        <v>0.60764736090689797</v>
      </c>
      <c r="AB5544" t="str">
        <f>HYPERLINK("Melting_Curves/meltCurve_R4GMZ8_FBXO44.pdf", "Melting_Curves/meltCurve_R4GMZ8_FBXO44.pdf")</f>
        <v>Melting_Curves/meltCurve_R4GMZ8_FBXO44.pdf</v>
      </c>
    </row>
    <row r="5545" spans="1:28" x14ac:dyDescent="0.25">
      <c r="A5545" t="s">
        <v>5549</v>
      </c>
      <c r="B5545">
        <v>0.99299721793515405</v>
      </c>
      <c r="C5545">
        <v>0.93940101738880999</v>
      </c>
      <c r="D5545">
        <v>0.89845059378296699</v>
      </c>
      <c r="E5545">
        <v>0.89181286934943604</v>
      </c>
      <c r="F5545">
        <v>0.72317257887242403</v>
      </c>
      <c r="G5545">
        <v>0.42220439406500299</v>
      </c>
      <c r="H5545">
        <v>0.231224903991502</v>
      </c>
      <c r="I5545">
        <v>0.25557827661508797</v>
      </c>
      <c r="J5545">
        <v>0.23814636363026501</v>
      </c>
      <c r="K5545">
        <v>0.205302867120531</v>
      </c>
      <c r="L5545">
        <v>1040.40334331956</v>
      </c>
      <c r="M5545">
        <v>20.276760189208801</v>
      </c>
      <c r="N5545">
        <v>52.651437654738999</v>
      </c>
      <c r="O5545">
        <v>50.818892547330698</v>
      </c>
      <c r="P5545">
        <v>-7.9631528042309094E-2</v>
      </c>
      <c r="Q5545">
        <v>0.20171441655691699</v>
      </c>
      <c r="R5545">
        <v>0.98418376638670102</v>
      </c>
      <c r="S5545" t="s">
        <v>11096</v>
      </c>
      <c r="T5545" t="s">
        <v>11100</v>
      </c>
      <c r="U5545" t="s">
        <v>11100</v>
      </c>
      <c r="V5545" t="s">
        <v>11100</v>
      </c>
      <c r="W5545" t="s">
        <v>16590</v>
      </c>
      <c r="X5545">
        <v>2</v>
      </c>
      <c r="Y5545" t="s">
        <v>22003</v>
      </c>
      <c r="Z5545" t="s">
        <v>27550</v>
      </c>
      <c r="AA5545">
        <v>0.5926850402422823</v>
      </c>
      <c r="AB5545" t="str">
        <f>HYPERLINK("Melting_Curves/meltCurve_R4GN33_MAPKAPK5.pdf", "Melting_Curves/meltCurve_R4GN33_MAPKAPK5.pdf")</f>
        <v>Melting_Curves/meltCurve_R4GN33_MAPKAPK5.pdf</v>
      </c>
    </row>
    <row r="5546" spans="1:28" x14ac:dyDescent="0.25">
      <c r="A5546" t="s">
        <v>5550</v>
      </c>
      <c r="B5546">
        <v>0.99299721793515405</v>
      </c>
      <c r="C5546">
        <v>1.05118832989448</v>
      </c>
      <c r="D5546">
        <v>1.00344790616792</v>
      </c>
      <c r="E5546">
        <v>0.77112139587661499</v>
      </c>
      <c r="F5546">
        <v>0.72537968069760494</v>
      </c>
      <c r="G5546">
        <v>0.42775822443345102</v>
      </c>
      <c r="H5546">
        <v>0.35546230293120901</v>
      </c>
      <c r="I5546">
        <v>0.260544021949209</v>
      </c>
      <c r="J5546">
        <v>0.32423097712666199</v>
      </c>
      <c r="K5546">
        <v>0.24065326797838699</v>
      </c>
      <c r="L5546">
        <v>811.304576261835</v>
      </c>
      <c r="M5546">
        <v>15.9807268512823</v>
      </c>
      <c r="N5546">
        <v>53.003304464059603</v>
      </c>
      <c r="O5546">
        <v>49.992681745572199</v>
      </c>
      <c r="P5546">
        <v>-6.03265043216882E-2</v>
      </c>
      <c r="Q5546">
        <v>0.24517923700299701</v>
      </c>
      <c r="R5546">
        <v>0.97656194991635203</v>
      </c>
      <c r="S5546" t="s">
        <v>11097</v>
      </c>
      <c r="T5546" t="s">
        <v>11100</v>
      </c>
      <c r="U5546" t="s">
        <v>11100</v>
      </c>
      <c r="V5546" t="s">
        <v>11100</v>
      </c>
      <c r="W5546" t="s">
        <v>16591</v>
      </c>
      <c r="X5546">
        <v>3</v>
      </c>
      <c r="Y5546" t="s">
        <v>22004</v>
      </c>
      <c r="Z5546" t="s">
        <v>27551</v>
      </c>
      <c r="AA5546">
        <v>0.60563997648596368</v>
      </c>
      <c r="AB5546" t="str">
        <f>HYPERLINK("Melting_Curves/meltCurve_R4GN55_YTHDF3.pdf", "Melting_Curves/meltCurve_R4GN55_YTHDF3.pdf")</f>
        <v>Melting_Curves/meltCurve_R4GN55_YTHDF3.pdf</v>
      </c>
    </row>
    <row r="5547" spans="1:28" x14ac:dyDescent="0.25">
      <c r="A5547" t="s">
        <v>5551</v>
      </c>
      <c r="B5547">
        <v>0.99299721793515405</v>
      </c>
      <c r="C5547">
        <v>1.2832432049204701</v>
      </c>
      <c r="D5547">
        <v>1.1371555066596799</v>
      </c>
      <c r="E5547">
        <v>1.3208255463791201</v>
      </c>
      <c r="F5547">
        <v>0.76149622997936395</v>
      </c>
      <c r="G5547">
        <v>0.62956494663401497</v>
      </c>
      <c r="H5547">
        <v>0.26383869924368197</v>
      </c>
      <c r="I5547">
        <v>0.256296105165289</v>
      </c>
      <c r="J5547">
        <v>0.11414535253690899</v>
      </c>
      <c r="K5547">
        <v>0</v>
      </c>
      <c r="L5547">
        <v>1194.67646655064</v>
      </c>
      <c r="M5547">
        <v>21.8785225538318</v>
      </c>
      <c r="N5547">
        <v>54.956942550460901</v>
      </c>
      <c r="O5547">
        <v>54.154936936631501</v>
      </c>
      <c r="P5547">
        <v>-9.4399331291505101E-2</v>
      </c>
      <c r="Q5547">
        <v>6.5371406624566794E-2</v>
      </c>
      <c r="R5547">
        <v>0.88714897159045403</v>
      </c>
      <c r="S5547" t="s">
        <v>11098</v>
      </c>
      <c r="T5547" t="s">
        <v>11100</v>
      </c>
      <c r="U5547" t="s">
        <v>11100</v>
      </c>
      <c r="V5547" t="s">
        <v>11100</v>
      </c>
      <c r="W5547" t="s">
        <v>16592</v>
      </c>
      <c r="X5547">
        <v>1</v>
      </c>
      <c r="Y5547" t="s">
        <v>22005</v>
      </c>
      <c r="Z5547" t="s">
        <v>27552</v>
      </c>
      <c r="AA5547">
        <v>0.62359195230890496</v>
      </c>
      <c r="AB5547" t="str">
        <f>HYPERLINK("Melting_Curves/meltCurve_R4GNB2_DENND4C.pdf", "Melting_Curves/meltCurve_R4GNB2_DENND4C.pdf")</f>
        <v>Melting_Curves/meltCurve_R4GNB2_DENND4C.pdf</v>
      </c>
    </row>
    <row r="5548" spans="1:28" x14ac:dyDescent="0.25">
      <c r="A5548" t="s">
        <v>5552</v>
      </c>
      <c r="B5548">
        <v>0.99299721793515405</v>
      </c>
      <c r="C5548">
        <v>0.94926768616282797</v>
      </c>
      <c r="D5548">
        <v>0.93664854672624898</v>
      </c>
      <c r="E5548">
        <v>0.89836635361476702</v>
      </c>
      <c r="F5548">
        <v>0.76591632762644102</v>
      </c>
      <c r="G5548">
        <v>0.54018135166121595</v>
      </c>
      <c r="H5548">
        <v>0.36999712103284199</v>
      </c>
      <c r="I5548">
        <v>0.210465627305051</v>
      </c>
      <c r="J5548">
        <v>0.15503766546980699</v>
      </c>
      <c r="K5548">
        <v>0.12834064533630599</v>
      </c>
      <c r="L5548">
        <v>683.32041978794996</v>
      </c>
      <c r="M5548">
        <v>12.5687051837258</v>
      </c>
      <c r="N5548">
        <v>54.661585721263101</v>
      </c>
      <c r="O5548">
        <v>53.045605746134903</v>
      </c>
      <c r="P5548">
        <v>-5.7305862210851703E-2</v>
      </c>
      <c r="Q5548">
        <v>3.2768480030320103E-2</v>
      </c>
      <c r="R5548">
        <v>0.99686129061407602</v>
      </c>
      <c r="S5548" t="s">
        <v>11099</v>
      </c>
      <c r="T5548" t="s">
        <v>11100</v>
      </c>
      <c r="U5548" t="s">
        <v>11100</v>
      </c>
      <c r="V5548" t="s">
        <v>11100</v>
      </c>
      <c r="W5548" t="s">
        <v>16593</v>
      </c>
      <c r="X5548">
        <v>25</v>
      </c>
      <c r="Y5548" t="s">
        <v>22006</v>
      </c>
      <c r="Z5548" t="s">
        <v>27553</v>
      </c>
      <c r="AA5548">
        <v>0.60871590592138292</v>
      </c>
      <c r="AB5548" t="str">
        <f>HYPERLINK("Melting_Curves/meltCurve_R4GNH3_PSMC3.pdf", "Melting_Curves/meltCurve_R4GNH3_PSMC3.pdf")</f>
        <v>Melting_Curves/meltCurve_R4GNH3_PSMC3.pdf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2017-09-14T13:07:07Z</dcterms:created>
  <dcterms:modified xsi:type="dcterms:W3CDTF">2018-08-21T09:33:24Z</dcterms:modified>
</cp:coreProperties>
</file>